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customProperty1.bin" ContentType="application/vnd.openxmlformats-officedocument.spreadsheetml.customProperty"/>
  <Override PartName="/xl/comments1.xml" ContentType="application/vnd.openxmlformats-officedocument.spreadsheetml.comments+xml"/>
  <Override PartName="/xl/namedSheetViews/namedSheetView1.xml" ContentType="application/vnd.ms-excel.namedsheetviews+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omments2.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hidePivotFieldList="1" defaultThemeVersion="166925"/>
  <mc:AlternateContent xmlns:mc="http://schemas.openxmlformats.org/markup-compatibility/2006">
    <mc:Choice Requires="x15">
      <x15ac:absPath xmlns:x15ac="http://schemas.microsoft.com/office/spreadsheetml/2010/11/ac" url="https://meralco-my.sharepoint.com/personal/rbcanaria_meralco_com_ph/Documents/Paranaque CA Files/EAM MONITORING/"/>
    </mc:Choice>
  </mc:AlternateContent>
  <xr:revisionPtr revIDLastSave="2878" documentId="121_{88895913-5A93-440C-9570-45B3F89C4E0C}" xr6:coauthVersionLast="47" xr6:coauthVersionMax="47" xr10:uidLastSave="{B20DE0E8-349B-4FD3-AF03-8381B861B285}"/>
  <bookViews>
    <workbookView minimized="1" xWindow="3225" yWindow="3285" windowWidth="11520" windowHeight="7875" tabRatio="603" firstSheet="4" activeTab="4" xr2:uid="{58A7ADEA-416F-4A25-86F5-0F08E7E562D2}"/>
  </bookViews>
  <sheets>
    <sheet name="Sheet3" sheetId="15" state="hidden" r:id="rId1"/>
    <sheet name="SUPV" sheetId="11" r:id="rId2"/>
    <sheet name="Justifications" sheetId="17" r:id="rId3"/>
    <sheet name="UG-SLEM" sheetId="2" r:id="rId4"/>
    <sheet name="C1" sheetId="1" r:id="rId5"/>
    <sheet name="PCA SUMMARY" sheetId="4" r:id="rId6"/>
    <sheet name="PRIORITY" sheetId="7" r:id="rId7"/>
    <sheet name="VIP" sheetId="9" r:id="rId8"/>
    <sheet name="AGEING" sheetId="6" r:id="rId9"/>
    <sheet name="VENDOR PRODUCTIVITY" sheetId="5" r:id="rId10"/>
  </sheets>
  <externalReferences>
    <externalReference r:id="rId11"/>
    <externalReference r:id="rId12"/>
    <externalReference r:id="rId13"/>
    <externalReference r:id="rId14"/>
    <externalReference r:id="rId15"/>
  </externalReferences>
  <definedNames>
    <definedName name="_xlnm._FilterDatabase" localSheetId="4" hidden="1">'C1'!$A$2:$EA$873</definedName>
    <definedName name="_xlnm._FilterDatabase" localSheetId="5" hidden="1">'PCA SUMMARY'!$A$60:$G$92</definedName>
    <definedName name="_xlnm._FilterDatabase" localSheetId="3" hidden="1">'UG-SLEM'!$A$2:$CY$2</definedName>
    <definedName name="_xlnm._FilterDatabase" localSheetId="7" hidden="1">VIP!$A$1:$AB$95</definedName>
    <definedName name="at">'C1'!#REF!</definedName>
    <definedName name="_xlnm.Print_Area" localSheetId="4">'C1'!$E$1:$M$733</definedName>
    <definedName name="Z_000C92C6_B535_4F58_BAEE_ECB833E379DE_.wvu.FilterData" localSheetId="4" hidden="1">'C1'!#REF!</definedName>
    <definedName name="Z_0053F5EE_48AE_47BE_9E30_4AE323143C79_.wvu.FilterData" localSheetId="4" hidden="1">'C1'!#REF!</definedName>
    <definedName name="Z_00963165_C5B0_468C_9DAB_72B881500AF4_.wvu.FilterData" localSheetId="4" hidden="1">'C1'!#REF!</definedName>
    <definedName name="Z_00F3BD76_7C87_4C7E_A1A6_1739B7E50E8D_.wvu.FilterData" localSheetId="4" hidden="1">'C1'!#REF!</definedName>
    <definedName name="Z_00F99E22_B136_4C58_9784_18F8A2B8658C_.wvu.FilterData" localSheetId="4" hidden="1">'C1'!#REF!</definedName>
    <definedName name="Z_01667E25_FC11_40CB_8E03_FD1F82835BB8_.wvu.FilterData" localSheetId="4" hidden="1">'C1'!#REF!</definedName>
    <definedName name="Z_021BAF92_F2FD_43A0_8F49_A1D15A22B095_.wvu.FilterData" localSheetId="4" hidden="1">'C1'!#REF!</definedName>
    <definedName name="Z_022756D6_BB42_4E8A_946B_3EE28C3566DF_.wvu.FilterData" localSheetId="4" hidden="1">'C1'!#REF!</definedName>
    <definedName name="Z_024BAD7A_67ED_4304_AB09_8D12566C7944_.wvu.FilterData" localSheetId="4" hidden="1">'C1'!#REF!</definedName>
    <definedName name="Z_026913B6_7BBB_4AAF_9E6F_344AE6A33C77_.wvu.FilterData" localSheetId="4" hidden="1">'C1'!#REF!</definedName>
    <definedName name="Z_03225FD0_3AB5_444D_8328_986321AD1463_.wvu.FilterData" localSheetId="4" hidden="1">'C1'!#REF!</definedName>
    <definedName name="Z_037C9FFD_0AD8_44EB_A227_6577F951B5E5_.wvu.FilterData" localSheetId="4" hidden="1">'C1'!#REF!</definedName>
    <definedName name="Z_05B2FA7A_81E1_4CFB_845A_F67529567927_.wvu.FilterData" localSheetId="4" hidden="1">'C1'!#REF!</definedName>
    <definedName name="Z_086A1903_C79E_411E_B616_C40E7BADCA9C_.wvu.FilterData" localSheetId="4" hidden="1">'C1'!#REF!</definedName>
    <definedName name="Z_08C622D1_83DD_4021_910D_ED7B02AD62C9_.wvu.FilterData" localSheetId="4" hidden="1">'C1'!#REF!</definedName>
    <definedName name="Z_09401224_FD17_4820_BE86_97E78D15A0A3_.wvu.FilterData" localSheetId="4" hidden="1">'C1'!#REF!</definedName>
    <definedName name="Z_094A63D8_30D0_4E03_B268_C03A32057F4C_.wvu.FilterData" localSheetId="4" hidden="1">'C1'!#REF!</definedName>
    <definedName name="Z_09963D37_E389_43C6_95F5_85D1E7A75958_.wvu.FilterData" localSheetId="4" hidden="1">'C1'!#REF!</definedName>
    <definedName name="Z_09B4401B_86E6_4691_87A5_E0D90B33A3A5_.wvu.FilterData" localSheetId="4" hidden="1">'C1'!#REF!</definedName>
    <definedName name="Z_09E2F699_24E2_4401_87FF_4F868A4266AB_.wvu.FilterData" localSheetId="4" hidden="1">'C1'!#REF!</definedName>
    <definedName name="Z_0ADD114D_605E_4A7E_8F5C_C07B0722748E_.wvu.FilterData" localSheetId="4" hidden="1">'C1'!#REF!</definedName>
    <definedName name="Z_0AFC5BB9_4EE4_404C_A1C9_49E23A69F250_.wvu.FilterData" localSheetId="4" hidden="1">'C1'!#REF!</definedName>
    <definedName name="Z_0BF142F8_20B2_4FDD_9421_0096C5071F14_.wvu.Cols" localSheetId="4" hidden="1">'C1'!$B:$B</definedName>
    <definedName name="Z_0BF142F8_20B2_4FDD_9421_0096C5071F14_.wvu.FilterData" localSheetId="4" hidden="1">'C1'!#REF!</definedName>
    <definedName name="Z_0BF142F8_20B2_4FDD_9421_0096C5071F14_.wvu.Rows" localSheetId="4" hidden="1">'C1'!#REF!</definedName>
    <definedName name="Z_0CF7DEDB_BE13_4820_B40C_B7BC464CB727_.wvu.FilterData" localSheetId="4" hidden="1">'C1'!#REF!</definedName>
    <definedName name="Z_0DCE0FBB_1339_451D_8BB7_A6E5666CD91C_.wvu.Cols" localSheetId="4" hidden="1">'C1'!$B:$B</definedName>
    <definedName name="Z_0DCE0FBB_1339_451D_8BB7_A6E5666CD91C_.wvu.FilterData" localSheetId="4" hidden="1">'C1'!#REF!</definedName>
    <definedName name="Z_0DCE0FBB_1339_451D_8BB7_A6E5666CD91C_.wvu.Rows" localSheetId="4" hidden="1">'C1'!#REF!</definedName>
    <definedName name="Z_0F2B29F0_709F_425D_A551_9A3B5AD0FC00_.wvu.FilterData" localSheetId="4" hidden="1">'C1'!#REF!</definedName>
    <definedName name="Z_0F356D91_5C1C_48FD_A061_7CC046F63D8A_.wvu.FilterData" localSheetId="4" hidden="1">'C1'!#REF!</definedName>
    <definedName name="Z_1047123D_0CBC_4C71_B658_EFCCBFD2903A_.wvu.FilterData" localSheetId="4" hidden="1">'C1'!#REF!</definedName>
    <definedName name="Z_10ABBAF5_EED9_4D67_BFE7_F9D144D3FB1F_.wvu.FilterData" localSheetId="4" hidden="1">'C1'!#REF!</definedName>
    <definedName name="Z_10D4003F_4491_4FFD_B150_94D3B9EDB0FF_.wvu.FilterData" localSheetId="4" hidden="1">'C1'!#REF!</definedName>
    <definedName name="Z_116E223C_3B6C_4B0F_BBC5_A7A2A29F96E0_.wvu.FilterData" localSheetId="4" hidden="1">'C1'!#REF!</definedName>
    <definedName name="Z_133E1726_2B0A_4650_952E_040173B14422_.wvu.FilterData" localSheetId="4" hidden="1">'C1'!#REF!</definedName>
    <definedName name="Z_14387966_E803_47B6_B2B9_5D67B728CAAF_.wvu.FilterData" localSheetId="4" hidden="1">'C1'!#REF!</definedName>
    <definedName name="Z_148DCB6D_ACB8_4A01_BDBF_D60567D22FAF_.wvu.FilterData" localSheetId="4" hidden="1">'C1'!#REF!</definedName>
    <definedName name="Z_14E45381_6FE9_446A_92F5_BABC030E0A36_.wvu.FilterData" localSheetId="4" hidden="1">'C1'!#REF!</definedName>
    <definedName name="Z_1642DB7A_53FE_4EC1_912A_BE5A4E113790_.wvu.FilterData" localSheetId="4" hidden="1">'C1'!#REF!</definedName>
    <definedName name="Z_165C17EB_8B8C_4D69_B278_556DC03E978D_.wvu.FilterData" localSheetId="4" hidden="1">'C1'!#REF!</definedName>
    <definedName name="Z_16D6CA70_5DBC_47DF_85C0_B4519C00A5F6_.wvu.FilterData" localSheetId="4" hidden="1">'C1'!#REF!</definedName>
    <definedName name="Z_17A0DE5F_1FCB_41EB_867A_51B4B2396142_.wvu.FilterData" localSheetId="4" hidden="1">'C1'!#REF!</definedName>
    <definedName name="Z_17B89B89_6A68_45AA_A820_295C7C8F4A7F_.wvu.FilterData" localSheetId="4" hidden="1">'C1'!#REF!</definedName>
    <definedName name="Z_17DE4E5D_A602_468F_B7AD_C69EDC258175_.wvu.FilterData" localSheetId="4" hidden="1">'C1'!#REF!</definedName>
    <definedName name="Z_18307759_DF85_4F70_B1EE_28F99BA1F0D6_.wvu.FilterData" localSheetId="4" hidden="1">'C1'!#REF!</definedName>
    <definedName name="Z_18B0D93D_9A31_4B7B_B05C_4DFFAAC5D137_.wvu.FilterData" localSheetId="4" hidden="1">'C1'!#REF!</definedName>
    <definedName name="Z_18C8B708_280F_4993_A6AB_D7F0230D156A_.wvu.FilterData" localSheetId="4" hidden="1">'C1'!#REF!</definedName>
    <definedName name="Z_18EB6EE1_5DB1_4EB9_B1D8_87796A0116DF_.wvu.FilterData" localSheetId="4" hidden="1">'C1'!#REF!</definedName>
    <definedName name="Z_1900FD31_7EF7_4DDB_902D_24F8717CA2E4_.wvu.FilterData" localSheetId="4" hidden="1">'C1'!#REF!</definedName>
    <definedName name="Z_19281B63_FD4E_45B5_9E8A_F61A8CFD3889_.wvu.FilterData" localSheetId="4" hidden="1">'C1'!#REF!</definedName>
    <definedName name="Z_1951EB4C_8088_4EE3_81F6_A8B5264A87AB_.wvu.FilterData" localSheetId="4" hidden="1">'C1'!#REF!</definedName>
    <definedName name="Z_19F86C58_C446_4781_B4D5_A60E55F52360_.wvu.FilterData" localSheetId="4" hidden="1">'C1'!#REF!</definedName>
    <definedName name="Z_1B26CD1D_3106_454E_A3E2_46307ACC435C_.wvu.FilterData" localSheetId="4" hidden="1">'C1'!#REF!</definedName>
    <definedName name="Z_1B3EBF01_5512_4951_9ADB_1FC296FDBCCC_.wvu.FilterData" localSheetId="4" hidden="1">'C1'!#REF!</definedName>
    <definedName name="Z_1C18EC30_F7C5_4B11_B402_35D0FB0A3EAE_.wvu.FilterData" localSheetId="4" hidden="1">'C1'!#REF!</definedName>
    <definedName name="Z_1D985A72_554F_4F9D_9F6D_E90D5753EBD5_.wvu.FilterData" localSheetId="4" hidden="1">'C1'!#REF!</definedName>
    <definedName name="Z_1DD99400_35A8_4B60_90C9_0E548350BD4F_.wvu.FilterData" localSheetId="4" hidden="1">'C1'!#REF!</definedName>
    <definedName name="Z_1EF55C09_B4A5_4C74_9D3A_02322EE81B81_.wvu.FilterData" localSheetId="4" hidden="1">'C1'!#REF!</definedName>
    <definedName name="Z_1FFEAFAE_9397_4742_9BF3_06C7432C8124_.wvu.FilterData" localSheetId="4" hidden="1">'C1'!#REF!</definedName>
    <definedName name="Z_20390173_0C0A_4F01_83B4_97E7D78F4879_.wvu.FilterData" localSheetId="4" hidden="1">'C1'!#REF!</definedName>
    <definedName name="Z_236161AD_6C9D_488A_B979_E3B995E4CCD4_.wvu.FilterData" localSheetId="4" hidden="1">'C1'!#REF!</definedName>
    <definedName name="Z_23A40D6A_6004_4E4D_BAB1_64D0D4B66D79_.wvu.FilterData" localSheetId="4" hidden="1">'C1'!#REF!</definedName>
    <definedName name="Z_23DC0D87_E2DE_4FEB_840E_659878B40FE5_.wvu.FilterData" localSheetId="4" hidden="1">'C1'!#REF!</definedName>
    <definedName name="Z_2470ECA6_F1C8_4684_957A_68D2339CDB3B_.wvu.FilterData" localSheetId="4" hidden="1">'C1'!#REF!</definedName>
    <definedName name="Z_24E368C8_1DA9_4E96_8B36_590F2CCC82E2_.wvu.FilterData" localSheetId="4" hidden="1">'C1'!#REF!</definedName>
    <definedName name="Z_25426D2C_33C9_4370_8EBD_CF6B5C69D573_.wvu.FilterData" localSheetId="4" hidden="1">'C1'!#REF!</definedName>
    <definedName name="Z_25A8D20E_BDB7_4712_8E0F_8B207F3492C2_.wvu.FilterData" localSheetId="4" hidden="1">'C1'!$A$3:$BR$998</definedName>
    <definedName name="Z_27B8614E_8188_4511_BC1E_713DB2D9AF30_.wvu.FilterData" localSheetId="4" hidden="1">'C1'!#REF!</definedName>
    <definedName name="Z_28B4E0DB_5EFF_4B94_B6B5_952C9C8556C7_.wvu.FilterData" localSheetId="4" hidden="1">'C1'!#REF!</definedName>
    <definedName name="Z_28D72043_D30C_428A_BC6C_0886630CFA73_.wvu.FilterData" localSheetId="4" hidden="1">'C1'!#REF!</definedName>
    <definedName name="Z_28E06B05_C867_4173_B406_93858AE17D92_.wvu.FilterData" localSheetId="4" hidden="1">'C1'!#REF!</definedName>
    <definedName name="Z_28E4BBCB_CCC4_46F7_B144_FBAD85A5C6A9_.wvu.FilterData" localSheetId="4" hidden="1">'C1'!#REF!</definedName>
    <definedName name="Z_2A5D02E3_70C2_4B44_B185_F5220CBAE4E6_.wvu.FilterData" localSheetId="4" hidden="1">'C1'!#REF!</definedName>
    <definedName name="Z_2ACE2A6E_657D_48DA_B020_49B94B5457C7_.wvu.FilterData" localSheetId="4" hidden="1">'C1'!#REF!</definedName>
    <definedName name="Z_2B17511A_9C5C_4E9E_99B6_5633CF685103_.wvu.FilterData" localSheetId="4" hidden="1">'C1'!#REF!</definedName>
    <definedName name="Z_2B8CCD74_B91C_4082_BE19_98B2FF40C703_.wvu.FilterData" localSheetId="4" hidden="1">'C1'!#REF!</definedName>
    <definedName name="Z_2C07EE6B_C3E3_4281_8725_7276091A3720_.wvu.FilterData" localSheetId="4" hidden="1">'C1'!#REF!</definedName>
    <definedName name="Z_2C43AF87_B514_4858_B619_C5F47C495114_.wvu.FilterData" localSheetId="4" hidden="1">'C1'!#REF!</definedName>
    <definedName name="Z_2CBE21AE_9AC6_4E87_A5D5_F1500F85BC72_.wvu.FilterData" localSheetId="4" hidden="1">'C1'!$A$3:$BR$998</definedName>
    <definedName name="Z_2D092887_C693_4A65_BD35_323AACDCA473_.wvu.Cols" localSheetId="4" hidden="1">'C1'!$B:$B,'C1'!$J:$J</definedName>
    <definedName name="Z_2D092887_C693_4A65_BD35_323AACDCA473_.wvu.FilterData" localSheetId="4" hidden="1">'C1'!$A$3:$BZ$999</definedName>
    <definedName name="Z_2D092887_C693_4A65_BD35_323AACDCA473_.wvu.Rows" localSheetId="4" hidden="1">'C1'!#REF!</definedName>
    <definedName name="Z_2D783301_1EC6_4288_B75E_EA969DD10F4F_.wvu.FilterData" localSheetId="4" hidden="1">'C1'!#REF!</definedName>
    <definedName name="Z_2E3B1B46_ACF7_456C_ACA2_4505F7481876_.wvu.FilterData" localSheetId="4" hidden="1">'C1'!#REF!</definedName>
    <definedName name="Z_2E7C12A1_8F30_4D00_AD63_0F7FA9741359_.wvu.FilterData" localSheetId="4" hidden="1">'C1'!#REF!</definedName>
    <definedName name="Z_2EA31C7E_DDB6_4025_8B7B_5E7090980677_.wvu.FilterData" localSheetId="4" hidden="1">'C1'!#REF!</definedName>
    <definedName name="Z_2EA64390_6D7A_4C58_904C_CE34F064E62B_.wvu.FilterData" localSheetId="4" hidden="1">'C1'!#REF!</definedName>
    <definedName name="Z_2F4C17FF_926F_429E_9C36_4498769AF724_.wvu.FilterData" localSheetId="4" hidden="1">'C1'!#REF!</definedName>
    <definedName name="Z_2F5700B1_2241_435A_9390_093B699521FA_.wvu.FilterData" localSheetId="4" hidden="1">'C1'!#REF!</definedName>
    <definedName name="Z_2FB33DA7_D28C_42E1_B814_8D88E2C11983_.wvu.Cols" localSheetId="4" hidden="1">'C1'!$J:$J</definedName>
    <definedName name="Z_2FB33DA7_D28C_42E1_B814_8D88E2C11983_.wvu.FilterData" localSheetId="4" hidden="1">'C1'!#REF!</definedName>
    <definedName name="Z_3054C587_A089_42D5_9F52_B5152012AB3D_.wvu.FilterData" localSheetId="4" hidden="1">'C1'!#REF!</definedName>
    <definedName name="Z_31111191_41B1_41A1_9D11_0DC3F9545616_.wvu.FilterData" localSheetId="4" hidden="1">'C1'!#REF!</definedName>
    <definedName name="Z_318DA975_E4AB_4762_AC09_D42212B3C3DD_.wvu.FilterData" localSheetId="4" hidden="1">'C1'!#REF!</definedName>
    <definedName name="Z_31AF1358_314A_4CDC_9601_23C38BB270F8_.wvu.FilterData" localSheetId="4" hidden="1">'C1'!#REF!</definedName>
    <definedName name="Z_32006DB1_2F31_4E3C_B26A_296DECC231C0_.wvu.FilterData" localSheetId="4" hidden="1">'C1'!#REF!</definedName>
    <definedName name="Z_32E2C0B8_B27B_400B_9874_36B365097DD3_.wvu.FilterData" localSheetId="4" hidden="1">'C1'!#REF!</definedName>
    <definedName name="Z_35AD8206_4B0D_473F_A763_552B8596FD1F_.wvu.FilterData" localSheetId="4" hidden="1">'C1'!#REF!</definedName>
    <definedName name="Z_35B11729_0825_48EC_B52D_8E82D51F2384_.wvu.FilterData" localSheetId="4" hidden="1">'C1'!#REF!</definedName>
    <definedName name="Z_35D1F2BF_674A_4FAF_AEDA_BF0262F8F0F7_.wvu.FilterData" localSheetId="4" hidden="1">'C1'!#REF!</definedName>
    <definedName name="Z_381771EB_1B9A_4BD4_9CC4_9259B7417573_.wvu.FilterData" localSheetId="4" hidden="1">'C1'!#REF!</definedName>
    <definedName name="Z_38BDE77A_9832_440A_A34D_8B1BC17149B9_.wvu.FilterData" localSheetId="4" hidden="1">'C1'!#REF!</definedName>
    <definedName name="Z_39710919_DE80_47A5_9D12_304F7036A0E1_.wvu.FilterData" localSheetId="4" hidden="1">'C1'!#REF!</definedName>
    <definedName name="Z_3BB941D5_AD1B_4594_8362_11ED5F179F1D_.wvu.FilterData" localSheetId="4" hidden="1">'C1'!#REF!</definedName>
    <definedName name="Z_3C8A56AD_F4E8_4595_8705_C368A1F7AC5C_.wvu.FilterData" localSheetId="4" hidden="1">'C1'!#REF!</definedName>
    <definedName name="Z_3CB298FC_C435_4029_A614_BEEFF6A831C0_.wvu.FilterData" localSheetId="4" hidden="1">'C1'!#REF!</definedName>
    <definedName name="Z_3D541359_BFFD_484A_BE11_8AA74ED9C8B2_.wvu.FilterData" localSheetId="4" hidden="1">'C1'!#REF!</definedName>
    <definedName name="Z_3DAFF7F5_F20B_4A2F_81C1_B15E8A39E7CB_.wvu.FilterData" localSheetId="4" hidden="1">'C1'!#REF!</definedName>
    <definedName name="Z_3E8699EB_51EA_4215_A1E9_031FEA513F67_.wvu.FilterData" localSheetId="4" hidden="1">'C1'!#REF!</definedName>
    <definedName name="Z_3E99F5E8_1B1E_493C_8B88_A8D71E05E1B6_.wvu.FilterData" localSheetId="4" hidden="1">'C1'!#REF!</definedName>
    <definedName name="Z_3EA2A315_9E1F_4B40_AF6F_E6F64694DDB0_.wvu.FilterData" localSheetId="4" hidden="1">'C1'!#REF!</definedName>
    <definedName name="Z_3ED1DB8D_7BFB_44DE_B757_8DA439C4A131_.wvu.FilterData" localSheetId="4" hidden="1">'C1'!#REF!</definedName>
    <definedName name="Z_3FEB563C_B56B_4D87_A14A_E53A05AD7793_.wvu.FilterData" localSheetId="4" hidden="1">'C1'!#REF!</definedName>
    <definedName name="Z_3FF682F5_C03F_4415_A94F_BCA0BBD52CF1_.wvu.FilterData" localSheetId="4" hidden="1">'C1'!#REF!</definedName>
    <definedName name="Z_407790C8_1089_4D60_B27C_F607C3399E6B_.wvu.FilterData" localSheetId="4" hidden="1">'C1'!#REF!</definedName>
    <definedName name="Z_417BD89D_5486_46DF_A715_7E7AA749234A_.wvu.FilterData" localSheetId="4" hidden="1">'C1'!#REF!</definedName>
    <definedName name="Z_42C1A397_B737_4C1C_81D1_F661BDFAAF28_.wvu.FilterData" localSheetId="4" hidden="1">'C1'!#REF!</definedName>
    <definedName name="Z_44C0C199_D445_48D0_AE58_E5CA9C974024_.wvu.FilterData" localSheetId="4" hidden="1">'C1'!#REF!</definedName>
    <definedName name="Z_458E10E9_44C2_419B_B375_21FD8C998EC8_.wvu.FilterData" localSheetId="4" hidden="1">'C1'!#REF!</definedName>
    <definedName name="Z_459F36F7_F49F_40F2_9909_93842ADC1E13_.wvu.FilterData" localSheetId="4" hidden="1">'C1'!#REF!</definedName>
    <definedName name="Z_45A02607_395B_4DAF_B719_321DBDFE0FB3_.wvu.FilterData" localSheetId="4" hidden="1">'C1'!#REF!</definedName>
    <definedName name="Z_46085E24_3581_4E76_ACE9_E55D14D7CAD1_.wvu.FilterData" localSheetId="4" hidden="1">'C1'!#REF!</definedName>
    <definedName name="Z_4655A2CD_270C_4548_9F2D_697EEA8BB9FD_.wvu.FilterData" localSheetId="4" hidden="1">'C1'!#REF!</definedName>
    <definedName name="Z_467A15EC_C2DC_4AA6_B279_7E6D49BE9E4D_.wvu.FilterData" localSheetId="4" hidden="1">'C1'!#REF!</definedName>
    <definedName name="Z_46841050_31BC_4AC2_B42B_4D3081A82D19_.wvu.FilterData" localSheetId="4" hidden="1">'C1'!#REF!</definedName>
    <definedName name="Z_46D705A7_F84B_4851_BA1F_2E8E182A7575_.wvu.FilterData" localSheetId="4" hidden="1">'C1'!$A$3:$BR$998</definedName>
    <definedName name="Z_4729ACD3_18AC_4AED_A440_C87CB8C830B8_.wvu.FilterData" localSheetId="4" hidden="1">'C1'!#REF!</definedName>
    <definedName name="Z_475022CB_9732_4145_9C9C_39981B3E6BA0_.wvu.FilterData" localSheetId="4" hidden="1">'C1'!#REF!</definedName>
    <definedName name="Z_477D9B6E_8A5A_4D31_B7C4_9DFC0E1C06D0_.wvu.FilterData" localSheetId="4" hidden="1">'C1'!#REF!</definedName>
    <definedName name="Z_4789DD22_D3D0_4667_8EF0_25DA9BF8441A_.wvu.FilterData" localSheetId="4" hidden="1">'C1'!#REF!</definedName>
    <definedName name="Z_48D0AFE2_3478_4D83_B484_74D53E9E930D_.wvu.FilterData" localSheetId="4" hidden="1">'C1'!#REF!</definedName>
    <definedName name="Z_48E2E462_6FF7_4FDE_B39C_5E3BDF8EE23D_.wvu.FilterData" localSheetId="4" hidden="1">'C1'!#REF!</definedName>
    <definedName name="Z_49F7A41B_3364_4C94_B716_AFA7EF27CCE3_.wvu.FilterData" localSheetId="4" hidden="1">'C1'!#REF!</definedName>
    <definedName name="Z_4B3AE267_DE25_45CA_9C5F_017752EAB39C_.wvu.FilterData" localSheetId="4" hidden="1">'C1'!#REF!</definedName>
    <definedName name="Z_4BA036AB_84EF_4BF9_962E_659FEBBFF003_.wvu.Cols" localSheetId="4" hidden="1">'C1'!$J:$J</definedName>
    <definedName name="Z_4BA036AB_84EF_4BF9_962E_659FEBBFF003_.wvu.FilterData" localSheetId="4" hidden="1">'C1'!$A$3:$BR$998</definedName>
    <definedName name="Z_4BA036AB_84EF_4BF9_962E_659FEBBFF003_.wvu.Rows" localSheetId="4" hidden="1">'C1'!#REF!</definedName>
    <definedName name="Z_4D05CCEC_DD31_45A7_B9BE_5E8820EDE088_.wvu.FilterData" localSheetId="4" hidden="1">'C1'!#REF!</definedName>
    <definedName name="Z_4DB801CA_D1CB_400F_A5A8_29B40DAF2981_.wvu.FilterData" localSheetId="4" hidden="1">'C1'!#REF!</definedName>
    <definedName name="Z_4DC70D90_20A3_445B_B29E_257029468E1C_.wvu.FilterData" localSheetId="4" hidden="1">'C1'!#REF!</definedName>
    <definedName name="Z_4FD1BA26_577F_488D_BE69_320A347FA655_.wvu.FilterData" localSheetId="4" hidden="1">'C1'!#REF!</definedName>
    <definedName name="Z_4FDD9D82_1CED_4FB8_8C17_0388F25783D1_.wvu.FilterData" localSheetId="4" hidden="1">'C1'!#REF!</definedName>
    <definedName name="Z_5129A4B7_5E7B_422E_82C9_F7FB11BCDACA_.wvu.FilterData" localSheetId="4" hidden="1">'C1'!#REF!</definedName>
    <definedName name="Z_52F84E4E_3694_445A_8623_6676A9689156_.wvu.FilterData" localSheetId="4" hidden="1">'C1'!#REF!</definedName>
    <definedName name="Z_532CE794_A09A_4810_9565_9661CE1C16E8_.wvu.FilterData" localSheetId="4" hidden="1">'C1'!#REF!</definedName>
    <definedName name="Z_535E4CA5_687F_4F20_A4EB_400A604B694F_.wvu.FilterData" localSheetId="4" hidden="1">'C1'!#REF!</definedName>
    <definedName name="Z_542E970B_A8BC_4125_A2CC_C0280F494C8E_.wvu.FilterData" localSheetId="4" hidden="1">'C1'!#REF!</definedName>
    <definedName name="Z_5495B615_E861_4CBB_8C55_20C87C7C3ECD_.wvu.FilterData" localSheetId="4" hidden="1">'C1'!#REF!</definedName>
    <definedName name="Z_5558330E_9A4F_4795_940B_A9E17ABD3B9B_.wvu.FilterData" localSheetId="4" hidden="1">'C1'!#REF!</definedName>
    <definedName name="Z_563F89A3_23E4_4CBE_B818_7A1B1F7BDDA5_.wvu.FilterData" localSheetId="4" hidden="1">'C1'!$A$3:$BR$998</definedName>
    <definedName name="Z_5682845A_2CAB_4A2C_8BD5_595C0E900ABD_.wvu.FilterData" localSheetId="4" hidden="1">'C1'!#REF!</definedName>
    <definedName name="Z_58479B69_398B_4D11_AB00_865C5BF5E661_.wvu.FilterData" localSheetId="4" hidden="1">'C1'!#REF!</definedName>
    <definedName name="Z_595FE123_0F38_4975_87F1_636994FE4D35_.wvu.FilterData" localSheetId="4" hidden="1">'C1'!#REF!</definedName>
    <definedName name="Z_5ABBB6A7_2B1D_4D24_A508_FCC2B70F641A_.wvu.FilterData" localSheetId="4" hidden="1">'C1'!#REF!</definedName>
    <definedName name="Z_5AC94969_3795_4912_8450_99EC6A574B2D_.wvu.FilterData" localSheetId="4" hidden="1">'C1'!$A$3:$BR$998</definedName>
    <definedName name="Z_5C598E74_4E28_4313_BEC8_7AE903131792_.wvu.FilterData" localSheetId="4" hidden="1">'C1'!#REF!</definedName>
    <definedName name="Z_5C6E5BE1_93DB_4A6D_85B8_36CF94DCB0C1_.wvu.FilterData" localSheetId="4" hidden="1">'C1'!#REF!</definedName>
    <definedName name="Z_5CD02DF3_89E0_45D0_A1F5_3BF018DE3281_.wvu.FilterData" localSheetId="4" hidden="1">'C1'!#REF!</definedName>
    <definedName name="Z_5CE0C77A_299A_4ED4_BBFD_7741BE4284E9_.wvu.FilterData" localSheetId="4" hidden="1">'C1'!#REF!</definedName>
    <definedName name="Z_5D253491_D253_494F_BCF3_C4689DAE9819_.wvu.FilterData" localSheetId="4" hidden="1">'C1'!#REF!</definedName>
    <definedName name="Z_5DA6583B_CABD_4619_91BD_7F9EBBB09C60_.wvu.FilterData" localSheetId="4" hidden="1">'C1'!#REF!</definedName>
    <definedName name="Z_5DA7E702_EBAD_451E_885C_FF69AF778BC1_.wvu.FilterData" localSheetId="4" hidden="1">'C1'!#REF!</definedName>
    <definedName name="Z_5DD5D01A_F5E8_4092_BAF4_D6391C54D823_.wvu.FilterData" localSheetId="4" hidden="1">'C1'!#REF!</definedName>
    <definedName name="Z_5E09F313_CFF9_4624_A7B1_4521579F2047_.wvu.FilterData" localSheetId="4" hidden="1">'C1'!#REF!</definedName>
    <definedName name="Z_5E1048F0_B431_410E_8582_25131CE7DFF7_.wvu.FilterData" localSheetId="4" hidden="1">'C1'!#REF!</definedName>
    <definedName name="Z_5EE65265_9245_4F3D_BD92_08774B18B421_.wvu.FilterData" localSheetId="4" hidden="1">'C1'!#REF!</definedName>
    <definedName name="Z_5FE5BAD2_0952_4E98_881F_546298B6E60D_.wvu.FilterData" localSheetId="4" hidden="1">'C1'!#REF!</definedName>
    <definedName name="Z_5FF3E9BE_8D91_47D3_9BF2_BE0C02449C21_.wvu.FilterData" localSheetId="4" hidden="1">'C1'!#REF!</definedName>
    <definedName name="Z_62060B28_EE57_45E4_B61F_411732E71E89_.wvu.FilterData" localSheetId="4" hidden="1">'C1'!#REF!</definedName>
    <definedName name="Z_628E16CE_2098_49D9_A980_3D74524D6E9A_.wvu.FilterData" localSheetId="4" hidden="1">'C1'!#REF!</definedName>
    <definedName name="Z_62C23509_BC9A_4BAB_A161_9615FEE173BE_.wvu.FilterData" localSheetId="4" hidden="1">'C1'!#REF!</definedName>
    <definedName name="Z_62C37ADF_F28D_4EFF_A5EA_40F04A8FBC62_.wvu.FilterData" localSheetId="4" hidden="1">'C1'!#REF!</definedName>
    <definedName name="Z_62CAF452_6DCE_4000_8BC8_1CAF09E63350_.wvu.FilterData" localSheetId="4" hidden="1">'C1'!#REF!</definedName>
    <definedName name="Z_643987C3_F418_41FC_9395_33AF58A1CE32_.wvu.FilterData" localSheetId="4" hidden="1">'C1'!$A$3:$BR$998</definedName>
    <definedName name="Z_64812E2D_1B62_4A08_A3D9_C194906D3382_.wvu.FilterData" localSheetId="4" hidden="1">'C1'!#REF!</definedName>
    <definedName name="Z_658FD049_26AA_4665_92F5_8A088E40EB5F_.wvu.FilterData" localSheetId="4" hidden="1">'C1'!#REF!</definedName>
    <definedName name="Z_6625A741_9623_4B48_97BA_B623DFCDA3BE_.wvu.FilterData" localSheetId="4" hidden="1">'C1'!#REF!</definedName>
    <definedName name="Z_6671124C_CE8A_4F1D_A390_3FA278BCCFB1_.wvu.FilterData" localSheetId="4" hidden="1">'C1'!#REF!</definedName>
    <definedName name="Z_66A32306_27B8_4712_90C9_98CBD39255B8_.wvu.Cols" localSheetId="4" hidden="1">'C1'!$B:$B,'C1'!$J:$J,'C1'!$W:$BB,'C1'!$BE:$CB</definedName>
    <definedName name="Z_66A32306_27B8_4712_90C9_98CBD39255B8_.wvu.FilterData" localSheetId="4" hidden="1">'C1'!#REF!</definedName>
    <definedName name="Z_66A32306_27B8_4712_90C9_98CBD39255B8_.wvu.Rows" localSheetId="4" hidden="1">'C1'!#REF!</definedName>
    <definedName name="Z_66A97EB3_1BA7_4684_BF8C_8539C8589520_.wvu.FilterData" localSheetId="4" hidden="1">'C1'!#REF!</definedName>
    <definedName name="Z_685D5574_5826_4CC1_972D_325C2675CC9D_.wvu.FilterData" localSheetId="4" hidden="1">'C1'!#REF!</definedName>
    <definedName name="Z_68E1B8F8_4C17_47BC_987A_EB5EE1C53A42_.wvu.FilterData" localSheetId="4" hidden="1">'C1'!#REF!</definedName>
    <definedName name="Z_69676C03_F7E7_40CA_878E_EA8D49220CC7_.wvu.FilterData" localSheetId="4" hidden="1">'C1'!#REF!</definedName>
    <definedName name="Z_6A72251F_3566_4016_B9A9_4D60F25C31EE_.wvu.FilterData" localSheetId="4" hidden="1">'C1'!#REF!</definedName>
    <definedName name="Z_6AB315C4_4CD5_462E_B1F0_C2E491A6537C_.wvu.Cols" localSheetId="4" hidden="1">'C1'!$B:$B</definedName>
    <definedName name="Z_6AB315C4_4CD5_462E_B1F0_C2E491A6537C_.wvu.FilterData" localSheetId="4" hidden="1">'C1'!#REF!</definedName>
    <definedName name="Z_6C800CC2_2E83_48F6_817B_E9F5B82CB2C4_.wvu.FilterData" localSheetId="4" hidden="1">'C1'!#REF!</definedName>
    <definedName name="Z_6DCCF52C_1705_4452_AFBB_2A2AAF3CB532_.wvu.FilterData" localSheetId="4" hidden="1">'C1'!#REF!</definedName>
    <definedName name="Z_6F1A6D55_D761_4A3F_B4FE_CF717DFF1A2C_.wvu.FilterData" localSheetId="4" hidden="1">'C1'!#REF!</definedName>
    <definedName name="Z_6F23C1B6_17A2_4AAA_B846_AD25F6965785_.wvu.FilterData" localSheetId="4" hidden="1">'C1'!#REF!</definedName>
    <definedName name="Z_703B26EA_4008_4B62_9795_BF49F6F3C383_.wvu.FilterData" localSheetId="4" hidden="1">'C1'!#REF!</definedName>
    <definedName name="Z_70BE7A9A_45FB_4C84_8057_0A2F6396EC2F_.wvu.FilterData" localSheetId="4" hidden="1">'C1'!#REF!</definedName>
    <definedName name="Z_70F8C606_629D_4671_9637_1E826FB17A1E_.wvu.FilterData" localSheetId="4" hidden="1">'C1'!#REF!</definedName>
    <definedName name="Z_711B2465_63C3_43CB_A55C_C61B6DED9133_.wvu.FilterData" localSheetId="4" hidden="1">'C1'!#REF!</definedName>
    <definedName name="Z_721F4051_AF07_4279_854F_6208C3DCC800_.wvu.FilterData" localSheetId="4" hidden="1">'C1'!#REF!</definedName>
    <definedName name="Z_73725EE0_885B_4BE3_9F51_50CAF9463DB3_.wvu.FilterData" localSheetId="4" hidden="1">'C1'!#REF!</definedName>
    <definedName name="Z_73FA0119_1DED_44DB_A772_8A7D51DF69B5_.wvu.FilterData" localSheetId="4" hidden="1">'C1'!#REF!</definedName>
    <definedName name="Z_742F06CE_02C3_4690_B557_968EE9B67184_.wvu.FilterData" localSheetId="4" hidden="1">'C1'!#REF!</definedName>
    <definedName name="Z_743FE189_32EE_436D_9FB9_8659DFA75DF6_.wvu.FilterData" localSheetId="4" hidden="1">'C1'!#REF!</definedName>
    <definedName name="Z_75DACFE8_05E1_49A3_8CE0_355425899C4B_.wvu.FilterData" localSheetId="4" hidden="1">'C1'!#REF!</definedName>
    <definedName name="Z_7671E651_EBAD_41CB_B5A6_9DD1BE5C230B_.wvu.FilterData" localSheetId="4" hidden="1">'C1'!#REF!</definedName>
    <definedName name="Z_76DD3B5C_BA2D_49E5_B6DD_E78D17296E46_.wvu.FilterData" localSheetId="4" hidden="1">'C1'!#REF!</definedName>
    <definedName name="Z_76EB049A_AAD4_422F_93D8_6CC87DF2FD54_.wvu.FilterData" localSheetId="4" hidden="1">'C1'!#REF!</definedName>
    <definedName name="Z_784623B8_E31D_41DA_9953_CA4660C39EAE_.wvu.FilterData" localSheetId="4" hidden="1">'C1'!#REF!</definedName>
    <definedName name="Z_788FD86C_F1A0_4E47_8E64_7FC16D5775D9_.wvu.FilterData" localSheetId="4" hidden="1">'C1'!#REF!</definedName>
    <definedName name="Z_79D018A4_08BE_4564_B8FA_B02DAF2DD8BE_.wvu.FilterData" localSheetId="4" hidden="1">'C1'!#REF!</definedName>
    <definedName name="Z_7A8F3D51_8DE6_4318_8AFC_FB7BD0FE0F51_.wvu.FilterData" localSheetId="4" hidden="1">'C1'!#REF!</definedName>
    <definedName name="Z_7A90C110_66CD_4DE3_BF74_ACCD845F825B_.wvu.FilterData" localSheetId="4" hidden="1">'C1'!#REF!</definedName>
    <definedName name="Z_7A9D96D8_DEE0_4757_ACEF_25A7A396E757_.wvu.FilterData" localSheetId="4" hidden="1">'C1'!#REF!</definedName>
    <definedName name="Z_7B694214_8314_41EC_AE58_BD05D0F5700C_.wvu.FilterData" localSheetId="4" hidden="1">'C1'!#REF!</definedName>
    <definedName name="Z_7C937693_2327_4639_BA5A_CC99A4FCE340_.wvu.FilterData" localSheetId="4" hidden="1">'C1'!#REF!</definedName>
    <definedName name="Z_7E19CAF7_8DCF_43EE_9BEC_50C26F26F63E_.wvu.FilterData" localSheetId="4" hidden="1">'C1'!$A$3:$BR$998</definedName>
    <definedName name="Z_7EB28F27_1545_4435_BC7A_6CBB51FAB654_.wvu.FilterData" localSheetId="4" hidden="1">'C1'!#REF!</definedName>
    <definedName name="Z_7F1CE764_218F_4D70_A2BC_0AFFF5C19B6E_.wvu.FilterData" localSheetId="4" hidden="1">'C1'!#REF!</definedName>
    <definedName name="Z_7F4A323A_72A9_46BF_ABAD_E33F84B2A39A_.wvu.FilterData" localSheetId="4" hidden="1">'C1'!#REF!</definedName>
    <definedName name="Z_8078264B_C665_4F6A_8739_5AAB81A15519_.wvu.FilterData" localSheetId="4" hidden="1">'C1'!#REF!</definedName>
    <definedName name="Z_809952B0_E3ED_4039_9BDB_B7E72670B3DE_.wvu.FilterData" localSheetId="4" hidden="1">'C1'!#REF!</definedName>
    <definedName name="Z_80C8447E_368F_4EBD_941A_B534D69D4262_.wvu.FilterData" localSheetId="4" hidden="1">'C1'!#REF!</definedName>
    <definedName name="Z_814E17BB_12FF_42CC_AF7E_54567FED0A1E_.wvu.FilterData" localSheetId="4" hidden="1">'C1'!#REF!</definedName>
    <definedName name="Z_8198C6FB_A4E6_4243_9558_FF1002663B4A_.wvu.FilterData" localSheetId="4" hidden="1">'C1'!#REF!</definedName>
    <definedName name="Z_81AEA0B5_AB19_4F4B_BBA1_7BD4882C21BE_.wvu.FilterData" localSheetId="4" hidden="1">'C1'!#REF!</definedName>
    <definedName name="Z_81FE3E14_3251_4350_B20F_B4D3F40D0812_.wvu.FilterData" localSheetId="4" hidden="1">'C1'!#REF!</definedName>
    <definedName name="Z_8215A2AC_A7BC_4592_BFAC_61CB9D36F544_.wvu.FilterData" localSheetId="4" hidden="1">'C1'!#REF!</definedName>
    <definedName name="Z_8277AE15_7A09_407C_9A8C_83D753B1B2DF_.wvu.FilterData" localSheetId="4" hidden="1">'C1'!#REF!</definedName>
    <definedName name="Z_82F88EF4_C93F_4C67_94F4_C141BDA00CF9_.wvu.FilterData" localSheetId="4" hidden="1">'C1'!#REF!</definedName>
    <definedName name="Z_83360DF7_DCA7_4E32_BA69_2B654E9C7BDB_.wvu.FilterData" localSheetId="4" hidden="1">'C1'!#REF!</definedName>
    <definedName name="Z_83B8109D_12EC_41E9_BCBA_23B2831021CC_.wvu.FilterData" localSheetId="4" hidden="1">'C1'!#REF!</definedName>
    <definedName name="Z_845B34EC_FABF_4DB8_8C95_F4349650F121_.wvu.FilterData" localSheetId="4" hidden="1">'C1'!#REF!</definedName>
    <definedName name="Z_84CAEFB8_7094_4863_8657_92DB045BA554_.wvu.FilterData" localSheetId="4" hidden="1">'C1'!#REF!</definedName>
    <definedName name="Z_84E836B1_02A6_4BC1_A098_C0CC2D5E6AC1_.wvu.FilterData" localSheetId="4" hidden="1">'C1'!#REF!</definedName>
    <definedName name="Z_85203246_649F_4762_954D_B5097BE5AB3D_.wvu.FilterData" localSheetId="4" hidden="1">'C1'!#REF!</definedName>
    <definedName name="Z_86418C30_B3C8_44D6_A9BC_1D67771DBA97_.wvu.FilterData" localSheetId="4" hidden="1">'C1'!#REF!</definedName>
    <definedName name="Z_8761B5F9_83C3_4377_B932_AC71F82612D7_.wvu.FilterData" localSheetId="4" hidden="1">'C1'!#REF!</definedName>
    <definedName name="Z_8828EFC3_16DD_4F29_A860_862DDDB19EA5_.wvu.FilterData" localSheetId="4" hidden="1">'C1'!#REF!</definedName>
    <definedName name="Z_88F1E72E_1DE7_4C98_B9F5_A1D93E8E6BA1_.wvu.FilterData" localSheetId="4" hidden="1">'C1'!#REF!</definedName>
    <definedName name="Z_8974473F_33E1_4020_A734_728EEA7FEE49_.wvu.FilterData" localSheetId="4" hidden="1">'C1'!#REF!</definedName>
    <definedName name="Z_89B70104_03D5_4799_B8D5_A1A949044DA6_.wvu.FilterData" localSheetId="4" hidden="1">'C1'!#REF!</definedName>
    <definedName name="Z_8A2137E2_0956_4060_8E67_990F39E4CFE7_.wvu.FilterData" localSheetId="4" hidden="1">'C1'!#REF!</definedName>
    <definedName name="Z_8C7695E4_1AE3_41A8_9858_35FB0B171538_.wvu.FilterData" localSheetId="4" hidden="1">'C1'!#REF!</definedName>
    <definedName name="Z_8CB95388_BB30_4D2F_88CB_69873E9793DC_.wvu.FilterData" localSheetId="4" hidden="1">'C1'!$A$3:$BR$998</definedName>
    <definedName name="Z_8CC80D32_5A1B_4B92_BD62_499DDDE99ADE_.wvu.FilterData" localSheetId="4" hidden="1">'C1'!#REF!</definedName>
    <definedName name="Z_8D343894_3D30_4AD2_BE03_07DEE6617A7F_.wvu.FilterData" localSheetId="4" hidden="1">'C1'!#REF!</definedName>
    <definedName name="Z_8DE6B02F_AFAC_4497_A057_4E0122F3AF47_.wvu.FilterData" localSheetId="4" hidden="1">'C1'!#REF!</definedName>
    <definedName name="Z_8DF68283_BB7D_42DE_8D18_284071AC2F33_.wvu.FilterData" localSheetId="4" hidden="1">'C1'!#REF!</definedName>
    <definedName name="Z_8E31087E_0C9D_4510_A5AC_161D15688445_.wvu.FilterData" localSheetId="4" hidden="1">'C1'!#REF!</definedName>
    <definedName name="Z_8E4E27A8_0F48_4770_A38F_76225756AF74_.wvu.FilterData" localSheetId="4" hidden="1">'C1'!#REF!</definedName>
    <definedName name="Z_8F0737CA_584F_47EC_B837_9F8EC83F80FF_.wvu.FilterData" localSheetId="4" hidden="1">'C1'!#REF!</definedName>
    <definedName name="Z_8FDE34A2_E5EF_4597_8AC7_FA6DF1A0D324_.wvu.FilterData" localSheetId="4" hidden="1">'C1'!#REF!</definedName>
    <definedName name="Z_908DF27C_5C69_4EE6_8944_5E9247CDA710_.wvu.FilterData" localSheetId="4" hidden="1">'C1'!#REF!</definedName>
    <definedName name="Z_91630415_0F27_4571_9A27_E3552B848386_.wvu.FilterData" localSheetId="4" hidden="1">'C1'!#REF!</definedName>
    <definedName name="Z_91AC8064_F866_4745_908D_0627F0F1EDB1_.wvu.FilterData" localSheetId="4" hidden="1">'C1'!#REF!</definedName>
    <definedName name="Z_923B469D_CE30_441B_BC8B_D20E50C1BFE3_.wvu.FilterData" localSheetId="4" hidden="1">'C1'!#REF!</definedName>
    <definedName name="Z_930C7001_059E_40CF_BD1B_B80F18304FB8_.wvu.FilterData" localSheetId="4" hidden="1">'C1'!#REF!</definedName>
    <definedName name="Z_936A03FD_8A92_4E57_B6B7_2C38D5445F2D_.wvu.FilterData" localSheetId="4" hidden="1">'C1'!#REF!</definedName>
    <definedName name="Z_937736EB_06EE_49D0_A7F1_0EAA61B0C9A8_.wvu.FilterData" localSheetId="4" hidden="1">'C1'!#REF!</definedName>
    <definedName name="Z_937F5AB2_CBE7_4054_AEA1_9A86E202F2E2_.wvu.FilterData" localSheetId="4" hidden="1">'C1'!#REF!</definedName>
    <definedName name="Z_938F71A3_76FF_460D_A19C_EA93E23F148E_.wvu.FilterData" localSheetId="4" hidden="1">'C1'!#REF!</definedName>
    <definedName name="Z_947B39C8_E487_4F60_9541_3AC20CDF6E00_.wvu.FilterData" localSheetId="4" hidden="1">'C1'!#REF!</definedName>
    <definedName name="Z_9482E8BB_192F_4731_85D1_FF83297B096D_.wvu.FilterData" localSheetId="4" hidden="1">'C1'!#REF!</definedName>
    <definedName name="Z_955364F0_352E_471D_927B_F2E4527FE442_.wvu.FilterData" localSheetId="4" hidden="1">'C1'!#REF!</definedName>
    <definedName name="Z_95E96D5C_E4BD_4C58_9C4C_6FC36AE5D6AB_.wvu.FilterData" localSheetId="4" hidden="1">'C1'!#REF!</definedName>
    <definedName name="Z_95F21327_EEF8_4B11_BF6B_3C665DC35963_.wvu.FilterData" localSheetId="4" hidden="1">'C1'!#REF!</definedName>
    <definedName name="Z_95F3105B_6679_464F_9A97_C124A3A4E764_.wvu.FilterData" localSheetId="4" hidden="1">'C1'!#REF!</definedName>
    <definedName name="Z_96908723_0D48_4A52_AE98_393411D1265A_.wvu.Cols" localSheetId="4" hidden="1">'C1'!$A:$B,'C1'!$N:$N,'C1'!$Q:$T,'C1'!$X:$AF</definedName>
    <definedName name="Z_96908723_0D48_4A52_AE98_393411D1265A_.wvu.FilterData" localSheetId="4" hidden="1">'C1'!#REF!</definedName>
    <definedName name="Z_96908723_0D48_4A52_AE98_393411D1265A_.wvu.Rows" localSheetId="4" hidden="1">'C1'!#REF!</definedName>
    <definedName name="Z_976BB092_741B_4EC7_9462_E58FB858E0CD_.wvu.FilterData" localSheetId="4" hidden="1">'C1'!#REF!</definedName>
    <definedName name="Z_97D8A6D8_B1A7_4477_AE36_AB7EE061C487_.wvu.FilterData" localSheetId="4" hidden="1">'C1'!#REF!</definedName>
    <definedName name="Z_97EB1D55_B860_4C2B_AE8F_4324C70AB245_.wvu.FilterData" localSheetId="4" hidden="1">'C1'!#REF!</definedName>
    <definedName name="Z_97FD293E_B412_481C_B241_C4473139099D_.wvu.FilterData" localSheetId="4" hidden="1">'C1'!#REF!</definedName>
    <definedName name="Z_98013672_9D6B_4304_9E87_AF4DB47CF8FF_.wvu.FilterData" localSheetId="4" hidden="1">'C1'!#REF!</definedName>
    <definedName name="Z_99B8CB56_F259_4BEA_800D_9118E267F792_.wvu.FilterData" localSheetId="4" hidden="1">'C1'!#REF!</definedName>
    <definedName name="Z_9B4B0D0B_5F23_46E4_9BB4_31FF9B5F9A7B_.wvu.FilterData" localSheetId="4" hidden="1">'C1'!#REF!</definedName>
    <definedName name="Z_9BAF4769_838A_4DD5_861F_A7A66FBF3EEE_.wvu.FilterData" localSheetId="4" hidden="1">'C1'!#REF!</definedName>
    <definedName name="Z_9C80F302_F467_4B4E_9465_8A5EE07D7985_.wvu.FilterData" localSheetId="4" hidden="1">'C1'!#REF!</definedName>
    <definedName name="Z_9CCFF1D2_ED82_4371_93F1_AFAEF1134B4F_.wvu.FilterData" localSheetId="4" hidden="1">'C1'!#REF!</definedName>
    <definedName name="Z_9D4A05A5_CD99_458A_9709_1FFE8EB60C52_.wvu.FilterData" localSheetId="4" hidden="1">'C1'!#REF!</definedName>
    <definedName name="Z_9D9E1D3A_78F8_47BB_8113_9BBFF4AA728D_.wvu.FilterData" localSheetId="4" hidden="1">'C1'!#REF!</definedName>
    <definedName name="Z_9FD52EB6_590E_4506_A9FE_F1638C067917_.wvu.FilterData" localSheetId="4" hidden="1">'C1'!#REF!</definedName>
    <definedName name="Z_A0675454_FAE2_4E5B_9419_28C85036F32E_.wvu.FilterData" localSheetId="4" hidden="1">'C1'!#REF!</definedName>
    <definedName name="Z_A0B1CA7E_C6A9_4E95_86B3_A99EC6DCF27B_.wvu.FilterData" localSheetId="4" hidden="1">'C1'!#REF!</definedName>
    <definedName name="Z_A1273248_35F3_4944_A931_E5A0710E086B_.wvu.FilterData" localSheetId="4" hidden="1">'C1'!$A$3:$BR$998</definedName>
    <definedName name="Z_A1EBF8F8_8F76_42AA_9BBE_8C79E1163A6E_.wvu.FilterData" localSheetId="4" hidden="1">'C1'!#REF!</definedName>
    <definedName name="Z_A2E33216_BF4C_4FAD_86EE_46570879F628_.wvu.FilterData" localSheetId="4" hidden="1">'C1'!#REF!</definedName>
    <definedName name="Z_A353003A_8A98_41F8_AAF8_7F91DFF93948_.wvu.FilterData" localSheetId="4" hidden="1">'C1'!#REF!</definedName>
    <definedName name="Z_A3C73547_24CC_439E_B004_DF8DE1A9EF7D_.wvu.FilterData" localSheetId="4" hidden="1">'C1'!#REF!</definedName>
    <definedName name="Z_A3F3840C_6B83_496D_83CD_CC62B7166CB1_.wvu.FilterData" localSheetId="4" hidden="1">'C1'!#REF!</definedName>
    <definedName name="Z_A4EEDC8A_1A8E_4141_A7B0_A1433A05112A_.wvu.FilterData" localSheetId="4" hidden="1">'C1'!#REF!</definedName>
    <definedName name="Z_A4FC913E_D759_4C34_AFFF_DBD581C90A31_.wvu.FilterData" localSheetId="4" hidden="1">'C1'!#REF!</definedName>
    <definedName name="Z_A5CB3DB0_488F_44FA_8349_5BEAD1C0DD26_.wvu.FilterData" localSheetId="4" hidden="1">'C1'!#REF!</definedName>
    <definedName name="Z_A619415A_0F65_4FD6_8AAB_C8CCD2EC5553_.wvu.FilterData" localSheetId="4" hidden="1">'C1'!#REF!</definedName>
    <definedName name="Z_A6515F26_5ADB_42E1_A117_5D9EDE113C92_.wvu.FilterData" localSheetId="4" hidden="1">'C1'!#REF!</definedName>
    <definedName name="Z_A662709B_FB40_4FF4_AAE4_1C8827CB3366_.wvu.FilterData" localSheetId="4" hidden="1">'C1'!#REF!</definedName>
    <definedName name="Z_A759A2C7_EB73_4E48_94AA_70CC2CB4F285_.wvu.FilterData" localSheetId="4" hidden="1">'C1'!#REF!</definedName>
    <definedName name="Z_A7EE6EFB_DE80_46BE_B133_14A9AA15F1C6_.wvu.FilterData" localSheetId="4" hidden="1">'C1'!#REF!</definedName>
    <definedName name="Z_A7FD3489_6C1B_4200_B5FB_AB3C232A376B_.wvu.FilterData" localSheetId="4" hidden="1">'C1'!#REF!</definedName>
    <definedName name="Z_A8589D2B_471D_41F5_862F_55487EC32227_.wvu.FilterData" localSheetId="4" hidden="1">'C1'!#REF!</definedName>
    <definedName name="Z_A911566E_2D54_4801_AAEC_885C0F9CB5CA_.wvu.FilterData" localSheetId="4" hidden="1">'C1'!#REF!</definedName>
    <definedName name="Z_A9FD3A64_71A9_4DEC_A15A_19C428120629_.wvu.FilterData" localSheetId="4" hidden="1">'C1'!#REF!</definedName>
    <definedName name="Z_AAAC30CB_2A3F_4716_B3A5_C6C7B5141A7B_.wvu.FilterData" localSheetId="4" hidden="1">'C1'!#REF!</definedName>
    <definedName name="Z_AACBEEE1_5B68_4704_901E_42826353FCD2_.wvu.FilterData" localSheetId="4" hidden="1">'C1'!#REF!</definedName>
    <definedName name="Z_AAFC29E7_B1D6_470A_B97A_17A8C3248E92_.wvu.FilterData" localSheetId="4" hidden="1">'C1'!#REF!</definedName>
    <definedName name="Z_ABC1D860_1449_4737_8679_466910764311_.wvu.FilterData" localSheetId="4" hidden="1">'C1'!#REF!</definedName>
    <definedName name="Z_AC0D45E5_83FF_4936_AC24_F773C73BA6E7_.wvu.FilterData" localSheetId="4" hidden="1">'C1'!$A$3:$BR$998</definedName>
    <definedName name="Z_AC4DCB3C_A055_4E14_B030_27DAB3C83667_.wvu.FilterData" localSheetId="4" hidden="1">'C1'!#REF!</definedName>
    <definedName name="Z_AC68A286_DD77_4D57_84CD_87183375D557_.wvu.FilterData" localSheetId="4" hidden="1">'C1'!#REF!</definedName>
    <definedName name="Z_AD11B923_6846_4D24_9FDC_103C1C8BD91F_.wvu.FilterData" localSheetId="4" hidden="1">'C1'!#REF!</definedName>
    <definedName name="Z_AD2E27A9_30AB_43BA_937B_237F6EEF5296_.wvu.FilterData" localSheetId="4" hidden="1">'C1'!#REF!</definedName>
    <definedName name="Z_AE000F8E_4759_4BBD_A2D4_E959DAEECACB_.wvu.FilterData" localSheetId="4" hidden="1">'C1'!#REF!</definedName>
    <definedName name="Z_AE675486_4CCA_4D10_9A6F_9371842131EE_.wvu.FilterData" localSheetId="4" hidden="1">'C1'!#REF!</definedName>
    <definedName name="Z_AECD30EB_4BAF_4E14_B5EB_80D6C7D40713_.wvu.FilterData" localSheetId="4" hidden="1">'C1'!#REF!</definedName>
    <definedName name="Z_AF252D54_35C5_497B_9049_873C009760D2_.wvu.FilterData" localSheetId="4" hidden="1">'C1'!#REF!</definedName>
    <definedName name="Z_AF70D02F_0E44_4A55_BBD0_FE7FB03DEEA0_.wvu.FilterData" localSheetId="4" hidden="1">'C1'!#REF!</definedName>
    <definedName name="Z_AFF01464_922D_46D4_AB3D_B1E1364FC01F_.wvu.FilterData" localSheetId="4" hidden="1">'C1'!#REF!</definedName>
    <definedName name="Z_B0BAAB22_2E5F_40A3_8F9C_2F6AF9909CEB_.wvu.FilterData" localSheetId="4" hidden="1">'C1'!#REF!</definedName>
    <definedName name="Z_B0D409AC_8F92_4471_8A4A_D51AE63DF4A4_.wvu.FilterData" localSheetId="4" hidden="1">'C1'!#REF!</definedName>
    <definedName name="Z_B1105262_4442_4531_83DF_B6D8427BF854_.wvu.FilterData" localSheetId="4" hidden="1">'C1'!#REF!</definedName>
    <definedName name="Z_B1A3DED9_10C6_412A_BCA3_0DDB8D018245_.wvu.FilterData" localSheetId="4" hidden="1">'C1'!$A$3:$BR$998</definedName>
    <definedName name="Z_B1AFCC00_70E6_46E1_8FA1_CE00BEECA1EB_.wvu.FilterData" localSheetId="4" hidden="1">'C1'!#REF!</definedName>
    <definedName name="Z_B2DD7C3C_22D1_4E91_B298_06862B90CB70_.wvu.FilterData" localSheetId="4" hidden="1">'C1'!#REF!</definedName>
    <definedName name="Z_B34207F7_21AF_462A_9B9E_515FB7731CEC_.wvu.FilterData" localSheetId="4" hidden="1">'C1'!#REF!</definedName>
    <definedName name="Z_B3C4A0AE_2669_4FDA_B2AB_13A5FC0533A5_.wvu.FilterData" localSheetId="4" hidden="1">'C1'!#REF!</definedName>
    <definedName name="Z_B50C13EA_4727_4F72_ADBF_A2F46BAEFE64_.wvu.FilterData" localSheetId="4" hidden="1">'C1'!#REF!</definedName>
    <definedName name="Z_B523AFA5_3BC0_4009_B397_510D6302CD07_.wvu.FilterData" localSheetId="4" hidden="1">'C1'!#REF!</definedName>
    <definedName name="Z_B60E6FF5_B307_41BA_A9A6_8321250BB5CC_.wvu.FilterData" localSheetId="4" hidden="1">'C1'!#REF!</definedName>
    <definedName name="Z_B637AC97_6875_4FCC_8C19_B534709A7545_.wvu.FilterData" localSheetId="4" hidden="1">'C1'!#REF!</definedName>
    <definedName name="Z_B66BA25A_712A_412D_835C_8CED39A4B79D_.wvu.FilterData" localSheetId="4" hidden="1">'C1'!#REF!</definedName>
    <definedName name="Z_B66CF8ED_A1B3_4FD7_8674_64C3FBD79869_.wvu.FilterData" localSheetId="4" hidden="1">'C1'!#REF!</definedName>
    <definedName name="Z_B6B2C14D_9DC9_470C_8EFF_55AD11E20915_.wvu.FilterData" localSheetId="4" hidden="1">'C1'!#REF!</definedName>
    <definedName name="Z_B9D375E6_4AA7_4778_8B0A_55C6E2E4CDC2_.wvu.FilterData" localSheetId="4" hidden="1">'C1'!#REF!</definedName>
    <definedName name="Z_BA93E49B_68DA_4A1A_9476_CF9971750992_.wvu.FilterData" localSheetId="4" hidden="1">'C1'!#REF!</definedName>
    <definedName name="Z_BB3EE627_79C1_4CF7_89FD_50CDA8444D9A_.wvu.FilterData" localSheetId="4" hidden="1">'C1'!#REF!</definedName>
    <definedName name="Z_BB51446C_E371_4F97_8FE6_591468DBAB6C_.wvu.FilterData" localSheetId="4" hidden="1">'C1'!#REF!</definedName>
    <definedName name="Z_BB731129_A0A9_458E_BEDB_FA4915234085_.wvu.FilterData" localSheetId="4" hidden="1">'C1'!#REF!</definedName>
    <definedName name="Z_BC23D85E_5A81_488C_A760_0CE97424859F_.wvu.FilterData" localSheetId="4" hidden="1">'C1'!#REF!</definedName>
    <definedName name="Z_BCA77C61_A827_4B9A_9A71_D3C1BB74D2FD_.wvu.FilterData" localSheetId="4" hidden="1">'C1'!#REF!</definedName>
    <definedName name="Z_BD764CA7_2D53_477E_B2D2_D968A3546749_.wvu.FilterData" localSheetId="4" hidden="1">'C1'!#REF!</definedName>
    <definedName name="Z_BDAC92E6_DCFE_4A1B_B9A4_79CBEB26F175_.wvu.FilterData" localSheetId="4" hidden="1">'C1'!$A$3:$BR$998</definedName>
    <definedName name="Z_BDE3331C_B1E5_42DE_BFC3_EBD22E1AA317_.wvu.FilterData" localSheetId="4" hidden="1">'C1'!#REF!</definedName>
    <definedName name="Z_BE903B99_1150_4B6A_B53C_30E75210755A_.wvu.FilterData" localSheetId="4" hidden="1">'C1'!#REF!</definedName>
    <definedName name="Z_BF646B8E_C08A_4D0F_8937_D6F9325F3259_.wvu.FilterData" localSheetId="4" hidden="1">'C1'!#REF!</definedName>
    <definedName name="Z_C019A38B_E38D_4C7E_A68B_856F6C5BD4C7_.wvu.FilterData" localSheetId="4" hidden="1">'C1'!#REF!</definedName>
    <definedName name="Z_C05B277F_B9C7_4B1D_9848_9696DBB54A29_.wvu.FilterData" localSheetId="4" hidden="1">'C1'!#REF!</definedName>
    <definedName name="Z_C3A8865D_C763_4739_9A2E_038C1C00E6FC_.wvu.FilterData" localSheetId="4" hidden="1">'C1'!#REF!</definedName>
    <definedName name="Z_C627175E_1323_4B54_9F14_C57404F9754B_.wvu.FilterData" localSheetId="4" hidden="1">'C1'!#REF!</definedName>
    <definedName name="Z_C712DF19_41BC_4E83_A0F7_39C1A3672677_.wvu.FilterData" localSheetId="4" hidden="1">'C1'!#REF!</definedName>
    <definedName name="Z_C784C5D6_6F8A_43A2_B840_64414F844812_.wvu.FilterData" localSheetId="4" hidden="1">'C1'!#REF!</definedName>
    <definedName name="Z_C7913BB4_0C6B_4543_A059_B2CA75595B44_.wvu.FilterData" localSheetId="4" hidden="1">'C1'!#REF!</definedName>
    <definedName name="Z_C8939F65_89B3_4ECA_A50A_6F29C35A245B_.wvu.FilterData" localSheetId="4" hidden="1">'C1'!#REF!</definedName>
    <definedName name="Z_C9E3D0AB_F1EE_4C30_ABB6_7A13AEB7DCE9_.wvu.FilterData" localSheetId="4" hidden="1">'C1'!#REF!</definedName>
    <definedName name="Z_CC3D9606_26E8_4871_8D84_39E1856E8697_.wvu.FilterData" localSheetId="4" hidden="1">'C1'!#REF!</definedName>
    <definedName name="Z_CCC290EB_7168_4E26_82AB_B3760B769BC5_.wvu.FilterData" localSheetId="4" hidden="1">'C1'!#REF!</definedName>
    <definedName name="Z_CE48FEDD_4C3A_4DC1_B6BD_B3867477EFB7_.wvu.FilterData" localSheetId="4" hidden="1">'C1'!#REF!</definedName>
    <definedName name="Z_CE7A7159_A574_45B4_9EAC_0C618CC0B3E8_.wvu.FilterData" localSheetId="4" hidden="1">'C1'!#REF!</definedName>
    <definedName name="Z_CE940928_BD29_4621_B4E9_414F1CC49601_.wvu.FilterData" localSheetId="4" hidden="1">'C1'!#REF!</definedName>
    <definedName name="Z_CF312709_CA32_4E20_B1A0_00A4EDF59914_.wvu.FilterData" localSheetId="4" hidden="1">'C1'!#REF!</definedName>
    <definedName name="Z_D1FFBEC0_ABF6_4764_95B8_7B24DE1D02FC_.wvu.FilterData" localSheetId="4" hidden="1">'C1'!#REF!</definedName>
    <definedName name="Z_D2D882ED_2A14_49DA_BD37_DA584A700B31_.wvu.FilterData" localSheetId="4" hidden="1">'C1'!#REF!</definedName>
    <definedName name="Z_D36E1F7B_E05F_452F_89D4_436BD9A5F40D_.wvu.FilterData" localSheetId="4" hidden="1">'C1'!#REF!</definedName>
    <definedName name="Z_D4749597_0FBC_4CEE_BD98_55F6AFD1632C_.wvu.FilterData" localSheetId="4" hidden="1">'C1'!#REF!</definedName>
    <definedName name="Z_D4F9BD0E_0D29_46FE_97A1_1FB3D51A9E20_.wvu.FilterData" localSheetId="4" hidden="1">'C1'!#REF!</definedName>
    <definedName name="Z_D5A735A1_6C34_48DE_8B1D_F4E2A7C4E1BA_.wvu.FilterData" localSheetId="4" hidden="1">'C1'!#REF!</definedName>
    <definedName name="Z_D764BA6B_9688_4FCA_BEC2_FD5694D30D06_.wvu.FilterData" localSheetId="4" hidden="1">'C1'!#REF!</definedName>
    <definedName name="Z_D7CDCCA5_17E4_413C_81F1_544210BB3458_.wvu.FilterData" localSheetId="4" hidden="1">'C1'!#REF!</definedName>
    <definedName name="Z_D7D25E01_D552_497B_A462_6F9966AFCA6B_.wvu.FilterData" localSheetId="4" hidden="1">'C1'!#REF!</definedName>
    <definedName name="Z_D801DB29_859B_4CED_A5D1_F1437D5AB3B6_.wvu.FilterData" localSheetId="4" hidden="1">'C1'!#REF!</definedName>
    <definedName name="Z_DA2B9991_DA86_4B0B_99FD_3F1C86003861_.wvu.FilterData" localSheetId="4" hidden="1">'C1'!#REF!</definedName>
    <definedName name="Z_DA2D03B6_E31D_4F87_93A6_B5DEBFE4A972_.wvu.FilterData" localSheetId="4" hidden="1">'C1'!#REF!</definedName>
    <definedName name="Z_DAF8A00B_9D68_47E9_ACE6_AE89CF6D3450_.wvu.FilterData" localSheetId="4" hidden="1">'C1'!#REF!</definedName>
    <definedName name="Z_DB0EAA4F_F83D_4EEF_9B25_065DD05A6C9D_.wvu.FilterData" localSheetId="4" hidden="1">'C1'!#REF!</definedName>
    <definedName name="Z_DB8A6CBE_D6AC_4913_91A3_8940FB5BAFD9_.wvu.FilterData" localSheetId="4" hidden="1">'C1'!#REF!</definedName>
    <definedName name="Z_DBBC2CF8_F58E_4C01_AA88_1E422DC8E77C_.wvu.FilterData" localSheetId="4" hidden="1">'C1'!#REF!</definedName>
    <definedName name="Z_DC2270EA_ECFE_4579_9F19_F63C93ADE7F6_.wvu.FilterData" localSheetId="4" hidden="1">'C1'!#REF!</definedName>
    <definedName name="Z_DC22779C_7615_4F30_AEA0_32F9F17B5569_.wvu.FilterData" localSheetId="4" hidden="1">'C1'!#REF!</definedName>
    <definedName name="Z_DC34E77D_9460_413F_9C13_02AA58DB8178_.wvu.FilterData" localSheetId="4" hidden="1">'C1'!#REF!</definedName>
    <definedName name="Z_DCE5100F_FAD1_41F7_8EDB_3F707EDB5FE5_.wvu.FilterData" localSheetId="4" hidden="1">'C1'!#REF!</definedName>
    <definedName name="Z_DD1646E6_660D_4EBF_97F6_54EBA0CFF275_.wvu.FilterData" localSheetId="4" hidden="1">'C1'!$A$3:$BR$998</definedName>
    <definedName name="Z_DD182556_B45E_4F5E_8BA7_C4D101DA702B_.wvu.FilterData" localSheetId="4" hidden="1">'C1'!#REF!</definedName>
    <definedName name="Z_DDAF1340_C267_45B2_8221_79E0526469EE_.wvu.FilterData" localSheetId="4" hidden="1">'C1'!#REF!</definedName>
    <definedName name="Z_DE348A97_B6A4_4513_8FEF_E84DAD14E4C0_.wvu.FilterData" localSheetId="4" hidden="1">'C1'!#REF!</definedName>
    <definedName name="Z_DE902C5A_B90D_47B8_AFD6_812A9610317A_.wvu.FilterData" localSheetId="4" hidden="1">'C1'!#REF!</definedName>
    <definedName name="Z_DFCB11AC_D05E_4A5B_8B8A_3DDFD978ACFD_.wvu.FilterData" localSheetId="4" hidden="1">'C1'!#REF!</definedName>
    <definedName name="Z_E0CCF856_DA61_46D7_AB77_0F6EDC9531F8_.wvu.FilterData" localSheetId="4" hidden="1">'C1'!#REF!</definedName>
    <definedName name="Z_E1AD8D6D_FE1D_4FC2_A155_A1571BEC2F8E_.wvu.FilterData" localSheetId="4" hidden="1">'C1'!#REF!</definedName>
    <definedName name="Z_E1ED080D_CB99_45C7_B5BB_01A8A2FA5C13_.wvu.FilterData" localSheetId="4" hidden="1">'C1'!#REF!</definedName>
    <definedName name="Z_E1F75819_30E5_4C81_B2CB_A2019BDE0DC3_.wvu.FilterData" localSheetId="4" hidden="1">'C1'!#REF!</definedName>
    <definedName name="Z_E2010976_45EA_4B55_B7D4_2D3492EFF869_.wvu.FilterData" localSheetId="4" hidden="1">'C1'!#REF!</definedName>
    <definedName name="Z_E289CD52_1A22_4EA8_961B_526F0F199F5F_.wvu.FilterData" localSheetId="4" hidden="1">'C1'!#REF!</definedName>
    <definedName name="Z_E2C732FA_6499_4366_82FA_8438048291B1_.wvu.FilterData" localSheetId="4" hidden="1">'C1'!#REF!</definedName>
    <definedName name="Z_E3B84F1A_9EF2_47C3_9B76_7CC02F6EAF03_.wvu.FilterData" localSheetId="4" hidden="1">'C1'!#REF!</definedName>
    <definedName name="Z_E3F39A60_3B9C_4127_B32D_914E6FD2FAD4_.wvu.FilterData" localSheetId="4" hidden="1">'C1'!#REF!</definedName>
    <definedName name="Z_E430EF0D_5846_4DDB_8C82_D34C1583699B_.wvu.FilterData" localSheetId="4" hidden="1">'C1'!#REF!</definedName>
    <definedName name="Z_E4DB1ED2_4005_406F_A875_6241A9AA7B70_.wvu.FilterData" localSheetId="4" hidden="1">'C1'!#REF!</definedName>
    <definedName name="Z_E55239AF_7F69_4E2A_8435_2C65548A1385_.wvu.FilterData" localSheetId="4" hidden="1">'C1'!#REF!</definedName>
    <definedName name="Z_E585A5C4_A9DF_48FC_8135_9EA68C016E4E_.wvu.FilterData" localSheetId="4" hidden="1">'C1'!#REF!</definedName>
    <definedName name="Z_E689D704_BA9D_47C0_976E_C35D0C8D591F_.wvu.FilterData" localSheetId="4" hidden="1">'C1'!#REF!</definedName>
    <definedName name="Z_E8636462_B5AE_46C8_A201_44823BBBD697_.wvu.FilterData" localSheetId="4" hidden="1">'C1'!#REF!</definedName>
    <definedName name="Z_E8A89E34_E84B_4151_A0D1_C9EDA3797E86_.wvu.FilterData" localSheetId="4" hidden="1">'C1'!#REF!</definedName>
    <definedName name="Z_E9A76E25_4F20_4FD0_A7CB_849F1BF950B8_.wvu.FilterData" localSheetId="4" hidden="1">'C1'!#REF!</definedName>
    <definedName name="Z_E9CCFA8A_9A2D_4B36_8C9C_B7BF746D997C_.wvu.FilterData" localSheetId="4" hidden="1">'C1'!#REF!</definedName>
    <definedName name="Z_EA7A1C1C_2898_45A7_B6E6_611D3EBA93C1_.wvu.FilterData" localSheetId="4" hidden="1">'C1'!#REF!</definedName>
    <definedName name="Z_EA84D532_B7D4_409B_8F38_AD6D53255791_.wvu.FilterData" localSheetId="4" hidden="1">'C1'!#REF!</definedName>
    <definedName name="Z_EAA96FC6_CBF6_4517_A3DA_96A763E17617_.wvu.FilterData" localSheetId="4" hidden="1">'C1'!$A$3:$BR$998</definedName>
    <definedName name="Z_EB9AD6E3_21C6_4598_9209_FEE89E23D358_.wvu.FilterData" localSheetId="4" hidden="1">'C1'!$A$3:$BR$998</definedName>
    <definedName name="Z_EC0F738D_D619_403E_A6E0_F7099C4C643C_.wvu.FilterData" localSheetId="4" hidden="1">'C1'!#REF!</definedName>
    <definedName name="Z_ECAB3664_E178_46DA_8FEB_E4627EE8D023_.wvu.FilterData" localSheetId="4" hidden="1">'C1'!$A$3:$BR$998</definedName>
    <definedName name="Z_ED080FCE_D26B_4EBA_8A11_8011649101B1_.wvu.FilterData" localSheetId="4" hidden="1">'C1'!#REF!</definedName>
    <definedName name="Z_EED35DD6_1F4F_412C_BE67_DF18F256CD31_.wvu.FilterData" localSheetId="4" hidden="1">'C1'!#REF!</definedName>
    <definedName name="Z_EEDE505C_2EB1_4FDE_96AE_0ED06860838D_.wvu.FilterData" localSheetId="4" hidden="1">'C1'!#REF!</definedName>
    <definedName name="Z_F0003165_7848_4754_8E6A_1EA3BD8AFA7E_.wvu.FilterData" localSheetId="4" hidden="1">'C1'!$A$3:$BR$998</definedName>
    <definedName name="Z_F05DABEA_A34C_40EF_820E_F079FECF4CEF_.wvu.FilterData" localSheetId="4" hidden="1">'C1'!#REF!</definedName>
    <definedName name="Z_F0BBB074_6500_4F35_BB43_CB8E550E0D44_.wvu.FilterData" localSheetId="4" hidden="1">'C1'!#REF!</definedName>
    <definedName name="Z_F164057A_D3D5_4ED6_A3DD_BF37B6F70A58_.wvu.FilterData" localSheetId="4" hidden="1">'C1'!#REF!</definedName>
    <definedName name="Z_F1AFDCCC_F3B6_4F15_A501_F8AD438F223E_.wvu.FilterData" localSheetId="4" hidden="1">'C1'!#REF!</definedName>
    <definedName name="Z_F3E56F77_597D_4E38_AA4A_F51BCBA9E217_.wvu.FilterData" localSheetId="4" hidden="1">'C1'!$A$3:$BR$998</definedName>
    <definedName name="Z_F413E3A3_C5DC_4C8F_8C3F_B86CE3645C08_.wvu.FilterData" localSheetId="4" hidden="1">'C1'!#REF!</definedName>
    <definedName name="Z_F43A53CA_43E3_43DF_BBFF_9D17A16BDEBC_.wvu.FilterData" localSheetId="4" hidden="1">'C1'!#REF!</definedName>
    <definedName name="Z_F4477455_8724_4943_ABD6_4A697B0F1891_.wvu.FilterData" localSheetId="4" hidden="1">'C1'!#REF!</definedName>
    <definedName name="Z_F4AC1C70_875F_4E1E_801B_551F5FA988F2_.wvu.FilterData" localSheetId="4" hidden="1">'C1'!#REF!</definedName>
    <definedName name="Z_F51394F0_B5E6_4234_9F72_CFC268A45C8D_.wvu.FilterData" localSheetId="4" hidden="1">'C1'!#REF!</definedName>
    <definedName name="Z_F5249A92_F930_464C_BE0F_52B80E9FD4A4_.wvu.FilterData" localSheetId="4" hidden="1">'C1'!#REF!</definedName>
    <definedName name="Z_F5D4C97B_B6E9_4335_93BC_6F0ED8716A96_.wvu.FilterData" localSheetId="4" hidden="1">'C1'!#REF!</definedName>
    <definedName name="Z_F68B4CCE_70B5_43F1_AE3C_D8990C6E8A89_.wvu.FilterData" localSheetId="4" hidden="1">'C1'!#REF!</definedName>
    <definedName name="Z_F6E7D46D_F205_40EC_84F1_4F3D59F899BE_.wvu.FilterData" localSheetId="4" hidden="1">'C1'!#REF!</definedName>
    <definedName name="Z_F73DEA65_B7B1_444C_878D_F5DE87E52519_.wvu.FilterData" localSheetId="4" hidden="1">'C1'!#REF!</definedName>
    <definedName name="Z_F7BAF9A3_2330_47CD_AB4E_EEC67752E615_.wvu.FilterData" localSheetId="4" hidden="1">'C1'!#REF!</definedName>
    <definedName name="Z_F81BFD99_8371_4A4F_9B46_D4BE2B93E3C5_.wvu.FilterData" localSheetId="4" hidden="1">'C1'!#REF!</definedName>
    <definedName name="Z_F8BDDD66_096D_44BB_8215_21EEEFCC8513_.wvu.FilterData" localSheetId="4" hidden="1">'C1'!#REF!</definedName>
    <definedName name="Z_F8DC018C_158C_41B6_BED1_B6B6AF67E413_.wvu.FilterData" localSheetId="4" hidden="1">'C1'!#REF!</definedName>
    <definedName name="Z_F9DD9A31_2C60_4B15_853B_98F4E5F21DED_.wvu.FilterData" localSheetId="4" hidden="1">'C1'!#REF!</definedName>
    <definedName name="Z_FAD2E625_0AA3_4053_9078_356C34600A8B_.wvu.FilterData" localSheetId="4" hidden="1">'C1'!#REF!</definedName>
    <definedName name="Z_FADECD23_3ED9_462F_8FA3_CFC2F357230A_.wvu.FilterData" localSheetId="4" hidden="1">'C1'!#REF!</definedName>
    <definedName name="Z_FB26D82D_85CC_4950_8DF9_B161296945A9_.wvu.FilterData" localSheetId="4" hidden="1">'C1'!$A$3:$BR$998</definedName>
    <definedName name="Z_FD4B84A3_2DA0_4536_9295_187B9DCA62D7_.wvu.FilterData" localSheetId="4" hidden="1">'C1'!#REF!</definedName>
    <definedName name="Z_FD8D85F5_B267_43DA_8F14_D1C5382379DF_.wvu.FilterData" localSheetId="4" hidden="1">'C1'!#REF!</definedName>
    <definedName name="Z_FDEBB1FB_C592_451B_A671_84AE368B1F89_.wvu.FilterData" localSheetId="4" hidden="1">'C1'!#REF!</definedName>
    <definedName name="Z_FE426774_E97D_4F38_8ABD_115B61BE39E7_.wvu.FilterData" localSheetId="4" hidden="1">'C1'!#REF!</definedName>
    <definedName name="Z_FF52B9DF_73D4_462B_8BE6_5BB736535E16_.wvu.FilterData" localSheetId="4" hidden="1">'C1'!#REF!</definedName>
    <definedName name="Z_FF83144E_F915_472F_98CB_6C7B3244AD9F_.wvu.FilterData" localSheetId="4" hidden="1">'C1'!$A$3:$BR$998</definedName>
  </definedNames>
  <calcPr calcId="191028"/>
  <pivotCaches>
    <pivotCache cacheId="0" r:id="rId16"/>
    <pivotCache cacheId="1"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874" i="1" l="1"/>
  <c r="V875" i="1"/>
  <c r="V876" i="1"/>
  <c r="V877" i="1"/>
  <c r="V878" i="1"/>
  <c r="V879" i="1"/>
  <c r="V880" i="1"/>
  <c r="V881" i="1"/>
  <c r="AC873" i="1" l="1"/>
  <c r="AD873" i="1"/>
  <c r="AE873" i="1"/>
  <c r="AJ873" i="1" s="1"/>
  <c r="AH873" i="1"/>
  <c r="AK873" i="1"/>
  <c r="AL873" i="1"/>
  <c r="AQ873" i="1"/>
  <c r="AR873" i="1" s="1"/>
  <c r="AS873" i="1"/>
  <c r="AT873" i="1"/>
  <c r="AC874" i="1"/>
  <c r="AD874" i="1"/>
  <c r="AE874" i="1"/>
  <c r="AJ874" i="1" s="1"/>
  <c r="AH874" i="1"/>
  <c r="AK874" i="1"/>
  <c r="AL874" i="1"/>
  <c r="AM874" i="1" s="1"/>
  <c r="AO874" i="1" s="1"/>
  <c r="AF874" i="1" s="1"/>
  <c r="AQ874" i="1"/>
  <c r="AR874" i="1" s="1"/>
  <c r="AS874" i="1"/>
  <c r="AT874" i="1"/>
  <c r="AC875" i="1"/>
  <c r="AD875" i="1"/>
  <c r="AE875" i="1"/>
  <c r="AJ875" i="1" s="1"/>
  <c r="AH875" i="1"/>
  <c r="AK875" i="1"/>
  <c r="AL875" i="1"/>
  <c r="AQ875" i="1"/>
  <c r="AR875" i="1" s="1"/>
  <c r="AS875" i="1"/>
  <c r="AT875" i="1"/>
  <c r="AC876" i="1"/>
  <c r="AD876" i="1"/>
  <c r="AE876" i="1"/>
  <c r="AJ876" i="1" s="1"/>
  <c r="AH876" i="1"/>
  <c r="AK876" i="1"/>
  <c r="AL876" i="1"/>
  <c r="AI876" i="1" s="1"/>
  <c r="AQ876" i="1"/>
  <c r="AR876" i="1"/>
  <c r="AS876" i="1"/>
  <c r="AT876" i="1"/>
  <c r="AC877" i="1"/>
  <c r="AD877" i="1"/>
  <c r="AE877" i="1"/>
  <c r="AJ877" i="1" s="1"/>
  <c r="AH877" i="1"/>
  <c r="AK877" i="1"/>
  <c r="AL877" i="1"/>
  <c r="AQ877" i="1"/>
  <c r="AR877" i="1"/>
  <c r="AS877" i="1"/>
  <c r="AT877" i="1"/>
  <c r="AC878" i="1"/>
  <c r="AD878" i="1"/>
  <c r="AE878" i="1"/>
  <c r="AH878" i="1"/>
  <c r="AJ878" i="1"/>
  <c r="AK878" i="1"/>
  <c r="AL878" i="1"/>
  <c r="AQ878" i="1"/>
  <c r="AR878" i="1" s="1"/>
  <c r="AS878" i="1"/>
  <c r="AT878" i="1"/>
  <c r="AC879" i="1"/>
  <c r="AD879" i="1"/>
  <c r="AE879" i="1"/>
  <c r="AJ879" i="1" s="1"/>
  <c r="AH879" i="1"/>
  <c r="AK879" i="1"/>
  <c r="AL879" i="1"/>
  <c r="AM879" i="1" s="1"/>
  <c r="AO879" i="1" s="1"/>
  <c r="AF879" i="1" s="1"/>
  <c r="AQ879" i="1"/>
  <c r="AR879" i="1" s="1"/>
  <c r="AS879" i="1"/>
  <c r="AT879" i="1"/>
  <c r="AC880" i="1"/>
  <c r="AD880" i="1"/>
  <c r="AE880" i="1"/>
  <c r="AJ880" i="1" s="1"/>
  <c r="AH880" i="1"/>
  <c r="AK880" i="1"/>
  <c r="AL880" i="1"/>
  <c r="AN880" i="1"/>
  <c r="AG880" i="1" s="1"/>
  <c r="AQ880" i="1"/>
  <c r="AR880" i="1"/>
  <c r="AS880" i="1"/>
  <c r="AT880" i="1"/>
  <c r="AC881" i="1"/>
  <c r="AD881" i="1"/>
  <c r="AE881" i="1"/>
  <c r="AJ881" i="1" s="1"/>
  <c r="AH881" i="1"/>
  <c r="AK881" i="1"/>
  <c r="AM881" i="1" s="1"/>
  <c r="AO881" i="1" s="1"/>
  <c r="AF881" i="1" s="1"/>
  <c r="AL881" i="1"/>
  <c r="AN881" i="1" s="1"/>
  <c r="AG881" i="1" s="1"/>
  <c r="AQ881" i="1"/>
  <c r="AR881" i="1" s="1"/>
  <c r="AS881" i="1"/>
  <c r="AT881" i="1"/>
  <c r="AC882" i="1"/>
  <c r="AD882" i="1"/>
  <c r="AE882" i="1"/>
  <c r="AJ882" i="1" s="1"/>
  <c r="AH882" i="1"/>
  <c r="AK882" i="1"/>
  <c r="AL882" i="1"/>
  <c r="AN882" i="1" s="1"/>
  <c r="AG882" i="1" s="1"/>
  <c r="AQ882" i="1"/>
  <c r="AR882" i="1" s="1"/>
  <c r="AS882" i="1"/>
  <c r="AT882" i="1"/>
  <c r="AC883" i="1"/>
  <c r="AD883" i="1"/>
  <c r="AE883" i="1"/>
  <c r="AJ883" i="1" s="1"/>
  <c r="AH883" i="1"/>
  <c r="AK883" i="1"/>
  <c r="AN883" i="1" s="1"/>
  <c r="AG883" i="1" s="1"/>
  <c r="AL883" i="1"/>
  <c r="AQ883" i="1"/>
  <c r="AR883" i="1" s="1"/>
  <c r="AS883" i="1"/>
  <c r="AT883" i="1"/>
  <c r="AN873" i="1" l="1"/>
  <c r="AG873" i="1" s="1"/>
  <c r="AM883" i="1"/>
  <c r="AO883" i="1" s="1"/>
  <c r="AF883" i="1" s="1"/>
  <c r="AI883" i="1"/>
  <c r="AM882" i="1"/>
  <c r="AO882" i="1" s="1"/>
  <c r="AF882" i="1" s="1"/>
  <c r="AM880" i="1"/>
  <c r="AO880" i="1" s="1"/>
  <c r="AF880" i="1" s="1"/>
  <c r="AI880" i="1"/>
  <c r="AM873" i="1"/>
  <c r="AO873" i="1" s="1"/>
  <c r="AF873" i="1" s="1"/>
  <c r="AI873" i="1"/>
  <c r="AI878" i="1"/>
  <c r="AN878" i="1"/>
  <c r="AG878" i="1" s="1"/>
  <c r="AI879" i="1"/>
  <c r="AM877" i="1"/>
  <c r="AO877" i="1" s="1"/>
  <c r="AF877" i="1" s="1"/>
  <c r="AM876" i="1"/>
  <c r="AO876" i="1" s="1"/>
  <c r="AF876" i="1" s="1"/>
  <c r="AN876" i="1"/>
  <c r="AG876" i="1" s="1"/>
  <c r="AI875" i="1"/>
  <c r="AM875" i="1"/>
  <c r="AO875" i="1" s="1"/>
  <c r="AF875" i="1" s="1"/>
  <c r="AN877" i="1"/>
  <c r="AG877" i="1" s="1"/>
  <c r="AI877" i="1"/>
  <c r="AI882" i="1"/>
  <c r="AM878" i="1"/>
  <c r="AO878" i="1" s="1"/>
  <c r="AF878" i="1" s="1"/>
  <c r="AI874" i="1"/>
  <c r="AI881" i="1"/>
  <c r="AN875" i="1"/>
  <c r="AG875" i="1" s="1"/>
  <c r="AN874" i="1"/>
  <c r="AG874" i="1" s="1"/>
  <c r="AN879" i="1"/>
  <c r="AG879" i="1" s="1"/>
  <c r="AC865" i="1" l="1"/>
  <c r="AD865" i="1"/>
  <c r="AE865" i="1"/>
  <c r="AJ865" i="1" s="1"/>
  <c r="AH865" i="1"/>
  <c r="AK865" i="1"/>
  <c r="AL865" i="1"/>
  <c r="AQ865" i="1"/>
  <c r="AR865" i="1" s="1"/>
  <c r="AS865" i="1"/>
  <c r="AT865" i="1"/>
  <c r="AC866" i="1"/>
  <c r="AD866" i="1"/>
  <c r="AE866" i="1"/>
  <c r="AJ866" i="1" s="1"/>
  <c r="AH866" i="1"/>
  <c r="AK866" i="1"/>
  <c r="AL866" i="1"/>
  <c r="AQ866" i="1"/>
  <c r="AR866" i="1" s="1"/>
  <c r="AS866" i="1"/>
  <c r="AT866" i="1"/>
  <c r="AC867" i="1"/>
  <c r="AD867" i="1"/>
  <c r="AE867" i="1"/>
  <c r="AJ867" i="1" s="1"/>
  <c r="AH867" i="1"/>
  <c r="AK867" i="1"/>
  <c r="AL867" i="1"/>
  <c r="AQ867" i="1"/>
  <c r="AR867" i="1" s="1"/>
  <c r="AS867" i="1"/>
  <c r="AT867" i="1"/>
  <c r="AC868" i="1"/>
  <c r="AD868" i="1"/>
  <c r="AE868" i="1"/>
  <c r="AJ868" i="1" s="1"/>
  <c r="AH868" i="1"/>
  <c r="AK868" i="1"/>
  <c r="AL868" i="1"/>
  <c r="AQ868" i="1"/>
  <c r="AR868" i="1" s="1"/>
  <c r="AS868" i="1"/>
  <c r="AT868" i="1"/>
  <c r="AC869" i="1"/>
  <c r="AD869" i="1"/>
  <c r="AE869" i="1"/>
  <c r="AJ869" i="1" s="1"/>
  <c r="AH869" i="1"/>
  <c r="AK869" i="1"/>
  <c r="AL869" i="1"/>
  <c r="AQ869" i="1"/>
  <c r="AR869" i="1" s="1"/>
  <c r="AS869" i="1"/>
  <c r="AT869" i="1"/>
  <c r="AC870" i="1"/>
  <c r="AD870" i="1"/>
  <c r="AE870" i="1"/>
  <c r="AJ870" i="1" s="1"/>
  <c r="AH870" i="1"/>
  <c r="AK870" i="1"/>
  <c r="AL870" i="1"/>
  <c r="AQ870" i="1"/>
  <c r="AR870" i="1" s="1"/>
  <c r="AS870" i="1"/>
  <c r="AT870" i="1"/>
  <c r="AC871" i="1"/>
  <c r="AD871" i="1"/>
  <c r="AE871" i="1"/>
  <c r="AJ871" i="1" s="1"/>
  <c r="AH871" i="1"/>
  <c r="AK871" i="1"/>
  <c r="AL871" i="1"/>
  <c r="AQ871" i="1"/>
  <c r="AR871" i="1" s="1"/>
  <c r="AS871" i="1"/>
  <c r="AT871" i="1"/>
  <c r="AC872" i="1"/>
  <c r="AD872" i="1"/>
  <c r="AE872" i="1"/>
  <c r="AJ872" i="1" s="1"/>
  <c r="AH872" i="1"/>
  <c r="AK872" i="1"/>
  <c r="AL872" i="1"/>
  <c r="AQ872" i="1"/>
  <c r="AR872" i="1" s="1"/>
  <c r="AS872" i="1"/>
  <c r="AT872" i="1"/>
  <c r="V865" i="1"/>
  <c r="V866" i="1"/>
  <c r="V867" i="1"/>
  <c r="V868" i="1"/>
  <c r="V869" i="1"/>
  <c r="V870" i="1"/>
  <c r="V871" i="1"/>
  <c r="V872" i="1"/>
  <c r="V873" i="1"/>
  <c r="AC859" i="1"/>
  <c r="AD859" i="1"/>
  <c r="AE859" i="1"/>
  <c r="AJ859" i="1" s="1"/>
  <c r="AH859" i="1"/>
  <c r="AK859" i="1"/>
  <c r="AL859" i="1"/>
  <c r="AQ859" i="1"/>
  <c r="AR859" i="1" s="1"/>
  <c r="AS859" i="1"/>
  <c r="AT859" i="1"/>
  <c r="BE859" i="1"/>
  <c r="BF859" i="1"/>
  <c r="AC860" i="1"/>
  <c r="AD860" i="1"/>
  <c r="AE860" i="1"/>
  <c r="AJ860" i="1" s="1"/>
  <c r="AH860" i="1"/>
  <c r="AK860" i="1"/>
  <c r="AL860" i="1"/>
  <c r="AQ860" i="1"/>
  <c r="AR860" i="1" s="1"/>
  <c r="AS860" i="1"/>
  <c r="AT860" i="1"/>
  <c r="BE860" i="1"/>
  <c r="BF860" i="1"/>
  <c r="AC861" i="1"/>
  <c r="AD861" i="1"/>
  <c r="AE861" i="1"/>
  <c r="AJ861" i="1" s="1"/>
  <c r="AH861" i="1"/>
  <c r="AK861" i="1"/>
  <c r="AL861" i="1"/>
  <c r="AQ861" i="1"/>
  <c r="AR861" i="1" s="1"/>
  <c r="AS861" i="1"/>
  <c r="AT861" i="1"/>
  <c r="BE861" i="1"/>
  <c r="BF861" i="1"/>
  <c r="AC862" i="1"/>
  <c r="AD862" i="1"/>
  <c r="AE862" i="1"/>
  <c r="AJ862" i="1" s="1"/>
  <c r="AH862" i="1"/>
  <c r="AK862" i="1"/>
  <c r="AL862" i="1"/>
  <c r="AQ862" i="1"/>
  <c r="AR862" i="1" s="1"/>
  <c r="AS862" i="1"/>
  <c r="AT862" i="1"/>
  <c r="BE862" i="1"/>
  <c r="BF862" i="1"/>
  <c r="AC863" i="1"/>
  <c r="AD863" i="1"/>
  <c r="AE863" i="1"/>
  <c r="AJ863" i="1" s="1"/>
  <c r="AH863" i="1"/>
  <c r="AK863" i="1"/>
  <c r="AL863" i="1"/>
  <c r="AQ863" i="1"/>
  <c r="AR863" i="1" s="1"/>
  <c r="AS863" i="1"/>
  <c r="AT863" i="1"/>
  <c r="BE863" i="1"/>
  <c r="BF863" i="1"/>
  <c r="AC864" i="1"/>
  <c r="AD864" i="1"/>
  <c r="AE864" i="1"/>
  <c r="AJ864" i="1" s="1"/>
  <c r="AH864" i="1"/>
  <c r="AK864" i="1"/>
  <c r="AL864" i="1"/>
  <c r="AQ864" i="1"/>
  <c r="AR864" i="1" s="1"/>
  <c r="AS864" i="1"/>
  <c r="AT864" i="1"/>
  <c r="BE864" i="1"/>
  <c r="BF864" i="1"/>
  <c r="V858" i="1"/>
  <c r="V859" i="1"/>
  <c r="V860" i="1"/>
  <c r="V861" i="1"/>
  <c r="V862" i="1"/>
  <c r="V863" i="1"/>
  <c r="V864" i="1"/>
  <c r="BE819" i="1"/>
  <c r="V857" i="1"/>
  <c r="B27" i="4"/>
  <c r="AN868" i="1" l="1"/>
  <c r="AG868" i="1" s="1"/>
  <c r="AM870" i="1"/>
  <c r="AO870" i="1" s="1"/>
  <c r="AF870" i="1" s="1"/>
  <c r="AM866" i="1"/>
  <c r="AO866" i="1" s="1"/>
  <c r="AF866" i="1" s="1"/>
  <c r="AI868" i="1"/>
  <c r="AM869" i="1"/>
  <c r="AO869" i="1" s="1"/>
  <c r="AF869" i="1" s="1"/>
  <c r="AM865" i="1"/>
  <c r="AO865" i="1" s="1"/>
  <c r="AF865" i="1" s="1"/>
  <c r="AN867" i="1"/>
  <c r="AG867" i="1" s="1"/>
  <c r="AN866" i="1"/>
  <c r="AG866" i="1" s="1"/>
  <c r="AI866" i="1"/>
  <c r="AN870" i="1"/>
  <c r="AG870" i="1" s="1"/>
  <c r="AI872" i="1"/>
  <c r="AM871" i="1"/>
  <c r="AO871" i="1" s="1"/>
  <c r="AF871" i="1" s="1"/>
  <c r="AM868" i="1"/>
  <c r="AO868" i="1" s="1"/>
  <c r="AF868" i="1" s="1"/>
  <c r="AI869" i="1"/>
  <c r="AI871" i="1"/>
  <c r="AN869" i="1"/>
  <c r="AG869" i="1" s="1"/>
  <c r="AM867" i="1"/>
  <c r="AO867" i="1" s="1"/>
  <c r="AF867" i="1" s="1"/>
  <c r="AN865" i="1"/>
  <c r="AG865" i="1" s="1"/>
  <c r="AI865" i="1"/>
  <c r="AM872" i="1"/>
  <c r="AO872" i="1" s="1"/>
  <c r="AF872" i="1" s="1"/>
  <c r="AI867" i="1"/>
  <c r="AI870" i="1"/>
  <c r="AN872" i="1"/>
  <c r="AG872" i="1" s="1"/>
  <c r="AN871" i="1"/>
  <c r="AG871" i="1" s="1"/>
  <c r="AN862" i="1"/>
  <c r="AG862" i="1" s="1"/>
  <c r="AM861" i="1"/>
  <c r="AO861" i="1" s="1"/>
  <c r="AF861" i="1" s="1"/>
  <c r="AM862" i="1"/>
  <c r="AO862" i="1" s="1"/>
  <c r="AF862" i="1" s="1"/>
  <c r="AM860" i="1"/>
  <c r="AO860" i="1" s="1"/>
  <c r="AF860" i="1" s="1"/>
  <c r="AM859" i="1"/>
  <c r="AO859" i="1" s="1"/>
  <c r="AF859" i="1" s="1"/>
  <c r="AI864" i="1"/>
  <c r="AI863" i="1"/>
  <c r="AI861" i="1"/>
  <c r="AM864" i="1"/>
  <c r="AO864" i="1" s="1"/>
  <c r="AF864" i="1" s="1"/>
  <c r="AM863" i="1"/>
  <c r="AO863" i="1" s="1"/>
  <c r="AF863" i="1" s="1"/>
  <c r="AN861" i="1"/>
  <c r="AG861" i="1" s="1"/>
  <c r="AI862" i="1"/>
  <c r="AN864" i="1"/>
  <c r="AG864" i="1" s="1"/>
  <c r="AN859" i="1"/>
  <c r="AG859" i="1" s="1"/>
  <c r="AI860" i="1"/>
  <c r="AI859" i="1"/>
  <c r="AN863" i="1"/>
  <c r="AG863" i="1" s="1"/>
  <c r="AN860" i="1"/>
  <c r="AG860" i="1" s="1"/>
  <c r="I31" i="5"/>
  <c r="I27" i="5"/>
  <c r="I28" i="5"/>
  <c r="I29" i="5"/>
  <c r="I30" i="5"/>
  <c r="I26" i="5"/>
  <c r="H31" i="5"/>
  <c r="CK790" i="1"/>
  <c r="CM790" i="1" s="1"/>
  <c r="CL790" i="1"/>
  <c r="CK791" i="1"/>
  <c r="CM791" i="1" s="1"/>
  <c r="CL791" i="1"/>
  <c r="CK792" i="1"/>
  <c r="CM792" i="1" s="1"/>
  <c r="CL792" i="1"/>
  <c r="CK793" i="1"/>
  <c r="CM793" i="1" s="1"/>
  <c r="CL793" i="1"/>
  <c r="CK794" i="1"/>
  <c r="CM794" i="1" s="1"/>
  <c r="CL794" i="1"/>
  <c r="CK795" i="1"/>
  <c r="CM795" i="1" s="1"/>
  <c r="CL795" i="1"/>
  <c r="CK796" i="1"/>
  <c r="CM796" i="1" s="1"/>
  <c r="CL796" i="1"/>
  <c r="CK797" i="1"/>
  <c r="CM797" i="1" s="1"/>
  <c r="CL797" i="1"/>
  <c r="CK798" i="1"/>
  <c r="CM798" i="1" s="1"/>
  <c r="CL798" i="1"/>
  <c r="CK799" i="1"/>
  <c r="CM799" i="1" s="1"/>
  <c r="CL799" i="1"/>
  <c r="CK800" i="1"/>
  <c r="CM800" i="1" s="1"/>
  <c r="CL800" i="1"/>
  <c r="CK801" i="1"/>
  <c r="CM801" i="1" s="1"/>
  <c r="CL801" i="1"/>
  <c r="CK802" i="1"/>
  <c r="CM802" i="1" s="1"/>
  <c r="CL802" i="1"/>
  <c r="CK803" i="1"/>
  <c r="CM803" i="1" s="1"/>
  <c r="CL803" i="1"/>
  <c r="CK804" i="1"/>
  <c r="CM804" i="1" s="1"/>
  <c r="CL804" i="1"/>
  <c r="CK805" i="1"/>
  <c r="CM805" i="1" s="1"/>
  <c r="CL805" i="1"/>
  <c r="CK806" i="1"/>
  <c r="CM806" i="1" s="1"/>
  <c r="CL806" i="1"/>
  <c r="CK807" i="1"/>
  <c r="CM807" i="1" s="1"/>
  <c r="CL807" i="1"/>
  <c r="CK808" i="1"/>
  <c r="CM808" i="1" s="1"/>
  <c r="CL808" i="1"/>
  <c r="CK809" i="1"/>
  <c r="CM809" i="1" s="1"/>
  <c r="CL809" i="1"/>
  <c r="CK810" i="1"/>
  <c r="CM810" i="1" s="1"/>
  <c r="CL810" i="1"/>
  <c r="CK811" i="1"/>
  <c r="CM811" i="1" s="1"/>
  <c r="CL811" i="1"/>
  <c r="CK812" i="1"/>
  <c r="CM812" i="1" s="1"/>
  <c r="CL812" i="1"/>
  <c r="CK813" i="1"/>
  <c r="CM813" i="1" s="1"/>
  <c r="CL813" i="1"/>
  <c r="CK814" i="1"/>
  <c r="CM814" i="1" s="1"/>
  <c r="CL814" i="1"/>
  <c r="CK815" i="1"/>
  <c r="CM815" i="1" s="1"/>
  <c r="CL815" i="1"/>
  <c r="CK816" i="1"/>
  <c r="CM816" i="1" s="1"/>
  <c r="CL816" i="1"/>
  <c r="CK817" i="1"/>
  <c r="CM817" i="1" s="1"/>
  <c r="CL817" i="1"/>
  <c r="CK818" i="1"/>
  <c r="CM818" i="1" s="1"/>
  <c r="CL818" i="1"/>
  <c r="CK819" i="1"/>
  <c r="CM819" i="1" s="1"/>
  <c r="CL819" i="1"/>
  <c r="CK820" i="1"/>
  <c r="CM820" i="1" s="1"/>
  <c r="CL820" i="1"/>
  <c r="CK821" i="1"/>
  <c r="CM821" i="1" s="1"/>
  <c r="CL821" i="1"/>
  <c r="CK822" i="1"/>
  <c r="CM822" i="1" s="1"/>
  <c r="CL822" i="1"/>
  <c r="CK823" i="1"/>
  <c r="CM823" i="1" s="1"/>
  <c r="CL823" i="1"/>
  <c r="CK824" i="1"/>
  <c r="CM824" i="1" s="1"/>
  <c r="CL824" i="1"/>
  <c r="CK825" i="1"/>
  <c r="CM825" i="1" s="1"/>
  <c r="CL825" i="1"/>
  <c r="CK826" i="1"/>
  <c r="CM826" i="1" s="1"/>
  <c r="CL826" i="1"/>
  <c r="CK827" i="1"/>
  <c r="CM827" i="1" s="1"/>
  <c r="CL827" i="1"/>
  <c r="CK828" i="1"/>
  <c r="CM828" i="1" s="1"/>
  <c r="CL828" i="1"/>
  <c r="CK829" i="1"/>
  <c r="CM829" i="1" s="1"/>
  <c r="CL829" i="1"/>
  <c r="CK830" i="1"/>
  <c r="CM830" i="1" s="1"/>
  <c r="CL830" i="1"/>
  <c r="CK831" i="1"/>
  <c r="CM831" i="1" s="1"/>
  <c r="CL831" i="1"/>
  <c r="CK832" i="1"/>
  <c r="CM832" i="1" s="1"/>
  <c r="CL832" i="1"/>
  <c r="CK833" i="1"/>
  <c r="CM833" i="1" s="1"/>
  <c r="CL833" i="1"/>
  <c r="CK834" i="1"/>
  <c r="CM834" i="1" s="1"/>
  <c r="CL834" i="1"/>
  <c r="CK835" i="1"/>
  <c r="CM835" i="1" s="1"/>
  <c r="CL835" i="1"/>
  <c r="CK836" i="1"/>
  <c r="CM836" i="1" s="1"/>
  <c r="CL836" i="1"/>
  <c r="CK837" i="1"/>
  <c r="CM837" i="1" s="1"/>
  <c r="CL837" i="1"/>
  <c r="CK838" i="1"/>
  <c r="CM838" i="1" s="1"/>
  <c r="CL838" i="1"/>
  <c r="CK839" i="1"/>
  <c r="CM839" i="1" s="1"/>
  <c r="CL839" i="1"/>
  <c r="CK840" i="1"/>
  <c r="CM840" i="1" s="1"/>
  <c r="CL840" i="1"/>
  <c r="CK841" i="1"/>
  <c r="CM841" i="1" s="1"/>
  <c r="CL841" i="1"/>
  <c r="CK842" i="1"/>
  <c r="CM842" i="1" s="1"/>
  <c r="CL842" i="1"/>
  <c r="CK843" i="1"/>
  <c r="CM843" i="1" s="1"/>
  <c r="CL843" i="1"/>
  <c r="CK844" i="1"/>
  <c r="CM844" i="1" s="1"/>
  <c r="CL844" i="1"/>
  <c r="CK845" i="1"/>
  <c r="CM845" i="1" s="1"/>
  <c r="CL845" i="1"/>
  <c r="CK846" i="1"/>
  <c r="CM846" i="1" s="1"/>
  <c r="CL846" i="1"/>
  <c r="CK847" i="1"/>
  <c r="CM847" i="1" s="1"/>
  <c r="CL847" i="1"/>
  <c r="CK848" i="1"/>
  <c r="CM848" i="1" s="1"/>
  <c r="CL848" i="1"/>
  <c r="CK849" i="1"/>
  <c r="CM849" i="1" s="1"/>
  <c r="CL849" i="1"/>
  <c r="CK850" i="1"/>
  <c r="CM850" i="1" s="1"/>
  <c r="CL850" i="1"/>
  <c r="CK851" i="1"/>
  <c r="CM851" i="1" s="1"/>
  <c r="CL851" i="1"/>
  <c r="CK852" i="1"/>
  <c r="CM852" i="1" s="1"/>
  <c r="CL852" i="1"/>
  <c r="CK853" i="1"/>
  <c r="CM853" i="1" s="1"/>
  <c r="CL853" i="1"/>
  <c r="CK854" i="1"/>
  <c r="CM854" i="1" s="1"/>
  <c r="CL854" i="1"/>
  <c r="CK855" i="1"/>
  <c r="CM855" i="1" s="1"/>
  <c r="CL855" i="1"/>
  <c r="CK856" i="1"/>
  <c r="CM856" i="1" s="1"/>
  <c r="CL856" i="1"/>
  <c r="H104" i="5" l="1"/>
  <c r="H105" i="5"/>
  <c r="E116" i="5" l="1"/>
  <c r="D116" i="5"/>
  <c r="C116" i="5"/>
  <c r="B116" i="5"/>
  <c r="G115" i="5"/>
  <c r="F115" i="5"/>
  <c r="G114" i="5"/>
  <c r="F114" i="5"/>
  <c r="F113" i="5"/>
  <c r="G113" i="5" s="1"/>
  <c r="F112" i="5"/>
  <c r="G112" i="5" s="1"/>
  <c r="G111" i="5"/>
  <c r="F111" i="5"/>
  <c r="G110" i="5"/>
  <c r="F110" i="5"/>
  <c r="F109" i="5"/>
  <c r="F116" i="5" s="1"/>
  <c r="G116" i="5" s="1"/>
  <c r="H117" i="5" s="1"/>
  <c r="G109" i="5" l="1"/>
  <c r="CF691" i="1" l="1"/>
  <c r="CF692" i="1"/>
  <c r="CF693" i="1"/>
  <c r="CF694" i="1"/>
  <c r="CF695" i="1"/>
  <c r="CF696" i="1"/>
  <c r="CF697" i="1"/>
  <c r="CF698" i="1"/>
  <c r="CF699" i="1"/>
  <c r="CF700" i="1"/>
  <c r="CF701" i="1"/>
  <c r="CF702" i="1"/>
  <c r="CF703" i="1"/>
  <c r="CF704" i="1"/>
  <c r="CF705" i="1"/>
  <c r="CF706" i="1"/>
  <c r="CF707" i="1"/>
  <c r="CF708" i="1"/>
  <c r="CF709" i="1"/>
  <c r="CF710" i="1"/>
  <c r="CF711" i="1"/>
  <c r="CF712" i="1"/>
  <c r="CF713" i="1"/>
  <c r="CF714" i="1"/>
  <c r="CF715" i="1"/>
  <c r="CF716" i="1"/>
  <c r="CF717" i="1"/>
  <c r="CF718" i="1"/>
  <c r="CF719" i="1"/>
  <c r="CF720" i="1"/>
  <c r="CF721" i="1"/>
  <c r="CF722" i="1"/>
  <c r="CF723" i="1"/>
  <c r="CF724" i="1"/>
  <c r="CF725" i="1"/>
  <c r="CF726" i="1"/>
  <c r="CF727" i="1"/>
  <c r="CF728" i="1"/>
  <c r="CF729" i="1"/>
  <c r="CF730" i="1"/>
  <c r="CF731" i="1"/>
  <c r="CF732" i="1"/>
  <c r="CF733" i="1"/>
  <c r="CF734" i="1"/>
  <c r="CF735" i="1"/>
  <c r="CF736" i="1"/>
  <c r="CF737" i="1"/>
  <c r="CF738" i="1"/>
  <c r="CF739" i="1"/>
  <c r="CF740" i="1"/>
  <c r="CF741" i="1"/>
  <c r="CF742" i="1"/>
  <c r="CF743" i="1"/>
  <c r="CF744" i="1"/>
  <c r="CF745" i="1"/>
  <c r="CF746" i="1"/>
  <c r="CF747" i="1"/>
  <c r="CF748" i="1"/>
  <c r="CF749" i="1"/>
  <c r="CF750" i="1"/>
  <c r="CF751" i="1"/>
  <c r="CF752" i="1"/>
  <c r="CF753" i="1"/>
  <c r="CF754" i="1"/>
  <c r="CF755" i="1"/>
  <c r="CF756" i="1"/>
  <c r="CF757" i="1"/>
  <c r="CF758" i="1"/>
  <c r="CF759" i="1"/>
  <c r="CF760" i="1"/>
  <c r="CF761" i="1"/>
  <c r="CF762" i="1"/>
  <c r="CF763" i="1"/>
  <c r="CF764" i="1"/>
  <c r="CF765" i="1"/>
  <c r="CF766" i="1"/>
  <c r="CF767" i="1"/>
  <c r="CF768" i="1"/>
  <c r="CF769" i="1"/>
  <c r="CF770" i="1"/>
  <c r="CF771" i="1"/>
  <c r="CF772" i="1"/>
  <c r="CF773" i="1"/>
  <c r="CF774" i="1"/>
  <c r="CF775" i="1"/>
  <c r="CF776" i="1"/>
  <c r="CF777" i="1"/>
  <c r="CF778" i="1"/>
  <c r="CF779" i="1"/>
  <c r="CF780" i="1"/>
  <c r="CF781" i="1"/>
  <c r="CF782" i="1"/>
  <c r="CF783" i="1"/>
  <c r="CF784" i="1"/>
  <c r="CF785" i="1"/>
  <c r="CF786" i="1"/>
  <c r="CF787" i="1"/>
  <c r="CJ787" i="1" s="1"/>
  <c r="CF788" i="1"/>
  <c r="CF789" i="1"/>
  <c r="CF790" i="1"/>
  <c r="CJ790" i="1" s="1"/>
  <c r="CF791" i="1"/>
  <c r="CJ791" i="1" s="1"/>
  <c r="CF792" i="1"/>
  <c r="CJ792" i="1" s="1"/>
  <c r="CF793" i="1"/>
  <c r="CJ793" i="1" s="1"/>
  <c r="CF794" i="1"/>
  <c r="CJ794" i="1" s="1"/>
  <c r="CF795" i="1"/>
  <c r="CJ795" i="1" s="1"/>
  <c r="CF796" i="1"/>
  <c r="CJ796" i="1" s="1"/>
  <c r="CF797" i="1"/>
  <c r="CJ797" i="1" s="1"/>
  <c r="CF798" i="1"/>
  <c r="CJ798" i="1" s="1"/>
  <c r="CF799" i="1"/>
  <c r="CJ799" i="1" s="1"/>
  <c r="CF800" i="1"/>
  <c r="CJ800" i="1" s="1"/>
  <c r="CF801" i="1"/>
  <c r="CJ801" i="1" s="1"/>
  <c r="CF802" i="1"/>
  <c r="CJ802" i="1" s="1"/>
  <c r="CF803" i="1"/>
  <c r="CJ803" i="1" s="1"/>
  <c r="CF804" i="1"/>
  <c r="CJ804" i="1" s="1"/>
  <c r="CF805" i="1"/>
  <c r="CJ805" i="1" s="1"/>
  <c r="CF806" i="1"/>
  <c r="CJ806" i="1" s="1"/>
  <c r="CF807" i="1"/>
  <c r="CJ807" i="1" s="1"/>
  <c r="CF808" i="1"/>
  <c r="CJ808" i="1" s="1"/>
  <c r="CF809" i="1"/>
  <c r="CJ809" i="1" s="1"/>
  <c r="CF810" i="1"/>
  <c r="CJ810" i="1" s="1"/>
  <c r="CF811" i="1"/>
  <c r="CJ811" i="1" s="1"/>
  <c r="CF812" i="1"/>
  <c r="CJ812" i="1" s="1"/>
  <c r="CF813" i="1"/>
  <c r="CJ813" i="1" s="1"/>
  <c r="CF814" i="1"/>
  <c r="CJ814" i="1" s="1"/>
  <c r="CF815" i="1"/>
  <c r="CJ815" i="1" s="1"/>
  <c r="CF816" i="1"/>
  <c r="CJ816" i="1" s="1"/>
  <c r="CF817" i="1"/>
  <c r="CJ817" i="1" s="1"/>
  <c r="CF818" i="1"/>
  <c r="CJ818" i="1" s="1"/>
  <c r="CF819" i="1"/>
  <c r="CJ819" i="1" s="1"/>
  <c r="CF820" i="1"/>
  <c r="CJ820" i="1" s="1"/>
  <c r="CF821" i="1"/>
  <c r="CJ821" i="1" s="1"/>
  <c r="CF822" i="1"/>
  <c r="CJ822" i="1" s="1"/>
  <c r="CF823" i="1"/>
  <c r="CJ823" i="1" s="1"/>
  <c r="CF824" i="1"/>
  <c r="CJ824" i="1" s="1"/>
  <c r="CF825" i="1"/>
  <c r="CJ825" i="1" s="1"/>
  <c r="CF826" i="1"/>
  <c r="CJ826" i="1" s="1"/>
  <c r="CF827" i="1"/>
  <c r="CJ827" i="1" s="1"/>
  <c r="CF828" i="1"/>
  <c r="CJ828" i="1" s="1"/>
  <c r="CF829" i="1"/>
  <c r="CJ829" i="1" s="1"/>
  <c r="CF830" i="1"/>
  <c r="CJ830" i="1" s="1"/>
  <c r="CF831" i="1"/>
  <c r="CJ831" i="1" s="1"/>
  <c r="CF832" i="1"/>
  <c r="CJ832" i="1" s="1"/>
  <c r="CF833" i="1"/>
  <c r="CJ833" i="1" s="1"/>
  <c r="CF834" i="1"/>
  <c r="CJ834" i="1" s="1"/>
  <c r="CF835" i="1"/>
  <c r="CJ835" i="1" s="1"/>
  <c r="CF836" i="1"/>
  <c r="CJ836" i="1" s="1"/>
  <c r="CF837" i="1"/>
  <c r="CJ837" i="1" s="1"/>
  <c r="CF838" i="1"/>
  <c r="CJ838" i="1" s="1"/>
  <c r="CF839" i="1"/>
  <c r="CJ839" i="1" s="1"/>
  <c r="CF840" i="1"/>
  <c r="CJ840" i="1" s="1"/>
  <c r="CF841" i="1"/>
  <c r="CJ841" i="1" s="1"/>
  <c r="CF842" i="1"/>
  <c r="CJ842" i="1" s="1"/>
  <c r="CF843" i="1"/>
  <c r="CJ843" i="1" s="1"/>
  <c r="CF844" i="1"/>
  <c r="CJ844" i="1" s="1"/>
  <c r="CF845" i="1"/>
  <c r="CJ845" i="1" s="1"/>
  <c r="CF846" i="1"/>
  <c r="CJ846" i="1" s="1"/>
  <c r="CF847" i="1"/>
  <c r="CJ847" i="1" s="1"/>
  <c r="CF848" i="1"/>
  <c r="CJ848" i="1" s="1"/>
  <c r="CF849" i="1"/>
  <c r="CJ849" i="1" s="1"/>
  <c r="CF850" i="1"/>
  <c r="CJ850" i="1" s="1"/>
  <c r="CF851" i="1"/>
  <c r="CJ851" i="1" s="1"/>
  <c r="CF852" i="1"/>
  <c r="CJ852" i="1" s="1"/>
  <c r="CF853" i="1"/>
  <c r="CJ853" i="1" s="1"/>
  <c r="CF854" i="1"/>
  <c r="CJ854" i="1" s="1"/>
  <c r="CF855" i="1"/>
  <c r="CJ855" i="1" s="1"/>
  <c r="CF856" i="1"/>
  <c r="CJ856" i="1" s="1"/>
  <c r="AC848" i="1"/>
  <c r="AD848" i="1"/>
  <c r="AE848" i="1"/>
  <c r="AJ848" i="1" s="1"/>
  <c r="AH848" i="1"/>
  <c r="AK848" i="1"/>
  <c r="AL848" i="1"/>
  <c r="AQ848" i="1"/>
  <c r="AR848" i="1" s="1"/>
  <c r="AS848" i="1"/>
  <c r="AT848" i="1"/>
  <c r="BE848" i="1"/>
  <c r="BF848" i="1"/>
  <c r="AC849" i="1"/>
  <c r="AD849" i="1"/>
  <c r="AE849" i="1"/>
  <c r="AJ849" i="1" s="1"/>
  <c r="AH849" i="1"/>
  <c r="AK849" i="1"/>
  <c r="AL849" i="1"/>
  <c r="AQ849" i="1"/>
  <c r="AR849" i="1" s="1"/>
  <c r="AS849" i="1"/>
  <c r="AT849" i="1"/>
  <c r="BE849" i="1"/>
  <c r="BF849" i="1"/>
  <c r="AC850" i="1"/>
  <c r="AD850" i="1"/>
  <c r="AE850" i="1"/>
  <c r="AJ850" i="1" s="1"/>
  <c r="AH850" i="1"/>
  <c r="AK850" i="1"/>
  <c r="AL850" i="1"/>
  <c r="AQ850" i="1"/>
  <c r="AR850" i="1" s="1"/>
  <c r="AS850" i="1"/>
  <c r="AT850" i="1"/>
  <c r="BE850" i="1"/>
  <c r="BF850" i="1"/>
  <c r="AC851" i="1"/>
  <c r="AD851" i="1"/>
  <c r="AE851" i="1"/>
  <c r="AJ851" i="1" s="1"/>
  <c r="AH851" i="1"/>
  <c r="AK851" i="1"/>
  <c r="AL851" i="1"/>
  <c r="AQ851" i="1"/>
  <c r="AR851" i="1" s="1"/>
  <c r="AS851" i="1"/>
  <c r="AT851" i="1"/>
  <c r="BE851" i="1"/>
  <c r="BF851" i="1"/>
  <c r="AC852" i="1"/>
  <c r="AD852" i="1"/>
  <c r="AE852" i="1"/>
  <c r="AJ852" i="1" s="1"/>
  <c r="AH852" i="1"/>
  <c r="AK852" i="1"/>
  <c r="AL852" i="1"/>
  <c r="AQ852" i="1"/>
  <c r="AR852" i="1" s="1"/>
  <c r="AS852" i="1"/>
  <c r="AT852" i="1"/>
  <c r="BE852" i="1"/>
  <c r="BF852" i="1"/>
  <c r="AC853" i="1"/>
  <c r="AD853" i="1"/>
  <c r="AE853" i="1"/>
  <c r="AJ853" i="1" s="1"/>
  <c r="AH853" i="1"/>
  <c r="AK853" i="1"/>
  <c r="AL853" i="1"/>
  <c r="AQ853" i="1"/>
  <c r="AR853" i="1" s="1"/>
  <c r="AS853" i="1"/>
  <c r="AT853" i="1"/>
  <c r="BE853" i="1"/>
  <c r="BF853" i="1" s="1"/>
  <c r="AC854" i="1"/>
  <c r="AD854" i="1"/>
  <c r="AE854" i="1"/>
  <c r="AJ854" i="1" s="1"/>
  <c r="AH854" i="1"/>
  <c r="AK854" i="1"/>
  <c r="AL854" i="1"/>
  <c r="AQ854" i="1"/>
  <c r="AR854" i="1" s="1"/>
  <c r="AS854" i="1"/>
  <c r="AT854" i="1"/>
  <c r="BE854" i="1"/>
  <c r="BF854" i="1" s="1"/>
  <c r="AC855" i="1"/>
  <c r="AD855" i="1"/>
  <c r="AE855" i="1"/>
  <c r="AJ855" i="1" s="1"/>
  <c r="AH855" i="1"/>
  <c r="AK855" i="1"/>
  <c r="AL855" i="1"/>
  <c r="AQ855" i="1"/>
  <c r="AR855" i="1" s="1"/>
  <c r="AS855" i="1"/>
  <c r="AT855" i="1"/>
  <c r="BE855" i="1"/>
  <c r="BF855" i="1"/>
  <c r="AC856" i="1"/>
  <c r="AD856" i="1"/>
  <c r="AE856" i="1"/>
  <c r="AJ856" i="1" s="1"/>
  <c r="AH856" i="1"/>
  <c r="AK856" i="1"/>
  <c r="AL856" i="1"/>
  <c r="AQ856" i="1"/>
  <c r="AR856" i="1" s="1"/>
  <c r="AS856" i="1"/>
  <c r="AT856" i="1"/>
  <c r="BE856" i="1"/>
  <c r="BF856" i="1"/>
  <c r="AC857" i="1"/>
  <c r="AD857" i="1"/>
  <c r="AE857" i="1"/>
  <c r="AJ857" i="1" s="1"/>
  <c r="AH857" i="1"/>
  <c r="AK857" i="1"/>
  <c r="AL857" i="1"/>
  <c r="AQ857" i="1"/>
  <c r="AR857" i="1" s="1"/>
  <c r="AS857" i="1"/>
  <c r="AT857" i="1"/>
  <c r="BE857" i="1"/>
  <c r="BF857" i="1" s="1"/>
  <c r="AC858" i="1"/>
  <c r="AD858" i="1"/>
  <c r="AE858" i="1"/>
  <c r="AJ858" i="1" s="1"/>
  <c r="AH858" i="1"/>
  <c r="AK858" i="1"/>
  <c r="AL858" i="1"/>
  <c r="AQ858" i="1"/>
  <c r="AR858" i="1" s="1"/>
  <c r="AS858" i="1"/>
  <c r="AT858" i="1"/>
  <c r="BE858" i="1"/>
  <c r="BF858" i="1"/>
  <c r="V848" i="1"/>
  <c r="V849" i="1"/>
  <c r="V850" i="1"/>
  <c r="V851" i="1"/>
  <c r="V852" i="1"/>
  <c r="V853" i="1"/>
  <c r="V854" i="1"/>
  <c r="V855" i="1"/>
  <c r="V856" i="1"/>
  <c r="AM18" i="4"/>
  <c r="CH852" i="1" l="1"/>
  <c r="CI852" i="1" s="1"/>
  <c r="CH848" i="1"/>
  <c r="CI848" i="1" s="1"/>
  <c r="CH849" i="1"/>
  <c r="CI849" i="1" s="1"/>
  <c r="CH853" i="1"/>
  <c r="CI853" i="1" s="1"/>
  <c r="CH856" i="1"/>
  <c r="CI856" i="1" s="1"/>
  <c r="CH850" i="1"/>
  <c r="CI850" i="1" s="1"/>
  <c r="CH855" i="1"/>
  <c r="CI855" i="1" s="1"/>
  <c r="CH854" i="1"/>
  <c r="CI854" i="1" s="1"/>
  <c r="CH851" i="1"/>
  <c r="CI851" i="1" s="1"/>
  <c r="AN854" i="1"/>
  <c r="AG854" i="1" s="1"/>
  <c r="AN856" i="1"/>
  <c r="AG856" i="1" s="1"/>
  <c r="AM858" i="1"/>
  <c r="AO858" i="1" s="1"/>
  <c r="AF858" i="1" s="1"/>
  <c r="AN855" i="1"/>
  <c r="AG855" i="1" s="1"/>
  <c r="AI852" i="1"/>
  <c r="AM849" i="1"/>
  <c r="AO849" i="1" s="1"/>
  <c r="AF849" i="1" s="1"/>
  <c r="AM857" i="1"/>
  <c r="AO857" i="1" s="1"/>
  <c r="AF857" i="1" s="1"/>
  <c r="AM853" i="1"/>
  <c r="AO853" i="1" s="1"/>
  <c r="AF853" i="1" s="1"/>
  <c r="AI848" i="1"/>
  <c r="AI856" i="1"/>
  <c r="AI851" i="1"/>
  <c r="AM856" i="1"/>
  <c r="AO856" i="1" s="1"/>
  <c r="AF856" i="1" s="1"/>
  <c r="AM852" i="1"/>
  <c r="AO852" i="1" s="1"/>
  <c r="AF852" i="1" s="1"/>
  <c r="AM855" i="1"/>
  <c r="AO855" i="1" s="1"/>
  <c r="AF855" i="1" s="1"/>
  <c r="AN852" i="1"/>
  <c r="AG852" i="1" s="1"/>
  <c r="AN849" i="1"/>
  <c r="AG849" i="1" s="1"/>
  <c r="AI849" i="1"/>
  <c r="AM848" i="1"/>
  <c r="AO848" i="1" s="1"/>
  <c r="AF848" i="1" s="1"/>
  <c r="AI853" i="1"/>
  <c r="AI850" i="1"/>
  <c r="AN857" i="1"/>
  <c r="AG857" i="1" s="1"/>
  <c r="AI857" i="1"/>
  <c r="AI858" i="1"/>
  <c r="AI854" i="1"/>
  <c r="AM850" i="1"/>
  <c r="AO850" i="1" s="1"/>
  <c r="AF850" i="1" s="1"/>
  <c r="AI855" i="1"/>
  <c r="AM854" i="1"/>
  <c r="AO854" i="1" s="1"/>
  <c r="AF854" i="1" s="1"/>
  <c r="AM851" i="1"/>
  <c r="AO851" i="1" s="1"/>
  <c r="AF851" i="1" s="1"/>
  <c r="AN848" i="1"/>
  <c r="AG848" i="1" s="1"/>
  <c r="AN851" i="1"/>
  <c r="AG851" i="1" s="1"/>
  <c r="AN853" i="1"/>
  <c r="AG853" i="1" s="1"/>
  <c r="AN858" i="1"/>
  <c r="AG858" i="1" s="1"/>
  <c r="AN850" i="1"/>
  <c r="AG850" i="1" s="1"/>
  <c r="AC840" i="1"/>
  <c r="AD840" i="1"/>
  <c r="AE840" i="1"/>
  <c r="AJ840" i="1" s="1"/>
  <c r="AH840" i="1"/>
  <c r="AK840" i="1"/>
  <c r="AL840" i="1"/>
  <c r="AQ840" i="1"/>
  <c r="AR840" i="1" s="1"/>
  <c r="AS840" i="1"/>
  <c r="AT840" i="1"/>
  <c r="BE840" i="1"/>
  <c r="BF840" i="1" s="1"/>
  <c r="AC841" i="1"/>
  <c r="AD841" i="1"/>
  <c r="AE841" i="1"/>
  <c r="AJ841" i="1" s="1"/>
  <c r="AH841" i="1"/>
  <c r="AK841" i="1"/>
  <c r="AL841" i="1"/>
  <c r="AQ841" i="1"/>
  <c r="AR841" i="1" s="1"/>
  <c r="AS841" i="1"/>
  <c r="AT841" i="1"/>
  <c r="BE841" i="1"/>
  <c r="BF841" i="1" s="1"/>
  <c r="AC842" i="1"/>
  <c r="AD842" i="1"/>
  <c r="AE842" i="1"/>
  <c r="AJ842" i="1" s="1"/>
  <c r="AH842" i="1"/>
  <c r="AK842" i="1"/>
  <c r="AL842" i="1"/>
  <c r="AQ842" i="1"/>
  <c r="AR842" i="1" s="1"/>
  <c r="AS842" i="1"/>
  <c r="AT842" i="1"/>
  <c r="BE842" i="1"/>
  <c r="BF842" i="1"/>
  <c r="AC843" i="1"/>
  <c r="AD843" i="1"/>
  <c r="AE843" i="1"/>
  <c r="AJ843" i="1" s="1"/>
  <c r="AH843" i="1"/>
  <c r="AK843" i="1"/>
  <c r="AL843" i="1"/>
  <c r="AQ843" i="1"/>
  <c r="AR843" i="1" s="1"/>
  <c r="AS843" i="1"/>
  <c r="AT843" i="1"/>
  <c r="BE843" i="1"/>
  <c r="BF843" i="1" s="1"/>
  <c r="AC844" i="1"/>
  <c r="AD844" i="1"/>
  <c r="AE844" i="1"/>
  <c r="AJ844" i="1" s="1"/>
  <c r="AH844" i="1"/>
  <c r="AK844" i="1"/>
  <c r="AL844" i="1"/>
  <c r="AQ844" i="1"/>
  <c r="AR844" i="1" s="1"/>
  <c r="AS844" i="1"/>
  <c r="AT844" i="1"/>
  <c r="BE844" i="1"/>
  <c r="BF844" i="1"/>
  <c r="AC845" i="1"/>
  <c r="AD845" i="1"/>
  <c r="AE845" i="1"/>
  <c r="AJ845" i="1" s="1"/>
  <c r="AH845" i="1"/>
  <c r="AK845" i="1"/>
  <c r="AL845" i="1"/>
  <c r="AQ845" i="1"/>
  <c r="AR845" i="1" s="1"/>
  <c r="AS845" i="1"/>
  <c r="AT845" i="1"/>
  <c r="BE845" i="1"/>
  <c r="BF845" i="1"/>
  <c r="AC846" i="1"/>
  <c r="AD846" i="1"/>
  <c r="AE846" i="1"/>
  <c r="AJ846" i="1" s="1"/>
  <c r="AH846" i="1"/>
  <c r="AK846" i="1"/>
  <c r="AL846" i="1"/>
  <c r="AQ846" i="1"/>
  <c r="AR846" i="1" s="1"/>
  <c r="AS846" i="1"/>
  <c r="AT846" i="1"/>
  <c r="BE846" i="1"/>
  <c r="BF846" i="1" s="1"/>
  <c r="AC847" i="1"/>
  <c r="AD847" i="1"/>
  <c r="AE847" i="1"/>
  <c r="AJ847" i="1" s="1"/>
  <c r="AH847" i="1"/>
  <c r="AK847" i="1"/>
  <c r="AL847" i="1"/>
  <c r="AQ847" i="1"/>
  <c r="AR847" i="1" s="1"/>
  <c r="AS847" i="1"/>
  <c r="AT847" i="1"/>
  <c r="BE847" i="1"/>
  <c r="BF847" i="1" s="1"/>
  <c r="V842" i="1"/>
  <c r="V843" i="1"/>
  <c r="V844" i="1"/>
  <c r="V845" i="1"/>
  <c r="V846" i="1"/>
  <c r="V847" i="1"/>
  <c r="V841" i="1"/>
  <c r="B81" i="4"/>
  <c r="B82" i="4"/>
  <c r="B83" i="4"/>
  <c r="B84" i="4"/>
  <c r="B85" i="4"/>
  <c r="B86" i="4"/>
  <c r="B87" i="4"/>
  <c r="B88" i="4"/>
  <c r="B89" i="4"/>
  <c r="B90" i="4"/>
  <c r="B91" i="4"/>
  <c r="B92" i="4"/>
  <c r="B80" i="4"/>
  <c r="B79" i="4"/>
  <c r="C79" i="4"/>
  <c r="D79" i="4"/>
  <c r="E79" i="4"/>
  <c r="F79" i="4"/>
  <c r="I79" i="4"/>
  <c r="I81" i="4"/>
  <c r="I82" i="4"/>
  <c r="I83" i="4"/>
  <c r="I84" i="4"/>
  <c r="I85" i="4"/>
  <c r="I86" i="4"/>
  <c r="I87" i="4"/>
  <c r="I88" i="4"/>
  <c r="I89" i="4"/>
  <c r="I90" i="4"/>
  <c r="I91" i="4"/>
  <c r="I92" i="4"/>
  <c r="AC834" i="1"/>
  <c r="AD834" i="1"/>
  <c r="AE834" i="1"/>
  <c r="AJ834" i="1" s="1"/>
  <c r="AH834" i="1"/>
  <c r="AK834" i="1"/>
  <c r="AL834" i="1"/>
  <c r="AQ834" i="1"/>
  <c r="AR834" i="1" s="1"/>
  <c r="AS834" i="1"/>
  <c r="AT834" i="1"/>
  <c r="BE834" i="1"/>
  <c r="BF834" i="1"/>
  <c r="AC835" i="1"/>
  <c r="AD835" i="1"/>
  <c r="AE835" i="1"/>
  <c r="AJ835" i="1" s="1"/>
  <c r="AH835" i="1"/>
  <c r="AK835" i="1"/>
  <c r="AL835" i="1"/>
  <c r="AQ835" i="1"/>
  <c r="AR835" i="1" s="1"/>
  <c r="AS835" i="1"/>
  <c r="AT835" i="1"/>
  <c r="BE835" i="1"/>
  <c r="BF835" i="1"/>
  <c r="AC836" i="1"/>
  <c r="AD836" i="1"/>
  <c r="AE836" i="1"/>
  <c r="AJ836" i="1" s="1"/>
  <c r="AH836" i="1"/>
  <c r="AK836" i="1"/>
  <c r="AL836" i="1"/>
  <c r="AQ836" i="1"/>
  <c r="AR836" i="1" s="1"/>
  <c r="AS836" i="1"/>
  <c r="AT836" i="1"/>
  <c r="BE836" i="1"/>
  <c r="BF836" i="1"/>
  <c r="AC837" i="1"/>
  <c r="AD837" i="1"/>
  <c r="AE837" i="1"/>
  <c r="AJ837" i="1" s="1"/>
  <c r="AH837" i="1"/>
  <c r="AK837" i="1"/>
  <c r="AL837" i="1"/>
  <c r="AQ837" i="1"/>
  <c r="AR837" i="1" s="1"/>
  <c r="AS837" i="1"/>
  <c r="AT837" i="1"/>
  <c r="BE837" i="1"/>
  <c r="BF837" i="1"/>
  <c r="AC838" i="1"/>
  <c r="AD838" i="1"/>
  <c r="AE838" i="1"/>
  <c r="AJ838" i="1" s="1"/>
  <c r="AH838" i="1"/>
  <c r="AK838" i="1"/>
  <c r="AL838" i="1"/>
  <c r="AQ838" i="1"/>
  <c r="AR838" i="1" s="1"/>
  <c r="AS838" i="1"/>
  <c r="AT838" i="1"/>
  <c r="BE838" i="1"/>
  <c r="BF838" i="1"/>
  <c r="AC839" i="1"/>
  <c r="AD839" i="1"/>
  <c r="AE839" i="1"/>
  <c r="AJ839" i="1" s="1"/>
  <c r="AH839" i="1"/>
  <c r="AK839" i="1"/>
  <c r="AL839" i="1"/>
  <c r="AQ839" i="1"/>
  <c r="AR839" i="1" s="1"/>
  <c r="AS839" i="1"/>
  <c r="AT839" i="1"/>
  <c r="BE839" i="1"/>
  <c r="BF839" i="1"/>
  <c r="V836" i="1"/>
  <c r="V837" i="1"/>
  <c r="V838" i="1"/>
  <c r="V839" i="1"/>
  <c r="V840" i="1"/>
  <c r="V391" i="1"/>
  <c r="CH846" i="1" l="1"/>
  <c r="CI846" i="1" s="1"/>
  <c r="CH840" i="1"/>
  <c r="CI840" i="1" s="1"/>
  <c r="CH843" i="1"/>
  <c r="CI843" i="1" s="1"/>
  <c r="CH845" i="1"/>
  <c r="CI845" i="1" s="1"/>
  <c r="CH838" i="1"/>
  <c r="CI838" i="1" s="1"/>
  <c r="CH839" i="1"/>
  <c r="CI839" i="1" s="1"/>
  <c r="CH844" i="1"/>
  <c r="CI844" i="1" s="1"/>
  <c r="CH841" i="1"/>
  <c r="CI841" i="1" s="1"/>
  <c r="CH836" i="1"/>
  <c r="CI836" i="1" s="1"/>
  <c r="CH837" i="1"/>
  <c r="CI837" i="1" s="1"/>
  <c r="CH835" i="1"/>
  <c r="CI835" i="1" s="1"/>
  <c r="CH842" i="1"/>
  <c r="CI842" i="1" s="1"/>
  <c r="CH834" i="1"/>
  <c r="CI834" i="1" s="1"/>
  <c r="CH847" i="1"/>
  <c r="CI847" i="1" s="1"/>
  <c r="AN845" i="1"/>
  <c r="AG845" i="1" s="1"/>
  <c r="AN843" i="1"/>
  <c r="AG843" i="1" s="1"/>
  <c r="AI842" i="1"/>
  <c r="AI845" i="1"/>
  <c r="AI844" i="1"/>
  <c r="AM846" i="1"/>
  <c r="AO846" i="1" s="1"/>
  <c r="AF846" i="1" s="1"/>
  <c r="AM844" i="1"/>
  <c r="AO844" i="1" s="1"/>
  <c r="AF844" i="1" s="1"/>
  <c r="AM847" i="1"/>
  <c r="AO847" i="1" s="1"/>
  <c r="AF847" i="1" s="1"/>
  <c r="AI846" i="1"/>
  <c r="AN846" i="1"/>
  <c r="AG846" i="1" s="1"/>
  <c r="AM845" i="1"/>
  <c r="AO845" i="1" s="1"/>
  <c r="AF845" i="1" s="1"/>
  <c r="AM842" i="1"/>
  <c r="AO842" i="1" s="1"/>
  <c r="AF842" i="1" s="1"/>
  <c r="AI847" i="1"/>
  <c r="AM843" i="1"/>
  <c r="AO843" i="1" s="1"/>
  <c r="AF843" i="1" s="1"/>
  <c r="AM841" i="1"/>
  <c r="AO841" i="1" s="1"/>
  <c r="AF841" i="1" s="1"/>
  <c r="AM840" i="1"/>
  <c r="AO840" i="1" s="1"/>
  <c r="AF840" i="1" s="1"/>
  <c r="AN841" i="1"/>
  <c r="AG841" i="1" s="1"/>
  <c r="AN840" i="1"/>
  <c r="AG840" i="1" s="1"/>
  <c r="AI840" i="1"/>
  <c r="AI841" i="1"/>
  <c r="AN847" i="1"/>
  <c r="AG847" i="1" s="1"/>
  <c r="AN844" i="1"/>
  <c r="AG844" i="1" s="1"/>
  <c r="AI843" i="1"/>
  <c r="AN842" i="1"/>
  <c r="AG842" i="1" s="1"/>
  <c r="AM836" i="1"/>
  <c r="AO836" i="1" s="1"/>
  <c r="AF836" i="1" s="1"/>
  <c r="AM835" i="1"/>
  <c r="AO835" i="1" s="1"/>
  <c r="AF835" i="1" s="1"/>
  <c r="AM834" i="1"/>
  <c r="AO834" i="1" s="1"/>
  <c r="AF834" i="1" s="1"/>
  <c r="AI838" i="1"/>
  <c r="F80" i="4"/>
  <c r="E80" i="4"/>
  <c r="D80" i="4"/>
  <c r="C80" i="4"/>
  <c r="I80" i="4"/>
  <c r="AI839" i="1"/>
  <c r="AN838" i="1"/>
  <c r="AG838" i="1" s="1"/>
  <c r="AN835" i="1"/>
  <c r="AG835" i="1" s="1"/>
  <c r="AN837" i="1"/>
  <c r="AG837" i="1" s="1"/>
  <c r="AI836" i="1"/>
  <c r="AI837" i="1"/>
  <c r="AI834" i="1"/>
  <c r="AI835" i="1"/>
  <c r="AM839" i="1"/>
  <c r="AO839" i="1" s="1"/>
  <c r="AF839" i="1" s="1"/>
  <c r="AN836" i="1"/>
  <c r="AG836" i="1" s="1"/>
  <c r="AM837" i="1"/>
  <c r="AO837" i="1" s="1"/>
  <c r="AF837" i="1" s="1"/>
  <c r="AM838" i="1"/>
  <c r="AO838" i="1" s="1"/>
  <c r="AF838" i="1" s="1"/>
  <c r="AN834" i="1"/>
  <c r="AG834" i="1" s="1"/>
  <c r="AN839" i="1"/>
  <c r="AG839" i="1" s="1"/>
  <c r="BA715" i="1" l="1"/>
  <c r="AC816" i="1"/>
  <c r="AD816" i="1"/>
  <c r="AE816" i="1"/>
  <c r="AJ816" i="1" s="1"/>
  <c r="AH816" i="1"/>
  <c r="AK816" i="1"/>
  <c r="AL816" i="1"/>
  <c r="AQ816" i="1"/>
  <c r="AR816" i="1" s="1"/>
  <c r="AS816" i="1"/>
  <c r="AT816" i="1"/>
  <c r="BE816" i="1"/>
  <c r="BF816" i="1" s="1"/>
  <c r="AC817" i="1"/>
  <c r="AD817" i="1"/>
  <c r="AE817" i="1"/>
  <c r="AJ817" i="1" s="1"/>
  <c r="AH817" i="1"/>
  <c r="AK817" i="1"/>
  <c r="AL817" i="1"/>
  <c r="AQ817" i="1"/>
  <c r="AR817" i="1" s="1"/>
  <c r="AS817" i="1"/>
  <c r="AT817" i="1"/>
  <c r="BE817" i="1"/>
  <c r="BF817" i="1" s="1"/>
  <c r="AC818" i="1"/>
  <c r="AD818" i="1"/>
  <c r="AE818" i="1"/>
  <c r="AJ818" i="1" s="1"/>
  <c r="AH818" i="1"/>
  <c r="AK818" i="1"/>
  <c r="AL818" i="1"/>
  <c r="AQ818" i="1"/>
  <c r="AR818" i="1" s="1"/>
  <c r="AS818" i="1"/>
  <c r="AT818" i="1"/>
  <c r="BE818" i="1"/>
  <c r="BF818" i="1" s="1"/>
  <c r="AC819" i="1"/>
  <c r="AD819" i="1"/>
  <c r="AE819" i="1"/>
  <c r="AJ819" i="1" s="1"/>
  <c r="AH819" i="1"/>
  <c r="AK819" i="1"/>
  <c r="AL819" i="1"/>
  <c r="AQ819" i="1"/>
  <c r="AR819" i="1" s="1"/>
  <c r="AS819" i="1"/>
  <c r="AT819" i="1"/>
  <c r="BF819" i="1"/>
  <c r="AC820" i="1"/>
  <c r="AD820" i="1"/>
  <c r="AE820" i="1"/>
  <c r="AJ820" i="1" s="1"/>
  <c r="AH820" i="1"/>
  <c r="AK820" i="1"/>
  <c r="AL820" i="1"/>
  <c r="AQ820" i="1"/>
  <c r="AR820" i="1" s="1"/>
  <c r="AS820" i="1"/>
  <c r="AT820" i="1"/>
  <c r="BE820" i="1"/>
  <c r="BF820" i="1" s="1"/>
  <c r="AC821" i="1"/>
  <c r="AD821" i="1"/>
  <c r="AE821" i="1"/>
  <c r="AJ821" i="1" s="1"/>
  <c r="AH821" i="1"/>
  <c r="AK821" i="1"/>
  <c r="AL821" i="1"/>
  <c r="AQ821" i="1"/>
  <c r="AR821" i="1" s="1"/>
  <c r="AS821" i="1"/>
  <c r="AT821" i="1"/>
  <c r="BE821" i="1"/>
  <c r="BF821" i="1"/>
  <c r="AC822" i="1"/>
  <c r="AD822" i="1"/>
  <c r="AE822" i="1"/>
  <c r="AJ822" i="1" s="1"/>
  <c r="AH822" i="1"/>
  <c r="AK822" i="1"/>
  <c r="AL822" i="1"/>
  <c r="AQ822" i="1"/>
  <c r="AR822" i="1" s="1"/>
  <c r="AS822" i="1"/>
  <c r="AT822" i="1"/>
  <c r="BE822" i="1"/>
  <c r="BF822" i="1"/>
  <c r="AC823" i="1"/>
  <c r="AD823" i="1"/>
  <c r="AE823" i="1"/>
  <c r="AJ823" i="1" s="1"/>
  <c r="AH823" i="1"/>
  <c r="AK823" i="1"/>
  <c r="AL823" i="1"/>
  <c r="AQ823" i="1"/>
  <c r="AR823" i="1" s="1"/>
  <c r="AS823" i="1"/>
  <c r="AT823" i="1"/>
  <c r="BE823" i="1"/>
  <c r="BF823" i="1"/>
  <c r="AC824" i="1"/>
  <c r="AD824" i="1"/>
  <c r="AE824" i="1"/>
  <c r="AJ824" i="1" s="1"/>
  <c r="AH824" i="1"/>
  <c r="AK824" i="1"/>
  <c r="AL824" i="1"/>
  <c r="AQ824" i="1"/>
  <c r="AR824" i="1" s="1"/>
  <c r="AS824" i="1"/>
  <c r="AT824" i="1"/>
  <c r="BE824" i="1"/>
  <c r="BF824" i="1"/>
  <c r="AC825" i="1"/>
  <c r="AD825" i="1"/>
  <c r="AE825" i="1"/>
  <c r="AJ825" i="1" s="1"/>
  <c r="AH825" i="1"/>
  <c r="AK825" i="1"/>
  <c r="AL825" i="1"/>
  <c r="AQ825" i="1"/>
  <c r="AR825" i="1" s="1"/>
  <c r="AS825" i="1"/>
  <c r="AT825" i="1"/>
  <c r="BE825" i="1"/>
  <c r="BF825" i="1"/>
  <c r="AC826" i="1"/>
  <c r="AD826" i="1"/>
  <c r="AE826" i="1"/>
  <c r="AJ826" i="1" s="1"/>
  <c r="AH826" i="1"/>
  <c r="AK826" i="1"/>
  <c r="AL826" i="1"/>
  <c r="AQ826" i="1"/>
  <c r="AR826" i="1" s="1"/>
  <c r="AS826" i="1"/>
  <c r="AT826" i="1"/>
  <c r="BE826" i="1"/>
  <c r="BF826" i="1"/>
  <c r="AC827" i="1"/>
  <c r="AD827" i="1"/>
  <c r="AE827" i="1"/>
  <c r="AJ827" i="1" s="1"/>
  <c r="AH827" i="1"/>
  <c r="AK827" i="1"/>
  <c r="AL827" i="1"/>
  <c r="AQ827" i="1"/>
  <c r="AR827" i="1" s="1"/>
  <c r="AS827" i="1"/>
  <c r="AT827" i="1"/>
  <c r="BE827" i="1"/>
  <c r="BF827" i="1" s="1"/>
  <c r="AC828" i="1"/>
  <c r="AD828" i="1"/>
  <c r="AE828" i="1"/>
  <c r="AJ828" i="1" s="1"/>
  <c r="AH828" i="1"/>
  <c r="AK828" i="1"/>
  <c r="AL828" i="1"/>
  <c r="AQ828" i="1"/>
  <c r="AR828" i="1" s="1"/>
  <c r="AS828" i="1"/>
  <c r="AT828" i="1"/>
  <c r="BE828" i="1"/>
  <c r="BF828" i="1" s="1"/>
  <c r="AC829" i="1"/>
  <c r="AD829" i="1"/>
  <c r="AE829" i="1"/>
  <c r="AJ829" i="1" s="1"/>
  <c r="AH829" i="1"/>
  <c r="AK829" i="1"/>
  <c r="AL829" i="1"/>
  <c r="AQ829" i="1"/>
  <c r="AR829" i="1" s="1"/>
  <c r="AS829" i="1"/>
  <c r="AT829" i="1"/>
  <c r="BE829" i="1"/>
  <c r="BF829" i="1" s="1"/>
  <c r="AC830" i="1"/>
  <c r="AD830" i="1"/>
  <c r="AE830" i="1"/>
  <c r="AJ830" i="1" s="1"/>
  <c r="AH830" i="1"/>
  <c r="AK830" i="1"/>
  <c r="AL830" i="1"/>
  <c r="AQ830" i="1"/>
  <c r="AR830" i="1" s="1"/>
  <c r="AS830" i="1"/>
  <c r="AT830" i="1"/>
  <c r="BE830" i="1"/>
  <c r="BF830" i="1"/>
  <c r="AC831" i="1"/>
  <c r="AD831" i="1"/>
  <c r="AE831" i="1"/>
  <c r="AJ831" i="1" s="1"/>
  <c r="AH831" i="1"/>
  <c r="AK831" i="1"/>
  <c r="AL831" i="1"/>
  <c r="AQ831" i="1"/>
  <c r="AR831" i="1" s="1"/>
  <c r="AS831" i="1"/>
  <c r="AT831" i="1"/>
  <c r="BE831" i="1"/>
  <c r="BF831" i="1"/>
  <c r="AC832" i="1"/>
  <c r="AD832" i="1"/>
  <c r="AE832" i="1"/>
  <c r="AJ832" i="1" s="1"/>
  <c r="AH832" i="1"/>
  <c r="AK832" i="1"/>
  <c r="AL832" i="1"/>
  <c r="AQ832" i="1"/>
  <c r="AR832" i="1" s="1"/>
  <c r="AS832" i="1"/>
  <c r="AT832" i="1"/>
  <c r="BE832" i="1"/>
  <c r="BF832" i="1"/>
  <c r="AC833" i="1"/>
  <c r="AD833" i="1"/>
  <c r="AE833" i="1"/>
  <c r="AJ833" i="1" s="1"/>
  <c r="AH833" i="1"/>
  <c r="AK833" i="1"/>
  <c r="AL833" i="1"/>
  <c r="AQ833" i="1"/>
  <c r="AR833" i="1" s="1"/>
  <c r="AS833" i="1"/>
  <c r="AT833" i="1"/>
  <c r="BE833" i="1"/>
  <c r="BF833" i="1"/>
  <c r="V819" i="1"/>
  <c r="V820" i="1"/>
  <c r="V821" i="1"/>
  <c r="V822" i="1"/>
  <c r="V823" i="1"/>
  <c r="V824" i="1"/>
  <c r="V825" i="1"/>
  <c r="V826" i="1"/>
  <c r="V827" i="1"/>
  <c r="V828" i="1"/>
  <c r="V829" i="1"/>
  <c r="V830" i="1"/>
  <c r="V831" i="1"/>
  <c r="V832" i="1"/>
  <c r="V833" i="1"/>
  <c r="V834" i="1"/>
  <c r="V835" i="1"/>
  <c r="CH830" i="1" l="1"/>
  <c r="CI830" i="1" s="1"/>
  <c r="CH826" i="1"/>
  <c r="CI826" i="1" s="1"/>
  <c r="CH829" i="1"/>
  <c r="CI829" i="1" s="1"/>
  <c r="CH817" i="1"/>
  <c r="CI817" i="1" s="1"/>
  <c r="CH833" i="1"/>
  <c r="CI833" i="1" s="1"/>
  <c r="CH827" i="1"/>
  <c r="CI827" i="1" s="1"/>
  <c r="CH831" i="1"/>
  <c r="CI831" i="1" s="1"/>
  <c r="CH816" i="1"/>
  <c r="CI816" i="1" s="1"/>
  <c r="CH823" i="1"/>
  <c r="CI823" i="1" s="1"/>
  <c r="CH820" i="1"/>
  <c r="CI820" i="1" s="1"/>
  <c r="CH828" i="1"/>
  <c r="CI828" i="1" s="1"/>
  <c r="CH825" i="1"/>
  <c r="CI825" i="1" s="1"/>
  <c r="CH822" i="1"/>
  <c r="CI822" i="1" s="1"/>
  <c r="CH819" i="1"/>
  <c r="CI819" i="1" s="1"/>
  <c r="CH824" i="1"/>
  <c r="CI824" i="1" s="1"/>
  <c r="CH818" i="1"/>
  <c r="CI818" i="1" s="1"/>
  <c r="CH832" i="1"/>
  <c r="CI832" i="1" s="1"/>
  <c r="CH821" i="1"/>
  <c r="CI821" i="1" s="1"/>
  <c r="AM832" i="1"/>
  <c r="AO832" i="1" s="1"/>
  <c r="AF832" i="1" s="1"/>
  <c r="AM830" i="1"/>
  <c r="AO830" i="1" s="1"/>
  <c r="AF830" i="1" s="1"/>
  <c r="AI832" i="1"/>
  <c r="AN832" i="1"/>
  <c r="AG832" i="1" s="1"/>
  <c r="AM827" i="1"/>
  <c r="AO827" i="1" s="1"/>
  <c r="AF827" i="1" s="1"/>
  <c r="AM823" i="1"/>
  <c r="AO823" i="1" s="1"/>
  <c r="AF823" i="1" s="1"/>
  <c r="AN825" i="1"/>
  <c r="AG825" i="1" s="1"/>
  <c r="AM831" i="1"/>
  <c r="AO831" i="1" s="1"/>
  <c r="AF831" i="1" s="1"/>
  <c r="AM833" i="1"/>
  <c r="AO833" i="1" s="1"/>
  <c r="AF833" i="1" s="1"/>
  <c r="AN820" i="1"/>
  <c r="AG820" i="1" s="1"/>
  <c r="AM822" i="1"/>
  <c r="AO822" i="1" s="1"/>
  <c r="AF822" i="1" s="1"/>
  <c r="AM824" i="1"/>
  <c r="AO824" i="1" s="1"/>
  <c r="AF824" i="1" s="1"/>
  <c r="AN833" i="1"/>
  <c r="AG833" i="1" s="1"/>
  <c r="AI816" i="1"/>
  <c r="AI833" i="1"/>
  <c r="AM829" i="1"/>
  <c r="AO829" i="1" s="1"/>
  <c r="AF829" i="1" s="1"/>
  <c r="AM825" i="1"/>
  <c r="AO825" i="1" s="1"/>
  <c r="AF825" i="1" s="1"/>
  <c r="AN827" i="1"/>
  <c r="AG827" i="1" s="1"/>
  <c r="AI824" i="1"/>
  <c r="AI822" i="1"/>
  <c r="AM819" i="1"/>
  <c r="AO819" i="1" s="1"/>
  <c r="AF819" i="1" s="1"/>
  <c r="AI818" i="1"/>
  <c r="AN824" i="1"/>
  <c r="AG824" i="1" s="1"/>
  <c r="AI831" i="1"/>
  <c r="AN830" i="1"/>
  <c r="AG830" i="1" s="1"/>
  <c r="AI825" i="1"/>
  <c r="AM820" i="1"/>
  <c r="AO820" i="1" s="1"/>
  <c r="AF820" i="1" s="1"/>
  <c r="AI827" i="1"/>
  <c r="AN822" i="1"/>
  <c r="AG822" i="1" s="1"/>
  <c r="AM821" i="1"/>
  <c r="AO821" i="1" s="1"/>
  <c r="AF821" i="1" s="1"/>
  <c r="AI826" i="1"/>
  <c r="AM828" i="1"/>
  <c r="AO828" i="1" s="1"/>
  <c r="AF828" i="1" s="1"/>
  <c r="AI823" i="1"/>
  <c r="AI820" i="1"/>
  <c r="AN819" i="1"/>
  <c r="AG819" i="1" s="1"/>
  <c r="AI819" i="1"/>
  <c r="AN816" i="1"/>
  <c r="AG816" i="1" s="1"/>
  <c r="AI830" i="1"/>
  <c r="AM817" i="1"/>
  <c r="AO817" i="1" s="1"/>
  <c r="AF817" i="1" s="1"/>
  <c r="AM818" i="1"/>
  <c r="AO818" i="1" s="1"/>
  <c r="AF818" i="1" s="1"/>
  <c r="AI828" i="1"/>
  <c r="AN828" i="1"/>
  <c r="AG828" i="1" s="1"/>
  <c r="AM826" i="1"/>
  <c r="AO826" i="1" s="1"/>
  <c r="AF826" i="1" s="1"/>
  <c r="AN823" i="1"/>
  <c r="AG823" i="1" s="1"/>
  <c r="AI821" i="1"/>
  <c r="AN831" i="1"/>
  <c r="AG831" i="1" s="1"/>
  <c r="AI829" i="1"/>
  <c r="AI817" i="1"/>
  <c r="AM816" i="1"/>
  <c r="AO816" i="1" s="1"/>
  <c r="AF816" i="1" s="1"/>
  <c r="AN817" i="1"/>
  <c r="AG817" i="1" s="1"/>
  <c r="AN829" i="1"/>
  <c r="AG829" i="1" s="1"/>
  <c r="AN821" i="1"/>
  <c r="AG821" i="1" s="1"/>
  <c r="AN826" i="1"/>
  <c r="AG826" i="1" s="1"/>
  <c r="AN818" i="1"/>
  <c r="AG818" i="1" s="1"/>
  <c r="J31" i="4" l="1"/>
  <c r="K31" i="4"/>
  <c r="L31" i="4"/>
  <c r="M31" i="4"/>
  <c r="C27" i="4"/>
  <c r="D27" i="4"/>
  <c r="E27" i="4"/>
  <c r="F27" i="4"/>
  <c r="G27" i="4"/>
  <c r="H27" i="4"/>
  <c r="I27" i="4"/>
  <c r="J27" i="4"/>
  <c r="K27" i="4"/>
  <c r="L27" i="4"/>
  <c r="M27" i="4"/>
  <c r="H16" i="4"/>
  <c r="R18" i="4" l="1"/>
  <c r="R17" i="4"/>
  <c r="R16" i="4"/>
  <c r="R15" i="4"/>
  <c r="R14" i="4"/>
  <c r="R13" i="4"/>
  <c r="R12" i="4"/>
  <c r="R11" i="4"/>
  <c r="AC811" i="1"/>
  <c r="AD811" i="1"/>
  <c r="AE811" i="1"/>
  <c r="AJ811" i="1" s="1"/>
  <c r="AH811" i="1"/>
  <c r="AK811" i="1"/>
  <c r="AL811" i="1"/>
  <c r="AQ811" i="1"/>
  <c r="AR811" i="1" s="1"/>
  <c r="AS811" i="1"/>
  <c r="AT811" i="1"/>
  <c r="BE811" i="1"/>
  <c r="BF811" i="1" s="1"/>
  <c r="AC812" i="1"/>
  <c r="AD812" i="1"/>
  <c r="AE812" i="1"/>
  <c r="AJ812" i="1" s="1"/>
  <c r="AH812" i="1"/>
  <c r="AK812" i="1"/>
  <c r="AL812" i="1"/>
  <c r="AQ812" i="1"/>
  <c r="AR812" i="1" s="1"/>
  <c r="AS812" i="1"/>
  <c r="AT812" i="1"/>
  <c r="BE812" i="1"/>
  <c r="BF812" i="1"/>
  <c r="AC813" i="1"/>
  <c r="AD813" i="1"/>
  <c r="AE813" i="1"/>
  <c r="AJ813" i="1" s="1"/>
  <c r="AH813" i="1"/>
  <c r="AK813" i="1"/>
  <c r="AL813" i="1"/>
  <c r="AQ813" i="1"/>
  <c r="AR813" i="1" s="1"/>
  <c r="AS813" i="1"/>
  <c r="AT813" i="1"/>
  <c r="BE813" i="1"/>
  <c r="BF813" i="1"/>
  <c r="AC814" i="1"/>
  <c r="AD814" i="1"/>
  <c r="AE814" i="1"/>
  <c r="AJ814" i="1" s="1"/>
  <c r="AH814" i="1"/>
  <c r="AK814" i="1"/>
  <c r="AL814" i="1"/>
  <c r="AQ814" i="1"/>
  <c r="AR814" i="1" s="1"/>
  <c r="AS814" i="1"/>
  <c r="AT814" i="1"/>
  <c r="BE814" i="1"/>
  <c r="BF814" i="1"/>
  <c r="AC815" i="1"/>
  <c r="AD815" i="1"/>
  <c r="AE815" i="1"/>
  <c r="AJ815" i="1" s="1"/>
  <c r="AH815" i="1"/>
  <c r="AK815" i="1"/>
  <c r="AL815" i="1"/>
  <c r="AQ815" i="1"/>
  <c r="AR815" i="1" s="1"/>
  <c r="AS815" i="1"/>
  <c r="AT815" i="1"/>
  <c r="BE815" i="1"/>
  <c r="BF815" i="1"/>
  <c r="V812" i="1"/>
  <c r="V813" i="1"/>
  <c r="V814" i="1"/>
  <c r="V815" i="1"/>
  <c r="V816" i="1"/>
  <c r="V817" i="1"/>
  <c r="V818" i="1"/>
  <c r="B62" i="4"/>
  <c r="B63" i="4"/>
  <c r="B64" i="4"/>
  <c r="B65" i="4"/>
  <c r="B66" i="4"/>
  <c r="B67" i="4"/>
  <c r="B68" i="4"/>
  <c r="B69" i="4"/>
  <c r="B70" i="4"/>
  <c r="B71" i="4"/>
  <c r="B72" i="4"/>
  <c r="B73" i="4"/>
  <c r="B74" i="4"/>
  <c r="B75" i="4"/>
  <c r="B77" i="4"/>
  <c r="B76" i="4"/>
  <c r="B78" i="4"/>
  <c r="B61" i="4"/>
  <c r="I74" i="4"/>
  <c r="I75" i="4"/>
  <c r="I76" i="4"/>
  <c r="I77" i="4"/>
  <c r="C74" i="4"/>
  <c r="D74" i="4"/>
  <c r="E74" i="4"/>
  <c r="F74" i="4"/>
  <c r="C75" i="4"/>
  <c r="D75" i="4"/>
  <c r="E75" i="4"/>
  <c r="F75" i="4"/>
  <c r="C77" i="4"/>
  <c r="D77" i="4"/>
  <c r="E77" i="4"/>
  <c r="F77" i="4"/>
  <c r="C76" i="4"/>
  <c r="D76" i="4"/>
  <c r="E76" i="4"/>
  <c r="F76" i="4"/>
  <c r="F78" i="4"/>
  <c r="F73" i="4"/>
  <c r="F72" i="4"/>
  <c r="F71" i="4"/>
  <c r="F70" i="4"/>
  <c r="F69" i="4"/>
  <c r="F68" i="4"/>
  <c r="F67" i="4"/>
  <c r="F66" i="4"/>
  <c r="F65" i="4"/>
  <c r="F64" i="4"/>
  <c r="F63" i="4"/>
  <c r="F61" i="4"/>
  <c r="F62" i="4"/>
  <c r="U271" i="1"/>
  <c r="BE810" i="1"/>
  <c r="BF810" i="1" s="1"/>
  <c r="AT810" i="1"/>
  <c r="AS810" i="1"/>
  <c r="AQ810" i="1"/>
  <c r="AR810" i="1" s="1"/>
  <c r="AL810" i="1"/>
  <c r="AK810" i="1"/>
  <c r="AH810" i="1"/>
  <c r="AE810" i="1"/>
  <c r="AJ810" i="1" s="1"/>
  <c r="AD810" i="1"/>
  <c r="AC810" i="1"/>
  <c r="BF809" i="1"/>
  <c r="BE809" i="1"/>
  <c r="AT809" i="1"/>
  <c r="AS809" i="1"/>
  <c r="AQ809" i="1"/>
  <c r="AR809" i="1" s="1"/>
  <c r="AL809" i="1"/>
  <c r="AK809" i="1"/>
  <c r="AH809" i="1"/>
  <c r="AE809" i="1"/>
  <c r="AJ809" i="1" s="1"/>
  <c r="AD809" i="1"/>
  <c r="AC809" i="1"/>
  <c r="BF808" i="1"/>
  <c r="BE808" i="1"/>
  <c r="AT808" i="1"/>
  <c r="AS808" i="1"/>
  <c r="AQ808" i="1"/>
  <c r="AR808" i="1" s="1"/>
  <c r="AL808" i="1"/>
  <c r="AK808" i="1"/>
  <c r="AH808" i="1"/>
  <c r="AE808" i="1"/>
  <c r="AJ808" i="1" s="1"/>
  <c r="AD808" i="1"/>
  <c r="AC808" i="1"/>
  <c r="BF807" i="1"/>
  <c r="BE807" i="1"/>
  <c r="AT807" i="1"/>
  <c r="AS807" i="1"/>
  <c r="AQ807" i="1"/>
  <c r="AR807" i="1" s="1"/>
  <c r="AL807" i="1"/>
  <c r="AK807" i="1"/>
  <c r="AH807" i="1"/>
  <c r="AE807" i="1"/>
  <c r="AJ807" i="1" s="1"/>
  <c r="AD807" i="1"/>
  <c r="AC807" i="1"/>
  <c r="BE806" i="1"/>
  <c r="BF806" i="1" s="1"/>
  <c r="AT806" i="1"/>
  <c r="AS806" i="1"/>
  <c r="AQ806" i="1"/>
  <c r="AR806" i="1" s="1"/>
  <c r="AL806" i="1"/>
  <c r="AK806" i="1"/>
  <c r="AH806" i="1"/>
  <c r="AE806" i="1"/>
  <c r="AJ806" i="1" s="1"/>
  <c r="AD806" i="1"/>
  <c r="AC806" i="1"/>
  <c r="BE805" i="1"/>
  <c r="BF805" i="1" s="1"/>
  <c r="AT805" i="1"/>
  <c r="AS805" i="1"/>
  <c r="AQ805" i="1"/>
  <c r="AR805" i="1" s="1"/>
  <c r="AL805" i="1"/>
  <c r="AK805" i="1"/>
  <c r="AH805" i="1"/>
  <c r="AE805" i="1"/>
  <c r="AJ805" i="1" s="1"/>
  <c r="AD805" i="1"/>
  <c r="AC805" i="1"/>
  <c r="BF804" i="1"/>
  <c r="BE804" i="1"/>
  <c r="AT804" i="1"/>
  <c r="AS804" i="1"/>
  <c r="AQ804" i="1"/>
  <c r="AR804" i="1" s="1"/>
  <c r="AL804" i="1"/>
  <c r="AK804" i="1"/>
  <c r="AH804" i="1"/>
  <c r="AE804" i="1"/>
  <c r="AJ804" i="1" s="1"/>
  <c r="AD804" i="1"/>
  <c r="AC804" i="1"/>
  <c r="BF803" i="1"/>
  <c r="BE803" i="1"/>
  <c r="AT803" i="1"/>
  <c r="AS803" i="1"/>
  <c r="AQ803" i="1"/>
  <c r="AR803" i="1" s="1"/>
  <c r="AL803" i="1"/>
  <c r="AK803" i="1"/>
  <c r="AH803" i="1"/>
  <c r="AE803" i="1"/>
  <c r="AJ803" i="1" s="1"/>
  <c r="AD803" i="1"/>
  <c r="AC803" i="1"/>
  <c r="BF802" i="1"/>
  <c r="BE802" i="1"/>
  <c r="AT802" i="1"/>
  <c r="AS802" i="1"/>
  <c r="AQ802" i="1"/>
  <c r="AR802" i="1" s="1"/>
  <c r="AL802" i="1"/>
  <c r="AK802" i="1"/>
  <c r="AH802" i="1"/>
  <c r="AE802" i="1"/>
  <c r="AJ802" i="1" s="1"/>
  <c r="AD802" i="1"/>
  <c r="AC802" i="1"/>
  <c r="BF801" i="1"/>
  <c r="BE801" i="1"/>
  <c r="AT801" i="1"/>
  <c r="AS801" i="1"/>
  <c r="AQ801" i="1"/>
  <c r="AR801" i="1" s="1"/>
  <c r="AL801" i="1"/>
  <c r="AK801" i="1"/>
  <c r="AH801" i="1"/>
  <c r="AE801" i="1"/>
  <c r="AJ801" i="1" s="1"/>
  <c r="AD801" i="1"/>
  <c r="AC801" i="1"/>
  <c r="BF800" i="1"/>
  <c r="BE800" i="1"/>
  <c r="AT800" i="1"/>
  <c r="AS800" i="1"/>
  <c r="AQ800" i="1"/>
  <c r="AR800" i="1" s="1"/>
  <c r="AL800" i="1"/>
  <c r="AK800" i="1"/>
  <c r="AH800" i="1"/>
  <c r="AE800" i="1"/>
  <c r="AJ800" i="1" s="1"/>
  <c r="AD800" i="1"/>
  <c r="AC800" i="1"/>
  <c r="BF799" i="1"/>
  <c r="BE799" i="1"/>
  <c r="AT799" i="1"/>
  <c r="AS799" i="1"/>
  <c r="AQ799" i="1"/>
  <c r="AR799" i="1" s="1"/>
  <c r="AL799" i="1"/>
  <c r="AK799" i="1"/>
  <c r="AH799" i="1"/>
  <c r="AE799" i="1"/>
  <c r="AJ799" i="1" s="1"/>
  <c r="AD799" i="1"/>
  <c r="AC799" i="1"/>
  <c r="BF798" i="1"/>
  <c r="BE798" i="1"/>
  <c r="AT798" i="1"/>
  <c r="AS798" i="1"/>
  <c r="AQ798" i="1"/>
  <c r="AR798" i="1" s="1"/>
  <c r="AL798" i="1"/>
  <c r="AK798" i="1"/>
  <c r="AH798" i="1"/>
  <c r="AE798" i="1"/>
  <c r="AJ798" i="1" s="1"/>
  <c r="AD798" i="1"/>
  <c r="AC798" i="1"/>
  <c r="BE797" i="1"/>
  <c r="BF797" i="1" s="1"/>
  <c r="AT797" i="1"/>
  <c r="AS797" i="1"/>
  <c r="AQ797" i="1"/>
  <c r="AR797" i="1" s="1"/>
  <c r="AL797" i="1"/>
  <c r="AK797" i="1"/>
  <c r="AH797" i="1"/>
  <c r="AE797" i="1"/>
  <c r="AJ797" i="1" s="1"/>
  <c r="AD797" i="1"/>
  <c r="AC797" i="1"/>
  <c r="BE796" i="1"/>
  <c r="BF796" i="1" s="1"/>
  <c r="AT796" i="1"/>
  <c r="AS796" i="1"/>
  <c r="AQ796" i="1"/>
  <c r="AR796" i="1" s="1"/>
  <c r="AL796" i="1"/>
  <c r="AK796" i="1"/>
  <c r="AH796" i="1"/>
  <c r="AE796" i="1"/>
  <c r="AJ796" i="1" s="1"/>
  <c r="AD796" i="1"/>
  <c r="AC796" i="1"/>
  <c r="BE795" i="1"/>
  <c r="BF795" i="1" s="1"/>
  <c r="AT795" i="1"/>
  <c r="AS795" i="1"/>
  <c r="AQ795" i="1"/>
  <c r="AR795" i="1" s="1"/>
  <c r="AL795" i="1"/>
  <c r="AK795" i="1"/>
  <c r="AH795" i="1"/>
  <c r="AE795" i="1"/>
  <c r="AJ795" i="1" s="1"/>
  <c r="AD795" i="1"/>
  <c r="AC795" i="1"/>
  <c r="V811" i="1"/>
  <c r="V810" i="1"/>
  <c r="V809" i="1"/>
  <c r="V808" i="1"/>
  <c r="V807" i="1"/>
  <c r="V806" i="1"/>
  <c r="V805" i="1"/>
  <c r="V804" i="1"/>
  <c r="V803" i="1"/>
  <c r="V802" i="1"/>
  <c r="V801" i="1"/>
  <c r="V800" i="1"/>
  <c r="V799" i="1"/>
  <c r="V798" i="1"/>
  <c r="V797" i="1"/>
  <c r="D4" i="5"/>
  <c r="H14" i="5"/>
  <c r="H15" i="5"/>
  <c r="H16" i="5"/>
  <c r="H17" i="5"/>
  <c r="H18" i="5"/>
  <c r="H19" i="5"/>
  <c r="H20" i="5"/>
  <c r="H13" i="5"/>
  <c r="D5" i="5"/>
  <c r="D6" i="5"/>
  <c r="D7" i="5"/>
  <c r="D8" i="5"/>
  <c r="E104" i="5"/>
  <c r="D104" i="5"/>
  <c r="C104" i="5"/>
  <c r="B104" i="5"/>
  <c r="F103" i="5"/>
  <c r="G103" i="5" s="1"/>
  <c r="F102" i="5"/>
  <c r="G102" i="5" s="1"/>
  <c r="F101" i="5"/>
  <c r="G101" i="5" s="1"/>
  <c r="G100" i="5"/>
  <c r="F100" i="5"/>
  <c r="F99" i="5"/>
  <c r="G99" i="5" s="1"/>
  <c r="F98" i="5"/>
  <c r="G98" i="5" s="1"/>
  <c r="F97" i="5"/>
  <c r="H92" i="5"/>
  <c r="BA638" i="1"/>
  <c r="BA536" i="1"/>
  <c r="BA623" i="1"/>
  <c r="BA376" i="1"/>
  <c r="V790" i="1"/>
  <c r="V791" i="1"/>
  <c r="V792" i="1"/>
  <c r="V793" i="1"/>
  <c r="V794" i="1"/>
  <c r="V795" i="1"/>
  <c r="V796" i="1"/>
  <c r="AC787" i="1"/>
  <c r="CD787" i="1" s="1"/>
  <c r="AD787" i="1"/>
  <c r="AE787" i="1"/>
  <c r="AJ787" i="1" s="1"/>
  <c r="AH787" i="1"/>
  <c r="AK787" i="1"/>
  <c r="AL787" i="1"/>
  <c r="AQ787" i="1"/>
  <c r="AR787" i="1" s="1"/>
  <c r="AS787" i="1"/>
  <c r="AT787" i="1"/>
  <c r="BE787" i="1"/>
  <c r="BF787" i="1" s="1"/>
  <c r="AC788" i="1"/>
  <c r="CD788" i="1" s="1"/>
  <c r="AD788" i="1"/>
  <c r="AE788" i="1"/>
  <c r="AJ788" i="1" s="1"/>
  <c r="AH788" i="1"/>
  <c r="AK788" i="1"/>
  <c r="AL788" i="1"/>
  <c r="AQ788" i="1"/>
  <c r="AR788" i="1" s="1"/>
  <c r="AS788" i="1"/>
  <c r="AT788" i="1"/>
  <c r="BE788" i="1"/>
  <c r="BF788" i="1" s="1"/>
  <c r="AC789" i="1"/>
  <c r="CD789" i="1" s="1"/>
  <c r="AD789" i="1"/>
  <c r="AE789" i="1"/>
  <c r="AJ789" i="1" s="1"/>
  <c r="AH789" i="1"/>
  <c r="AK789" i="1"/>
  <c r="AL789" i="1"/>
  <c r="AQ789" i="1"/>
  <c r="AR789" i="1" s="1"/>
  <c r="AS789" i="1"/>
  <c r="AT789" i="1"/>
  <c r="BE789" i="1"/>
  <c r="BF789" i="1" s="1"/>
  <c r="AC790" i="1"/>
  <c r="AD790" i="1"/>
  <c r="AE790" i="1"/>
  <c r="AJ790" i="1" s="1"/>
  <c r="AH790" i="1"/>
  <c r="AK790" i="1"/>
  <c r="AL790" i="1"/>
  <c r="AQ790" i="1"/>
  <c r="AR790" i="1" s="1"/>
  <c r="AS790" i="1"/>
  <c r="AT790" i="1"/>
  <c r="BE790" i="1"/>
  <c r="BF790" i="1"/>
  <c r="AC791" i="1"/>
  <c r="AD791" i="1"/>
  <c r="AE791" i="1"/>
  <c r="AJ791" i="1" s="1"/>
  <c r="AH791" i="1"/>
  <c r="AK791" i="1"/>
  <c r="AL791" i="1"/>
  <c r="AQ791" i="1"/>
  <c r="AR791" i="1" s="1"/>
  <c r="AS791" i="1"/>
  <c r="AT791" i="1"/>
  <c r="BE791" i="1"/>
  <c r="BF791" i="1" s="1"/>
  <c r="AC792" i="1"/>
  <c r="AD792" i="1"/>
  <c r="AE792" i="1"/>
  <c r="AJ792" i="1" s="1"/>
  <c r="AH792" i="1"/>
  <c r="AK792" i="1"/>
  <c r="AL792" i="1"/>
  <c r="AQ792" i="1"/>
  <c r="AR792" i="1" s="1"/>
  <c r="AS792" i="1"/>
  <c r="AT792" i="1"/>
  <c r="BE792" i="1"/>
  <c r="BF792" i="1" s="1"/>
  <c r="AC793" i="1"/>
  <c r="AD793" i="1"/>
  <c r="AE793" i="1"/>
  <c r="AJ793" i="1" s="1"/>
  <c r="AH793" i="1"/>
  <c r="AK793" i="1"/>
  <c r="AL793" i="1"/>
  <c r="AQ793" i="1"/>
  <c r="AR793" i="1" s="1"/>
  <c r="AS793" i="1"/>
  <c r="AT793" i="1"/>
  <c r="BE793" i="1"/>
  <c r="BF793" i="1"/>
  <c r="AC794" i="1"/>
  <c r="AD794" i="1"/>
  <c r="AE794" i="1"/>
  <c r="AJ794" i="1" s="1"/>
  <c r="AH794" i="1"/>
  <c r="AK794" i="1"/>
  <c r="AL794" i="1"/>
  <c r="AQ794" i="1"/>
  <c r="AR794" i="1" s="1"/>
  <c r="AS794" i="1"/>
  <c r="AT794" i="1"/>
  <c r="BE794" i="1"/>
  <c r="BF794" i="1" s="1"/>
  <c r="CJ758" i="1"/>
  <c r="CK758" i="1"/>
  <c r="CM758" i="1" s="1"/>
  <c r="CL758" i="1"/>
  <c r="CJ759" i="1"/>
  <c r="CK759" i="1"/>
  <c r="CM759" i="1" s="1"/>
  <c r="CL759" i="1"/>
  <c r="CJ760" i="1"/>
  <c r="CK760" i="1"/>
  <c r="CM760" i="1" s="1"/>
  <c r="CL760" i="1"/>
  <c r="CJ761" i="1"/>
  <c r="CK761" i="1"/>
  <c r="CM761" i="1" s="1"/>
  <c r="CL761" i="1"/>
  <c r="CJ762" i="1"/>
  <c r="CK762" i="1"/>
  <c r="CM762" i="1" s="1"/>
  <c r="CL762" i="1"/>
  <c r="CJ763" i="1"/>
  <c r="CK763" i="1"/>
  <c r="CM763" i="1" s="1"/>
  <c r="CL763" i="1"/>
  <c r="CJ764" i="1"/>
  <c r="CK764" i="1"/>
  <c r="CM764" i="1" s="1"/>
  <c r="CL764" i="1"/>
  <c r="CJ765" i="1"/>
  <c r="CK765" i="1"/>
  <c r="CM765" i="1" s="1"/>
  <c r="CL765" i="1"/>
  <c r="CJ766" i="1"/>
  <c r="CK766" i="1"/>
  <c r="CM766" i="1" s="1"/>
  <c r="CL766" i="1"/>
  <c r="CJ767" i="1"/>
  <c r="CK767" i="1"/>
  <c r="CM767" i="1" s="1"/>
  <c r="CL767" i="1"/>
  <c r="CJ768" i="1"/>
  <c r="CK768" i="1"/>
  <c r="CM768" i="1" s="1"/>
  <c r="CL768" i="1"/>
  <c r="CJ769" i="1"/>
  <c r="CK769" i="1"/>
  <c r="CM769" i="1" s="1"/>
  <c r="CL769" i="1"/>
  <c r="CJ770" i="1"/>
  <c r="CK770" i="1"/>
  <c r="CM770" i="1" s="1"/>
  <c r="CL770" i="1"/>
  <c r="CJ771" i="1"/>
  <c r="CK771" i="1"/>
  <c r="CM771" i="1" s="1"/>
  <c r="CL771" i="1"/>
  <c r="CJ772" i="1"/>
  <c r="CK772" i="1"/>
  <c r="CM772" i="1" s="1"/>
  <c r="CL772" i="1"/>
  <c r="CJ773" i="1"/>
  <c r="CK773" i="1"/>
  <c r="CM773" i="1" s="1"/>
  <c r="CL773" i="1"/>
  <c r="CJ774" i="1"/>
  <c r="CK774" i="1"/>
  <c r="CM774" i="1" s="1"/>
  <c r="CL774" i="1"/>
  <c r="CJ775" i="1"/>
  <c r="CK775" i="1"/>
  <c r="CM775" i="1" s="1"/>
  <c r="CL775" i="1"/>
  <c r="CJ776" i="1"/>
  <c r="CK776" i="1"/>
  <c r="CM776" i="1" s="1"/>
  <c r="CL776" i="1"/>
  <c r="CJ777" i="1"/>
  <c r="CK777" i="1"/>
  <c r="CM777" i="1" s="1"/>
  <c r="CL777" i="1"/>
  <c r="CJ778" i="1"/>
  <c r="CK778" i="1"/>
  <c r="CM778" i="1" s="1"/>
  <c r="CL778" i="1"/>
  <c r="CJ779" i="1"/>
  <c r="CK779" i="1"/>
  <c r="CM779" i="1" s="1"/>
  <c r="CL779" i="1"/>
  <c r="CJ780" i="1"/>
  <c r="CK780" i="1"/>
  <c r="CM780" i="1" s="1"/>
  <c r="CL780" i="1"/>
  <c r="CJ781" i="1"/>
  <c r="CK781" i="1"/>
  <c r="CM781" i="1" s="1"/>
  <c r="CL781" i="1"/>
  <c r="CJ782" i="1"/>
  <c r="CK782" i="1"/>
  <c r="CM782" i="1" s="1"/>
  <c r="CL782" i="1"/>
  <c r="CJ783" i="1"/>
  <c r="CK783" i="1"/>
  <c r="CM783" i="1" s="1"/>
  <c r="CL783" i="1"/>
  <c r="CJ784" i="1"/>
  <c r="CK784" i="1"/>
  <c r="CM784" i="1" s="1"/>
  <c r="CL784" i="1"/>
  <c r="CJ785" i="1"/>
  <c r="CK785" i="1"/>
  <c r="CM785" i="1" s="1"/>
  <c r="CL785" i="1"/>
  <c r="CJ786" i="1"/>
  <c r="CK786" i="1"/>
  <c r="CM786" i="1" s="1"/>
  <c r="CL786" i="1"/>
  <c r="CK787" i="1"/>
  <c r="CM787" i="1" s="1"/>
  <c r="CL787" i="1"/>
  <c r="CJ788" i="1"/>
  <c r="CK788" i="1"/>
  <c r="CM788" i="1" s="1"/>
  <c r="CL788" i="1"/>
  <c r="CJ789" i="1"/>
  <c r="CK789" i="1"/>
  <c r="CM789" i="1" s="1"/>
  <c r="CL789" i="1"/>
  <c r="CH804" i="1" l="1"/>
  <c r="CI804" i="1" s="1"/>
  <c r="CH810" i="1"/>
  <c r="CI810" i="1" s="1"/>
  <c r="CH815" i="1"/>
  <c r="CI815" i="1" s="1"/>
  <c r="CH797" i="1"/>
  <c r="CI797" i="1" s="1"/>
  <c r="CH805" i="1"/>
  <c r="CI805" i="1" s="1"/>
  <c r="CH798" i="1"/>
  <c r="CI798" i="1" s="1"/>
  <c r="CH792" i="1"/>
  <c r="CI792" i="1" s="1"/>
  <c r="CH802" i="1"/>
  <c r="CI802" i="1" s="1"/>
  <c r="CH794" i="1"/>
  <c r="CI794" i="1" s="1"/>
  <c r="CH791" i="1"/>
  <c r="CI791" i="1" s="1"/>
  <c r="CH796" i="1"/>
  <c r="CI796" i="1" s="1"/>
  <c r="CH799" i="1"/>
  <c r="CI799" i="1" s="1"/>
  <c r="CH812" i="1"/>
  <c r="CI812" i="1" s="1"/>
  <c r="CH808" i="1"/>
  <c r="CI808" i="1" s="1"/>
  <c r="CH814" i="1"/>
  <c r="CI814" i="1" s="1"/>
  <c r="CH811" i="1"/>
  <c r="CI811" i="1" s="1"/>
  <c r="CH793" i="1"/>
  <c r="CI793" i="1" s="1"/>
  <c r="CH790" i="1"/>
  <c r="CI790" i="1" s="1"/>
  <c r="CH800" i="1"/>
  <c r="CI800" i="1" s="1"/>
  <c r="CH803" i="1"/>
  <c r="CI803" i="1" s="1"/>
  <c r="CH806" i="1"/>
  <c r="CI806" i="1" s="1"/>
  <c r="CH809" i="1"/>
  <c r="CI809" i="1" s="1"/>
  <c r="CH813" i="1"/>
  <c r="CI813" i="1" s="1"/>
  <c r="CH795" i="1"/>
  <c r="CI795" i="1" s="1"/>
  <c r="CH801" i="1"/>
  <c r="CI801" i="1" s="1"/>
  <c r="CH807" i="1"/>
  <c r="CI807" i="1" s="1"/>
  <c r="F104" i="5"/>
  <c r="G104" i="5" s="1"/>
  <c r="G97" i="5"/>
  <c r="AI811" i="1"/>
  <c r="AM814" i="1"/>
  <c r="AO814" i="1" s="1"/>
  <c r="AF814" i="1" s="1"/>
  <c r="AI815" i="1"/>
  <c r="AM813" i="1"/>
  <c r="AO813" i="1" s="1"/>
  <c r="AF813" i="1" s="1"/>
  <c r="AI798" i="1"/>
  <c r="AI799" i="1"/>
  <c r="AN812" i="1"/>
  <c r="AG812" i="1" s="1"/>
  <c r="AM789" i="1"/>
  <c r="AO789" i="1" s="1"/>
  <c r="AF789" i="1" s="1"/>
  <c r="AN811" i="1"/>
  <c r="AG811" i="1" s="1"/>
  <c r="AI806" i="1"/>
  <c r="AM812" i="1"/>
  <c r="AO812" i="1" s="1"/>
  <c r="AF812" i="1" s="1"/>
  <c r="AM815" i="1"/>
  <c r="AO815" i="1" s="1"/>
  <c r="AF815" i="1" s="1"/>
  <c r="AM811" i="1"/>
  <c r="AO811" i="1" s="1"/>
  <c r="AF811" i="1" s="1"/>
  <c r="AN815" i="1"/>
  <c r="AG815" i="1" s="1"/>
  <c r="AI814" i="1"/>
  <c r="AN814" i="1"/>
  <c r="AG814" i="1" s="1"/>
  <c r="AI813" i="1"/>
  <c r="AN813" i="1"/>
  <c r="AG813" i="1" s="1"/>
  <c r="AI812" i="1"/>
  <c r="AI802" i="1"/>
  <c r="AI810" i="1"/>
  <c r="AI797" i="1"/>
  <c r="AI805" i="1"/>
  <c r="AI800" i="1"/>
  <c r="AI808" i="1"/>
  <c r="AI795" i="1"/>
  <c r="AI803" i="1"/>
  <c r="AI801" i="1"/>
  <c r="AI809" i="1"/>
  <c r="AI796" i="1"/>
  <c r="AI804" i="1"/>
  <c r="AI807" i="1"/>
  <c r="AN795" i="1"/>
  <c r="AG795" i="1" s="1"/>
  <c r="AM795" i="1"/>
  <c r="AO795" i="1" s="1"/>
  <c r="AF795" i="1" s="1"/>
  <c r="AN796" i="1"/>
  <c r="AG796" i="1" s="1"/>
  <c r="AM796" i="1"/>
  <c r="AO796" i="1" s="1"/>
  <c r="AF796" i="1" s="1"/>
  <c r="AN797" i="1"/>
  <c r="AG797" i="1" s="1"/>
  <c r="AM797" i="1"/>
  <c r="AO797" i="1" s="1"/>
  <c r="AF797" i="1" s="1"/>
  <c r="AN798" i="1"/>
  <c r="AG798" i="1" s="1"/>
  <c r="AM798" i="1"/>
  <c r="AO798" i="1" s="1"/>
  <c r="AF798" i="1" s="1"/>
  <c r="AN799" i="1"/>
  <c r="AG799" i="1" s="1"/>
  <c r="AM799" i="1"/>
  <c r="AO799" i="1" s="1"/>
  <c r="AF799" i="1" s="1"/>
  <c r="AN800" i="1"/>
  <c r="AG800" i="1" s="1"/>
  <c r="AM800" i="1"/>
  <c r="AO800" i="1" s="1"/>
  <c r="AF800" i="1" s="1"/>
  <c r="AN801" i="1"/>
  <c r="AG801" i="1" s="1"/>
  <c r="AM801" i="1"/>
  <c r="AO801" i="1" s="1"/>
  <c r="AF801" i="1" s="1"/>
  <c r="AN802" i="1"/>
  <c r="AG802" i="1" s="1"/>
  <c r="AM802" i="1"/>
  <c r="AO802" i="1" s="1"/>
  <c r="AF802" i="1" s="1"/>
  <c r="AN803" i="1"/>
  <c r="AG803" i="1" s="1"/>
  <c r="AM803" i="1"/>
  <c r="AO803" i="1" s="1"/>
  <c r="AF803" i="1" s="1"/>
  <c r="AN804" i="1"/>
  <c r="AG804" i="1" s="1"/>
  <c r="AM804" i="1"/>
  <c r="AO804" i="1" s="1"/>
  <c r="AF804" i="1" s="1"/>
  <c r="AN805" i="1"/>
  <c r="AG805" i="1" s="1"/>
  <c r="AM805" i="1"/>
  <c r="AO805" i="1" s="1"/>
  <c r="AF805" i="1" s="1"/>
  <c r="AN806" i="1"/>
  <c r="AG806" i="1" s="1"/>
  <c r="AM806" i="1"/>
  <c r="AO806" i="1" s="1"/>
  <c r="AF806" i="1" s="1"/>
  <c r="AN807" i="1"/>
  <c r="AG807" i="1" s="1"/>
  <c r="AM807" i="1"/>
  <c r="AO807" i="1" s="1"/>
  <c r="AF807" i="1" s="1"/>
  <c r="AN808" i="1"/>
  <c r="AG808" i="1" s="1"/>
  <c r="AM808" i="1"/>
  <c r="AO808" i="1" s="1"/>
  <c r="AF808" i="1" s="1"/>
  <c r="AN809" i="1"/>
  <c r="AG809" i="1" s="1"/>
  <c r="AM809" i="1"/>
  <c r="AO809" i="1" s="1"/>
  <c r="AF809" i="1" s="1"/>
  <c r="AN810" i="1"/>
  <c r="AG810" i="1" s="1"/>
  <c r="AM810" i="1"/>
  <c r="AO810" i="1" s="1"/>
  <c r="AF810" i="1" s="1"/>
  <c r="H21" i="5"/>
  <c r="AN789" i="1"/>
  <c r="AG789" i="1" s="1"/>
  <c r="AM792" i="1"/>
  <c r="AO792" i="1" s="1"/>
  <c r="AF792" i="1" s="1"/>
  <c r="AN790" i="1"/>
  <c r="AG790" i="1" s="1"/>
  <c r="AI789" i="1"/>
  <c r="AI793" i="1"/>
  <c r="AI792" i="1"/>
  <c r="AM793" i="1"/>
  <c r="AO793" i="1" s="1"/>
  <c r="AF793" i="1" s="1"/>
  <c r="AM787" i="1"/>
  <c r="AO787" i="1" s="1"/>
  <c r="AF787" i="1" s="1"/>
  <c r="AI787" i="1"/>
  <c r="AI791" i="1"/>
  <c r="AN787" i="1"/>
  <c r="AG787" i="1" s="1"/>
  <c r="AM794" i="1"/>
  <c r="AO794" i="1" s="1"/>
  <c r="AF794" i="1" s="1"/>
  <c r="AI788" i="1"/>
  <c r="AM791" i="1"/>
  <c r="AO791" i="1" s="1"/>
  <c r="AF791" i="1" s="1"/>
  <c r="AM788" i="1"/>
  <c r="AO788" i="1" s="1"/>
  <c r="AF788" i="1" s="1"/>
  <c r="AN793" i="1"/>
  <c r="AG793" i="1" s="1"/>
  <c r="AI790" i="1"/>
  <c r="AI794" i="1"/>
  <c r="AN792" i="1"/>
  <c r="AG792" i="1" s="1"/>
  <c r="AN794" i="1"/>
  <c r="AG794" i="1" s="1"/>
  <c r="AN791" i="1"/>
  <c r="AG791" i="1" s="1"/>
  <c r="AN788" i="1"/>
  <c r="AG788" i="1" s="1"/>
  <c r="AM790" i="1"/>
  <c r="AO790" i="1" s="1"/>
  <c r="AF790" i="1" s="1"/>
  <c r="V789" i="1"/>
  <c r="V788" i="1"/>
  <c r="V787" i="1"/>
  <c r="V786" i="1"/>
  <c r="V785" i="1"/>
  <c r="V784" i="1"/>
  <c r="V783" i="1"/>
  <c r="V782" i="1"/>
  <c r="V781" i="1"/>
  <c r="V780" i="1"/>
  <c r="BE786" i="1" l="1"/>
  <c r="BF786" i="1" s="1"/>
  <c r="AT786" i="1"/>
  <c r="AS786" i="1"/>
  <c r="AQ786" i="1"/>
  <c r="AR786" i="1" s="1"/>
  <c r="AL786" i="1"/>
  <c r="AK786" i="1"/>
  <c r="AH786" i="1"/>
  <c r="AE786" i="1"/>
  <c r="AJ786" i="1" s="1"/>
  <c r="AD786" i="1"/>
  <c r="AC786" i="1"/>
  <c r="CD786" i="1" s="1"/>
  <c r="BF785" i="1"/>
  <c r="BE785" i="1"/>
  <c r="AT785" i="1"/>
  <c r="AS785" i="1"/>
  <c r="AQ785" i="1"/>
  <c r="AR785" i="1" s="1"/>
  <c r="AL785" i="1"/>
  <c r="AK785" i="1"/>
  <c r="AH785" i="1"/>
  <c r="AE785" i="1"/>
  <c r="AJ785" i="1" s="1"/>
  <c r="AD785" i="1"/>
  <c r="AC785" i="1"/>
  <c r="CD785" i="1" s="1"/>
  <c r="BE784" i="1"/>
  <c r="BF784" i="1" s="1"/>
  <c r="AT784" i="1"/>
  <c r="AS784" i="1"/>
  <c r="AQ784" i="1"/>
  <c r="AR784" i="1" s="1"/>
  <c r="AL784" i="1"/>
  <c r="AK784" i="1"/>
  <c r="AH784" i="1"/>
  <c r="AE784" i="1"/>
  <c r="AJ784" i="1" s="1"/>
  <c r="AD784" i="1"/>
  <c r="AC784" i="1"/>
  <c r="CD784" i="1" s="1"/>
  <c r="BE783" i="1"/>
  <c r="BF783" i="1" s="1"/>
  <c r="AT783" i="1"/>
  <c r="AS783" i="1"/>
  <c r="AQ783" i="1"/>
  <c r="AR783" i="1" s="1"/>
  <c r="AL783" i="1"/>
  <c r="AK783" i="1"/>
  <c r="AH783" i="1"/>
  <c r="AE783" i="1"/>
  <c r="AJ783" i="1" s="1"/>
  <c r="AD783" i="1"/>
  <c r="AC783" i="1"/>
  <c r="CD783" i="1" s="1"/>
  <c r="BF782" i="1"/>
  <c r="BE782" i="1"/>
  <c r="AT782" i="1"/>
  <c r="AS782" i="1"/>
  <c r="AQ782" i="1"/>
  <c r="AR782" i="1" s="1"/>
  <c r="AL782" i="1"/>
  <c r="AK782" i="1"/>
  <c r="AH782" i="1"/>
  <c r="AE782" i="1"/>
  <c r="AJ782" i="1" s="1"/>
  <c r="AD782" i="1"/>
  <c r="AC782" i="1"/>
  <c r="CD782" i="1" s="1"/>
  <c r="BF781" i="1"/>
  <c r="BE781" i="1"/>
  <c r="AT781" i="1"/>
  <c r="AS781" i="1"/>
  <c r="AQ781" i="1"/>
  <c r="AR781" i="1" s="1"/>
  <c r="AL781" i="1"/>
  <c r="AK781" i="1"/>
  <c r="AH781" i="1"/>
  <c r="AE781" i="1"/>
  <c r="AJ781" i="1" s="1"/>
  <c r="AD781" i="1"/>
  <c r="AC781" i="1"/>
  <c r="CD781" i="1" s="1"/>
  <c r="BE780" i="1"/>
  <c r="BF780" i="1" s="1"/>
  <c r="AT780" i="1"/>
  <c r="AS780" i="1"/>
  <c r="AQ780" i="1"/>
  <c r="AR780" i="1" s="1"/>
  <c r="AL780" i="1"/>
  <c r="AK780" i="1"/>
  <c r="AH780" i="1"/>
  <c r="AE780" i="1"/>
  <c r="AJ780" i="1" s="1"/>
  <c r="AD780" i="1"/>
  <c r="AC780" i="1"/>
  <c r="CD780" i="1" s="1"/>
  <c r="CE780" i="1" l="1"/>
  <c r="CH780" i="1"/>
  <c r="CI780" i="1" s="1"/>
  <c r="CE781" i="1"/>
  <c r="CH781" i="1"/>
  <c r="CI781" i="1" s="1"/>
  <c r="CE782" i="1"/>
  <c r="CH782" i="1"/>
  <c r="CI782" i="1" s="1"/>
  <c r="CE783" i="1"/>
  <c r="CH783" i="1"/>
  <c r="CI783" i="1" s="1"/>
  <c r="CE784" i="1"/>
  <c r="CH784" i="1"/>
  <c r="CI784" i="1" s="1"/>
  <c r="CE785" i="1"/>
  <c r="CH785" i="1"/>
  <c r="CI785" i="1" s="1"/>
  <c r="CE786" i="1"/>
  <c r="CH786" i="1"/>
  <c r="CI786" i="1" s="1"/>
  <c r="CE787" i="1"/>
  <c r="CH787" i="1"/>
  <c r="CI787" i="1" s="1"/>
  <c r="CE788" i="1"/>
  <c r="CH788" i="1"/>
  <c r="CI788" i="1" s="1"/>
  <c r="CE789" i="1"/>
  <c r="CH789" i="1"/>
  <c r="CI789" i="1" s="1"/>
  <c r="AN784" i="1"/>
  <c r="AG784" i="1" s="1"/>
  <c r="AI781" i="1"/>
  <c r="AN783" i="1"/>
  <c r="AG783" i="1" s="1"/>
  <c r="AN786" i="1"/>
  <c r="AG786" i="1" s="1"/>
  <c r="AI786" i="1"/>
  <c r="AM786" i="1"/>
  <c r="AO786" i="1" s="1"/>
  <c r="AF786" i="1" s="1"/>
  <c r="AN781" i="1"/>
  <c r="AG781" i="1" s="1"/>
  <c r="AM783" i="1"/>
  <c r="AO783" i="1" s="1"/>
  <c r="AF783" i="1" s="1"/>
  <c r="AN785" i="1"/>
  <c r="AG785" i="1" s="1"/>
  <c r="AI785" i="1"/>
  <c r="AM784" i="1"/>
  <c r="AO784" i="1" s="1"/>
  <c r="AF784" i="1" s="1"/>
  <c r="AI783" i="1"/>
  <c r="AI782" i="1"/>
  <c r="AM781" i="1"/>
  <c r="AO781" i="1" s="1"/>
  <c r="AF781" i="1" s="1"/>
  <c r="AI784" i="1"/>
  <c r="AN780" i="1"/>
  <c r="AG780" i="1" s="1"/>
  <c r="AI780" i="1"/>
  <c r="AM782" i="1"/>
  <c r="AO782" i="1" s="1"/>
  <c r="AF782" i="1" s="1"/>
  <c r="AN782" i="1"/>
  <c r="AG782" i="1" s="1"/>
  <c r="AM785" i="1"/>
  <c r="AO785" i="1" s="1"/>
  <c r="AF785" i="1" s="1"/>
  <c r="AM780" i="1"/>
  <c r="AO780" i="1" s="1"/>
  <c r="AF780" i="1" s="1"/>
  <c r="BE446" i="1" l="1"/>
  <c r="AC770" i="1"/>
  <c r="CD770" i="1" s="1"/>
  <c r="AD770" i="1"/>
  <c r="AE770" i="1"/>
  <c r="AJ770" i="1" s="1"/>
  <c r="AH770" i="1"/>
  <c r="AK770" i="1"/>
  <c r="AL770" i="1"/>
  <c r="AQ770" i="1"/>
  <c r="AR770" i="1" s="1"/>
  <c r="AS770" i="1"/>
  <c r="AT770" i="1"/>
  <c r="BE770" i="1"/>
  <c r="BF770" i="1" s="1"/>
  <c r="AC771" i="1"/>
  <c r="CD771" i="1" s="1"/>
  <c r="AD771" i="1"/>
  <c r="AE771" i="1"/>
  <c r="AJ771" i="1" s="1"/>
  <c r="AH771" i="1"/>
  <c r="AK771" i="1"/>
  <c r="AL771" i="1"/>
  <c r="AQ771" i="1"/>
  <c r="AR771" i="1" s="1"/>
  <c r="AS771" i="1"/>
  <c r="AT771" i="1"/>
  <c r="BE771" i="1"/>
  <c r="BF771" i="1" s="1"/>
  <c r="AC772" i="1"/>
  <c r="CD772" i="1" s="1"/>
  <c r="AD772" i="1"/>
  <c r="AE772" i="1"/>
  <c r="AJ772" i="1" s="1"/>
  <c r="AH772" i="1"/>
  <c r="AK772" i="1"/>
  <c r="AL772" i="1"/>
  <c r="AQ772" i="1"/>
  <c r="AR772" i="1" s="1"/>
  <c r="AS772" i="1"/>
  <c r="AT772" i="1"/>
  <c r="BE772" i="1"/>
  <c r="BF772" i="1"/>
  <c r="AC773" i="1"/>
  <c r="CD773" i="1" s="1"/>
  <c r="AD773" i="1"/>
  <c r="AE773" i="1"/>
  <c r="AJ773" i="1" s="1"/>
  <c r="AH773" i="1"/>
  <c r="AK773" i="1"/>
  <c r="AL773" i="1"/>
  <c r="AQ773" i="1"/>
  <c r="AR773" i="1" s="1"/>
  <c r="AS773" i="1"/>
  <c r="AT773" i="1"/>
  <c r="BE773" i="1"/>
  <c r="BF773" i="1"/>
  <c r="AC774" i="1"/>
  <c r="CD774" i="1" s="1"/>
  <c r="AD774" i="1"/>
  <c r="AE774" i="1"/>
  <c r="AJ774" i="1" s="1"/>
  <c r="AH774" i="1"/>
  <c r="AK774" i="1"/>
  <c r="AL774" i="1"/>
  <c r="AQ774" i="1"/>
  <c r="AR774" i="1" s="1"/>
  <c r="AS774" i="1"/>
  <c r="AT774" i="1"/>
  <c r="BE774" i="1"/>
  <c r="BF774" i="1"/>
  <c r="AC775" i="1"/>
  <c r="CD775" i="1" s="1"/>
  <c r="AD775" i="1"/>
  <c r="AE775" i="1"/>
  <c r="AJ775" i="1" s="1"/>
  <c r="AH775" i="1"/>
  <c r="AK775" i="1"/>
  <c r="AL775" i="1"/>
  <c r="AQ775" i="1"/>
  <c r="AR775" i="1" s="1"/>
  <c r="AS775" i="1"/>
  <c r="AT775" i="1"/>
  <c r="BE775" i="1"/>
  <c r="BF775" i="1" s="1"/>
  <c r="AC776" i="1"/>
  <c r="CD776" i="1" s="1"/>
  <c r="AD776" i="1"/>
  <c r="AE776" i="1"/>
  <c r="AJ776" i="1" s="1"/>
  <c r="AH776" i="1"/>
  <c r="AK776" i="1"/>
  <c r="AL776" i="1"/>
  <c r="AQ776" i="1"/>
  <c r="AR776" i="1" s="1"/>
  <c r="AS776" i="1"/>
  <c r="AT776" i="1"/>
  <c r="BE776" i="1"/>
  <c r="BF776" i="1" s="1"/>
  <c r="AC777" i="1"/>
  <c r="CD777" i="1" s="1"/>
  <c r="AD777" i="1"/>
  <c r="AE777" i="1"/>
  <c r="AJ777" i="1" s="1"/>
  <c r="AH777" i="1"/>
  <c r="AK777" i="1"/>
  <c r="AL777" i="1"/>
  <c r="AQ777" i="1"/>
  <c r="AR777" i="1" s="1"/>
  <c r="AS777" i="1"/>
  <c r="AT777" i="1"/>
  <c r="BE777" i="1"/>
  <c r="BF777" i="1" s="1"/>
  <c r="AC778" i="1"/>
  <c r="CD778" i="1" s="1"/>
  <c r="AD778" i="1"/>
  <c r="AE778" i="1"/>
  <c r="AJ778" i="1" s="1"/>
  <c r="AH778" i="1"/>
  <c r="AK778" i="1"/>
  <c r="AL778" i="1"/>
  <c r="AQ778" i="1"/>
  <c r="AR778" i="1" s="1"/>
  <c r="AS778" i="1"/>
  <c r="AT778" i="1"/>
  <c r="BE778" i="1"/>
  <c r="BF778" i="1" s="1"/>
  <c r="AC779" i="1"/>
  <c r="CD779" i="1" s="1"/>
  <c r="AD779" i="1"/>
  <c r="AE779" i="1"/>
  <c r="AJ779" i="1" s="1"/>
  <c r="AH779" i="1"/>
  <c r="AK779" i="1"/>
  <c r="AL779" i="1"/>
  <c r="AQ779" i="1"/>
  <c r="AR779" i="1" s="1"/>
  <c r="AS779" i="1"/>
  <c r="AT779" i="1"/>
  <c r="BE779" i="1"/>
  <c r="BF779" i="1" s="1"/>
  <c r="V773" i="1"/>
  <c r="V774" i="1"/>
  <c r="V775" i="1"/>
  <c r="V776" i="1"/>
  <c r="V777" i="1"/>
  <c r="V778" i="1"/>
  <c r="V779" i="1"/>
  <c r="CE779" i="1" l="1"/>
  <c r="CH779" i="1"/>
  <c r="CI779" i="1" s="1"/>
  <c r="CE778" i="1"/>
  <c r="CH778" i="1"/>
  <c r="CI778" i="1" s="1"/>
  <c r="CE777" i="1"/>
  <c r="CH777" i="1"/>
  <c r="CI777" i="1" s="1"/>
  <c r="CH776" i="1"/>
  <c r="CI776" i="1" s="1"/>
  <c r="CE776" i="1"/>
  <c r="CE775" i="1"/>
  <c r="CH775" i="1"/>
  <c r="CI775" i="1" s="1"/>
  <c r="CE774" i="1"/>
  <c r="CH774" i="1"/>
  <c r="CI774" i="1" s="1"/>
  <c r="CE773" i="1"/>
  <c r="CH773" i="1"/>
  <c r="CI773" i="1" s="1"/>
  <c r="CH772" i="1"/>
  <c r="CI772" i="1" s="1"/>
  <c r="CE772" i="1"/>
  <c r="CE771" i="1"/>
  <c r="CH771" i="1"/>
  <c r="CI771" i="1" s="1"/>
  <c r="CE770" i="1"/>
  <c r="CH770" i="1"/>
  <c r="CI770" i="1" s="1"/>
  <c r="AM778" i="1"/>
  <c r="AO778" i="1" s="1"/>
  <c r="AF778" i="1" s="1"/>
  <c r="AI772" i="1"/>
  <c r="AI773" i="1"/>
  <c r="AI777" i="1"/>
  <c r="AM779" i="1"/>
  <c r="AO779" i="1" s="1"/>
  <c r="AF779" i="1" s="1"/>
  <c r="AM773" i="1"/>
  <c r="AO773" i="1" s="1"/>
  <c r="AF773" i="1" s="1"/>
  <c r="AM775" i="1"/>
  <c r="AO775" i="1" s="1"/>
  <c r="AF775" i="1" s="1"/>
  <c r="AI774" i="1"/>
  <c r="AI770" i="1"/>
  <c r="AM774" i="1"/>
  <c r="AO774" i="1" s="1"/>
  <c r="AF774" i="1" s="1"/>
  <c r="AN778" i="1"/>
  <c r="AG778" i="1" s="1"/>
  <c r="AI771" i="1"/>
  <c r="AI779" i="1"/>
  <c r="AM771" i="1"/>
  <c r="AO771" i="1" s="1"/>
  <c r="AF771" i="1" s="1"/>
  <c r="AN776" i="1"/>
  <c r="AG776" i="1" s="1"/>
  <c r="AM770" i="1"/>
  <c r="AO770" i="1" s="1"/>
  <c r="AF770" i="1" s="1"/>
  <c r="AN777" i="1"/>
  <c r="AG777" i="1" s="1"/>
  <c r="AN775" i="1"/>
  <c r="AG775" i="1" s="1"/>
  <c r="AI775" i="1"/>
  <c r="AI776" i="1"/>
  <c r="AM772" i="1"/>
  <c r="AO772" i="1" s="1"/>
  <c r="AF772" i="1" s="1"/>
  <c r="AN773" i="1"/>
  <c r="AG773" i="1" s="1"/>
  <c r="AM776" i="1"/>
  <c r="AO776" i="1" s="1"/>
  <c r="AF776" i="1" s="1"/>
  <c r="AN770" i="1"/>
  <c r="AG770" i="1" s="1"/>
  <c r="AI778" i="1"/>
  <c r="AM777" i="1"/>
  <c r="AO777" i="1" s="1"/>
  <c r="AF777" i="1" s="1"/>
  <c r="AN774" i="1"/>
  <c r="AG774" i="1" s="1"/>
  <c r="AN779" i="1"/>
  <c r="AG779" i="1" s="1"/>
  <c r="AN771" i="1"/>
  <c r="AG771" i="1" s="1"/>
  <c r="AN772" i="1"/>
  <c r="AG772" i="1" s="1"/>
  <c r="I62" i="4" l="1"/>
  <c r="I63" i="4"/>
  <c r="I64" i="4"/>
  <c r="I65" i="4"/>
  <c r="I66" i="4"/>
  <c r="I67" i="4"/>
  <c r="I68" i="4"/>
  <c r="I69" i="4"/>
  <c r="I70" i="4"/>
  <c r="I71" i="4"/>
  <c r="I72" i="4"/>
  <c r="I73" i="4"/>
  <c r="I78" i="4"/>
  <c r="I61" i="4"/>
  <c r="BA624" i="1" l="1"/>
  <c r="BA369" i="1"/>
  <c r="BA262" i="1" l="1"/>
  <c r="BE769" i="1"/>
  <c r="BF769" i="1" s="1"/>
  <c r="AT769" i="1"/>
  <c r="AS769" i="1"/>
  <c r="AQ769" i="1"/>
  <c r="AR769" i="1" s="1"/>
  <c r="AL769" i="1"/>
  <c r="AK769" i="1"/>
  <c r="AH769" i="1"/>
  <c r="AE769" i="1"/>
  <c r="AJ769" i="1" s="1"/>
  <c r="AD769" i="1"/>
  <c r="AC769" i="1"/>
  <c r="CD769" i="1" s="1"/>
  <c r="BE768" i="1"/>
  <c r="BF768" i="1" s="1"/>
  <c r="AT768" i="1"/>
  <c r="AS768" i="1"/>
  <c r="AQ768" i="1"/>
  <c r="AR768" i="1" s="1"/>
  <c r="AL768" i="1"/>
  <c r="AK768" i="1"/>
  <c r="AH768" i="1"/>
  <c r="AE768" i="1"/>
  <c r="AJ768" i="1" s="1"/>
  <c r="AD768" i="1"/>
  <c r="AC768" i="1"/>
  <c r="CD768" i="1" s="1"/>
  <c r="BE767" i="1"/>
  <c r="BF767" i="1" s="1"/>
  <c r="AT767" i="1"/>
  <c r="AS767" i="1"/>
  <c r="AQ767" i="1"/>
  <c r="AR767" i="1" s="1"/>
  <c r="AL767" i="1"/>
  <c r="AK767" i="1"/>
  <c r="AH767" i="1"/>
  <c r="AE767" i="1"/>
  <c r="AJ767" i="1" s="1"/>
  <c r="AD767" i="1"/>
  <c r="AC767" i="1"/>
  <c r="CD767" i="1" s="1"/>
  <c r="BE766" i="1"/>
  <c r="BF766" i="1" s="1"/>
  <c r="AT766" i="1"/>
  <c r="AS766" i="1"/>
  <c r="AQ766" i="1"/>
  <c r="AR766" i="1" s="1"/>
  <c r="AL766" i="1"/>
  <c r="AK766" i="1"/>
  <c r="AH766" i="1"/>
  <c r="AE766" i="1"/>
  <c r="AJ766" i="1" s="1"/>
  <c r="AD766" i="1"/>
  <c r="AC766" i="1"/>
  <c r="CD766" i="1" s="1"/>
  <c r="BF765" i="1"/>
  <c r="BE765" i="1"/>
  <c r="AT765" i="1"/>
  <c r="AS765" i="1"/>
  <c r="AQ765" i="1"/>
  <c r="AR765" i="1" s="1"/>
  <c r="AL765" i="1"/>
  <c r="AK765" i="1"/>
  <c r="AH765" i="1"/>
  <c r="AE765" i="1"/>
  <c r="AJ765" i="1" s="1"/>
  <c r="AD765" i="1"/>
  <c r="AC765" i="1"/>
  <c r="CD765" i="1" s="1"/>
  <c r="BE764" i="1"/>
  <c r="BF764" i="1" s="1"/>
  <c r="AT764" i="1"/>
  <c r="AS764" i="1"/>
  <c r="AQ764" i="1"/>
  <c r="AR764" i="1" s="1"/>
  <c r="AL764" i="1"/>
  <c r="AK764" i="1"/>
  <c r="AH764" i="1"/>
  <c r="AE764" i="1"/>
  <c r="AJ764" i="1" s="1"/>
  <c r="AD764" i="1"/>
  <c r="AC764" i="1"/>
  <c r="CD764" i="1" s="1"/>
  <c r="BF763" i="1"/>
  <c r="BE763" i="1"/>
  <c r="AT763" i="1"/>
  <c r="AS763" i="1"/>
  <c r="AQ763" i="1"/>
  <c r="AR763" i="1" s="1"/>
  <c r="AL763" i="1"/>
  <c r="AK763" i="1"/>
  <c r="AH763" i="1"/>
  <c r="AE763" i="1"/>
  <c r="AJ763" i="1" s="1"/>
  <c r="AD763" i="1"/>
  <c r="AC763" i="1"/>
  <c r="CD763" i="1" s="1"/>
  <c r="BF762" i="1"/>
  <c r="BE762" i="1"/>
  <c r="AT762" i="1"/>
  <c r="AS762" i="1"/>
  <c r="AQ762" i="1"/>
  <c r="AR762" i="1" s="1"/>
  <c r="AL762" i="1"/>
  <c r="AK762" i="1"/>
  <c r="AH762" i="1"/>
  <c r="AE762" i="1"/>
  <c r="AJ762" i="1" s="1"/>
  <c r="AD762" i="1"/>
  <c r="AC762" i="1"/>
  <c r="CD762" i="1" s="1"/>
  <c r="BF761" i="1"/>
  <c r="BE761" i="1"/>
  <c r="AT761" i="1"/>
  <c r="AS761" i="1"/>
  <c r="AQ761" i="1"/>
  <c r="AR761" i="1" s="1"/>
  <c r="AL761" i="1"/>
  <c r="AK761" i="1"/>
  <c r="AH761" i="1"/>
  <c r="AE761" i="1"/>
  <c r="AJ761" i="1" s="1"/>
  <c r="AD761" i="1"/>
  <c r="AC761" i="1"/>
  <c r="CD761" i="1" s="1"/>
  <c r="BF760" i="1"/>
  <c r="BE760" i="1"/>
  <c r="AT760" i="1"/>
  <c r="AS760" i="1"/>
  <c r="AQ760" i="1"/>
  <c r="AR760" i="1" s="1"/>
  <c r="AL760" i="1"/>
  <c r="AK760" i="1"/>
  <c r="AH760" i="1"/>
  <c r="AE760" i="1"/>
  <c r="AJ760" i="1" s="1"/>
  <c r="AD760" i="1"/>
  <c r="AC760" i="1"/>
  <c r="CD760" i="1" s="1"/>
  <c r="BF759" i="1"/>
  <c r="BE759" i="1"/>
  <c r="AT759" i="1"/>
  <c r="AS759" i="1"/>
  <c r="AQ759" i="1"/>
  <c r="AR759" i="1" s="1"/>
  <c r="AL759" i="1"/>
  <c r="AK759" i="1"/>
  <c r="AH759" i="1"/>
  <c r="AE759" i="1"/>
  <c r="AJ759" i="1" s="1"/>
  <c r="AD759" i="1"/>
  <c r="AC759" i="1"/>
  <c r="CD759" i="1" s="1"/>
  <c r="BE758" i="1"/>
  <c r="BF758" i="1" s="1"/>
  <c r="AT758" i="1"/>
  <c r="AS758" i="1"/>
  <c r="AQ758" i="1"/>
  <c r="AR758" i="1" s="1"/>
  <c r="AL758" i="1"/>
  <c r="AK758" i="1"/>
  <c r="AH758" i="1"/>
  <c r="AE758" i="1"/>
  <c r="AJ758" i="1" s="1"/>
  <c r="AD758" i="1"/>
  <c r="AC758" i="1"/>
  <c r="CD758" i="1" s="1"/>
  <c r="V772" i="1"/>
  <c r="V771" i="1"/>
  <c r="V770" i="1"/>
  <c r="V769" i="1"/>
  <c r="V768" i="1"/>
  <c r="V767" i="1"/>
  <c r="V766" i="1"/>
  <c r="V765" i="1"/>
  <c r="V764" i="1"/>
  <c r="V763" i="1"/>
  <c r="V762" i="1"/>
  <c r="V761" i="1"/>
  <c r="V760" i="1"/>
  <c r="V759" i="1"/>
  <c r="CL22" i="2"/>
  <c r="CK22" i="2"/>
  <c r="CM22" i="2" s="1"/>
  <c r="CJ22" i="2"/>
  <c r="CD22" i="2"/>
  <c r="CE22" i="2" s="1"/>
  <c r="CC22" i="2"/>
  <c r="CA22" i="2"/>
  <c r="BF22" i="2"/>
  <c r="BE22" i="2"/>
  <c r="AT22" i="2"/>
  <c r="AS22" i="2"/>
  <c r="AR22" i="2"/>
  <c r="AQ22" i="2"/>
  <c r="AL22" i="2"/>
  <c r="AK22" i="2"/>
  <c r="AN22" i="2" s="1"/>
  <c r="AG22" i="2" s="1"/>
  <c r="AI22" i="2"/>
  <c r="AH22" i="2"/>
  <c r="AE22" i="2"/>
  <c r="AJ22" i="2" s="1"/>
  <c r="AD22" i="2"/>
  <c r="AC22" i="2"/>
  <c r="CB22" i="2" s="1"/>
  <c r="V22" i="2"/>
  <c r="F9" i="5"/>
  <c r="G20" i="5"/>
  <c r="G18" i="5"/>
  <c r="G19" i="5"/>
  <c r="B18" i="5"/>
  <c r="B19" i="5"/>
  <c r="B20" i="5"/>
  <c r="C18" i="5"/>
  <c r="D18" i="5"/>
  <c r="E18" i="5"/>
  <c r="F18" i="5"/>
  <c r="C19" i="5"/>
  <c r="D19" i="5"/>
  <c r="E19" i="5"/>
  <c r="F19" i="5"/>
  <c r="C20" i="5"/>
  <c r="D20" i="5"/>
  <c r="E20" i="5"/>
  <c r="F20" i="5"/>
  <c r="G13" i="5"/>
  <c r="CE758" i="1" l="1"/>
  <c r="CH758" i="1"/>
  <c r="CI758" i="1" s="1"/>
  <c r="CE759" i="1"/>
  <c r="CH759" i="1"/>
  <c r="CI759" i="1" s="1"/>
  <c r="CE760" i="1"/>
  <c r="CH760" i="1"/>
  <c r="CI760" i="1" s="1"/>
  <c r="CE761" i="1"/>
  <c r="CH761" i="1"/>
  <c r="CI761" i="1" s="1"/>
  <c r="CE762" i="1"/>
  <c r="CH762" i="1"/>
  <c r="CI762" i="1" s="1"/>
  <c r="CH763" i="1"/>
  <c r="CI763" i="1" s="1"/>
  <c r="CE763" i="1"/>
  <c r="CE764" i="1"/>
  <c r="CH764" i="1"/>
  <c r="CI764" i="1" s="1"/>
  <c r="CE765" i="1"/>
  <c r="CH765" i="1"/>
  <c r="CI765" i="1" s="1"/>
  <c r="CE766" i="1"/>
  <c r="CH766" i="1"/>
  <c r="CI766" i="1" s="1"/>
  <c r="CH767" i="1"/>
  <c r="CI767" i="1" s="1"/>
  <c r="CE767" i="1"/>
  <c r="CE768" i="1"/>
  <c r="CH768" i="1"/>
  <c r="CI768" i="1" s="1"/>
  <c r="CE769" i="1"/>
  <c r="CH769" i="1"/>
  <c r="CI769" i="1" s="1"/>
  <c r="AN762" i="1"/>
  <c r="AG762" i="1" s="1"/>
  <c r="AN759" i="1"/>
  <c r="AG759" i="1" s="1"/>
  <c r="AI761" i="1"/>
  <c r="AN761" i="1"/>
  <c r="AG761" i="1" s="1"/>
  <c r="AN760" i="1"/>
  <c r="AG760" i="1" s="1"/>
  <c r="AI765" i="1"/>
  <c r="AM768" i="1"/>
  <c r="AO768" i="1" s="1"/>
  <c r="AF768" i="1" s="1"/>
  <c r="AM767" i="1"/>
  <c r="AO767" i="1" s="1"/>
  <c r="AF767" i="1" s="1"/>
  <c r="AN769" i="1"/>
  <c r="AG769" i="1" s="1"/>
  <c r="AI766" i="1"/>
  <c r="AI764" i="1"/>
  <c r="AN763" i="1"/>
  <c r="AG763" i="1" s="1"/>
  <c r="AN765" i="1"/>
  <c r="AG765" i="1" s="1"/>
  <c r="AM760" i="1"/>
  <c r="AO760" i="1" s="1"/>
  <c r="AF760" i="1" s="1"/>
  <c r="AI762" i="1"/>
  <c r="AI758" i="1"/>
  <c r="AI760" i="1"/>
  <c r="AI767" i="1"/>
  <c r="AM759" i="1"/>
  <c r="AO759" i="1" s="1"/>
  <c r="AF759" i="1" s="1"/>
  <c r="AM764" i="1"/>
  <c r="AO764" i="1" s="1"/>
  <c r="AF764" i="1" s="1"/>
  <c r="AN766" i="1"/>
  <c r="AG766" i="1" s="1"/>
  <c r="AN768" i="1"/>
  <c r="AG768" i="1" s="1"/>
  <c r="AI763" i="1"/>
  <c r="AI759" i="1"/>
  <c r="AN764" i="1"/>
  <c r="AG764" i="1" s="1"/>
  <c r="AN758" i="1"/>
  <c r="AG758" i="1" s="1"/>
  <c r="AM763" i="1"/>
  <c r="AO763" i="1" s="1"/>
  <c r="AF763" i="1" s="1"/>
  <c r="AN767" i="1"/>
  <c r="AG767" i="1" s="1"/>
  <c r="AI768" i="1"/>
  <c r="AM762" i="1"/>
  <c r="AO762" i="1" s="1"/>
  <c r="AF762" i="1" s="1"/>
  <c r="AM765" i="1"/>
  <c r="AO765" i="1" s="1"/>
  <c r="AF765" i="1" s="1"/>
  <c r="AI769" i="1"/>
  <c r="AM758" i="1"/>
  <c r="AO758" i="1" s="1"/>
  <c r="AF758" i="1" s="1"/>
  <c r="AM766" i="1"/>
  <c r="AO766" i="1" s="1"/>
  <c r="AF766" i="1" s="1"/>
  <c r="AM761" i="1"/>
  <c r="AO761" i="1" s="1"/>
  <c r="AF761" i="1" s="1"/>
  <c r="AM769" i="1"/>
  <c r="AO769" i="1" s="1"/>
  <c r="AF769" i="1" s="1"/>
  <c r="CH22" i="2"/>
  <c r="CI22" i="2" s="1"/>
  <c r="AM22" i="2"/>
  <c r="AO22" i="2" s="1"/>
  <c r="AF22" i="2" s="1"/>
  <c r="BA333" i="1"/>
  <c r="AC744" i="1" l="1"/>
  <c r="CD744" i="1" s="1"/>
  <c r="AD744" i="1"/>
  <c r="AE744" i="1"/>
  <c r="AJ744" i="1" s="1"/>
  <c r="AH744" i="1"/>
  <c r="AK744" i="1"/>
  <c r="AL744" i="1"/>
  <c r="AQ744" i="1"/>
  <c r="AR744" i="1" s="1"/>
  <c r="AS744" i="1"/>
  <c r="AT744" i="1"/>
  <c r="BE744" i="1"/>
  <c r="BF744" i="1"/>
  <c r="AC745" i="1"/>
  <c r="CD745" i="1" s="1"/>
  <c r="AD745" i="1"/>
  <c r="AE745" i="1"/>
  <c r="AJ745" i="1" s="1"/>
  <c r="AH745" i="1"/>
  <c r="AK745" i="1"/>
  <c r="AL745" i="1"/>
  <c r="AQ745" i="1"/>
  <c r="AR745" i="1" s="1"/>
  <c r="AS745" i="1"/>
  <c r="AT745" i="1"/>
  <c r="BE745" i="1"/>
  <c r="BF745" i="1"/>
  <c r="AC746" i="1"/>
  <c r="CD746" i="1" s="1"/>
  <c r="AD746" i="1"/>
  <c r="AE746" i="1"/>
  <c r="AJ746" i="1" s="1"/>
  <c r="AH746" i="1"/>
  <c r="AK746" i="1"/>
  <c r="AL746" i="1"/>
  <c r="AQ746" i="1"/>
  <c r="AR746" i="1" s="1"/>
  <c r="AS746" i="1"/>
  <c r="AT746" i="1"/>
  <c r="BE746" i="1"/>
  <c r="BF746" i="1"/>
  <c r="AC747" i="1"/>
  <c r="CD747" i="1" s="1"/>
  <c r="AD747" i="1"/>
  <c r="AE747" i="1"/>
  <c r="AJ747" i="1" s="1"/>
  <c r="AH747" i="1"/>
  <c r="AK747" i="1"/>
  <c r="AL747" i="1"/>
  <c r="AQ747" i="1"/>
  <c r="AR747" i="1" s="1"/>
  <c r="AS747" i="1"/>
  <c r="AT747" i="1"/>
  <c r="BE747" i="1"/>
  <c r="BF747" i="1"/>
  <c r="AC748" i="1"/>
  <c r="CD748" i="1" s="1"/>
  <c r="AD748" i="1"/>
  <c r="AE748" i="1"/>
  <c r="AJ748" i="1" s="1"/>
  <c r="AH748" i="1"/>
  <c r="AK748" i="1"/>
  <c r="AL748" i="1"/>
  <c r="AQ748" i="1"/>
  <c r="AR748" i="1" s="1"/>
  <c r="AS748" i="1"/>
  <c r="AT748" i="1"/>
  <c r="BE748" i="1"/>
  <c r="BF748" i="1"/>
  <c r="AC749" i="1"/>
  <c r="CD749" i="1" s="1"/>
  <c r="AD749" i="1"/>
  <c r="AE749" i="1"/>
  <c r="AJ749" i="1" s="1"/>
  <c r="AH749" i="1"/>
  <c r="AK749" i="1"/>
  <c r="AL749" i="1"/>
  <c r="AQ749" i="1"/>
  <c r="AR749" i="1" s="1"/>
  <c r="AS749" i="1"/>
  <c r="AT749" i="1"/>
  <c r="BE749" i="1"/>
  <c r="BF749" i="1"/>
  <c r="AC750" i="1"/>
  <c r="CD750" i="1" s="1"/>
  <c r="AD750" i="1"/>
  <c r="AE750" i="1"/>
  <c r="AJ750" i="1" s="1"/>
  <c r="AH750" i="1"/>
  <c r="AK750" i="1"/>
  <c r="AL750" i="1"/>
  <c r="AQ750" i="1"/>
  <c r="AR750" i="1" s="1"/>
  <c r="AS750" i="1"/>
  <c r="AT750" i="1"/>
  <c r="BE750" i="1"/>
  <c r="BF750" i="1" s="1"/>
  <c r="AC751" i="1"/>
  <c r="CD751" i="1" s="1"/>
  <c r="AD751" i="1"/>
  <c r="AE751" i="1"/>
  <c r="AJ751" i="1" s="1"/>
  <c r="AH751" i="1"/>
  <c r="AK751" i="1"/>
  <c r="AL751" i="1"/>
  <c r="AQ751" i="1"/>
  <c r="AR751" i="1" s="1"/>
  <c r="AS751" i="1"/>
  <c r="AT751" i="1"/>
  <c r="BE751" i="1"/>
  <c r="BF751" i="1" s="1"/>
  <c r="AC752" i="1"/>
  <c r="CD752" i="1" s="1"/>
  <c r="AD752" i="1"/>
  <c r="AE752" i="1"/>
  <c r="AJ752" i="1" s="1"/>
  <c r="AH752" i="1"/>
  <c r="AK752" i="1"/>
  <c r="AL752" i="1"/>
  <c r="AQ752" i="1"/>
  <c r="AR752" i="1" s="1"/>
  <c r="AS752" i="1"/>
  <c r="AT752" i="1"/>
  <c r="BE752" i="1"/>
  <c r="BF752" i="1" s="1"/>
  <c r="AC753" i="1"/>
  <c r="CD753" i="1" s="1"/>
  <c r="AD753" i="1"/>
  <c r="AE753" i="1"/>
  <c r="AJ753" i="1" s="1"/>
  <c r="AH753" i="1"/>
  <c r="AK753" i="1"/>
  <c r="AL753" i="1"/>
  <c r="AQ753" i="1"/>
  <c r="AR753" i="1" s="1"/>
  <c r="AS753" i="1"/>
  <c r="AT753" i="1"/>
  <c r="BE753" i="1"/>
  <c r="BF753" i="1" s="1"/>
  <c r="AC754" i="1"/>
  <c r="CD754" i="1" s="1"/>
  <c r="AD754" i="1"/>
  <c r="AE754" i="1"/>
  <c r="AJ754" i="1" s="1"/>
  <c r="AH754" i="1"/>
  <c r="AK754" i="1"/>
  <c r="AL754" i="1"/>
  <c r="AQ754" i="1"/>
  <c r="AR754" i="1" s="1"/>
  <c r="AS754" i="1"/>
  <c r="AT754" i="1"/>
  <c r="BE754" i="1"/>
  <c r="BF754" i="1"/>
  <c r="AC755" i="1"/>
  <c r="CD755" i="1" s="1"/>
  <c r="AD755" i="1"/>
  <c r="AE755" i="1"/>
  <c r="AJ755" i="1" s="1"/>
  <c r="AH755" i="1"/>
  <c r="AK755" i="1"/>
  <c r="AL755" i="1"/>
  <c r="AQ755" i="1"/>
  <c r="AR755" i="1" s="1"/>
  <c r="AS755" i="1"/>
  <c r="AT755" i="1"/>
  <c r="BE755" i="1"/>
  <c r="BF755" i="1"/>
  <c r="AC756" i="1"/>
  <c r="CD756" i="1" s="1"/>
  <c r="AD756" i="1"/>
  <c r="AE756" i="1"/>
  <c r="AJ756" i="1" s="1"/>
  <c r="AH756" i="1"/>
  <c r="AK756" i="1"/>
  <c r="AL756" i="1"/>
  <c r="AQ756" i="1"/>
  <c r="AR756" i="1" s="1"/>
  <c r="AS756" i="1"/>
  <c r="AT756" i="1"/>
  <c r="BE756" i="1"/>
  <c r="BF756" i="1"/>
  <c r="AC757" i="1"/>
  <c r="CD757" i="1" s="1"/>
  <c r="AD757" i="1"/>
  <c r="AE757" i="1"/>
  <c r="AJ757" i="1" s="1"/>
  <c r="AH757" i="1"/>
  <c r="AK757" i="1"/>
  <c r="AL757" i="1"/>
  <c r="AQ757" i="1"/>
  <c r="AR757" i="1" s="1"/>
  <c r="AS757" i="1"/>
  <c r="AT757" i="1"/>
  <c r="BE757" i="1"/>
  <c r="BF757" i="1" s="1"/>
  <c r="V745" i="1"/>
  <c r="V746" i="1"/>
  <c r="V747" i="1"/>
  <c r="V748" i="1"/>
  <c r="V749" i="1"/>
  <c r="V750" i="1"/>
  <c r="V751" i="1"/>
  <c r="V752" i="1"/>
  <c r="V753" i="1"/>
  <c r="V754" i="1"/>
  <c r="V755" i="1"/>
  <c r="V756" i="1"/>
  <c r="V757" i="1"/>
  <c r="V758" i="1"/>
  <c r="T52" i="4"/>
  <c r="CK744" i="1"/>
  <c r="CM744" i="1" s="1"/>
  <c r="CJ744" i="1"/>
  <c r="CL744" i="1"/>
  <c r="CJ745" i="1"/>
  <c r="CK745" i="1"/>
  <c r="CM745" i="1" s="1"/>
  <c r="CL745" i="1"/>
  <c r="CJ746" i="1"/>
  <c r="CK746" i="1"/>
  <c r="CM746" i="1" s="1"/>
  <c r="CL746" i="1"/>
  <c r="CJ747" i="1"/>
  <c r="CK747" i="1"/>
  <c r="CM747" i="1" s="1"/>
  <c r="CL747" i="1"/>
  <c r="CJ748" i="1"/>
  <c r="CK748" i="1"/>
  <c r="CM748" i="1" s="1"/>
  <c r="CL748" i="1"/>
  <c r="CJ749" i="1"/>
  <c r="CK749" i="1"/>
  <c r="CM749" i="1" s="1"/>
  <c r="CL749" i="1"/>
  <c r="CJ750" i="1"/>
  <c r="CK750" i="1"/>
  <c r="CM750" i="1" s="1"/>
  <c r="CL750" i="1"/>
  <c r="CJ751" i="1"/>
  <c r="CK751" i="1"/>
  <c r="CM751" i="1" s="1"/>
  <c r="CL751" i="1"/>
  <c r="CJ752" i="1"/>
  <c r="CK752" i="1"/>
  <c r="CM752" i="1" s="1"/>
  <c r="CL752" i="1"/>
  <c r="CJ753" i="1"/>
  <c r="CK753" i="1"/>
  <c r="CM753" i="1" s="1"/>
  <c r="CL753" i="1"/>
  <c r="CJ754" i="1"/>
  <c r="CK754" i="1"/>
  <c r="CM754" i="1" s="1"/>
  <c r="CL754" i="1"/>
  <c r="CJ755" i="1"/>
  <c r="CK755" i="1"/>
  <c r="CM755" i="1" s="1"/>
  <c r="CL755" i="1"/>
  <c r="CJ756" i="1"/>
  <c r="CK756" i="1"/>
  <c r="CM756" i="1" s="1"/>
  <c r="CL756" i="1"/>
  <c r="CJ757" i="1"/>
  <c r="CK757" i="1"/>
  <c r="CM757" i="1" s="1"/>
  <c r="CL757" i="1"/>
  <c r="CK690" i="1"/>
  <c r="CM690" i="1" s="1"/>
  <c r="CL690" i="1"/>
  <c r="CJ691" i="1"/>
  <c r="CK691" i="1"/>
  <c r="CM691" i="1" s="1"/>
  <c r="CL691" i="1"/>
  <c r="CJ692" i="1"/>
  <c r="CK692" i="1"/>
  <c r="CM692" i="1" s="1"/>
  <c r="CL692" i="1"/>
  <c r="CJ693" i="1"/>
  <c r="CK693" i="1"/>
  <c r="CM693" i="1" s="1"/>
  <c r="CL693" i="1"/>
  <c r="CJ694" i="1"/>
  <c r="CK694" i="1"/>
  <c r="CM694" i="1" s="1"/>
  <c r="CL694" i="1"/>
  <c r="CJ695" i="1"/>
  <c r="CK695" i="1"/>
  <c r="CM695" i="1" s="1"/>
  <c r="CL695" i="1"/>
  <c r="CJ696" i="1"/>
  <c r="CK696" i="1"/>
  <c r="CM696" i="1" s="1"/>
  <c r="CL696" i="1"/>
  <c r="CJ697" i="1"/>
  <c r="CK697" i="1"/>
  <c r="CM697" i="1" s="1"/>
  <c r="CL697" i="1"/>
  <c r="CJ698" i="1"/>
  <c r="CK698" i="1"/>
  <c r="CM698" i="1" s="1"/>
  <c r="CL698" i="1"/>
  <c r="CJ699" i="1"/>
  <c r="CK699" i="1"/>
  <c r="CM699" i="1" s="1"/>
  <c r="CL699" i="1"/>
  <c r="CJ700" i="1"/>
  <c r="CK700" i="1"/>
  <c r="CM700" i="1" s="1"/>
  <c r="CL700" i="1"/>
  <c r="CJ701" i="1"/>
  <c r="CK701" i="1"/>
  <c r="CM701" i="1" s="1"/>
  <c r="CL701" i="1"/>
  <c r="CJ702" i="1"/>
  <c r="CK702" i="1"/>
  <c r="CM702" i="1" s="1"/>
  <c r="CL702" i="1"/>
  <c r="CJ703" i="1"/>
  <c r="CK703" i="1"/>
  <c r="CM703" i="1" s="1"/>
  <c r="CL703" i="1"/>
  <c r="CJ704" i="1"/>
  <c r="CK704" i="1"/>
  <c r="CM704" i="1" s="1"/>
  <c r="CL704" i="1"/>
  <c r="CJ705" i="1"/>
  <c r="CK705" i="1"/>
  <c r="CM705" i="1" s="1"/>
  <c r="CL705" i="1"/>
  <c r="CJ706" i="1"/>
  <c r="CK706" i="1"/>
  <c r="CM706" i="1" s="1"/>
  <c r="CL706" i="1"/>
  <c r="CJ707" i="1"/>
  <c r="CK707" i="1"/>
  <c r="CM707" i="1" s="1"/>
  <c r="CL707" i="1"/>
  <c r="CJ708" i="1"/>
  <c r="CK708" i="1"/>
  <c r="CM708" i="1" s="1"/>
  <c r="CL708" i="1"/>
  <c r="CJ709" i="1"/>
  <c r="CK709" i="1"/>
  <c r="CM709" i="1" s="1"/>
  <c r="CL709" i="1"/>
  <c r="CJ710" i="1"/>
  <c r="CK710" i="1"/>
  <c r="CM710" i="1" s="1"/>
  <c r="CL710" i="1"/>
  <c r="CJ711" i="1"/>
  <c r="CK711" i="1"/>
  <c r="CM711" i="1" s="1"/>
  <c r="CL711" i="1"/>
  <c r="CJ712" i="1"/>
  <c r="CK712" i="1"/>
  <c r="CM712" i="1" s="1"/>
  <c r="CL712" i="1"/>
  <c r="CJ713" i="1"/>
  <c r="CK713" i="1"/>
  <c r="CM713" i="1" s="1"/>
  <c r="CL713" i="1"/>
  <c r="CJ714" i="1"/>
  <c r="CK714" i="1"/>
  <c r="CM714" i="1" s="1"/>
  <c r="CL714" i="1"/>
  <c r="CJ715" i="1"/>
  <c r="CK715" i="1"/>
  <c r="CM715" i="1" s="1"/>
  <c r="CL715" i="1"/>
  <c r="CJ716" i="1"/>
  <c r="CK716" i="1"/>
  <c r="CM716" i="1" s="1"/>
  <c r="CL716" i="1"/>
  <c r="CJ717" i="1"/>
  <c r="CK717" i="1"/>
  <c r="CM717" i="1" s="1"/>
  <c r="CL717" i="1"/>
  <c r="CJ718" i="1"/>
  <c r="CK718" i="1"/>
  <c r="CM718" i="1" s="1"/>
  <c r="CL718" i="1"/>
  <c r="CJ719" i="1"/>
  <c r="CK719" i="1"/>
  <c r="CM719" i="1" s="1"/>
  <c r="CL719" i="1"/>
  <c r="CJ720" i="1"/>
  <c r="CK720" i="1"/>
  <c r="CM720" i="1" s="1"/>
  <c r="CL720" i="1"/>
  <c r="CJ721" i="1"/>
  <c r="CK721" i="1"/>
  <c r="CM721" i="1" s="1"/>
  <c r="CL721" i="1"/>
  <c r="CJ722" i="1"/>
  <c r="CK722" i="1"/>
  <c r="CM722" i="1" s="1"/>
  <c r="CL722" i="1"/>
  <c r="CJ723" i="1"/>
  <c r="CK723" i="1"/>
  <c r="CM723" i="1" s="1"/>
  <c r="CL723" i="1"/>
  <c r="CJ724" i="1"/>
  <c r="CK724" i="1"/>
  <c r="CM724" i="1" s="1"/>
  <c r="CL724" i="1"/>
  <c r="CJ725" i="1"/>
  <c r="CK725" i="1"/>
  <c r="CM725" i="1" s="1"/>
  <c r="CL725" i="1"/>
  <c r="CJ726" i="1"/>
  <c r="CK726" i="1"/>
  <c r="CM726" i="1" s="1"/>
  <c r="CL726" i="1"/>
  <c r="CJ727" i="1"/>
  <c r="CK727" i="1"/>
  <c r="CM727" i="1" s="1"/>
  <c r="CL727" i="1"/>
  <c r="CJ728" i="1"/>
  <c r="CK728" i="1"/>
  <c r="CM728" i="1" s="1"/>
  <c r="CL728" i="1"/>
  <c r="CJ729" i="1"/>
  <c r="CK729" i="1"/>
  <c r="CM729" i="1" s="1"/>
  <c r="CL729" i="1"/>
  <c r="CJ730" i="1"/>
  <c r="CK730" i="1"/>
  <c r="CM730" i="1" s="1"/>
  <c r="CL730" i="1"/>
  <c r="CJ731" i="1"/>
  <c r="CK731" i="1"/>
  <c r="CM731" i="1" s="1"/>
  <c r="CL731" i="1"/>
  <c r="CJ732" i="1"/>
  <c r="CK732" i="1"/>
  <c r="CM732" i="1" s="1"/>
  <c r="CL732" i="1"/>
  <c r="CJ733" i="1"/>
  <c r="CK733" i="1"/>
  <c r="CM733" i="1" s="1"/>
  <c r="CL733" i="1"/>
  <c r="CJ734" i="1"/>
  <c r="CK734" i="1"/>
  <c r="CM734" i="1" s="1"/>
  <c r="CL734" i="1"/>
  <c r="CJ735" i="1"/>
  <c r="CK735" i="1"/>
  <c r="CM735" i="1" s="1"/>
  <c r="CL735" i="1"/>
  <c r="CJ736" i="1"/>
  <c r="CK736" i="1"/>
  <c r="CM736" i="1" s="1"/>
  <c r="CL736" i="1"/>
  <c r="CJ737" i="1"/>
  <c r="CK737" i="1"/>
  <c r="CM737" i="1" s="1"/>
  <c r="CL737" i="1"/>
  <c r="CJ738" i="1"/>
  <c r="CK738" i="1"/>
  <c r="CM738" i="1" s="1"/>
  <c r="CL738" i="1"/>
  <c r="CJ739" i="1"/>
  <c r="CK739" i="1"/>
  <c r="CM739" i="1" s="1"/>
  <c r="CL739" i="1"/>
  <c r="CJ740" i="1"/>
  <c r="CK740" i="1"/>
  <c r="CM740" i="1" s="1"/>
  <c r="CL740" i="1"/>
  <c r="CJ741" i="1"/>
  <c r="CK741" i="1"/>
  <c r="CM741" i="1" s="1"/>
  <c r="CL741" i="1"/>
  <c r="CJ742" i="1"/>
  <c r="CK742" i="1"/>
  <c r="CM742" i="1" s="1"/>
  <c r="CL742" i="1"/>
  <c r="CJ743" i="1"/>
  <c r="CK743" i="1"/>
  <c r="CM743" i="1" s="1"/>
  <c r="CL743" i="1"/>
  <c r="CK4" i="1"/>
  <c r="CK5" i="1"/>
  <c r="CK6" i="1"/>
  <c r="CK7" i="1"/>
  <c r="CK8" i="1"/>
  <c r="CK9" i="1"/>
  <c r="CK10" i="1"/>
  <c r="CK11" i="1"/>
  <c r="CK12" i="1"/>
  <c r="CK13" i="1"/>
  <c r="CK14" i="1"/>
  <c r="CK15" i="1"/>
  <c r="CK16" i="1"/>
  <c r="CK17" i="1"/>
  <c r="CK18" i="1"/>
  <c r="CK19" i="1"/>
  <c r="CK20" i="1"/>
  <c r="CK21" i="1"/>
  <c r="CK22" i="1"/>
  <c r="CK23" i="1"/>
  <c r="CK24" i="1"/>
  <c r="CK25" i="1"/>
  <c r="CK26" i="1"/>
  <c r="CK27" i="1"/>
  <c r="CK28" i="1"/>
  <c r="CK29" i="1"/>
  <c r="CK30" i="1"/>
  <c r="CK31" i="1"/>
  <c r="CK32" i="1"/>
  <c r="CK33" i="1"/>
  <c r="CK34" i="1"/>
  <c r="CK35" i="1"/>
  <c r="CK36" i="1"/>
  <c r="CK37" i="1"/>
  <c r="CK38" i="1"/>
  <c r="CK39" i="1"/>
  <c r="CK40" i="1"/>
  <c r="CK41" i="1"/>
  <c r="CK42" i="1"/>
  <c r="CK43" i="1"/>
  <c r="CK44" i="1"/>
  <c r="CK45" i="1"/>
  <c r="CK46" i="1"/>
  <c r="CK47" i="1"/>
  <c r="CK48" i="1"/>
  <c r="CK49" i="1"/>
  <c r="CK50" i="1"/>
  <c r="CK51" i="1"/>
  <c r="CK52" i="1"/>
  <c r="CK53" i="1"/>
  <c r="CK54" i="1"/>
  <c r="CK55" i="1"/>
  <c r="CK56" i="1"/>
  <c r="CK57" i="1"/>
  <c r="CK58" i="1"/>
  <c r="CK59" i="1"/>
  <c r="CK60" i="1"/>
  <c r="CK61" i="1"/>
  <c r="CK62" i="1"/>
  <c r="CK63" i="1"/>
  <c r="CK64" i="1"/>
  <c r="CK65" i="1"/>
  <c r="CK66" i="1"/>
  <c r="CK67" i="1"/>
  <c r="CK68" i="1"/>
  <c r="CK69" i="1"/>
  <c r="CK70" i="1"/>
  <c r="CK71" i="1"/>
  <c r="CK72" i="1"/>
  <c r="CK73" i="1"/>
  <c r="CK74" i="1"/>
  <c r="CK75" i="1"/>
  <c r="CK76" i="1"/>
  <c r="CK77" i="1"/>
  <c r="CK78" i="1"/>
  <c r="CK79" i="1"/>
  <c r="CK80" i="1"/>
  <c r="CK81" i="1"/>
  <c r="CK82" i="1"/>
  <c r="CK83" i="1"/>
  <c r="CK84" i="1"/>
  <c r="CK85" i="1"/>
  <c r="CK86" i="1"/>
  <c r="CK87" i="1"/>
  <c r="CK88" i="1"/>
  <c r="CK89" i="1"/>
  <c r="CK90" i="1"/>
  <c r="CK91" i="1"/>
  <c r="CK92" i="1"/>
  <c r="CK93" i="1"/>
  <c r="CK94" i="1"/>
  <c r="CK95" i="1"/>
  <c r="CK96" i="1"/>
  <c r="CK97" i="1"/>
  <c r="CK98" i="1"/>
  <c r="CK99" i="1"/>
  <c r="CK100" i="1"/>
  <c r="CK101" i="1"/>
  <c r="CK102" i="1"/>
  <c r="CK103" i="1"/>
  <c r="CK104" i="1"/>
  <c r="CK105" i="1"/>
  <c r="CK106" i="1"/>
  <c r="CK107" i="1"/>
  <c r="CK108" i="1"/>
  <c r="CK109" i="1"/>
  <c r="CK110" i="1"/>
  <c r="CK111" i="1"/>
  <c r="CK112" i="1"/>
  <c r="CK113" i="1"/>
  <c r="CK114" i="1"/>
  <c r="CK115" i="1"/>
  <c r="CK116" i="1"/>
  <c r="CK117" i="1"/>
  <c r="CK118" i="1"/>
  <c r="CK119" i="1"/>
  <c r="CK120" i="1"/>
  <c r="CK121" i="1"/>
  <c r="CK122" i="1"/>
  <c r="CK123" i="1"/>
  <c r="CK124" i="1"/>
  <c r="CK125" i="1"/>
  <c r="CK126" i="1"/>
  <c r="CK127" i="1"/>
  <c r="CK128" i="1"/>
  <c r="CK129" i="1"/>
  <c r="CK130" i="1"/>
  <c r="CK131" i="1"/>
  <c r="CK132" i="1"/>
  <c r="CK133" i="1"/>
  <c r="CK134" i="1"/>
  <c r="CK135" i="1"/>
  <c r="CK136" i="1"/>
  <c r="CK137" i="1"/>
  <c r="CK138" i="1"/>
  <c r="CK139" i="1"/>
  <c r="CK140" i="1"/>
  <c r="CK141" i="1"/>
  <c r="CK142" i="1"/>
  <c r="CK143" i="1"/>
  <c r="CK144" i="1"/>
  <c r="CK145" i="1"/>
  <c r="CK146" i="1"/>
  <c r="CK147" i="1"/>
  <c r="CK148" i="1"/>
  <c r="CK149" i="1"/>
  <c r="CK150" i="1"/>
  <c r="CK151" i="1"/>
  <c r="CK152" i="1"/>
  <c r="CK153" i="1"/>
  <c r="CK154" i="1"/>
  <c r="CK155" i="1"/>
  <c r="CK156" i="1"/>
  <c r="CK157" i="1"/>
  <c r="CK158" i="1"/>
  <c r="CK159" i="1"/>
  <c r="CK160" i="1"/>
  <c r="CK161" i="1"/>
  <c r="CK162" i="1"/>
  <c r="CK163" i="1"/>
  <c r="CK164" i="1"/>
  <c r="CK165" i="1"/>
  <c r="CK166" i="1"/>
  <c r="CK167" i="1"/>
  <c r="CK168" i="1"/>
  <c r="CK169" i="1"/>
  <c r="CK170" i="1"/>
  <c r="CK171" i="1"/>
  <c r="CK172" i="1"/>
  <c r="CK173" i="1"/>
  <c r="CK174" i="1"/>
  <c r="CK175" i="1"/>
  <c r="CK176" i="1"/>
  <c r="CK177" i="1"/>
  <c r="CK178" i="1"/>
  <c r="CK179" i="1"/>
  <c r="CK180" i="1"/>
  <c r="CK181" i="1"/>
  <c r="CK182" i="1"/>
  <c r="CK183" i="1"/>
  <c r="CK184" i="1"/>
  <c r="CK185" i="1"/>
  <c r="CK186" i="1"/>
  <c r="CK187" i="1"/>
  <c r="CK188" i="1"/>
  <c r="CK189" i="1"/>
  <c r="CK190" i="1"/>
  <c r="CK191" i="1"/>
  <c r="CK192" i="1"/>
  <c r="CK193" i="1"/>
  <c r="CK194" i="1"/>
  <c r="CK195" i="1"/>
  <c r="CK196" i="1"/>
  <c r="CK197" i="1"/>
  <c r="CK198" i="1"/>
  <c r="CK199" i="1"/>
  <c r="CK200" i="1"/>
  <c r="CK201" i="1"/>
  <c r="CK202" i="1"/>
  <c r="CK203" i="1"/>
  <c r="CK204" i="1"/>
  <c r="CK205" i="1"/>
  <c r="CK206" i="1"/>
  <c r="CK207" i="1"/>
  <c r="CK208" i="1"/>
  <c r="CK209" i="1"/>
  <c r="CK210" i="1"/>
  <c r="CK211" i="1"/>
  <c r="CK212" i="1"/>
  <c r="CK213" i="1"/>
  <c r="CK214" i="1"/>
  <c r="CK215" i="1"/>
  <c r="CK216" i="1"/>
  <c r="CK217" i="1"/>
  <c r="CK218" i="1"/>
  <c r="CK219" i="1"/>
  <c r="CK220" i="1"/>
  <c r="CK221" i="1"/>
  <c r="CK222" i="1"/>
  <c r="CK223" i="1"/>
  <c r="CK224" i="1"/>
  <c r="CK225" i="1"/>
  <c r="CK226" i="1"/>
  <c r="CK227" i="1"/>
  <c r="CK228" i="1"/>
  <c r="CK229" i="1"/>
  <c r="CK230" i="1"/>
  <c r="CK231" i="1"/>
  <c r="CK232" i="1"/>
  <c r="CK233" i="1"/>
  <c r="CK234" i="1"/>
  <c r="CK235" i="1"/>
  <c r="CK236" i="1"/>
  <c r="CK237" i="1"/>
  <c r="CK238" i="1"/>
  <c r="CK239" i="1"/>
  <c r="CK240" i="1"/>
  <c r="CK241" i="1"/>
  <c r="CK242" i="1"/>
  <c r="CK243" i="1"/>
  <c r="CK244" i="1"/>
  <c r="CK245" i="1"/>
  <c r="CK246" i="1"/>
  <c r="CK247" i="1"/>
  <c r="CK248" i="1"/>
  <c r="CK249" i="1"/>
  <c r="CK250" i="1"/>
  <c r="CK251" i="1"/>
  <c r="CK252" i="1"/>
  <c r="CK253" i="1"/>
  <c r="CK254" i="1"/>
  <c r="CK255" i="1"/>
  <c r="CK256" i="1"/>
  <c r="CK257" i="1"/>
  <c r="CK258" i="1"/>
  <c r="CK259" i="1"/>
  <c r="CK260" i="1"/>
  <c r="CK261" i="1"/>
  <c r="CK262" i="1"/>
  <c r="CK263" i="1"/>
  <c r="CK264" i="1"/>
  <c r="CK265" i="1"/>
  <c r="CK266" i="1"/>
  <c r="CK267" i="1"/>
  <c r="CK268" i="1"/>
  <c r="CK269" i="1"/>
  <c r="CK270" i="1"/>
  <c r="CK271" i="1"/>
  <c r="CK272" i="1"/>
  <c r="CK273" i="1"/>
  <c r="CK274" i="1"/>
  <c r="CK275" i="1"/>
  <c r="CK276" i="1"/>
  <c r="CK277" i="1"/>
  <c r="CK278" i="1"/>
  <c r="CK279" i="1"/>
  <c r="CK280" i="1"/>
  <c r="CK281" i="1"/>
  <c r="CK282" i="1"/>
  <c r="CK283" i="1"/>
  <c r="CK284" i="1"/>
  <c r="CK285" i="1"/>
  <c r="CK286" i="1"/>
  <c r="CK287" i="1"/>
  <c r="CK288" i="1"/>
  <c r="CK289" i="1"/>
  <c r="CK290" i="1"/>
  <c r="CK291" i="1"/>
  <c r="CK292" i="1"/>
  <c r="CK293" i="1"/>
  <c r="CK294" i="1"/>
  <c r="CK295" i="1"/>
  <c r="CK296" i="1"/>
  <c r="CK297" i="1"/>
  <c r="CK298" i="1"/>
  <c r="CK299" i="1"/>
  <c r="CK300" i="1"/>
  <c r="CK301" i="1"/>
  <c r="CK302" i="1"/>
  <c r="CK303" i="1"/>
  <c r="CK304" i="1"/>
  <c r="CK305" i="1"/>
  <c r="CK306" i="1"/>
  <c r="CK307" i="1"/>
  <c r="CK308" i="1"/>
  <c r="CK309" i="1"/>
  <c r="CK310" i="1"/>
  <c r="CK311" i="1"/>
  <c r="CK312" i="1"/>
  <c r="CK313" i="1"/>
  <c r="CK314" i="1"/>
  <c r="CK315" i="1"/>
  <c r="CK316" i="1"/>
  <c r="CK317" i="1"/>
  <c r="CK318" i="1"/>
  <c r="CK319" i="1"/>
  <c r="CK320" i="1"/>
  <c r="CK321" i="1"/>
  <c r="CK322" i="1"/>
  <c r="CK323" i="1"/>
  <c r="CK324" i="1"/>
  <c r="CK325" i="1"/>
  <c r="CK326" i="1"/>
  <c r="CK327" i="1"/>
  <c r="CK328" i="1"/>
  <c r="CK329" i="1"/>
  <c r="CK330" i="1"/>
  <c r="CK331" i="1"/>
  <c r="CK332" i="1"/>
  <c r="CK333" i="1"/>
  <c r="CK334" i="1"/>
  <c r="CK335" i="1"/>
  <c r="CK336" i="1"/>
  <c r="CK337" i="1"/>
  <c r="CK338" i="1"/>
  <c r="CK339" i="1"/>
  <c r="CK340" i="1"/>
  <c r="CK341" i="1"/>
  <c r="CK342" i="1"/>
  <c r="CK343" i="1"/>
  <c r="CK344" i="1"/>
  <c r="CK345" i="1"/>
  <c r="CK346" i="1"/>
  <c r="CK347" i="1"/>
  <c r="CK348" i="1"/>
  <c r="CK349" i="1"/>
  <c r="CK350" i="1"/>
  <c r="CK351" i="1"/>
  <c r="CK352" i="1"/>
  <c r="CK353" i="1"/>
  <c r="CK354" i="1"/>
  <c r="CK355" i="1"/>
  <c r="CK356" i="1"/>
  <c r="CK357" i="1"/>
  <c r="CK358" i="1"/>
  <c r="CK359" i="1"/>
  <c r="CK360" i="1"/>
  <c r="CK361" i="1"/>
  <c r="CK362" i="1"/>
  <c r="CK363" i="1"/>
  <c r="CK364" i="1"/>
  <c r="CK365" i="1"/>
  <c r="CK366" i="1"/>
  <c r="CK367" i="1"/>
  <c r="CK368" i="1"/>
  <c r="CK369" i="1"/>
  <c r="CK370" i="1"/>
  <c r="CK371" i="1"/>
  <c r="CK372" i="1"/>
  <c r="CK373" i="1"/>
  <c r="CK374" i="1"/>
  <c r="CK375" i="1"/>
  <c r="CK376" i="1"/>
  <c r="CK377" i="1"/>
  <c r="CK378" i="1"/>
  <c r="CK379" i="1"/>
  <c r="CK380" i="1"/>
  <c r="CK381" i="1"/>
  <c r="CK382" i="1"/>
  <c r="CK383" i="1"/>
  <c r="CK384" i="1"/>
  <c r="CK385" i="1"/>
  <c r="CK386" i="1"/>
  <c r="CK387" i="1"/>
  <c r="CK388" i="1"/>
  <c r="CK389" i="1"/>
  <c r="CK390" i="1"/>
  <c r="CK391" i="1"/>
  <c r="CK392" i="1"/>
  <c r="CK393" i="1"/>
  <c r="CK394" i="1"/>
  <c r="CK395" i="1"/>
  <c r="CK396" i="1"/>
  <c r="CK397" i="1"/>
  <c r="CK398" i="1"/>
  <c r="CK399" i="1"/>
  <c r="CK400" i="1"/>
  <c r="CK401" i="1"/>
  <c r="CK402" i="1"/>
  <c r="CK403" i="1"/>
  <c r="CK404" i="1"/>
  <c r="CK405" i="1"/>
  <c r="CK406" i="1"/>
  <c r="CK407" i="1"/>
  <c r="CK408" i="1"/>
  <c r="CK409" i="1"/>
  <c r="CK410" i="1"/>
  <c r="CK411" i="1"/>
  <c r="CK412" i="1"/>
  <c r="CK413" i="1"/>
  <c r="CK414" i="1"/>
  <c r="CK415" i="1"/>
  <c r="CK416" i="1"/>
  <c r="CK417" i="1"/>
  <c r="CK418" i="1"/>
  <c r="CK419" i="1"/>
  <c r="CK420" i="1"/>
  <c r="CK421" i="1"/>
  <c r="CK422" i="1"/>
  <c r="CK423" i="1"/>
  <c r="CK424" i="1"/>
  <c r="CK425" i="1"/>
  <c r="CK426" i="1"/>
  <c r="CK427" i="1"/>
  <c r="CK428" i="1"/>
  <c r="CK429" i="1"/>
  <c r="CK430" i="1"/>
  <c r="CK431" i="1"/>
  <c r="CK432" i="1"/>
  <c r="CK433" i="1"/>
  <c r="CK434" i="1"/>
  <c r="CK435" i="1"/>
  <c r="CK436" i="1"/>
  <c r="CK437" i="1"/>
  <c r="CK438" i="1"/>
  <c r="CK439" i="1"/>
  <c r="CK440" i="1"/>
  <c r="CK441" i="1"/>
  <c r="CK442" i="1"/>
  <c r="CK443" i="1"/>
  <c r="CK444" i="1"/>
  <c r="CK445" i="1"/>
  <c r="CK446" i="1"/>
  <c r="CK447" i="1"/>
  <c r="CK448" i="1"/>
  <c r="CK449" i="1"/>
  <c r="CK450" i="1"/>
  <c r="CK451" i="1"/>
  <c r="CK452" i="1"/>
  <c r="CK453" i="1"/>
  <c r="CK454" i="1"/>
  <c r="CK455" i="1"/>
  <c r="CK456" i="1"/>
  <c r="CK457" i="1"/>
  <c r="CK458" i="1"/>
  <c r="CK459" i="1"/>
  <c r="CK460" i="1"/>
  <c r="CK461" i="1"/>
  <c r="CK462" i="1"/>
  <c r="CK463" i="1"/>
  <c r="CK464" i="1"/>
  <c r="CK465" i="1"/>
  <c r="CK466" i="1"/>
  <c r="CK467" i="1"/>
  <c r="CK468" i="1"/>
  <c r="CK469" i="1"/>
  <c r="CK470" i="1"/>
  <c r="CK471" i="1"/>
  <c r="CK472" i="1"/>
  <c r="CK473" i="1"/>
  <c r="CK474" i="1"/>
  <c r="CK475" i="1"/>
  <c r="CK476" i="1"/>
  <c r="CK477" i="1"/>
  <c r="CK478" i="1"/>
  <c r="CK479" i="1"/>
  <c r="CK480" i="1"/>
  <c r="CK481" i="1"/>
  <c r="CK482" i="1"/>
  <c r="CK483" i="1"/>
  <c r="CK484" i="1"/>
  <c r="CK485" i="1"/>
  <c r="CK486" i="1"/>
  <c r="CK487" i="1"/>
  <c r="CK488" i="1"/>
  <c r="CK489" i="1"/>
  <c r="CK490" i="1"/>
  <c r="CK491" i="1"/>
  <c r="CK492" i="1"/>
  <c r="CK493" i="1"/>
  <c r="CK494" i="1"/>
  <c r="CK495" i="1"/>
  <c r="CK496" i="1"/>
  <c r="CK497" i="1"/>
  <c r="CK498" i="1"/>
  <c r="CK499" i="1"/>
  <c r="CK500" i="1"/>
  <c r="CK501" i="1"/>
  <c r="CK502" i="1"/>
  <c r="CK503" i="1"/>
  <c r="CK504" i="1"/>
  <c r="CK505" i="1"/>
  <c r="CK506" i="1"/>
  <c r="CK507" i="1"/>
  <c r="CK508" i="1"/>
  <c r="CK509" i="1"/>
  <c r="CK510" i="1"/>
  <c r="CK511" i="1"/>
  <c r="CK512" i="1"/>
  <c r="CK513" i="1"/>
  <c r="CK514" i="1"/>
  <c r="CK515" i="1"/>
  <c r="CK516" i="1"/>
  <c r="CK517" i="1"/>
  <c r="CK518" i="1"/>
  <c r="CK519" i="1"/>
  <c r="CK520" i="1"/>
  <c r="CK521" i="1"/>
  <c r="CK522" i="1"/>
  <c r="CK523" i="1"/>
  <c r="CK524" i="1"/>
  <c r="CK525" i="1"/>
  <c r="CK526" i="1"/>
  <c r="CK527" i="1"/>
  <c r="CK528" i="1"/>
  <c r="CK529" i="1"/>
  <c r="CK530" i="1"/>
  <c r="CK531" i="1"/>
  <c r="CK532" i="1"/>
  <c r="CK533" i="1"/>
  <c r="CK534" i="1"/>
  <c r="CK535" i="1"/>
  <c r="CK536" i="1"/>
  <c r="CK537" i="1"/>
  <c r="CK538" i="1"/>
  <c r="CK539" i="1"/>
  <c r="CK540" i="1"/>
  <c r="CK541" i="1"/>
  <c r="CK542" i="1"/>
  <c r="CK543" i="1"/>
  <c r="CK544" i="1"/>
  <c r="CK545" i="1"/>
  <c r="CK546" i="1"/>
  <c r="CK547" i="1"/>
  <c r="CK548" i="1"/>
  <c r="CK549" i="1"/>
  <c r="CK550" i="1"/>
  <c r="CK551" i="1"/>
  <c r="CK552" i="1"/>
  <c r="CK553" i="1"/>
  <c r="CK554" i="1"/>
  <c r="CK555" i="1"/>
  <c r="CK556" i="1"/>
  <c r="CK557" i="1"/>
  <c r="CK558" i="1"/>
  <c r="CK559" i="1"/>
  <c r="CK560" i="1"/>
  <c r="CK561" i="1"/>
  <c r="CK562" i="1"/>
  <c r="CK563" i="1"/>
  <c r="CK564" i="1"/>
  <c r="CK565" i="1"/>
  <c r="CK566" i="1"/>
  <c r="CK567" i="1"/>
  <c r="CK568" i="1"/>
  <c r="CK569" i="1"/>
  <c r="CK570" i="1"/>
  <c r="CK571" i="1"/>
  <c r="CK572" i="1"/>
  <c r="CK573" i="1"/>
  <c r="CK574" i="1"/>
  <c r="CK575" i="1"/>
  <c r="CK576" i="1"/>
  <c r="CK577" i="1"/>
  <c r="CK578" i="1"/>
  <c r="CK579" i="1"/>
  <c r="CK580" i="1"/>
  <c r="CK581" i="1"/>
  <c r="CK582" i="1"/>
  <c r="CK583" i="1"/>
  <c r="CK584" i="1"/>
  <c r="CK585" i="1"/>
  <c r="CK586" i="1"/>
  <c r="CK587" i="1"/>
  <c r="CK588" i="1"/>
  <c r="CK589" i="1"/>
  <c r="CK590" i="1"/>
  <c r="CK591" i="1"/>
  <c r="CK592" i="1"/>
  <c r="CK593" i="1"/>
  <c r="CK594" i="1"/>
  <c r="CK595" i="1"/>
  <c r="CK596" i="1"/>
  <c r="CK597" i="1"/>
  <c r="CK598" i="1"/>
  <c r="CK599" i="1"/>
  <c r="CK600" i="1"/>
  <c r="CK601" i="1"/>
  <c r="CK602" i="1"/>
  <c r="CK603" i="1"/>
  <c r="CK604" i="1"/>
  <c r="CK605" i="1"/>
  <c r="CK606" i="1"/>
  <c r="CK607" i="1"/>
  <c r="CK608" i="1"/>
  <c r="CK609" i="1"/>
  <c r="CK610" i="1"/>
  <c r="CK611" i="1"/>
  <c r="CK612" i="1"/>
  <c r="CK613" i="1"/>
  <c r="CK614" i="1"/>
  <c r="CK615" i="1"/>
  <c r="CK616" i="1"/>
  <c r="CK617" i="1"/>
  <c r="CK618" i="1"/>
  <c r="CK619" i="1"/>
  <c r="CK620" i="1"/>
  <c r="CK621" i="1"/>
  <c r="CK622" i="1"/>
  <c r="CK623" i="1"/>
  <c r="CK624" i="1"/>
  <c r="CK625" i="1"/>
  <c r="CK626" i="1"/>
  <c r="CK627" i="1"/>
  <c r="CK628" i="1"/>
  <c r="CK629" i="1"/>
  <c r="CK630" i="1"/>
  <c r="CK631" i="1"/>
  <c r="CK632" i="1"/>
  <c r="CK633" i="1"/>
  <c r="CK634" i="1"/>
  <c r="CK635" i="1"/>
  <c r="CK636" i="1"/>
  <c r="CK637" i="1"/>
  <c r="CK638" i="1"/>
  <c r="CK639" i="1"/>
  <c r="CK640" i="1"/>
  <c r="CK641" i="1"/>
  <c r="CK642" i="1"/>
  <c r="CK643" i="1"/>
  <c r="CK644" i="1"/>
  <c r="CK645" i="1"/>
  <c r="CK646" i="1"/>
  <c r="CK647" i="1"/>
  <c r="CK648" i="1"/>
  <c r="CK649" i="1"/>
  <c r="CK650" i="1"/>
  <c r="CK651" i="1"/>
  <c r="CK652" i="1"/>
  <c r="CK653" i="1"/>
  <c r="CK654" i="1"/>
  <c r="CK655" i="1"/>
  <c r="CK656" i="1"/>
  <c r="CK657" i="1"/>
  <c r="CK658" i="1"/>
  <c r="CK659" i="1"/>
  <c r="CK660" i="1"/>
  <c r="CK661" i="1"/>
  <c r="CK662" i="1"/>
  <c r="CK663" i="1"/>
  <c r="CK664" i="1"/>
  <c r="CK665" i="1"/>
  <c r="CK666" i="1"/>
  <c r="CK667" i="1"/>
  <c r="CK668" i="1"/>
  <c r="CK669" i="1"/>
  <c r="CK670" i="1"/>
  <c r="CK671" i="1"/>
  <c r="CK672" i="1"/>
  <c r="CK673" i="1"/>
  <c r="CK674" i="1"/>
  <c r="CK675" i="1"/>
  <c r="CK676" i="1"/>
  <c r="CK677" i="1"/>
  <c r="CK678" i="1"/>
  <c r="CK679" i="1"/>
  <c r="CK680" i="1"/>
  <c r="CK681" i="1"/>
  <c r="CK682" i="1"/>
  <c r="CK683" i="1"/>
  <c r="CK684" i="1"/>
  <c r="CK685" i="1"/>
  <c r="CK686" i="1"/>
  <c r="CK687" i="1"/>
  <c r="CK688" i="1"/>
  <c r="CK689" i="1"/>
  <c r="R49" i="4"/>
  <c r="B13" i="5"/>
  <c r="C13" i="5"/>
  <c r="D13" i="5"/>
  <c r="E13" i="5"/>
  <c r="F13" i="5"/>
  <c r="B14" i="5"/>
  <c r="C14" i="5"/>
  <c r="D14" i="5"/>
  <c r="E14" i="5"/>
  <c r="F14" i="5"/>
  <c r="B15" i="5"/>
  <c r="C15" i="5"/>
  <c r="D15" i="5"/>
  <c r="E15" i="5"/>
  <c r="F15" i="5"/>
  <c r="B16" i="5"/>
  <c r="C16" i="5"/>
  <c r="D16" i="5"/>
  <c r="E16" i="5"/>
  <c r="F16" i="5"/>
  <c r="B17" i="5"/>
  <c r="C17" i="5"/>
  <c r="D17" i="5"/>
  <c r="E17" i="5"/>
  <c r="F17" i="5"/>
  <c r="G14" i="5"/>
  <c r="G15" i="5"/>
  <c r="G16" i="5"/>
  <c r="G17" i="5"/>
  <c r="G31" i="5"/>
  <c r="AH58" i="4"/>
  <c r="AH59" i="4"/>
  <c r="AH60" i="4"/>
  <c r="AH61" i="4"/>
  <c r="AH62" i="4"/>
  <c r="AH63" i="4"/>
  <c r="AH64" i="4"/>
  <c r="AH57" i="4"/>
  <c r="AG58" i="4"/>
  <c r="AG59" i="4"/>
  <c r="AG60" i="4"/>
  <c r="AG61" i="4"/>
  <c r="AG62" i="4"/>
  <c r="AG63" i="4"/>
  <c r="AG64" i="4"/>
  <c r="AG57" i="4"/>
  <c r="CA691" i="1"/>
  <c r="CC691" i="1"/>
  <c r="CA692" i="1"/>
  <c r="CC692" i="1"/>
  <c r="CA693" i="1"/>
  <c r="CC693" i="1"/>
  <c r="CA694" i="1"/>
  <c r="CC694" i="1"/>
  <c r="CA695" i="1"/>
  <c r="CC695" i="1"/>
  <c r="CA696" i="1"/>
  <c r="CC696" i="1"/>
  <c r="CA697" i="1"/>
  <c r="CC697" i="1"/>
  <c r="CA698" i="1"/>
  <c r="CC698" i="1"/>
  <c r="CA699" i="1"/>
  <c r="CC699" i="1"/>
  <c r="CA700" i="1"/>
  <c r="CC700" i="1"/>
  <c r="CA701" i="1"/>
  <c r="CC701" i="1"/>
  <c r="CA702" i="1"/>
  <c r="CC702" i="1"/>
  <c r="CA703" i="1"/>
  <c r="CC703" i="1"/>
  <c r="CA704" i="1"/>
  <c r="CC704" i="1"/>
  <c r="CA705" i="1"/>
  <c r="CC705" i="1"/>
  <c r="CA706" i="1"/>
  <c r="CC706" i="1"/>
  <c r="CA707" i="1"/>
  <c r="CC707" i="1"/>
  <c r="CA708" i="1"/>
  <c r="CC708" i="1"/>
  <c r="CA709" i="1"/>
  <c r="CC709" i="1"/>
  <c r="CA710" i="1"/>
  <c r="CC710" i="1"/>
  <c r="CA711" i="1"/>
  <c r="CC711" i="1"/>
  <c r="CA712" i="1"/>
  <c r="CC712" i="1"/>
  <c r="CA713" i="1"/>
  <c r="CC713" i="1"/>
  <c r="CA714" i="1"/>
  <c r="CC714" i="1"/>
  <c r="CA715" i="1"/>
  <c r="CC715" i="1"/>
  <c r="CA716" i="1"/>
  <c r="CC716" i="1"/>
  <c r="CA717" i="1"/>
  <c r="CC717" i="1"/>
  <c r="CA718" i="1"/>
  <c r="CC718" i="1"/>
  <c r="CA719" i="1"/>
  <c r="CC719" i="1"/>
  <c r="CA720" i="1"/>
  <c r="CC720" i="1"/>
  <c r="CA721" i="1"/>
  <c r="CC721" i="1"/>
  <c r="CA722" i="1"/>
  <c r="CC722" i="1"/>
  <c r="CA723" i="1"/>
  <c r="CC723" i="1"/>
  <c r="CA724" i="1"/>
  <c r="CC724" i="1"/>
  <c r="CA725" i="1"/>
  <c r="CC725" i="1"/>
  <c r="CA726" i="1"/>
  <c r="CC726" i="1"/>
  <c r="CA727" i="1"/>
  <c r="CC727" i="1"/>
  <c r="CA728" i="1"/>
  <c r="CC728" i="1"/>
  <c r="CA729" i="1"/>
  <c r="CC729" i="1"/>
  <c r="CA730" i="1"/>
  <c r="CC730" i="1"/>
  <c r="CA731" i="1"/>
  <c r="CC731" i="1"/>
  <c r="CA732" i="1"/>
  <c r="CC732" i="1"/>
  <c r="CA733" i="1"/>
  <c r="CC733" i="1"/>
  <c r="CA734" i="1"/>
  <c r="CC734" i="1"/>
  <c r="CA735" i="1"/>
  <c r="CC735" i="1"/>
  <c r="CA736" i="1"/>
  <c r="CC736" i="1"/>
  <c r="CA737" i="1"/>
  <c r="CC737" i="1"/>
  <c r="CA738" i="1"/>
  <c r="CC738" i="1"/>
  <c r="CA739" i="1"/>
  <c r="CC739" i="1"/>
  <c r="CA740" i="1"/>
  <c r="CC740" i="1"/>
  <c r="CA741" i="1"/>
  <c r="CC741" i="1"/>
  <c r="CA742" i="1"/>
  <c r="CC742" i="1"/>
  <c r="CA743" i="1"/>
  <c r="CC743" i="1"/>
  <c r="R37" i="4"/>
  <c r="R38" i="4"/>
  <c r="R39" i="4"/>
  <c r="R40" i="4"/>
  <c r="R41" i="4"/>
  <c r="R26" i="4"/>
  <c r="R27" i="4"/>
  <c r="R28" i="4"/>
  <c r="R29" i="4"/>
  <c r="R30" i="4"/>
  <c r="R31" i="4"/>
  <c r="R32" i="4"/>
  <c r="R25" i="4"/>
  <c r="Q26" i="4"/>
  <c r="Q27" i="4"/>
  <c r="Q28" i="4"/>
  <c r="Q29" i="4"/>
  <c r="Q30" i="4"/>
  <c r="Q31" i="4"/>
  <c r="Q32" i="4"/>
  <c r="Q25" i="4"/>
  <c r="AK711" i="1"/>
  <c r="AK712" i="1"/>
  <c r="AK713" i="1"/>
  <c r="AK717" i="1"/>
  <c r="AK718" i="1"/>
  <c r="AK719" i="1"/>
  <c r="AK720" i="1"/>
  <c r="AK722" i="1"/>
  <c r="AK726" i="1"/>
  <c r="AK727" i="1"/>
  <c r="AK728" i="1"/>
  <c r="AK730" i="1"/>
  <c r="AK732" i="1"/>
  <c r="AK733" i="1"/>
  <c r="AK735" i="1"/>
  <c r="AK736" i="1"/>
  <c r="AK742" i="1"/>
  <c r="AK743" i="1"/>
  <c r="AK715" i="1"/>
  <c r="AK723" i="1"/>
  <c r="AK724" i="1"/>
  <c r="AK725" i="1"/>
  <c r="AK731" i="1"/>
  <c r="AK737" i="1"/>
  <c r="AK738" i="1"/>
  <c r="AK740" i="1"/>
  <c r="AK741" i="1"/>
  <c r="AK729" i="1"/>
  <c r="G15" i="4"/>
  <c r="C61" i="4"/>
  <c r="D61" i="4"/>
  <c r="C62" i="4"/>
  <c r="D62" i="4"/>
  <c r="C63" i="4"/>
  <c r="D63" i="4"/>
  <c r="C64" i="4"/>
  <c r="D64" i="4"/>
  <c r="C65" i="4"/>
  <c r="D65" i="4"/>
  <c r="C67" i="4"/>
  <c r="D67" i="4"/>
  <c r="C78" i="4"/>
  <c r="D78" i="4"/>
  <c r="AC728" i="1"/>
  <c r="CD728" i="1" s="1"/>
  <c r="AD728" i="1"/>
  <c r="AE728" i="1"/>
  <c r="AJ728" i="1" s="1"/>
  <c r="AH728" i="1"/>
  <c r="AL728" i="1"/>
  <c r="AQ728" i="1"/>
  <c r="AR728" i="1" s="1"/>
  <c r="AS728" i="1"/>
  <c r="AT728" i="1"/>
  <c r="BE728" i="1"/>
  <c r="BF728" i="1" s="1"/>
  <c r="AC729" i="1"/>
  <c r="CD729" i="1" s="1"/>
  <c r="AD729" i="1"/>
  <c r="AE729" i="1"/>
  <c r="AJ729" i="1" s="1"/>
  <c r="AH729" i="1"/>
  <c r="AL729" i="1"/>
  <c r="AQ729" i="1"/>
  <c r="AR729" i="1" s="1"/>
  <c r="AS729" i="1"/>
  <c r="AT729" i="1"/>
  <c r="BE729" i="1"/>
  <c r="BF729" i="1"/>
  <c r="AC730" i="1"/>
  <c r="CD730" i="1" s="1"/>
  <c r="AD730" i="1"/>
  <c r="AE730" i="1"/>
  <c r="AJ730" i="1" s="1"/>
  <c r="AH730" i="1"/>
  <c r="AL730" i="1"/>
  <c r="AQ730" i="1"/>
  <c r="AR730" i="1" s="1"/>
  <c r="AS730" i="1"/>
  <c r="AT730" i="1"/>
  <c r="BE730" i="1"/>
  <c r="BF730" i="1" s="1"/>
  <c r="AC731" i="1"/>
  <c r="CD731" i="1" s="1"/>
  <c r="AD731" i="1"/>
  <c r="AE731" i="1"/>
  <c r="AJ731" i="1" s="1"/>
  <c r="AH731" i="1"/>
  <c r="AL731" i="1"/>
  <c r="AQ731" i="1"/>
  <c r="AR731" i="1" s="1"/>
  <c r="AS731" i="1"/>
  <c r="AT731" i="1"/>
  <c r="BE731" i="1"/>
  <c r="BF731" i="1" s="1"/>
  <c r="AC732" i="1"/>
  <c r="CD732" i="1" s="1"/>
  <c r="AD732" i="1"/>
  <c r="AE732" i="1"/>
  <c r="AJ732" i="1" s="1"/>
  <c r="AH732" i="1"/>
  <c r="AL732" i="1"/>
  <c r="AQ732" i="1"/>
  <c r="AR732" i="1" s="1"/>
  <c r="AS732" i="1"/>
  <c r="AT732" i="1"/>
  <c r="BE732" i="1"/>
  <c r="BF732" i="1" s="1"/>
  <c r="AC733" i="1"/>
  <c r="CD733" i="1" s="1"/>
  <c r="AD733" i="1"/>
  <c r="AE733" i="1"/>
  <c r="AJ733" i="1" s="1"/>
  <c r="AH733" i="1"/>
  <c r="AL733" i="1"/>
  <c r="AQ733" i="1"/>
  <c r="AR733" i="1" s="1"/>
  <c r="AS733" i="1"/>
  <c r="AT733" i="1"/>
  <c r="BE733" i="1"/>
  <c r="BF733" i="1" s="1"/>
  <c r="AC734" i="1"/>
  <c r="CD734" i="1" s="1"/>
  <c r="AD734" i="1"/>
  <c r="AE734" i="1"/>
  <c r="AJ734" i="1" s="1"/>
  <c r="AH734" i="1"/>
  <c r="AK734" i="1"/>
  <c r="AL734" i="1"/>
  <c r="AQ734" i="1"/>
  <c r="AR734" i="1" s="1"/>
  <c r="AS734" i="1"/>
  <c r="AT734" i="1"/>
  <c r="BE734" i="1"/>
  <c r="BF734" i="1"/>
  <c r="AC735" i="1"/>
  <c r="CD735" i="1" s="1"/>
  <c r="AD735" i="1"/>
  <c r="AE735" i="1"/>
  <c r="AJ735" i="1" s="1"/>
  <c r="AH735" i="1"/>
  <c r="AL735" i="1"/>
  <c r="AQ735" i="1"/>
  <c r="AR735" i="1" s="1"/>
  <c r="AS735" i="1"/>
  <c r="AT735" i="1"/>
  <c r="BE735" i="1"/>
  <c r="BF735" i="1"/>
  <c r="AC736" i="1"/>
  <c r="CD736" i="1" s="1"/>
  <c r="AD736" i="1"/>
  <c r="AE736" i="1"/>
  <c r="AJ736" i="1" s="1"/>
  <c r="AH736" i="1"/>
  <c r="AL736" i="1"/>
  <c r="AQ736" i="1"/>
  <c r="AR736" i="1" s="1"/>
  <c r="AS736" i="1"/>
  <c r="AT736" i="1"/>
  <c r="BE736" i="1"/>
  <c r="BF736" i="1"/>
  <c r="AC737" i="1"/>
  <c r="CD737" i="1" s="1"/>
  <c r="AD737" i="1"/>
  <c r="AE737" i="1"/>
  <c r="AJ737" i="1" s="1"/>
  <c r="AH737" i="1"/>
  <c r="AL737" i="1"/>
  <c r="AQ737" i="1"/>
  <c r="AR737" i="1" s="1"/>
  <c r="AS737" i="1"/>
  <c r="AT737" i="1"/>
  <c r="BE737" i="1"/>
  <c r="BF737" i="1" s="1"/>
  <c r="AC738" i="1"/>
  <c r="CD738" i="1" s="1"/>
  <c r="AD738" i="1"/>
  <c r="AE738" i="1"/>
  <c r="AJ738" i="1" s="1"/>
  <c r="AH738" i="1"/>
  <c r="AL738" i="1"/>
  <c r="AQ738" i="1"/>
  <c r="AR738" i="1" s="1"/>
  <c r="AS738" i="1"/>
  <c r="AT738" i="1"/>
  <c r="BE738" i="1"/>
  <c r="BF738" i="1"/>
  <c r="AC739" i="1"/>
  <c r="CD739" i="1" s="1"/>
  <c r="AD739" i="1"/>
  <c r="AE739" i="1"/>
  <c r="AJ739" i="1" s="1"/>
  <c r="AH739" i="1"/>
  <c r="AK739" i="1"/>
  <c r="AL739" i="1"/>
  <c r="AQ739" i="1"/>
  <c r="AR739" i="1" s="1"/>
  <c r="AS739" i="1"/>
  <c r="AT739" i="1"/>
  <c r="BE739" i="1"/>
  <c r="BF739" i="1" s="1"/>
  <c r="AC740" i="1"/>
  <c r="CD740" i="1" s="1"/>
  <c r="AD740" i="1"/>
  <c r="AE740" i="1"/>
  <c r="AJ740" i="1" s="1"/>
  <c r="AH740" i="1"/>
  <c r="AL740" i="1"/>
  <c r="AQ740" i="1"/>
  <c r="AR740" i="1" s="1"/>
  <c r="AS740" i="1"/>
  <c r="AT740" i="1"/>
  <c r="BE740" i="1"/>
  <c r="BF740" i="1" s="1"/>
  <c r="AC741" i="1"/>
  <c r="CD741" i="1" s="1"/>
  <c r="AD741" i="1"/>
  <c r="AE741" i="1"/>
  <c r="AJ741" i="1" s="1"/>
  <c r="AH741" i="1"/>
  <c r="AL741" i="1"/>
  <c r="AQ741" i="1"/>
  <c r="AR741" i="1" s="1"/>
  <c r="AS741" i="1"/>
  <c r="AT741" i="1"/>
  <c r="BE741" i="1"/>
  <c r="BF741" i="1"/>
  <c r="AC742" i="1"/>
  <c r="CD742" i="1" s="1"/>
  <c r="AD742" i="1"/>
  <c r="AE742" i="1"/>
  <c r="AJ742" i="1" s="1"/>
  <c r="AH742" i="1"/>
  <c r="AL742" i="1"/>
  <c r="AQ742" i="1"/>
  <c r="AR742" i="1" s="1"/>
  <c r="AS742" i="1"/>
  <c r="AT742" i="1"/>
  <c r="BE742" i="1"/>
  <c r="BF742" i="1" s="1"/>
  <c r="AC743" i="1"/>
  <c r="CD743" i="1" s="1"/>
  <c r="AD743" i="1"/>
  <c r="AE743" i="1"/>
  <c r="AJ743" i="1" s="1"/>
  <c r="AH743" i="1"/>
  <c r="AL743" i="1"/>
  <c r="AQ743" i="1"/>
  <c r="AR743" i="1" s="1"/>
  <c r="AS743" i="1"/>
  <c r="AT743" i="1"/>
  <c r="BE743" i="1"/>
  <c r="BF743" i="1" s="1"/>
  <c r="AC727" i="1"/>
  <c r="CD727" i="1" s="1"/>
  <c r="AD727" i="1"/>
  <c r="AE727" i="1"/>
  <c r="AJ727" i="1" s="1"/>
  <c r="AH727" i="1"/>
  <c r="AL727" i="1"/>
  <c r="AQ727" i="1"/>
  <c r="AR727" i="1" s="1"/>
  <c r="AS727" i="1"/>
  <c r="AT727" i="1"/>
  <c r="BE727" i="1"/>
  <c r="BF727" i="1" s="1"/>
  <c r="V733" i="1"/>
  <c r="V734" i="1"/>
  <c r="V735" i="1"/>
  <c r="V736" i="1"/>
  <c r="V737" i="1"/>
  <c r="V738" i="1"/>
  <c r="V739" i="1"/>
  <c r="V740" i="1"/>
  <c r="V741" i="1"/>
  <c r="V742" i="1"/>
  <c r="V743" i="1"/>
  <c r="V744" i="1"/>
  <c r="V724" i="1"/>
  <c r="V725" i="1"/>
  <c r="V726" i="1"/>
  <c r="V727" i="1"/>
  <c r="V728" i="1"/>
  <c r="V729" i="1"/>
  <c r="V730" i="1"/>
  <c r="V731" i="1"/>
  <c r="V732" i="1"/>
  <c r="AC711" i="1"/>
  <c r="CD711" i="1" s="1"/>
  <c r="AD711" i="1"/>
  <c r="AE711" i="1"/>
  <c r="AJ711" i="1" s="1"/>
  <c r="AH711" i="1"/>
  <c r="AL711" i="1"/>
  <c r="AQ711" i="1"/>
  <c r="AR711" i="1" s="1"/>
  <c r="AS711" i="1"/>
  <c r="AT711" i="1"/>
  <c r="BE711" i="1"/>
  <c r="BF711" i="1" s="1"/>
  <c r="AC712" i="1"/>
  <c r="CD712" i="1" s="1"/>
  <c r="AD712" i="1"/>
  <c r="AE712" i="1"/>
  <c r="AJ712" i="1" s="1"/>
  <c r="AH712" i="1"/>
  <c r="AL712" i="1"/>
  <c r="AQ712" i="1"/>
  <c r="AR712" i="1" s="1"/>
  <c r="AS712" i="1"/>
  <c r="AT712" i="1"/>
  <c r="BE712" i="1"/>
  <c r="BF712" i="1" s="1"/>
  <c r="AC713" i="1"/>
  <c r="CD713" i="1" s="1"/>
  <c r="AD713" i="1"/>
  <c r="AE713" i="1"/>
  <c r="AJ713" i="1" s="1"/>
  <c r="AH713" i="1"/>
  <c r="AL713" i="1"/>
  <c r="AQ713" i="1"/>
  <c r="AR713" i="1" s="1"/>
  <c r="AS713" i="1"/>
  <c r="AT713" i="1"/>
  <c r="BE713" i="1"/>
  <c r="BF713" i="1"/>
  <c r="AC714" i="1"/>
  <c r="CD714" i="1" s="1"/>
  <c r="AD714" i="1"/>
  <c r="AE714" i="1"/>
  <c r="AJ714" i="1" s="1"/>
  <c r="AH714" i="1"/>
  <c r="AK714" i="1"/>
  <c r="AL714" i="1"/>
  <c r="AQ714" i="1"/>
  <c r="AR714" i="1" s="1"/>
  <c r="AS714" i="1"/>
  <c r="AT714" i="1"/>
  <c r="BE714" i="1"/>
  <c r="BF714" i="1"/>
  <c r="AC715" i="1"/>
  <c r="CD715" i="1" s="1"/>
  <c r="AD715" i="1"/>
  <c r="AE715" i="1"/>
  <c r="AJ715" i="1" s="1"/>
  <c r="AH715" i="1"/>
  <c r="AL715" i="1"/>
  <c r="AQ715" i="1"/>
  <c r="AR715" i="1" s="1"/>
  <c r="AS715" i="1"/>
  <c r="AT715" i="1"/>
  <c r="BE715" i="1"/>
  <c r="BF715" i="1" s="1"/>
  <c r="AC716" i="1"/>
  <c r="CD716" i="1" s="1"/>
  <c r="AD716" i="1"/>
  <c r="AE716" i="1"/>
  <c r="AJ716" i="1" s="1"/>
  <c r="AH716" i="1"/>
  <c r="AK716" i="1"/>
  <c r="AL716" i="1"/>
  <c r="AQ716" i="1"/>
  <c r="AR716" i="1" s="1"/>
  <c r="AS716" i="1"/>
  <c r="AT716" i="1"/>
  <c r="BE716" i="1"/>
  <c r="BF716" i="1" s="1"/>
  <c r="AC717" i="1"/>
  <c r="CD717" i="1" s="1"/>
  <c r="AD717" i="1"/>
  <c r="AE717" i="1"/>
  <c r="AJ717" i="1" s="1"/>
  <c r="AH717" i="1"/>
  <c r="AL717" i="1"/>
  <c r="AQ717" i="1"/>
  <c r="AR717" i="1" s="1"/>
  <c r="AS717" i="1"/>
  <c r="AT717" i="1"/>
  <c r="BE717" i="1"/>
  <c r="BF717" i="1" s="1"/>
  <c r="AC718" i="1"/>
  <c r="CD718" i="1" s="1"/>
  <c r="AD718" i="1"/>
  <c r="AE718" i="1"/>
  <c r="AJ718" i="1" s="1"/>
  <c r="AH718" i="1"/>
  <c r="AL718" i="1"/>
  <c r="AQ718" i="1"/>
  <c r="AR718" i="1" s="1"/>
  <c r="AS718" i="1"/>
  <c r="AT718" i="1"/>
  <c r="BE718" i="1"/>
  <c r="BF718" i="1"/>
  <c r="AC719" i="1"/>
  <c r="CD719" i="1" s="1"/>
  <c r="AD719" i="1"/>
  <c r="AE719" i="1"/>
  <c r="AJ719" i="1" s="1"/>
  <c r="AH719" i="1"/>
  <c r="AL719" i="1"/>
  <c r="AQ719" i="1"/>
  <c r="AR719" i="1" s="1"/>
  <c r="AS719" i="1"/>
  <c r="AT719" i="1"/>
  <c r="BE719" i="1"/>
  <c r="BF719" i="1" s="1"/>
  <c r="AC720" i="1"/>
  <c r="CD720" i="1" s="1"/>
  <c r="AD720" i="1"/>
  <c r="AE720" i="1"/>
  <c r="AJ720" i="1" s="1"/>
  <c r="AH720" i="1"/>
  <c r="AL720" i="1"/>
  <c r="AQ720" i="1"/>
  <c r="AR720" i="1" s="1"/>
  <c r="AS720" i="1"/>
  <c r="AT720" i="1"/>
  <c r="BE720" i="1"/>
  <c r="BF720" i="1" s="1"/>
  <c r="AC721" i="1"/>
  <c r="CD721" i="1" s="1"/>
  <c r="AD721" i="1"/>
  <c r="AE721" i="1"/>
  <c r="AJ721" i="1" s="1"/>
  <c r="AH721" i="1"/>
  <c r="AK721" i="1"/>
  <c r="AL721" i="1"/>
  <c r="AQ721" i="1"/>
  <c r="AR721" i="1" s="1"/>
  <c r="AS721" i="1"/>
  <c r="AT721" i="1"/>
  <c r="BE721" i="1"/>
  <c r="BF721" i="1" s="1"/>
  <c r="AC722" i="1"/>
  <c r="CD722" i="1" s="1"/>
  <c r="AD722" i="1"/>
  <c r="AE722" i="1"/>
  <c r="AJ722" i="1" s="1"/>
  <c r="AH722" i="1"/>
  <c r="AL722" i="1"/>
  <c r="AQ722" i="1"/>
  <c r="AR722" i="1" s="1"/>
  <c r="AS722" i="1"/>
  <c r="AT722" i="1"/>
  <c r="BE722" i="1"/>
  <c r="BF722" i="1" s="1"/>
  <c r="AC723" i="1"/>
  <c r="CD723" i="1" s="1"/>
  <c r="AD723" i="1"/>
  <c r="AE723" i="1"/>
  <c r="AJ723" i="1" s="1"/>
  <c r="AH723" i="1"/>
  <c r="AL723" i="1"/>
  <c r="AQ723" i="1"/>
  <c r="AR723" i="1" s="1"/>
  <c r="AS723" i="1"/>
  <c r="AT723" i="1"/>
  <c r="BE723" i="1"/>
  <c r="BF723" i="1" s="1"/>
  <c r="AC724" i="1"/>
  <c r="CD724" i="1" s="1"/>
  <c r="AD724" i="1"/>
  <c r="AE724" i="1"/>
  <c r="AJ724" i="1" s="1"/>
  <c r="AH724" i="1"/>
  <c r="AL724" i="1"/>
  <c r="AQ724" i="1"/>
  <c r="AR724" i="1" s="1"/>
  <c r="AS724" i="1"/>
  <c r="AT724" i="1"/>
  <c r="BE724" i="1"/>
  <c r="BF724" i="1" s="1"/>
  <c r="AC725" i="1"/>
  <c r="CD725" i="1" s="1"/>
  <c r="AD725" i="1"/>
  <c r="AE725" i="1"/>
  <c r="AJ725" i="1" s="1"/>
  <c r="AH725" i="1"/>
  <c r="AL725" i="1"/>
  <c r="AQ725" i="1"/>
  <c r="AR725" i="1" s="1"/>
  <c r="AS725" i="1"/>
  <c r="AT725" i="1"/>
  <c r="BE725" i="1"/>
  <c r="BF725" i="1"/>
  <c r="AC726" i="1"/>
  <c r="CD726" i="1" s="1"/>
  <c r="AD726" i="1"/>
  <c r="AE726" i="1"/>
  <c r="AJ726" i="1" s="1"/>
  <c r="AH726" i="1"/>
  <c r="AL726" i="1"/>
  <c r="AQ726" i="1"/>
  <c r="AR726" i="1" s="1"/>
  <c r="AS726" i="1"/>
  <c r="AT726" i="1"/>
  <c r="BE726" i="1"/>
  <c r="BF726" i="1" s="1"/>
  <c r="CE745" i="1" l="1"/>
  <c r="CE746" i="1"/>
  <c r="CE757" i="1"/>
  <c r="CE737" i="1"/>
  <c r="CE716" i="1"/>
  <c r="CE721" i="1"/>
  <c r="CE725" i="1"/>
  <c r="CE744" i="1"/>
  <c r="CE733" i="1"/>
  <c r="CE754" i="1"/>
  <c r="CE751" i="1"/>
  <c r="CE748" i="1"/>
  <c r="CE719" i="1"/>
  <c r="CE712" i="1"/>
  <c r="CE727" i="1"/>
  <c r="CE731" i="1"/>
  <c r="CE756" i="1"/>
  <c r="CE753" i="1"/>
  <c r="CE750" i="1"/>
  <c r="CE723" i="1"/>
  <c r="CE743" i="1"/>
  <c r="CE747" i="1"/>
  <c r="CE718" i="1"/>
  <c r="CE739" i="1"/>
  <c r="CE735" i="1"/>
  <c r="CE755" i="1"/>
  <c r="CE752" i="1"/>
  <c r="CE749" i="1"/>
  <c r="CE714" i="1"/>
  <c r="CE729" i="1"/>
  <c r="CE741" i="1"/>
  <c r="CH729" i="1"/>
  <c r="CI729" i="1" s="1"/>
  <c r="G21" i="5"/>
  <c r="G35" i="5" s="1"/>
  <c r="CH750" i="1"/>
  <c r="CI750" i="1" s="1"/>
  <c r="C21" i="5"/>
  <c r="B21" i="5"/>
  <c r="F21" i="5"/>
  <c r="E21" i="5"/>
  <c r="D21" i="5"/>
  <c r="CH746" i="1"/>
  <c r="CI746" i="1" s="1"/>
  <c r="CB742" i="1"/>
  <c r="CH748" i="1"/>
  <c r="CI748" i="1" s="1"/>
  <c r="AN749" i="1"/>
  <c r="AG749" i="1" s="1"/>
  <c r="AM756" i="1"/>
  <c r="AO756" i="1" s="1"/>
  <c r="AF756" i="1" s="1"/>
  <c r="AM750" i="1"/>
  <c r="AO750" i="1" s="1"/>
  <c r="AF750" i="1" s="1"/>
  <c r="AN753" i="1"/>
  <c r="AG753" i="1" s="1"/>
  <c r="AI754" i="1"/>
  <c r="AN750" i="1"/>
  <c r="AG750" i="1" s="1"/>
  <c r="AI746" i="1"/>
  <c r="AM753" i="1"/>
  <c r="AO753" i="1" s="1"/>
  <c r="AF753" i="1" s="1"/>
  <c r="AM746" i="1"/>
  <c r="AO746" i="1" s="1"/>
  <c r="AF746" i="1" s="1"/>
  <c r="AI744" i="1"/>
  <c r="AN745" i="1"/>
  <c r="AG745" i="1" s="1"/>
  <c r="AM747" i="1"/>
  <c r="AO747" i="1" s="1"/>
  <c r="AF747" i="1" s="1"/>
  <c r="AN744" i="1"/>
  <c r="AG744" i="1" s="1"/>
  <c r="CH756" i="1"/>
  <c r="CI756" i="1" s="1"/>
  <c r="AI750" i="1"/>
  <c r="AI757" i="1"/>
  <c r="AM755" i="1"/>
  <c r="AO755" i="1" s="1"/>
  <c r="AF755" i="1" s="1"/>
  <c r="AM751" i="1"/>
  <c r="AO751" i="1" s="1"/>
  <c r="AF751" i="1" s="1"/>
  <c r="AM749" i="1"/>
  <c r="AO749" i="1" s="1"/>
  <c r="AF749" i="1" s="1"/>
  <c r="AM757" i="1"/>
  <c r="AO757" i="1" s="1"/>
  <c r="AF757" i="1" s="1"/>
  <c r="AI745" i="1"/>
  <c r="CH754" i="1"/>
  <c r="CI754" i="1" s="1"/>
  <c r="CH752" i="1"/>
  <c r="CI752" i="1" s="1"/>
  <c r="AM748" i="1"/>
  <c r="AO748" i="1" s="1"/>
  <c r="AF748" i="1" s="1"/>
  <c r="AI749" i="1"/>
  <c r="CH747" i="1"/>
  <c r="CI747" i="1" s="1"/>
  <c r="CB740" i="1"/>
  <c r="CB732" i="1"/>
  <c r="CH755" i="1"/>
  <c r="CI755" i="1" s="1"/>
  <c r="AN752" i="1"/>
  <c r="AG752" i="1" s="1"/>
  <c r="CH749" i="1"/>
  <c r="CI749" i="1" s="1"/>
  <c r="AN757" i="1"/>
  <c r="AG757" i="1" s="1"/>
  <c r="AI753" i="1"/>
  <c r="AM752" i="1"/>
  <c r="AO752" i="1" s="1"/>
  <c r="AF752" i="1" s="1"/>
  <c r="AN747" i="1"/>
  <c r="AG747" i="1" s="1"/>
  <c r="AI747" i="1"/>
  <c r="AI748" i="1"/>
  <c r="CH757" i="1"/>
  <c r="CI757" i="1" s="1"/>
  <c r="AI752" i="1"/>
  <c r="AM744" i="1"/>
  <c r="AO744" i="1" s="1"/>
  <c r="AF744" i="1" s="1"/>
  <c r="AN755" i="1"/>
  <c r="AG755" i="1" s="1"/>
  <c r="AI755" i="1"/>
  <c r="AM754" i="1"/>
  <c r="AO754" i="1" s="1"/>
  <c r="AF754" i="1" s="1"/>
  <c r="AI751" i="1"/>
  <c r="AM745" i="1"/>
  <c r="AO745" i="1" s="1"/>
  <c r="AF745" i="1" s="1"/>
  <c r="AI756" i="1"/>
  <c r="CH753" i="1"/>
  <c r="CI753" i="1" s="1"/>
  <c r="CH751" i="1"/>
  <c r="CI751" i="1" s="1"/>
  <c r="CH745" i="1"/>
  <c r="CI745" i="1" s="1"/>
  <c r="AN754" i="1"/>
  <c r="AG754" i="1" s="1"/>
  <c r="AN746" i="1"/>
  <c r="AG746" i="1" s="1"/>
  <c r="AN751" i="1"/>
  <c r="AG751" i="1" s="1"/>
  <c r="AN756" i="1"/>
  <c r="AG756" i="1" s="1"/>
  <c r="AN748" i="1"/>
  <c r="AG748" i="1" s="1"/>
  <c r="CH719" i="1"/>
  <c r="CI719" i="1" s="1"/>
  <c r="CB724" i="1"/>
  <c r="CH724" i="1"/>
  <c r="CI724" i="1" s="1"/>
  <c r="CB713" i="1"/>
  <c r="CH736" i="1"/>
  <c r="CI736" i="1" s="1"/>
  <c r="CB728" i="1"/>
  <c r="CB726" i="1"/>
  <c r="CB722" i="1"/>
  <c r="CB738" i="1"/>
  <c r="CB734" i="1"/>
  <c r="CB715" i="1"/>
  <c r="CB711" i="1"/>
  <c r="CH717" i="1"/>
  <c r="CI717" i="1" s="1"/>
  <c r="CB720" i="1"/>
  <c r="CB736" i="1"/>
  <c r="CB717" i="1"/>
  <c r="CH744" i="1"/>
  <c r="CI744" i="1" s="1"/>
  <c r="CH721" i="1"/>
  <c r="CI721" i="1" s="1"/>
  <c r="CH741" i="1"/>
  <c r="CI741" i="1" s="1"/>
  <c r="CH730" i="1"/>
  <c r="CI730" i="1" s="1"/>
  <c r="CH726" i="1"/>
  <c r="CI726" i="1" s="1"/>
  <c r="CH731" i="1"/>
  <c r="CI731" i="1" s="1"/>
  <c r="CH734" i="1"/>
  <c r="CI734" i="1" s="1"/>
  <c r="CH733" i="1"/>
  <c r="CI733" i="1" s="1"/>
  <c r="CH714" i="1"/>
  <c r="CI714" i="1" s="1"/>
  <c r="CH739" i="1"/>
  <c r="CI739" i="1" s="1"/>
  <c r="CH715" i="1"/>
  <c r="CI715" i="1" s="1"/>
  <c r="CB730" i="1"/>
  <c r="CH723" i="1"/>
  <c r="CI723" i="1" s="1"/>
  <c r="CH732" i="1"/>
  <c r="CI732" i="1" s="1"/>
  <c r="CH718" i="1"/>
  <c r="CI718" i="1" s="1"/>
  <c r="CH740" i="1"/>
  <c r="CI740" i="1" s="1"/>
  <c r="CH728" i="1"/>
  <c r="CI728" i="1" s="1"/>
  <c r="CH713" i="1"/>
  <c r="CI713" i="1" s="1"/>
  <c r="CH738" i="1"/>
  <c r="CI738" i="1" s="1"/>
  <c r="CH743" i="1"/>
  <c r="CI743" i="1" s="1"/>
  <c r="CH727" i="1"/>
  <c r="CI727" i="1" s="1"/>
  <c r="CH712" i="1"/>
  <c r="CI712" i="1" s="1"/>
  <c r="CH737" i="1"/>
  <c r="CI737" i="1" s="1"/>
  <c r="CH742" i="1"/>
  <c r="CI742" i="1" s="1"/>
  <c r="CH711" i="1"/>
  <c r="CI711" i="1" s="1"/>
  <c r="CH722" i="1"/>
  <c r="CI722" i="1" s="1"/>
  <c r="CH716" i="1"/>
  <c r="CI716" i="1" s="1"/>
  <c r="CH725" i="1"/>
  <c r="CI725" i="1" s="1"/>
  <c r="CH735" i="1"/>
  <c r="CI735" i="1" s="1"/>
  <c r="CH720" i="1"/>
  <c r="CI720" i="1" s="1"/>
  <c r="CB743" i="1"/>
  <c r="CB741" i="1"/>
  <c r="CB739" i="1"/>
  <c r="CB737" i="1"/>
  <c r="CB735" i="1"/>
  <c r="CB733" i="1"/>
  <c r="CB731" i="1"/>
  <c r="CB729" i="1"/>
  <c r="CB727" i="1"/>
  <c r="CB725" i="1"/>
  <c r="CB723" i="1"/>
  <c r="CB721" i="1"/>
  <c r="CB719" i="1"/>
  <c r="CB718" i="1"/>
  <c r="CB716" i="1"/>
  <c r="CB714" i="1"/>
  <c r="CB712" i="1"/>
  <c r="CE742" i="1"/>
  <c r="CE740" i="1"/>
  <c r="CE738" i="1"/>
  <c r="CE736" i="1"/>
  <c r="CE734" i="1"/>
  <c r="CE732" i="1"/>
  <c r="CE730" i="1"/>
  <c r="CE728" i="1"/>
  <c r="CE726" i="1"/>
  <c r="CE724" i="1"/>
  <c r="CE722" i="1"/>
  <c r="CE720" i="1"/>
  <c r="CE717" i="1"/>
  <c r="CE715" i="1"/>
  <c r="CE713" i="1"/>
  <c r="CE711" i="1"/>
  <c r="AN730" i="1"/>
  <c r="AG730" i="1" s="1"/>
  <c r="AM736" i="1"/>
  <c r="AO736" i="1" s="1"/>
  <c r="AF736" i="1" s="1"/>
  <c r="AN738" i="1"/>
  <c r="AG738" i="1" s="1"/>
  <c r="AI735" i="1"/>
  <c r="AI737" i="1"/>
  <c r="AI738" i="1"/>
  <c r="AM727" i="1"/>
  <c r="AO727" i="1" s="1"/>
  <c r="AF727" i="1" s="1"/>
  <c r="AI743" i="1"/>
  <c r="AM733" i="1"/>
  <c r="AO733" i="1" s="1"/>
  <c r="AF733" i="1" s="1"/>
  <c r="AN741" i="1"/>
  <c r="AG741" i="1" s="1"/>
  <c r="AM732" i="1"/>
  <c r="AO732" i="1" s="1"/>
  <c r="AF732" i="1" s="1"/>
  <c r="AI727" i="1"/>
  <c r="AN743" i="1"/>
  <c r="AG743" i="1" s="1"/>
  <c r="AI728" i="1"/>
  <c r="AM734" i="1"/>
  <c r="AO734" i="1" s="1"/>
  <c r="AF734" i="1" s="1"/>
  <c r="AM728" i="1"/>
  <c r="AO728" i="1" s="1"/>
  <c r="AF728" i="1" s="1"/>
  <c r="AN733" i="1"/>
  <c r="AG733" i="1" s="1"/>
  <c r="AI740" i="1"/>
  <c r="AI734" i="1"/>
  <c r="AM729" i="1"/>
  <c r="AO729" i="1" s="1"/>
  <c r="AF729" i="1" s="1"/>
  <c r="AI730" i="1"/>
  <c r="AM738" i="1"/>
  <c r="AO738" i="1" s="1"/>
  <c r="AF738" i="1" s="1"/>
  <c r="AI731" i="1"/>
  <c r="AN728" i="1"/>
  <c r="AG728" i="1" s="1"/>
  <c r="AM741" i="1"/>
  <c r="AO741" i="1" s="1"/>
  <c r="AF741" i="1" s="1"/>
  <c r="AI742" i="1"/>
  <c r="AI741" i="1"/>
  <c r="AI736" i="1"/>
  <c r="AM735" i="1"/>
  <c r="AO735" i="1" s="1"/>
  <c r="AF735" i="1" s="1"/>
  <c r="AM739" i="1"/>
  <c r="AO739" i="1" s="1"/>
  <c r="AF739" i="1" s="1"/>
  <c r="AN727" i="1"/>
  <c r="AG727" i="1" s="1"/>
  <c r="AM742" i="1"/>
  <c r="AO742" i="1" s="1"/>
  <c r="AF742" i="1" s="1"/>
  <c r="AN736" i="1"/>
  <c r="AG736" i="1" s="1"/>
  <c r="AI732" i="1"/>
  <c r="AM730" i="1"/>
  <c r="AO730" i="1" s="1"/>
  <c r="AF730" i="1" s="1"/>
  <c r="AI733" i="1"/>
  <c r="AM743" i="1"/>
  <c r="AO743" i="1" s="1"/>
  <c r="AF743" i="1" s="1"/>
  <c r="AM740" i="1"/>
  <c r="AO740" i="1" s="1"/>
  <c r="AF740" i="1" s="1"/>
  <c r="AM737" i="1"/>
  <c r="AO737" i="1" s="1"/>
  <c r="AF737" i="1" s="1"/>
  <c r="AI739" i="1"/>
  <c r="AN735" i="1"/>
  <c r="AG735" i="1" s="1"/>
  <c r="AM731" i="1"/>
  <c r="AO731" i="1" s="1"/>
  <c r="AF731" i="1" s="1"/>
  <c r="AI729" i="1"/>
  <c r="AN740" i="1"/>
  <c r="AG740" i="1" s="1"/>
  <c r="AN732" i="1"/>
  <c r="AG732" i="1" s="1"/>
  <c r="AN737" i="1"/>
  <c r="AG737" i="1" s="1"/>
  <c r="AN729" i="1"/>
  <c r="AG729" i="1" s="1"/>
  <c r="AN742" i="1"/>
  <c r="AG742" i="1" s="1"/>
  <c r="AN734" i="1"/>
  <c r="AG734" i="1" s="1"/>
  <c r="AN739" i="1"/>
  <c r="AG739" i="1" s="1"/>
  <c r="AN731" i="1"/>
  <c r="AG731" i="1" s="1"/>
  <c r="AM719" i="1"/>
  <c r="AO719" i="1" s="1"/>
  <c r="AF719" i="1" s="1"/>
  <c r="AM712" i="1"/>
  <c r="AO712" i="1" s="1"/>
  <c r="AF712" i="1" s="1"/>
  <c r="AN714" i="1"/>
  <c r="AG714" i="1" s="1"/>
  <c r="AN717" i="1"/>
  <c r="AG717" i="1" s="1"/>
  <c r="AI715" i="1"/>
  <c r="AI726" i="1"/>
  <c r="AN724" i="1"/>
  <c r="AG724" i="1" s="1"/>
  <c r="AM713" i="1"/>
  <c r="AO713" i="1" s="1"/>
  <c r="AF713" i="1" s="1"/>
  <c r="AI723" i="1"/>
  <c r="AI722" i="1"/>
  <c r="AM720" i="1"/>
  <c r="AO720" i="1" s="1"/>
  <c r="AF720" i="1" s="1"/>
  <c r="AI714" i="1"/>
  <c r="AI712" i="1"/>
  <c r="AI721" i="1"/>
  <c r="AM726" i="1"/>
  <c r="AO726" i="1" s="1"/>
  <c r="AF726" i="1" s="1"/>
  <c r="AI716" i="1"/>
  <c r="AN721" i="1"/>
  <c r="AG721" i="1" s="1"/>
  <c r="AN725" i="1"/>
  <c r="AG725" i="1" s="1"/>
  <c r="AI724" i="1"/>
  <c r="AM723" i="1"/>
  <c r="AO723" i="1" s="1"/>
  <c r="AF723" i="1" s="1"/>
  <c r="AM714" i="1"/>
  <c r="AO714" i="1" s="1"/>
  <c r="AF714" i="1" s="1"/>
  <c r="AM711" i="1"/>
  <c r="AO711" i="1" s="1"/>
  <c r="AF711" i="1" s="1"/>
  <c r="AN712" i="1"/>
  <c r="AG712" i="1" s="1"/>
  <c r="AN726" i="1"/>
  <c r="AG726" i="1" s="1"/>
  <c r="AM721" i="1"/>
  <c r="AO721" i="1" s="1"/>
  <c r="AF721" i="1" s="1"/>
  <c r="AI718" i="1"/>
  <c r="AM717" i="1"/>
  <c r="AO717" i="1" s="1"/>
  <c r="AF717" i="1" s="1"/>
  <c r="AI711" i="1"/>
  <c r="AI725" i="1"/>
  <c r="AM724" i="1"/>
  <c r="AO724" i="1" s="1"/>
  <c r="AF724" i="1" s="1"/>
  <c r="AI719" i="1"/>
  <c r="AM715" i="1"/>
  <c r="AO715" i="1" s="1"/>
  <c r="AF715" i="1" s="1"/>
  <c r="AI713" i="1"/>
  <c r="AM722" i="1"/>
  <c r="AO722" i="1" s="1"/>
  <c r="AF722" i="1" s="1"/>
  <c r="AI720" i="1"/>
  <c r="AN718" i="1"/>
  <c r="AG718" i="1" s="1"/>
  <c r="AI717" i="1"/>
  <c r="AM716" i="1"/>
  <c r="AO716" i="1" s="1"/>
  <c r="AF716" i="1" s="1"/>
  <c r="AN711" i="1"/>
  <c r="AG711" i="1" s="1"/>
  <c r="AM725" i="1"/>
  <c r="AO725" i="1" s="1"/>
  <c r="AF725" i="1" s="1"/>
  <c r="AN722" i="1"/>
  <c r="AG722" i="1" s="1"/>
  <c r="AM718" i="1"/>
  <c r="AO718" i="1" s="1"/>
  <c r="AF718" i="1" s="1"/>
  <c r="AN715" i="1"/>
  <c r="AG715" i="1" s="1"/>
  <c r="AN719" i="1"/>
  <c r="AG719" i="1" s="1"/>
  <c r="AN723" i="1"/>
  <c r="AG723" i="1" s="1"/>
  <c r="AN716" i="1"/>
  <c r="AG716" i="1" s="1"/>
  <c r="AN720" i="1"/>
  <c r="AG720" i="1" s="1"/>
  <c r="AN713" i="1"/>
  <c r="AG713" i="1" s="1"/>
  <c r="V713" i="1" l="1"/>
  <c r="V714" i="1"/>
  <c r="V715" i="1"/>
  <c r="V716" i="1"/>
  <c r="V717" i="1"/>
  <c r="V718" i="1"/>
  <c r="V719" i="1"/>
  <c r="V720" i="1"/>
  <c r="V721" i="1"/>
  <c r="V722" i="1"/>
  <c r="V723" i="1"/>
  <c r="AC696" i="1" l="1"/>
  <c r="CD696" i="1" s="1"/>
  <c r="AD696" i="1"/>
  <c r="AE696" i="1"/>
  <c r="AJ696" i="1" s="1"/>
  <c r="AH696" i="1"/>
  <c r="AK696" i="1"/>
  <c r="AL696" i="1"/>
  <c r="AQ696" i="1"/>
  <c r="AR696" i="1" s="1"/>
  <c r="AS696" i="1"/>
  <c r="AT696" i="1"/>
  <c r="BE696" i="1"/>
  <c r="BF696" i="1" s="1"/>
  <c r="AC691" i="1"/>
  <c r="CD691" i="1" s="1"/>
  <c r="AD691" i="1"/>
  <c r="AE691" i="1"/>
  <c r="AJ691" i="1" s="1"/>
  <c r="AH691" i="1"/>
  <c r="AK691" i="1"/>
  <c r="AL691" i="1"/>
  <c r="AQ691" i="1"/>
  <c r="AR691" i="1" s="1"/>
  <c r="AS691" i="1"/>
  <c r="AT691" i="1"/>
  <c r="BE691" i="1"/>
  <c r="BF691" i="1" s="1"/>
  <c r="AC693" i="1"/>
  <c r="CD693" i="1" s="1"/>
  <c r="AD693" i="1"/>
  <c r="AE693" i="1"/>
  <c r="AJ693" i="1" s="1"/>
  <c r="AH693" i="1"/>
  <c r="AK693" i="1"/>
  <c r="AL693" i="1"/>
  <c r="AQ693" i="1"/>
  <c r="AR693" i="1" s="1"/>
  <c r="AS693" i="1"/>
  <c r="AT693" i="1"/>
  <c r="BE693" i="1"/>
  <c r="BF693" i="1" s="1"/>
  <c r="AC697" i="1"/>
  <c r="CD697" i="1" s="1"/>
  <c r="AD697" i="1"/>
  <c r="AE697" i="1"/>
  <c r="AJ697" i="1" s="1"/>
  <c r="AH697" i="1"/>
  <c r="AK697" i="1"/>
  <c r="AL697" i="1"/>
  <c r="AQ697" i="1"/>
  <c r="AR697" i="1" s="1"/>
  <c r="AS697" i="1"/>
  <c r="AT697" i="1"/>
  <c r="BE697" i="1"/>
  <c r="BF697" i="1" s="1"/>
  <c r="AC698" i="1"/>
  <c r="CD698" i="1" s="1"/>
  <c r="AD698" i="1"/>
  <c r="AE698" i="1"/>
  <c r="AJ698" i="1" s="1"/>
  <c r="AH698" i="1"/>
  <c r="AK698" i="1"/>
  <c r="AL698" i="1"/>
  <c r="AQ698" i="1"/>
  <c r="AR698" i="1" s="1"/>
  <c r="AS698" i="1"/>
  <c r="AT698" i="1"/>
  <c r="BE698" i="1"/>
  <c r="BF698" i="1" s="1"/>
  <c r="AC692" i="1"/>
  <c r="CD692" i="1" s="1"/>
  <c r="AD692" i="1"/>
  <c r="AE692" i="1"/>
  <c r="AJ692" i="1" s="1"/>
  <c r="AH692" i="1"/>
  <c r="AK692" i="1"/>
  <c r="AL692" i="1"/>
  <c r="AQ692" i="1"/>
  <c r="AR692" i="1" s="1"/>
  <c r="AS692" i="1"/>
  <c r="AT692" i="1"/>
  <c r="BE692" i="1"/>
  <c r="BF692" i="1" s="1"/>
  <c r="AC695" i="1"/>
  <c r="CD695" i="1" s="1"/>
  <c r="AD695" i="1"/>
  <c r="AE695" i="1"/>
  <c r="AJ695" i="1" s="1"/>
  <c r="AH695" i="1"/>
  <c r="AK695" i="1"/>
  <c r="AL695" i="1"/>
  <c r="AQ695" i="1"/>
  <c r="AR695" i="1" s="1"/>
  <c r="AS695" i="1"/>
  <c r="AT695" i="1"/>
  <c r="BE695" i="1"/>
  <c r="BF695" i="1" s="1"/>
  <c r="AC694" i="1"/>
  <c r="CD694" i="1" s="1"/>
  <c r="AD694" i="1"/>
  <c r="AE694" i="1"/>
  <c r="AJ694" i="1" s="1"/>
  <c r="AH694" i="1"/>
  <c r="AK694" i="1"/>
  <c r="AL694" i="1"/>
  <c r="AQ694" i="1"/>
  <c r="AR694" i="1" s="1"/>
  <c r="AS694" i="1"/>
  <c r="AT694" i="1"/>
  <c r="BE694" i="1"/>
  <c r="BF694" i="1" s="1"/>
  <c r="AC708" i="1"/>
  <c r="CD708" i="1" s="1"/>
  <c r="AD708" i="1"/>
  <c r="AE708" i="1"/>
  <c r="AJ708" i="1" s="1"/>
  <c r="AH708" i="1"/>
  <c r="AK708" i="1"/>
  <c r="AL708" i="1"/>
  <c r="AQ708" i="1"/>
  <c r="AR708" i="1" s="1"/>
  <c r="AS708" i="1"/>
  <c r="AT708" i="1"/>
  <c r="BE708" i="1"/>
  <c r="BF708" i="1" s="1"/>
  <c r="AC705" i="1"/>
  <c r="CD705" i="1" s="1"/>
  <c r="AD705" i="1"/>
  <c r="AE705" i="1"/>
  <c r="AJ705" i="1" s="1"/>
  <c r="AH705" i="1"/>
  <c r="AK705" i="1"/>
  <c r="AL705" i="1"/>
  <c r="AQ705" i="1"/>
  <c r="AR705" i="1" s="1"/>
  <c r="AS705" i="1"/>
  <c r="AT705" i="1"/>
  <c r="BE705" i="1"/>
  <c r="BF705" i="1" s="1"/>
  <c r="AC706" i="1"/>
  <c r="CD706" i="1" s="1"/>
  <c r="AD706" i="1"/>
  <c r="AE706" i="1"/>
  <c r="AJ706" i="1" s="1"/>
  <c r="AH706" i="1"/>
  <c r="AK706" i="1"/>
  <c r="AL706" i="1"/>
  <c r="AQ706" i="1"/>
  <c r="AR706" i="1" s="1"/>
  <c r="AS706" i="1"/>
  <c r="AT706" i="1"/>
  <c r="BE706" i="1"/>
  <c r="BF706" i="1"/>
  <c r="AC700" i="1"/>
  <c r="CD700" i="1" s="1"/>
  <c r="AD700" i="1"/>
  <c r="AE700" i="1"/>
  <c r="AJ700" i="1" s="1"/>
  <c r="AH700" i="1"/>
  <c r="AK700" i="1"/>
  <c r="AL700" i="1"/>
  <c r="AQ700" i="1"/>
  <c r="AR700" i="1" s="1"/>
  <c r="AS700" i="1"/>
  <c r="AT700" i="1"/>
  <c r="BE700" i="1"/>
  <c r="BF700" i="1" s="1"/>
  <c r="AC699" i="1"/>
  <c r="CD699" i="1" s="1"/>
  <c r="AD699" i="1"/>
  <c r="AE699" i="1"/>
  <c r="AJ699" i="1" s="1"/>
  <c r="AH699" i="1"/>
  <c r="AK699" i="1"/>
  <c r="AL699" i="1"/>
  <c r="AQ699" i="1"/>
  <c r="AR699" i="1" s="1"/>
  <c r="AS699" i="1"/>
  <c r="AT699" i="1"/>
  <c r="BE699" i="1"/>
  <c r="BF699" i="1"/>
  <c r="AC710" i="1"/>
  <c r="CD710" i="1" s="1"/>
  <c r="AD710" i="1"/>
  <c r="AE710" i="1"/>
  <c r="AJ710" i="1" s="1"/>
  <c r="AH710" i="1"/>
  <c r="AK710" i="1"/>
  <c r="AL710" i="1"/>
  <c r="AQ710" i="1"/>
  <c r="AR710" i="1" s="1"/>
  <c r="AS710" i="1"/>
  <c r="AT710" i="1"/>
  <c r="BE710" i="1"/>
  <c r="BF710" i="1"/>
  <c r="AC704" i="1"/>
  <c r="CD704" i="1" s="1"/>
  <c r="AD704" i="1"/>
  <c r="AE704" i="1"/>
  <c r="AJ704" i="1" s="1"/>
  <c r="AH704" i="1"/>
  <c r="AK704" i="1"/>
  <c r="AL704" i="1"/>
  <c r="AQ704" i="1"/>
  <c r="AR704" i="1" s="1"/>
  <c r="AS704" i="1"/>
  <c r="AT704" i="1"/>
  <c r="BE704" i="1"/>
  <c r="BF704" i="1" s="1"/>
  <c r="AC701" i="1"/>
  <c r="CD701" i="1" s="1"/>
  <c r="AD701" i="1"/>
  <c r="AE701" i="1"/>
  <c r="AJ701" i="1" s="1"/>
  <c r="AH701" i="1"/>
  <c r="AK701" i="1"/>
  <c r="AL701" i="1"/>
  <c r="AQ701" i="1"/>
  <c r="AR701" i="1" s="1"/>
  <c r="AS701" i="1"/>
  <c r="AT701" i="1"/>
  <c r="BE701" i="1"/>
  <c r="BF701" i="1" s="1"/>
  <c r="AC702" i="1"/>
  <c r="CD702" i="1" s="1"/>
  <c r="AD702" i="1"/>
  <c r="AE702" i="1"/>
  <c r="AJ702" i="1" s="1"/>
  <c r="AH702" i="1"/>
  <c r="AK702" i="1"/>
  <c r="AL702" i="1"/>
  <c r="AQ702" i="1"/>
  <c r="AR702" i="1" s="1"/>
  <c r="AS702" i="1"/>
  <c r="AT702" i="1"/>
  <c r="BE702" i="1"/>
  <c r="BF702" i="1" s="1"/>
  <c r="AC703" i="1"/>
  <c r="CD703" i="1" s="1"/>
  <c r="AD703" i="1"/>
  <c r="AE703" i="1"/>
  <c r="AJ703" i="1" s="1"/>
  <c r="AH703" i="1"/>
  <c r="AK703" i="1"/>
  <c r="AL703" i="1"/>
  <c r="AQ703" i="1"/>
  <c r="AR703" i="1" s="1"/>
  <c r="AS703" i="1"/>
  <c r="AT703" i="1"/>
  <c r="BE703" i="1"/>
  <c r="BF703" i="1" s="1"/>
  <c r="AC709" i="1"/>
  <c r="CD709" i="1" s="1"/>
  <c r="AD709" i="1"/>
  <c r="AE709" i="1"/>
  <c r="AJ709" i="1" s="1"/>
  <c r="AH709" i="1"/>
  <c r="AK709" i="1"/>
  <c r="AL709" i="1"/>
  <c r="AQ709" i="1"/>
  <c r="AR709" i="1" s="1"/>
  <c r="AS709" i="1"/>
  <c r="AT709" i="1"/>
  <c r="BE709" i="1"/>
  <c r="BF709" i="1" s="1"/>
  <c r="AC707" i="1"/>
  <c r="CD707" i="1" s="1"/>
  <c r="AD707" i="1"/>
  <c r="AE707" i="1"/>
  <c r="AJ707" i="1" s="1"/>
  <c r="AH707" i="1"/>
  <c r="AK707" i="1"/>
  <c r="AL707" i="1"/>
  <c r="AQ707" i="1"/>
  <c r="AR707" i="1" s="1"/>
  <c r="AS707" i="1"/>
  <c r="AT707" i="1"/>
  <c r="BE707" i="1"/>
  <c r="BF707" i="1" s="1"/>
  <c r="CH702" i="1" l="1"/>
  <c r="CI702" i="1" s="1"/>
  <c r="CH691" i="1"/>
  <c r="CI691" i="1" s="1"/>
  <c r="CH708" i="1"/>
  <c r="CI708" i="1" s="1"/>
  <c r="CH707" i="1"/>
  <c r="CI707" i="1" s="1"/>
  <c r="CH701" i="1"/>
  <c r="CI701" i="1" s="1"/>
  <c r="CH696" i="1"/>
  <c r="CI696" i="1" s="1"/>
  <c r="CH697" i="1"/>
  <c r="CI697" i="1" s="1"/>
  <c r="CH703" i="1"/>
  <c r="CI703" i="1" s="1"/>
  <c r="CH705" i="1"/>
  <c r="CI705" i="1" s="1"/>
  <c r="CH693" i="1"/>
  <c r="CI693" i="1" s="1"/>
  <c r="CH700" i="1"/>
  <c r="CI700" i="1" s="1"/>
  <c r="CH692" i="1"/>
  <c r="CI692" i="1" s="1"/>
  <c r="CH710" i="1"/>
  <c r="CI710" i="1" s="1"/>
  <c r="CH709" i="1"/>
  <c r="CI709" i="1" s="1"/>
  <c r="CH706" i="1"/>
  <c r="CI706" i="1" s="1"/>
  <c r="CH694" i="1"/>
  <c r="CI694" i="1" s="1"/>
  <c r="CH699" i="1"/>
  <c r="CI699" i="1" s="1"/>
  <c r="CH695" i="1"/>
  <c r="CI695" i="1" s="1"/>
  <c r="CH698" i="1"/>
  <c r="CI698" i="1" s="1"/>
  <c r="CH704" i="1"/>
  <c r="CI704" i="1" s="1"/>
  <c r="CB697" i="1"/>
  <c r="CE697" i="1"/>
  <c r="CB699" i="1"/>
  <c r="CE699" i="1"/>
  <c r="CB695" i="1"/>
  <c r="CE695" i="1"/>
  <c r="CB703" i="1"/>
  <c r="CE703" i="1"/>
  <c r="CB705" i="1"/>
  <c r="CE705" i="1"/>
  <c r="CB693" i="1"/>
  <c r="CE693" i="1"/>
  <c r="CB701" i="1"/>
  <c r="CE701" i="1"/>
  <c r="CE704" i="1"/>
  <c r="CB704" i="1"/>
  <c r="CB707" i="1"/>
  <c r="CE707" i="1"/>
  <c r="CE702" i="1"/>
  <c r="CB702" i="1"/>
  <c r="CE708" i="1"/>
  <c r="CB708" i="1"/>
  <c r="CB691" i="1"/>
  <c r="CE691" i="1"/>
  <c r="CE692" i="1"/>
  <c r="CB692" i="1"/>
  <c r="CE710" i="1"/>
  <c r="CB710" i="1"/>
  <c r="CE698" i="1"/>
  <c r="CB698" i="1"/>
  <c r="CE700" i="1"/>
  <c r="CB700" i="1"/>
  <c r="CB709" i="1"/>
  <c r="CE709" i="1"/>
  <c r="CE706" i="1"/>
  <c r="CB706" i="1"/>
  <c r="CE694" i="1"/>
  <c r="CB694" i="1"/>
  <c r="CE696" i="1"/>
  <c r="CB696" i="1"/>
  <c r="AM704" i="1"/>
  <c r="AO704" i="1" s="1"/>
  <c r="AF704" i="1" s="1"/>
  <c r="AI701" i="1"/>
  <c r="AN695" i="1"/>
  <c r="AG695" i="1" s="1"/>
  <c r="AI695" i="1"/>
  <c r="AI697" i="1"/>
  <c r="AN705" i="1"/>
  <c r="AG705" i="1" s="1"/>
  <c r="AN698" i="1"/>
  <c r="AG698" i="1" s="1"/>
  <c r="AM710" i="1"/>
  <c r="AO710" i="1" s="1"/>
  <c r="AF710" i="1" s="1"/>
  <c r="AI702" i="1"/>
  <c r="AI710" i="1"/>
  <c r="AM697" i="1"/>
  <c r="AO697" i="1" s="1"/>
  <c r="AF697" i="1" s="1"/>
  <c r="AM691" i="1"/>
  <c r="AO691" i="1" s="1"/>
  <c r="AF691" i="1" s="1"/>
  <c r="AN702" i="1"/>
  <c r="AG702" i="1" s="1"/>
  <c r="AI700" i="1"/>
  <c r="AM708" i="1"/>
  <c r="AO708" i="1" s="1"/>
  <c r="AF708" i="1" s="1"/>
  <c r="AM695" i="1"/>
  <c r="AO695" i="1" s="1"/>
  <c r="AF695" i="1" s="1"/>
  <c r="AM696" i="1"/>
  <c r="AO696" i="1" s="1"/>
  <c r="AF696" i="1" s="1"/>
  <c r="AM707" i="1"/>
  <c r="AO707" i="1" s="1"/>
  <c r="AF707" i="1" s="1"/>
  <c r="AM709" i="1"/>
  <c r="AO709" i="1" s="1"/>
  <c r="AF709" i="1" s="1"/>
  <c r="AM699" i="1"/>
  <c r="AO699" i="1" s="1"/>
  <c r="AF699" i="1" s="1"/>
  <c r="AM700" i="1"/>
  <c r="AO700" i="1" s="1"/>
  <c r="AF700" i="1" s="1"/>
  <c r="AM694" i="1"/>
  <c r="AO694" i="1" s="1"/>
  <c r="AF694" i="1" s="1"/>
  <c r="AN710" i="1"/>
  <c r="AG710" i="1" s="1"/>
  <c r="AI708" i="1"/>
  <c r="AI693" i="1"/>
  <c r="AM701" i="1"/>
  <c r="AO701" i="1" s="1"/>
  <c r="AF701" i="1" s="1"/>
  <c r="AM698" i="1"/>
  <c r="AO698" i="1" s="1"/>
  <c r="AF698" i="1" s="1"/>
  <c r="AI707" i="1"/>
  <c r="AI709" i="1"/>
  <c r="AI704" i="1"/>
  <c r="AN700" i="1"/>
  <c r="AG700" i="1" s="1"/>
  <c r="AM706" i="1"/>
  <c r="AO706" i="1" s="1"/>
  <c r="AF706" i="1" s="1"/>
  <c r="AN694" i="1"/>
  <c r="AG694" i="1" s="1"/>
  <c r="AI692" i="1"/>
  <c r="AN691" i="1"/>
  <c r="AG691" i="1" s="1"/>
  <c r="AI691" i="1"/>
  <c r="AI703" i="1"/>
  <c r="AI696" i="1"/>
  <c r="AM692" i="1"/>
  <c r="AO692" i="1" s="1"/>
  <c r="AF692" i="1" s="1"/>
  <c r="AN709" i="1"/>
  <c r="AG709" i="1" s="1"/>
  <c r="AM703" i="1"/>
  <c r="AO703" i="1" s="1"/>
  <c r="AF703" i="1" s="1"/>
  <c r="AN704" i="1"/>
  <c r="AG704" i="1" s="1"/>
  <c r="AI699" i="1"/>
  <c r="AI705" i="1"/>
  <c r="AI694" i="1"/>
  <c r="AN697" i="1"/>
  <c r="AG697" i="1" s="1"/>
  <c r="AM693" i="1"/>
  <c r="AO693" i="1" s="1"/>
  <c r="AF693" i="1" s="1"/>
  <c r="AI706" i="1"/>
  <c r="AI698" i="1"/>
  <c r="AM702" i="1"/>
  <c r="AO702" i="1" s="1"/>
  <c r="AF702" i="1" s="1"/>
  <c r="AM705" i="1"/>
  <c r="AO705" i="1" s="1"/>
  <c r="AF705" i="1" s="1"/>
  <c r="AN701" i="1"/>
  <c r="AG701" i="1" s="1"/>
  <c r="AN708" i="1"/>
  <c r="AG708" i="1" s="1"/>
  <c r="AN696" i="1"/>
  <c r="AG696" i="1" s="1"/>
  <c r="AN707" i="1"/>
  <c r="AG707" i="1" s="1"/>
  <c r="AN699" i="1"/>
  <c r="AG699" i="1" s="1"/>
  <c r="AN692" i="1"/>
  <c r="AG692" i="1" s="1"/>
  <c r="AN703" i="1"/>
  <c r="AG703" i="1" s="1"/>
  <c r="AN706" i="1"/>
  <c r="AG706" i="1" s="1"/>
  <c r="AN693" i="1"/>
  <c r="AG693" i="1" s="1"/>
  <c r="V693" i="1" l="1"/>
  <c r="V697" i="1"/>
  <c r="V698" i="1"/>
  <c r="V692" i="1"/>
  <c r="V695" i="1"/>
  <c r="V694" i="1"/>
  <c r="V708" i="1"/>
  <c r="V705" i="1"/>
  <c r="V706" i="1"/>
  <c r="V700" i="1"/>
  <c r="V711" i="1"/>
  <c r="V699" i="1"/>
  <c r="V710" i="1"/>
  <c r="V704" i="1"/>
  <c r="V701" i="1"/>
  <c r="V702" i="1"/>
  <c r="V703" i="1"/>
  <c r="V709" i="1"/>
  <c r="V712" i="1"/>
  <c r="V707" i="1"/>
  <c r="BA592" i="1" l="1"/>
  <c r="BA380" i="1"/>
  <c r="BA506" i="1"/>
  <c r="D17" i="4"/>
  <c r="E17" i="4"/>
  <c r="F17" i="4"/>
  <c r="G17" i="4"/>
  <c r="H17" i="4"/>
  <c r="I17" i="4"/>
  <c r="J17" i="4"/>
  <c r="K17" i="4"/>
  <c r="L17" i="4"/>
  <c r="M17" i="4"/>
  <c r="C17" i="4"/>
  <c r="B17" i="4"/>
  <c r="AG52" i="4"/>
  <c r="AH52" i="4"/>
  <c r="AI52" i="4" l="1"/>
  <c r="BF7" i="1" l="1"/>
  <c r="BF8" i="1"/>
  <c r="BF9" i="1"/>
  <c r="BF10" i="1"/>
  <c r="BF12" i="1"/>
  <c r="BF13" i="1"/>
  <c r="BF14" i="1"/>
  <c r="BF16" i="1"/>
  <c r="BF18" i="1"/>
  <c r="BF20" i="1"/>
  <c r="BF21" i="1"/>
  <c r="BF22" i="1"/>
  <c r="BF23" i="1"/>
  <c r="BF24" i="1"/>
  <c r="BF26" i="1"/>
  <c r="BF27" i="1"/>
  <c r="BF29" i="1"/>
  <c r="BF31" i="1"/>
  <c r="BF32" i="1"/>
  <c r="BF33" i="1"/>
  <c r="BF34" i="1"/>
  <c r="BF37" i="1"/>
  <c r="BF38" i="1"/>
  <c r="BF39" i="1"/>
  <c r="BF42" i="1"/>
  <c r="BF44" i="1"/>
  <c r="BF45" i="1"/>
  <c r="BF46" i="1"/>
  <c r="BF47" i="1"/>
  <c r="BF48" i="1"/>
  <c r="BF49" i="1"/>
  <c r="BF50" i="1"/>
  <c r="BF51" i="1"/>
  <c r="BF52" i="1"/>
  <c r="BF53" i="1"/>
  <c r="BF54" i="1"/>
  <c r="BF55" i="1"/>
  <c r="BF56" i="1"/>
  <c r="BF57" i="1"/>
  <c r="BF58" i="1"/>
  <c r="BF59" i="1"/>
  <c r="BF60" i="1"/>
  <c r="BF61" i="1"/>
  <c r="BF62" i="1"/>
  <c r="BF63" i="1"/>
  <c r="BF64" i="1"/>
  <c r="BF65" i="1"/>
  <c r="BF66" i="1"/>
  <c r="BF67" i="1"/>
  <c r="BF68" i="1"/>
  <c r="BF70" i="1"/>
  <c r="BF72" i="1"/>
  <c r="BF73" i="1"/>
  <c r="BF74" i="1"/>
  <c r="BF75" i="1"/>
  <c r="BF77" i="1"/>
  <c r="BF78" i="1"/>
  <c r="BF80" i="1"/>
  <c r="BF81" i="1"/>
  <c r="BF82" i="1"/>
  <c r="BF83" i="1"/>
  <c r="BF84" i="1"/>
  <c r="BF85" i="1"/>
  <c r="BF88" i="1"/>
  <c r="BF91" i="1"/>
  <c r="BF93" i="1"/>
  <c r="BF94" i="1"/>
  <c r="BF98" i="1"/>
  <c r="BF99" i="1"/>
  <c r="BF100" i="1"/>
  <c r="BF103" i="1"/>
  <c r="BF104" i="1"/>
  <c r="BF108" i="1"/>
  <c r="BF109" i="1"/>
  <c r="BF114" i="1"/>
  <c r="BF115" i="1"/>
  <c r="BF121" i="1"/>
  <c r="BF135" i="1"/>
  <c r="BF144" i="1"/>
  <c r="BF148" i="1"/>
  <c r="BF150" i="1"/>
  <c r="BF156" i="1"/>
  <c r="BF158" i="1"/>
  <c r="BF160" i="1"/>
  <c r="BF163" i="1"/>
  <c r="BF165" i="1"/>
  <c r="BF167" i="1"/>
  <c r="BF175" i="1"/>
  <c r="BF176" i="1"/>
  <c r="BF184" i="1"/>
  <c r="BF186" i="1"/>
  <c r="BF192" i="1"/>
  <c r="BF193" i="1"/>
  <c r="BF202" i="1"/>
  <c r="BF207" i="1"/>
  <c r="BF208" i="1"/>
  <c r="BF209" i="1"/>
  <c r="BF223" i="1"/>
  <c r="BF224" i="1"/>
  <c r="BF225" i="1"/>
  <c r="BF235" i="1"/>
  <c r="BF249" i="1"/>
  <c r="BF251" i="1"/>
  <c r="BF252" i="1"/>
  <c r="BF264" i="1"/>
  <c r="BF280" i="1"/>
  <c r="BF283" i="1"/>
  <c r="BF296" i="1"/>
  <c r="BF299" i="1"/>
  <c r="BF303" i="1"/>
  <c r="BF304" i="1"/>
  <c r="BF319" i="1"/>
  <c r="BF327" i="1"/>
  <c r="BF331" i="1"/>
  <c r="BF355" i="1"/>
  <c r="BF362" i="1"/>
  <c r="BF363" i="1"/>
  <c r="BF373" i="1"/>
  <c r="BF376" i="1"/>
  <c r="BF377" i="1"/>
  <c r="BF384" i="1"/>
  <c r="BF392" i="1"/>
  <c r="BF393" i="1"/>
  <c r="BF399" i="1"/>
  <c r="BF401" i="1"/>
  <c r="BF403" i="1"/>
  <c r="BF408" i="1"/>
  <c r="BF412" i="1"/>
  <c r="BF426" i="1"/>
  <c r="BF429" i="1"/>
  <c r="BF431" i="1"/>
  <c r="BF434" i="1"/>
  <c r="BF443" i="1"/>
  <c r="BF449" i="1"/>
  <c r="BF459" i="1"/>
  <c r="BF460" i="1"/>
  <c r="BF463" i="1"/>
  <c r="BF464" i="1"/>
  <c r="BF465" i="1"/>
  <c r="BF468" i="1"/>
  <c r="BF469" i="1"/>
  <c r="BF473" i="1"/>
  <c r="BF478" i="1"/>
  <c r="BF483" i="1"/>
  <c r="BF487" i="1"/>
  <c r="BF489" i="1"/>
  <c r="BF490" i="1"/>
  <c r="BF504" i="1"/>
  <c r="BF508" i="1"/>
  <c r="BF512" i="1"/>
  <c r="BF517" i="1"/>
  <c r="BF519" i="1"/>
  <c r="BF524" i="1"/>
  <c r="BF535" i="1"/>
  <c r="BF536" i="1"/>
  <c r="BF538" i="1"/>
  <c r="BF540" i="1"/>
  <c r="BF542" i="1"/>
  <c r="BF551" i="1"/>
  <c r="BF553" i="1"/>
  <c r="BF555" i="1"/>
  <c r="BF567" i="1"/>
  <c r="BF576" i="1"/>
  <c r="BF579" i="1"/>
  <c r="BF583" i="1"/>
  <c r="BF584" i="1"/>
  <c r="BF589" i="1"/>
  <c r="BF593" i="1"/>
  <c r="BF595" i="1"/>
  <c r="BF599" i="1"/>
  <c r="BF608" i="1"/>
  <c r="BF612" i="1"/>
  <c r="BF613" i="1"/>
  <c r="BF614" i="1"/>
  <c r="BF615" i="1"/>
  <c r="BF618" i="1"/>
  <c r="BF626" i="1"/>
  <c r="BF630" i="1"/>
  <c r="BF212" i="1"/>
  <c r="BF635" i="1"/>
  <c r="BF637" i="1"/>
  <c r="BF641" i="1"/>
  <c r="BF649" i="1"/>
  <c r="BF651" i="1"/>
  <c r="BF654" i="1"/>
  <c r="BF633" i="1"/>
  <c r="BF625" i="1"/>
  <c r="BF627" i="1"/>
  <c r="BF662" i="1"/>
  <c r="BF664" i="1"/>
  <c r="BF667" i="1"/>
  <c r="BF671" i="1"/>
  <c r="BF672" i="1"/>
  <c r="BF674" i="1"/>
  <c r="BF682" i="1"/>
  <c r="BF678" i="1"/>
  <c r="BF681" i="1"/>
  <c r="BF680" i="1"/>
  <c r="BF684" i="1"/>
  <c r="BF687" i="1"/>
  <c r="BF688" i="1"/>
  <c r="BE4" i="1"/>
  <c r="BF4" i="1" s="1"/>
  <c r="BE5" i="1"/>
  <c r="BF5" i="1" s="1"/>
  <c r="BE6" i="1"/>
  <c r="BF6" i="1" s="1"/>
  <c r="BE7" i="1"/>
  <c r="BE8" i="1"/>
  <c r="BE9" i="1"/>
  <c r="BE10" i="1"/>
  <c r="BE11" i="1"/>
  <c r="BF11" i="1" s="1"/>
  <c r="BE12" i="1"/>
  <c r="BE13" i="1"/>
  <c r="BE14" i="1"/>
  <c r="BE15" i="1"/>
  <c r="BF15" i="1" s="1"/>
  <c r="BE16" i="1"/>
  <c r="BE17" i="1"/>
  <c r="BF17" i="1" s="1"/>
  <c r="BE18" i="1"/>
  <c r="BE19" i="1"/>
  <c r="BF19" i="1" s="1"/>
  <c r="BE20" i="1"/>
  <c r="BE21" i="1"/>
  <c r="BE22" i="1"/>
  <c r="BE23" i="1"/>
  <c r="BE24" i="1"/>
  <c r="BE25" i="1"/>
  <c r="BF25" i="1" s="1"/>
  <c r="BE26" i="1"/>
  <c r="BE27" i="1"/>
  <c r="BE28" i="1"/>
  <c r="BF28" i="1" s="1"/>
  <c r="BE29" i="1"/>
  <c r="BE30" i="1"/>
  <c r="BF30" i="1" s="1"/>
  <c r="BE31" i="1"/>
  <c r="BE32" i="1"/>
  <c r="BE33" i="1"/>
  <c r="BE34" i="1"/>
  <c r="BE35" i="1"/>
  <c r="BF35" i="1" s="1"/>
  <c r="BE36" i="1"/>
  <c r="BF36" i="1" s="1"/>
  <c r="BE37" i="1"/>
  <c r="BE38" i="1"/>
  <c r="BE39" i="1"/>
  <c r="BE40" i="1"/>
  <c r="BF40" i="1" s="1"/>
  <c r="BE41" i="1"/>
  <c r="BF41" i="1" s="1"/>
  <c r="BE42" i="1"/>
  <c r="BE43" i="1"/>
  <c r="BF43" i="1" s="1"/>
  <c r="BE44" i="1"/>
  <c r="BE45" i="1"/>
  <c r="BE46" i="1"/>
  <c r="BE47" i="1"/>
  <c r="BE48" i="1"/>
  <c r="BE49" i="1"/>
  <c r="BE50" i="1"/>
  <c r="BE51" i="1"/>
  <c r="BE52" i="1"/>
  <c r="BE53" i="1"/>
  <c r="BE54" i="1"/>
  <c r="BE55" i="1"/>
  <c r="BE56" i="1"/>
  <c r="BE57" i="1"/>
  <c r="BE58" i="1"/>
  <c r="BE59" i="1"/>
  <c r="BE60" i="1"/>
  <c r="BE61" i="1"/>
  <c r="BE62" i="1"/>
  <c r="BE63" i="1"/>
  <c r="BE64" i="1"/>
  <c r="BE65" i="1"/>
  <c r="BE66" i="1"/>
  <c r="BE67" i="1"/>
  <c r="BE68" i="1"/>
  <c r="BE69" i="1"/>
  <c r="BF69" i="1" s="1"/>
  <c r="BE70" i="1"/>
  <c r="BE71" i="1"/>
  <c r="BF71" i="1" s="1"/>
  <c r="BE72" i="1"/>
  <c r="BE73" i="1"/>
  <c r="BE74" i="1"/>
  <c r="BE75" i="1"/>
  <c r="BE76" i="1"/>
  <c r="BF76" i="1" s="1"/>
  <c r="BE77" i="1"/>
  <c r="BE78" i="1"/>
  <c r="BE79" i="1"/>
  <c r="BF79" i="1" s="1"/>
  <c r="BE80" i="1"/>
  <c r="BE81" i="1"/>
  <c r="BE82" i="1"/>
  <c r="BE83" i="1"/>
  <c r="BE84" i="1"/>
  <c r="BE85" i="1"/>
  <c r="BE86" i="1"/>
  <c r="BF86" i="1" s="1"/>
  <c r="BE87" i="1"/>
  <c r="BF87" i="1" s="1"/>
  <c r="BE88" i="1"/>
  <c r="BE89" i="1"/>
  <c r="BF89" i="1" s="1"/>
  <c r="BE90" i="1"/>
  <c r="BF90" i="1" s="1"/>
  <c r="BE91" i="1"/>
  <c r="BE92" i="1"/>
  <c r="BF92" i="1" s="1"/>
  <c r="BE93" i="1"/>
  <c r="BE94" i="1"/>
  <c r="BE95" i="1"/>
  <c r="BF95" i="1" s="1"/>
  <c r="BE96" i="1"/>
  <c r="BF96" i="1" s="1"/>
  <c r="BE97" i="1"/>
  <c r="BF97" i="1" s="1"/>
  <c r="BE98" i="1"/>
  <c r="BE99" i="1"/>
  <c r="BE100" i="1"/>
  <c r="BE101" i="1"/>
  <c r="BF101" i="1" s="1"/>
  <c r="BE102" i="1"/>
  <c r="BF102" i="1" s="1"/>
  <c r="BE103" i="1"/>
  <c r="BE104" i="1"/>
  <c r="BE105" i="1"/>
  <c r="BF105" i="1" s="1"/>
  <c r="BE106" i="1"/>
  <c r="BF106" i="1" s="1"/>
  <c r="BE107" i="1"/>
  <c r="BF107" i="1" s="1"/>
  <c r="BE108" i="1"/>
  <c r="BE109" i="1"/>
  <c r="BE110" i="1"/>
  <c r="BF110" i="1" s="1"/>
  <c r="BE111" i="1"/>
  <c r="BF111" i="1" s="1"/>
  <c r="BE112" i="1"/>
  <c r="BF112" i="1" s="1"/>
  <c r="BE113" i="1"/>
  <c r="BF113" i="1" s="1"/>
  <c r="BE114" i="1"/>
  <c r="BE115" i="1"/>
  <c r="BE116" i="1"/>
  <c r="BF116" i="1" s="1"/>
  <c r="BE117" i="1"/>
  <c r="BF117" i="1" s="1"/>
  <c r="BE118" i="1"/>
  <c r="BF118" i="1" s="1"/>
  <c r="BE119" i="1"/>
  <c r="BF119" i="1" s="1"/>
  <c r="BE120" i="1"/>
  <c r="BF120" i="1" s="1"/>
  <c r="BE121" i="1"/>
  <c r="BE122" i="1"/>
  <c r="BF122" i="1" s="1"/>
  <c r="BE123" i="1"/>
  <c r="BF123" i="1" s="1"/>
  <c r="BE124" i="1"/>
  <c r="BF124" i="1" s="1"/>
  <c r="BE125" i="1"/>
  <c r="BF125" i="1" s="1"/>
  <c r="BE126" i="1"/>
  <c r="BF126" i="1" s="1"/>
  <c r="BE127" i="1"/>
  <c r="BF127" i="1" s="1"/>
  <c r="BE128" i="1"/>
  <c r="BF128" i="1" s="1"/>
  <c r="BE129" i="1"/>
  <c r="BF129" i="1" s="1"/>
  <c r="BE130" i="1"/>
  <c r="BF130" i="1" s="1"/>
  <c r="BE131" i="1"/>
  <c r="BF131" i="1" s="1"/>
  <c r="BE132" i="1"/>
  <c r="BF132" i="1" s="1"/>
  <c r="BE133" i="1"/>
  <c r="BF133" i="1" s="1"/>
  <c r="BE134" i="1"/>
  <c r="BF134" i="1" s="1"/>
  <c r="BE135" i="1"/>
  <c r="BE136" i="1"/>
  <c r="BF136" i="1" s="1"/>
  <c r="BE137" i="1"/>
  <c r="BF137" i="1" s="1"/>
  <c r="BE138" i="1"/>
  <c r="BF138" i="1" s="1"/>
  <c r="BE139" i="1"/>
  <c r="BF139" i="1" s="1"/>
  <c r="BE140" i="1"/>
  <c r="BF140" i="1" s="1"/>
  <c r="BE141" i="1"/>
  <c r="BF141" i="1" s="1"/>
  <c r="BE142" i="1"/>
  <c r="BF142" i="1" s="1"/>
  <c r="BE143" i="1"/>
  <c r="BF143" i="1" s="1"/>
  <c r="BE144" i="1"/>
  <c r="BE145" i="1"/>
  <c r="BF145" i="1" s="1"/>
  <c r="BE146" i="1"/>
  <c r="BF146" i="1" s="1"/>
  <c r="BE147" i="1"/>
  <c r="BF147" i="1" s="1"/>
  <c r="AT3" i="1" l="1"/>
  <c r="BA522" i="1"/>
  <c r="CF4" i="1"/>
  <c r="CF5" i="1"/>
  <c r="CF6" i="1"/>
  <c r="CF7" i="1"/>
  <c r="CF8" i="1"/>
  <c r="CF9" i="1"/>
  <c r="CF10" i="1"/>
  <c r="CF11" i="1"/>
  <c r="CF12" i="1"/>
  <c r="CF13" i="1"/>
  <c r="CF14" i="1"/>
  <c r="CF15" i="1"/>
  <c r="CF16" i="1"/>
  <c r="CF17" i="1"/>
  <c r="CF18" i="1"/>
  <c r="CF19" i="1"/>
  <c r="CF20" i="1"/>
  <c r="CF21" i="1"/>
  <c r="CF22" i="1"/>
  <c r="CF23" i="1"/>
  <c r="CF24" i="1"/>
  <c r="CF25" i="1"/>
  <c r="CF26" i="1"/>
  <c r="CF27" i="1"/>
  <c r="CF28" i="1"/>
  <c r="CF29" i="1"/>
  <c r="CF30" i="1"/>
  <c r="CF31" i="1"/>
  <c r="CF32" i="1"/>
  <c r="CF33" i="1"/>
  <c r="CF34" i="1"/>
  <c r="CF35" i="1"/>
  <c r="CF36" i="1"/>
  <c r="CF37" i="1"/>
  <c r="CF38" i="1"/>
  <c r="CF39" i="1"/>
  <c r="CF40" i="1"/>
  <c r="CF41" i="1"/>
  <c r="CF42" i="1"/>
  <c r="CF43" i="1"/>
  <c r="CF44" i="1"/>
  <c r="CF45" i="1"/>
  <c r="CF46" i="1"/>
  <c r="CF47" i="1"/>
  <c r="CF48" i="1"/>
  <c r="CF49" i="1"/>
  <c r="CF50" i="1"/>
  <c r="CF51" i="1"/>
  <c r="CF52" i="1"/>
  <c r="CF53" i="1"/>
  <c r="CF54" i="1"/>
  <c r="CF55" i="1"/>
  <c r="CF56" i="1"/>
  <c r="CF57" i="1"/>
  <c r="CF58" i="1"/>
  <c r="CF59" i="1"/>
  <c r="CF60" i="1"/>
  <c r="CF61" i="1"/>
  <c r="CF62" i="1"/>
  <c r="CF63" i="1"/>
  <c r="CF64" i="1"/>
  <c r="CF65" i="1"/>
  <c r="CF66" i="1"/>
  <c r="CF67" i="1"/>
  <c r="CF68" i="1"/>
  <c r="CF69" i="1"/>
  <c r="CF70" i="1"/>
  <c r="CF71" i="1"/>
  <c r="CF72" i="1"/>
  <c r="CF73" i="1"/>
  <c r="CF74" i="1"/>
  <c r="CF75" i="1"/>
  <c r="CF76" i="1"/>
  <c r="CF77" i="1"/>
  <c r="CF78" i="1"/>
  <c r="CF79" i="1"/>
  <c r="CF80" i="1"/>
  <c r="CF81" i="1"/>
  <c r="CF82" i="1"/>
  <c r="CF83" i="1"/>
  <c r="CF84" i="1"/>
  <c r="CF85" i="1"/>
  <c r="CF86" i="1"/>
  <c r="CF87" i="1"/>
  <c r="CF88" i="1"/>
  <c r="CF89" i="1"/>
  <c r="CF90" i="1"/>
  <c r="CF91" i="1"/>
  <c r="CF92" i="1"/>
  <c r="CF93" i="1"/>
  <c r="CF94" i="1"/>
  <c r="CF95" i="1"/>
  <c r="CF96" i="1"/>
  <c r="CF97" i="1"/>
  <c r="CF98" i="1"/>
  <c r="CF99" i="1"/>
  <c r="CF100" i="1"/>
  <c r="CF101" i="1"/>
  <c r="CF102" i="1"/>
  <c r="CF103" i="1"/>
  <c r="CF104" i="1"/>
  <c r="CF105" i="1"/>
  <c r="CF106" i="1"/>
  <c r="CF107" i="1"/>
  <c r="CF108" i="1"/>
  <c r="CF109" i="1"/>
  <c r="CF110" i="1"/>
  <c r="CF111" i="1"/>
  <c r="CF112" i="1"/>
  <c r="CF113" i="1"/>
  <c r="CF114" i="1"/>
  <c r="CF115" i="1"/>
  <c r="CF116" i="1"/>
  <c r="CF117" i="1"/>
  <c r="CF118" i="1"/>
  <c r="CF119" i="1"/>
  <c r="CF120" i="1"/>
  <c r="CF121" i="1"/>
  <c r="CF122" i="1"/>
  <c r="CF123" i="1"/>
  <c r="CF124" i="1"/>
  <c r="CF125" i="1"/>
  <c r="CF126" i="1"/>
  <c r="CF127" i="1"/>
  <c r="CF128" i="1"/>
  <c r="CF129" i="1"/>
  <c r="CF130" i="1"/>
  <c r="CF131" i="1"/>
  <c r="CF132" i="1"/>
  <c r="CF133" i="1"/>
  <c r="CF134" i="1"/>
  <c r="CF135" i="1"/>
  <c r="CF136" i="1"/>
  <c r="CF137" i="1"/>
  <c r="CF138" i="1"/>
  <c r="CF139" i="1"/>
  <c r="CF140" i="1"/>
  <c r="CF141" i="1"/>
  <c r="CJ141" i="1" s="1"/>
  <c r="CF142" i="1"/>
  <c r="CF143" i="1"/>
  <c r="CF144" i="1"/>
  <c r="CF145" i="1"/>
  <c r="CF146" i="1"/>
  <c r="CF147" i="1"/>
  <c r="CF148" i="1"/>
  <c r="CF149" i="1"/>
  <c r="CF150" i="1"/>
  <c r="CF151" i="1"/>
  <c r="CF152" i="1"/>
  <c r="CF153" i="1"/>
  <c r="CF154" i="1"/>
  <c r="CF155" i="1"/>
  <c r="CF156" i="1"/>
  <c r="CF157" i="1"/>
  <c r="CF158" i="1"/>
  <c r="CF159" i="1"/>
  <c r="CF160" i="1"/>
  <c r="CF161" i="1"/>
  <c r="CF162" i="1"/>
  <c r="CF163" i="1"/>
  <c r="CF164" i="1"/>
  <c r="CF165" i="1"/>
  <c r="CF166" i="1"/>
  <c r="CF167" i="1"/>
  <c r="CF168" i="1"/>
  <c r="CF169" i="1"/>
  <c r="CF170" i="1"/>
  <c r="CF171" i="1"/>
  <c r="CF172" i="1"/>
  <c r="CF173" i="1"/>
  <c r="CF174" i="1"/>
  <c r="CF175" i="1"/>
  <c r="CF176" i="1"/>
  <c r="CF177" i="1"/>
  <c r="CF178" i="1"/>
  <c r="CF179" i="1"/>
  <c r="CF180" i="1"/>
  <c r="CF181" i="1"/>
  <c r="CF182" i="1"/>
  <c r="CF183" i="1"/>
  <c r="CF184" i="1"/>
  <c r="CF185" i="1"/>
  <c r="CF186" i="1"/>
  <c r="CF187" i="1"/>
  <c r="CF188" i="1"/>
  <c r="CF189" i="1"/>
  <c r="CF190" i="1"/>
  <c r="CF191" i="1"/>
  <c r="CF192" i="1"/>
  <c r="CF193" i="1"/>
  <c r="CF194" i="1"/>
  <c r="CF195" i="1"/>
  <c r="CF196" i="1"/>
  <c r="CF197" i="1"/>
  <c r="CF198" i="1"/>
  <c r="CF199" i="1"/>
  <c r="CF200" i="1"/>
  <c r="CF201" i="1"/>
  <c r="CF202" i="1"/>
  <c r="CF203" i="1"/>
  <c r="CF204" i="1"/>
  <c r="CF205" i="1"/>
  <c r="CF206" i="1"/>
  <c r="CF207" i="1"/>
  <c r="CF208" i="1"/>
  <c r="CF209" i="1"/>
  <c r="CF210" i="1"/>
  <c r="CF211" i="1"/>
  <c r="CF213" i="1"/>
  <c r="CF214" i="1"/>
  <c r="CF215" i="1"/>
  <c r="CF216" i="1"/>
  <c r="CF217" i="1"/>
  <c r="CF218" i="1"/>
  <c r="CF219" i="1"/>
  <c r="CF220" i="1"/>
  <c r="CF221" i="1"/>
  <c r="CF222" i="1"/>
  <c r="CF223" i="1"/>
  <c r="CF224" i="1"/>
  <c r="CF225" i="1"/>
  <c r="CF226" i="1"/>
  <c r="CF227" i="1"/>
  <c r="CF228" i="1"/>
  <c r="CF229" i="1"/>
  <c r="CF230" i="1"/>
  <c r="CF231" i="1"/>
  <c r="CF232" i="1"/>
  <c r="CF233" i="1"/>
  <c r="CF234" i="1"/>
  <c r="CF235" i="1"/>
  <c r="CF236" i="1"/>
  <c r="CF237" i="1"/>
  <c r="CF238" i="1"/>
  <c r="CF239" i="1"/>
  <c r="CF240" i="1"/>
  <c r="CF241" i="1"/>
  <c r="CF242" i="1"/>
  <c r="CF243" i="1"/>
  <c r="CF244" i="1"/>
  <c r="CF245" i="1"/>
  <c r="CF246" i="1"/>
  <c r="CF247" i="1"/>
  <c r="CF248" i="1"/>
  <c r="CF249" i="1"/>
  <c r="CF250" i="1"/>
  <c r="CF251" i="1"/>
  <c r="CF252" i="1"/>
  <c r="CF253" i="1"/>
  <c r="CF254" i="1"/>
  <c r="CF255" i="1"/>
  <c r="CF256" i="1"/>
  <c r="CF257" i="1"/>
  <c r="CF258" i="1"/>
  <c r="CF259" i="1"/>
  <c r="CF260" i="1"/>
  <c r="CF261" i="1"/>
  <c r="CF262" i="1"/>
  <c r="CF263" i="1"/>
  <c r="CF264" i="1"/>
  <c r="CF265" i="1"/>
  <c r="CF266" i="1"/>
  <c r="CF267" i="1"/>
  <c r="CF268" i="1"/>
  <c r="CF269" i="1"/>
  <c r="CF270" i="1"/>
  <c r="CF271" i="1"/>
  <c r="CF272" i="1"/>
  <c r="CF273" i="1"/>
  <c r="CF274" i="1"/>
  <c r="CF275" i="1"/>
  <c r="CF276" i="1"/>
  <c r="CF277" i="1"/>
  <c r="CF278" i="1"/>
  <c r="CF279" i="1"/>
  <c r="CF280" i="1"/>
  <c r="CF281" i="1"/>
  <c r="CF282" i="1"/>
  <c r="CF283" i="1"/>
  <c r="CF284" i="1"/>
  <c r="CF285" i="1"/>
  <c r="CF286" i="1"/>
  <c r="CF287" i="1"/>
  <c r="CF288" i="1"/>
  <c r="CF289" i="1"/>
  <c r="CF290" i="1"/>
  <c r="CF291" i="1"/>
  <c r="CF292" i="1"/>
  <c r="CF293" i="1"/>
  <c r="CF294" i="1"/>
  <c r="CF295" i="1"/>
  <c r="CF296" i="1"/>
  <c r="CF297" i="1"/>
  <c r="CF298" i="1"/>
  <c r="CF299" i="1"/>
  <c r="CF300" i="1"/>
  <c r="CF301" i="1"/>
  <c r="CF302" i="1"/>
  <c r="CF303" i="1"/>
  <c r="CF304" i="1"/>
  <c r="CF305" i="1"/>
  <c r="CF306" i="1"/>
  <c r="CF307" i="1"/>
  <c r="CF308" i="1"/>
  <c r="CF309" i="1"/>
  <c r="CF310" i="1"/>
  <c r="CF311" i="1"/>
  <c r="CF312" i="1"/>
  <c r="CF313" i="1"/>
  <c r="CF314" i="1"/>
  <c r="CF315" i="1"/>
  <c r="CF316" i="1"/>
  <c r="CF317" i="1"/>
  <c r="CF318" i="1"/>
  <c r="CF319" i="1"/>
  <c r="CF320" i="1"/>
  <c r="CF321" i="1"/>
  <c r="CF322" i="1"/>
  <c r="CF323" i="1"/>
  <c r="CF324" i="1"/>
  <c r="CF325" i="1"/>
  <c r="CF326" i="1"/>
  <c r="CF327" i="1"/>
  <c r="CF328" i="1"/>
  <c r="CF329" i="1"/>
  <c r="CF330" i="1"/>
  <c r="CF331" i="1"/>
  <c r="CF332" i="1"/>
  <c r="CF333" i="1"/>
  <c r="CF334" i="1"/>
  <c r="CF335" i="1"/>
  <c r="CF336" i="1"/>
  <c r="CF337" i="1"/>
  <c r="CF338" i="1"/>
  <c r="CF339" i="1"/>
  <c r="CF340" i="1"/>
  <c r="CF341" i="1"/>
  <c r="CF342" i="1"/>
  <c r="CF343" i="1"/>
  <c r="CF344" i="1"/>
  <c r="CF345" i="1"/>
  <c r="CF346" i="1"/>
  <c r="CF347" i="1"/>
  <c r="CF348" i="1"/>
  <c r="CF349" i="1"/>
  <c r="CF350" i="1"/>
  <c r="CF351" i="1"/>
  <c r="CF352" i="1"/>
  <c r="CF353" i="1"/>
  <c r="CF354" i="1"/>
  <c r="CF355" i="1"/>
  <c r="CF356" i="1"/>
  <c r="CF357" i="1"/>
  <c r="CF358" i="1"/>
  <c r="CF359" i="1"/>
  <c r="CF360" i="1"/>
  <c r="CF361" i="1"/>
  <c r="CF362" i="1"/>
  <c r="CF363" i="1"/>
  <c r="CF364" i="1"/>
  <c r="CF365" i="1"/>
  <c r="CF366" i="1"/>
  <c r="CF367" i="1"/>
  <c r="CF368" i="1"/>
  <c r="CF369" i="1"/>
  <c r="CF370" i="1"/>
  <c r="CF371" i="1"/>
  <c r="CF372" i="1"/>
  <c r="CF373" i="1"/>
  <c r="CF374" i="1"/>
  <c r="CF375" i="1"/>
  <c r="CF376" i="1"/>
  <c r="CF377" i="1"/>
  <c r="CF378" i="1"/>
  <c r="CF379" i="1"/>
  <c r="CF380" i="1"/>
  <c r="CF381" i="1"/>
  <c r="CF382" i="1"/>
  <c r="CF383" i="1"/>
  <c r="CF384" i="1"/>
  <c r="CF385" i="1"/>
  <c r="CF386" i="1"/>
  <c r="CF387" i="1"/>
  <c r="CF388" i="1"/>
  <c r="CF389" i="1"/>
  <c r="CF390" i="1"/>
  <c r="CF391" i="1"/>
  <c r="CF392" i="1"/>
  <c r="CF393" i="1"/>
  <c r="CF394" i="1"/>
  <c r="CF395" i="1"/>
  <c r="CF396" i="1"/>
  <c r="CF397" i="1"/>
  <c r="CF398" i="1"/>
  <c r="CF399" i="1"/>
  <c r="CF400" i="1"/>
  <c r="CF401" i="1"/>
  <c r="CF402" i="1"/>
  <c r="CF403" i="1"/>
  <c r="CF404" i="1"/>
  <c r="CF405" i="1"/>
  <c r="CF406" i="1"/>
  <c r="CF407" i="1"/>
  <c r="CF408" i="1"/>
  <c r="CF409" i="1"/>
  <c r="CF410" i="1"/>
  <c r="CF411" i="1"/>
  <c r="CF412" i="1"/>
  <c r="CF413" i="1"/>
  <c r="CF414" i="1"/>
  <c r="CF415" i="1"/>
  <c r="CF416" i="1"/>
  <c r="CF417" i="1"/>
  <c r="CF418" i="1"/>
  <c r="CF419" i="1"/>
  <c r="CF420" i="1"/>
  <c r="CF421" i="1"/>
  <c r="CF422" i="1"/>
  <c r="CF423" i="1"/>
  <c r="CF424" i="1"/>
  <c r="CF425" i="1"/>
  <c r="CF426" i="1"/>
  <c r="CF427" i="1"/>
  <c r="CF428" i="1"/>
  <c r="CF429" i="1"/>
  <c r="CF430" i="1"/>
  <c r="CF431" i="1"/>
  <c r="CF432" i="1"/>
  <c r="CF433" i="1"/>
  <c r="CF434" i="1"/>
  <c r="CF435" i="1"/>
  <c r="CF436" i="1"/>
  <c r="CF437" i="1"/>
  <c r="CF438" i="1"/>
  <c r="CF439" i="1"/>
  <c r="CF440" i="1"/>
  <c r="CF441" i="1"/>
  <c r="CF442" i="1"/>
  <c r="CF443" i="1"/>
  <c r="CF444" i="1"/>
  <c r="CF445" i="1"/>
  <c r="CF446" i="1"/>
  <c r="CF447" i="1"/>
  <c r="CF448" i="1"/>
  <c r="CF449" i="1"/>
  <c r="CF450" i="1"/>
  <c r="CF451" i="1"/>
  <c r="CF452" i="1"/>
  <c r="CF453" i="1"/>
  <c r="CF454" i="1"/>
  <c r="CF455" i="1"/>
  <c r="CF456" i="1"/>
  <c r="CF457" i="1"/>
  <c r="CF458" i="1"/>
  <c r="CF459" i="1"/>
  <c r="CF460" i="1"/>
  <c r="CF461" i="1"/>
  <c r="CF462" i="1"/>
  <c r="CF463" i="1"/>
  <c r="CF464" i="1"/>
  <c r="CF465" i="1"/>
  <c r="CF466" i="1"/>
  <c r="CF467" i="1"/>
  <c r="CF468" i="1"/>
  <c r="CF469" i="1"/>
  <c r="CF470" i="1"/>
  <c r="CF471" i="1"/>
  <c r="CF472" i="1"/>
  <c r="CF473" i="1"/>
  <c r="CF474" i="1"/>
  <c r="CF475" i="1"/>
  <c r="CF476" i="1"/>
  <c r="CF477" i="1"/>
  <c r="CF478" i="1"/>
  <c r="CF479" i="1"/>
  <c r="CF480" i="1"/>
  <c r="CF481" i="1"/>
  <c r="CF482" i="1"/>
  <c r="CF483" i="1"/>
  <c r="CF484" i="1"/>
  <c r="CF485" i="1"/>
  <c r="CF486" i="1"/>
  <c r="CF487" i="1"/>
  <c r="CF488" i="1"/>
  <c r="CF489" i="1"/>
  <c r="CF490" i="1"/>
  <c r="CF491" i="1"/>
  <c r="CF492" i="1"/>
  <c r="CF493" i="1"/>
  <c r="CF494" i="1"/>
  <c r="CF495" i="1"/>
  <c r="CF496" i="1"/>
  <c r="CF497" i="1"/>
  <c r="CF498" i="1"/>
  <c r="CF499" i="1"/>
  <c r="CF500" i="1"/>
  <c r="CF501" i="1"/>
  <c r="CF502" i="1"/>
  <c r="CF503" i="1"/>
  <c r="CF504" i="1"/>
  <c r="CF505" i="1"/>
  <c r="CF506" i="1"/>
  <c r="CF507" i="1"/>
  <c r="CF508" i="1"/>
  <c r="CF509" i="1"/>
  <c r="CF510" i="1"/>
  <c r="CF511" i="1"/>
  <c r="CF512" i="1"/>
  <c r="CF513" i="1"/>
  <c r="CF514" i="1"/>
  <c r="CF515" i="1"/>
  <c r="CF516" i="1"/>
  <c r="CF517" i="1"/>
  <c r="CF518" i="1"/>
  <c r="CF519" i="1"/>
  <c r="CF520" i="1"/>
  <c r="CF521" i="1"/>
  <c r="CF522" i="1"/>
  <c r="CF523" i="1"/>
  <c r="CF524" i="1"/>
  <c r="CF525" i="1"/>
  <c r="CF526" i="1"/>
  <c r="CF527" i="1"/>
  <c r="CF528" i="1"/>
  <c r="CF529" i="1"/>
  <c r="CF530" i="1"/>
  <c r="CF531" i="1"/>
  <c r="CF532" i="1"/>
  <c r="CF533" i="1"/>
  <c r="CF534" i="1"/>
  <c r="CF535" i="1"/>
  <c r="CF536" i="1"/>
  <c r="CF537" i="1"/>
  <c r="CF538" i="1"/>
  <c r="CF539" i="1"/>
  <c r="CF540" i="1"/>
  <c r="CF541" i="1"/>
  <c r="CF542" i="1"/>
  <c r="CF543" i="1"/>
  <c r="CF544" i="1"/>
  <c r="CF545" i="1"/>
  <c r="CF546" i="1"/>
  <c r="CF547" i="1"/>
  <c r="CF548" i="1"/>
  <c r="CF549" i="1"/>
  <c r="CF550" i="1"/>
  <c r="CF551" i="1"/>
  <c r="CF552" i="1"/>
  <c r="CF553" i="1"/>
  <c r="CF554" i="1"/>
  <c r="CF555" i="1"/>
  <c r="CF556" i="1"/>
  <c r="CF557" i="1"/>
  <c r="CF558" i="1"/>
  <c r="CF559" i="1"/>
  <c r="CF560" i="1"/>
  <c r="CF561" i="1"/>
  <c r="CF562" i="1"/>
  <c r="CF563" i="1"/>
  <c r="CF564" i="1"/>
  <c r="CF565" i="1"/>
  <c r="CF566" i="1"/>
  <c r="CF567" i="1"/>
  <c r="CF568" i="1"/>
  <c r="CF569" i="1"/>
  <c r="CF570" i="1"/>
  <c r="CF571" i="1"/>
  <c r="CF572" i="1"/>
  <c r="CF573" i="1"/>
  <c r="CF574" i="1"/>
  <c r="CF575" i="1"/>
  <c r="CF576" i="1"/>
  <c r="CF577" i="1"/>
  <c r="CF578" i="1"/>
  <c r="CF579" i="1"/>
  <c r="CF580" i="1"/>
  <c r="CF581" i="1"/>
  <c r="CF582" i="1"/>
  <c r="CF583" i="1"/>
  <c r="CF584" i="1"/>
  <c r="CF585" i="1"/>
  <c r="CF586" i="1"/>
  <c r="CF587" i="1"/>
  <c r="CF588" i="1"/>
  <c r="CF589" i="1"/>
  <c r="CF590" i="1"/>
  <c r="CF591" i="1"/>
  <c r="CF592" i="1"/>
  <c r="CF593" i="1"/>
  <c r="CF594" i="1"/>
  <c r="CF595" i="1"/>
  <c r="CF596" i="1"/>
  <c r="CF597" i="1"/>
  <c r="CF598" i="1"/>
  <c r="CF599" i="1"/>
  <c r="CF600" i="1"/>
  <c r="CF601" i="1"/>
  <c r="CF602" i="1"/>
  <c r="CF603" i="1"/>
  <c r="CF604" i="1"/>
  <c r="CF605" i="1"/>
  <c r="CF606" i="1"/>
  <c r="CF607" i="1"/>
  <c r="CF608" i="1"/>
  <c r="CF609" i="1"/>
  <c r="CF610" i="1"/>
  <c r="CF611" i="1"/>
  <c r="CF612" i="1"/>
  <c r="CF613" i="1"/>
  <c r="CF614" i="1"/>
  <c r="CF615" i="1"/>
  <c r="CF616" i="1"/>
  <c r="CF617" i="1"/>
  <c r="CF618" i="1"/>
  <c r="CF619" i="1"/>
  <c r="CF620" i="1"/>
  <c r="CF621" i="1"/>
  <c r="CF622" i="1"/>
  <c r="CF623" i="1"/>
  <c r="CF624" i="1"/>
  <c r="CF626" i="1"/>
  <c r="CF628" i="1"/>
  <c r="CF629" i="1"/>
  <c r="CF630" i="1"/>
  <c r="CF212" i="1"/>
  <c r="CF631" i="1"/>
  <c r="CF632" i="1"/>
  <c r="CF634" i="1"/>
  <c r="CF635" i="1"/>
  <c r="CF636" i="1"/>
  <c r="CF637" i="1"/>
  <c r="CF638" i="1"/>
  <c r="CF639" i="1"/>
  <c r="CF641" i="1"/>
  <c r="CF645" i="1"/>
  <c r="CF643" i="1"/>
  <c r="CF642" i="1"/>
  <c r="CF644" i="1"/>
  <c r="CF640" i="1"/>
  <c r="CF650" i="1"/>
  <c r="CF649" i="1"/>
  <c r="CF648" i="1"/>
  <c r="CF646" i="1"/>
  <c r="CF647" i="1"/>
  <c r="CF652" i="1"/>
  <c r="CF651" i="1"/>
  <c r="CF657" i="1"/>
  <c r="CF654" i="1"/>
  <c r="CF653" i="1"/>
  <c r="CF655" i="1"/>
  <c r="CF656" i="1"/>
  <c r="CF633" i="1"/>
  <c r="CF625" i="1"/>
  <c r="CF627" i="1"/>
  <c r="CF658" i="1"/>
  <c r="CF660" i="1"/>
  <c r="CF661" i="1"/>
  <c r="CF662" i="1"/>
  <c r="CF663" i="1"/>
  <c r="CF664" i="1"/>
  <c r="CF665" i="1"/>
  <c r="CF666" i="1"/>
  <c r="CF667" i="1"/>
  <c r="CF659" i="1"/>
  <c r="CF673" i="1"/>
  <c r="CF675" i="1"/>
  <c r="CF671" i="1"/>
  <c r="CF672" i="1"/>
  <c r="CF668" i="1"/>
  <c r="CF669" i="1"/>
  <c r="CF670" i="1"/>
  <c r="CF674" i="1"/>
  <c r="CF676" i="1"/>
  <c r="CF682" i="1"/>
  <c r="CF677" i="1"/>
  <c r="CF678" i="1"/>
  <c r="CF679" i="1"/>
  <c r="CF681" i="1"/>
  <c r="CF680" i="1"/>
  <c r="CF683" i="1"/>
  <c r="CF684" i="1"/>
  <c r="CF687" i="1"/>
  <c r="CF686" i="1"/>
  <c r="CF688" i="1"/>
  <c r="CF685" i="1"/>
  <c r="CF689" i="1"/>
  <c r="CF690" i="1"/>
  <c r="CJ690" i="1" s="1"/>
  <c r="CF3" i="1"/>
  <c r="AK4" i="1"/>
  <c r="AL4" i="1"/>
  <c r="AK5" i="1"/>
  <c r="AL5" i="1"/>
  <c r="AK6" i="1"/>
  <c r="AL6" i="1"/>
  <c r="AK7" i="1"/>
  <c r="AL7" i="1"/>
  <c r="AK8" i="1"/>
  <c r="AL8" i="1"/>
  <c r="AK9" i="1"/>
  <c r="AL9" i="1"/>
  <c r="AK10" i="1"/>
  <c r="AL10" i="1"/>
  <c r="AK11" i="1"/>
  <c r="AL11" i="1"/>
  <c r="AK12" i="1"/>
  <c r="AL12" i="1"/>
  <c r="AK13" i="1"/>
  <c r="AL13" i="1"/>
  <c r="AK14" i="1"/>
  <c r="AL14" i="1"/>
  <c r="AK15" i="1"/>
  <c r="AL15" i="1"/>
  <c r="AK16" i="1"/>
  <c r="AL16" i="1"/>
  <c r="AK17" i="1"/>
  <c r="AL17" i="1"/>
  <c r="AK18" i="1"/>
  <c r="AL18" i="1"/>
  <c r="AK19" i="1"/>
  <c r="AL19" i="1"/>
  <c r="AK20" i="1"/>
  <c r="AL20" i="1"/>
  <c r="AK21" i="1"/>
  <c r="AL21" i="1"/>
  <c r="AK22" i="1"/>
  <c r="AL22" i="1"/>
  <c r="AK23" i="1"/>
  <c r="AL23" i="1"/>
  <c r="AK24" i="1"/>
  <c r="AL24" i="1"/>
  <c r="AK25" i="1"/>
  <c r="AL25" i="1"/>
  <c r="AK26" i="1"/>
  <c r="AL26" i="1"/>
  <c r="AK27" i="1"/>
  <c r="AL27" i="1"/>
  <c r="AK28" i="1"/>
  <c r="AL28" i="1"/>
  <c r="AK29" i="1"/>
  <c r="AL29" i="1"/>
  <c r="AK30" i="1"/>
  <c r="AL30" i="1"/>
  <c r="AK31" i="1"/>
  <c r="AL31" i="1"/>
  <c r="AK32" i="1"/>
  <c r="AL32" i="1"/>
  <c r="AK33" i="1"/>
  <c r="AL33" i="1"/>
  <c r="AK34" i="1"/>
  <c r="AL34" i="1"/>
  <c r="AK35" i="1"/>
  <c r="AL35" i="1"/>
  <c r="AK36" i="1"/>
  <c r="AL36" i="1"/>
  <c r="AK37" i="1"/>
  <c r="AL37" i="1"/>
  <c r="AK38" i="1"/>
  <c r="AL38" i="1"/>
  <c r="AK39" i="1"/>
  <c r="AL39" i="1"/>
  <c r="AK40" i="1"/>
  <c r="AL40" i="1"/>
  <c r="AK41" i="1"/>
  <c r="AL41" i="1"/>
  <c r="AK42" i="1"/>
  <c r="AL42" i="1"/>
  <c r="AK43" i="1"/>
  <c r="AL43" i="1"/>
  <c r="AK44" i="1"/>
  <c r="AL44" i="1"/>
  <c r="AK45" i="1"/>
  <c r="AL45" i="1"/>
  <c r="AK46" i="1"/>
  <c r="AL46" i="1"/>
  <c r="AK47" i="1"/>
  <c r="AL47" i="1"/>
  <c r="AK48" i="1"/>
  <c r="AL48" i="1"/>
  <c r="AK49" i="1"/>
  <c r="AL49" i="1"/>
  <c r="AK50" i="1"/>
  <c r="AL50" i="1"/>
  <c r="AK51" i="1"/>
  <c r="AL51" i="1"/>
  <c r="AK52" i="1"/>
  <c r="AL52" i="1"/>
  <c r="AK53" i="1"/>
  <c r="AL53" i="1"/>
  <c r="AK54" i="1"/>
  <c r="AL54" i="1"/>
  <c r="AK55" i="1"/>
  <c r="AL55" i="1"/>
  <c r="AK56" i="1"/>
  <c r="AL56" i="1"/>
  <c r="AK57" i="1"/>
  <c r="AL57" i="1"/>
  <c r="AK58" i="1"/>
  <c r="AL58" i="1"/>
  <c r="AK59" i="1"/>
  <c r="AL59" i="1"/>
  <c r="AK60" i="1"/>
  <c r="AL60" i="1"/>
  <c r="AK61" i="1"/>
  <c r="AL61" i="1"/>
  <c r="AK62" i="1"/>
  <c r="AL62" i="1"/>
  <c r="AK63" i="1"/>
  <c r="AL63" i="1"/>
  <c r="AK64" i="1"/>
  <c r="AL64" i="1"/>
  <c r="AK65" i="1"/>
  <c r="AL65" i="1"/>
  <c r="AK66" i="1"/>
  <c r="AL66" i="1"/>
  <c r="AK67" i="1"/>
  <c r="AL67" i="1"/>
  <c r="AK68" i="1"/>
  <c r="AL68" i="1"/>
  <c r="AK69" i="1"/>
  <c r="AL69" i="1"/>
  <c r="AK70" i="1"/>
  <c r="AL70" i="1"/>
  <c r="AK71" i="1"/>
  <c r="AL71" i="1"/>
  <c r="AK72" i="1"/>
  <c r="AL72" i="1"/>
  <c r="AK73" i="1"/>
  <c r="AL73" i="1"/>
  <c r="AK74" i="1"/>
  <c r="AL74" i="1"/>
  <c r="AK75" i="1"/>
  <c r="AL75" i="1"/>
  <c r="AK76" i="1"/>
  <c r="AL76" i="1"/>
  <c r="AK77" i="1"/>
  <c r="AL77" i="1"/>
  <c r="AK78" i="1"/>
  <c r="AL78" i="1"/>
  <c r="AK79" i="1"/>
  <c r="AL79" i="1"/>
  <c r="AK80" i="1"/>
  <c r="AL80" i="1"/>
  <c r="AK81" i="1"/>
  <c r="AL81" i="1"/>
  <c r="AK82" i="1"/>
  <c r="AL82" i="1"/>
  <c r="AK83" i="1"/>
  <c r="AL83" i="1"/>
  <c r="AK84" i="1"/>
  <c r="AL84" i="1"/>
  <c r="AK85" i="1"/>
  <c r="AL85" i="1"/>
  <c r="AK86" i="1"/>
  <c r="AL86" i="1"/>
  <c r="AK87" i="1"/>
  <c r="AL87" i="1"/>
  <c r="AK88" i="1"/>
  <c r="AL88" i="1"/>
  <c r="AK89" i="1"/>
  <c r="AL89" i="1"/>
  <c r="AK90" i="1"/>
  <c r="AL90" i="1"/>
  <c r="AK91" i="1"/>
  <c r="AL91" i="1"/>
  <c r="AK92" i="1"/>
  <c r="AL92" i="1"/>
  <c r="AK93" i="1"/>
  <c r="AL93" i="1"/>
  <c r="AK94" i="1"/>
  <c r="AL94" i="1"/>
  <c r="AK95" i="1"/>
  <c r="AL95" i="1"/>
  <c r="AK96" i="1"/>
  <c r="AL96" i="1"/>
  <c r="AK97" i="1"/>
  <c r="AL97" i="1"/>
  <c r="AK98" i="1"/>
  <c r="AL98" i="1"/>
  <c r="AK99" i="1"/>
  <c r="AL99" i="1"/>
  <c r="AK100" i="1"/>
  <c r="AL100" i="1"/>
  <c r="AK101" i="1"/>
  <c r="AL101" i="1"/>
  <c r="AK102" i="1"/>
  <c r="AL102" i="1"/>
  <c r="AK103" i="1"/>
  <c r="AL103" i="1"/>
  <c r="AK104" i="1"/>
  <c r="AL104" i="1"/>
  <c r="AK105" i="1"/>
  <c r="AL105" i="1"/>
  <c r="AK106" i="1"/>
  <c r="AL106" i="1"/>
  <c r="AK107" i="1"/>
  <c r="AL107" i="1"/>
  <c r="AK108" i="1"/>
  <c r="AL108" i="1"/>
  <c r="AK109" i="1"/>
  <c r="AL109" i="1"/>
  <c r="AK110" i="1"/>
  <c r="AL110" i="1"/>
  <c r="AK111" i="1"/>
  <c r="AL111" i="1"/>
  <c r="AK112" i="1"/>
  <c r="AL112" i="1"/>
  <c r="AK113" i="1"/>
  <c r="AL113" i="1"/>
  <c r="AK114" i="1"/>
  <c r="AL114" i="1"/>
  <c r="AK115" i="1"/>
  <c r="AL115" i="1"/>
  <c r="AK116" i="1"/>
  <c r="AL116" i="1"/>
  <c r="AK117" i="1"/>
  <c r="AL117" i="1"/>
  <c r="AK118" i="1"/>
  <c r="AL118" i="1"/>
  <c r="AK119" i="1"/>
  <c r="AL119" i="1"/>
  <c r="AK120" i="1"/>
  <c r="AL120" i="1"/>
  <c r="AK121" i="1"/>
  <c r="AL121" i="1"/>
  <c r="AK122" i="1"/>
  <c r="AL122" i="1"/>
  <c r="AK123" i="1"/>
  <c r="AL123" i="1"/>
  <c r="AK124" i="1"/>
  <c r="AL124" i="1"/>
  <c r="AK125" i="1"/>
  <c r="AL125" i="1"/>
  <c r="AK126" i="1"/>
  <c r="AL126" i="1"/>
  <c r="AK127" i="1"/>
  <c r="AL127" i="1"/>
  <c r="AK128" i="1"/>
  <c r="AL128" i="1"/>
  <c r="AK129" i="1"/>
  <c r="AL129" i="1"/>
  <c r="AK130" i="1"/>
  <c r="AL130" i="1"/>
  <c r="AK131" i="1"/>
  <c r="AL131" i="1"/>
  <c r="AK132" i="1"/>
  <c r="AL132" i="1"/>
  <c r="AK133" i="1"/>
  <c r="AL133" i="1"/>
  <c r="AK134" i="1"/>
  <c r="AL134" i="1"/>
  <c r="AK135" i="1"/>
  <c r="AL135" i="1"/>
  <c r="AK136" i="1"/>
  <c r="AL136" i="1"/>
  <c r="AK137" i="1"/>
  <c r="AL137" i="1"/>
  <c r="AK138" i="1"/>
  <c r="AL138" i="1"/>
  <c r="AK139" i="1"/>
  <c r="AL139" i="1"/>
  <c r="AK140" i="1"/>
  <c r="AL140" i="1"/>
  <c r="AK141" i="1"/>
  <c r="AL141" i="1"/>
  <c r="AK142" i="1"/>
  <c r="AL142" i="1"/>
  <c r="AK143" i="1"/>
  <c r="AL143" i="1"/>
  <c r="AK144" i="1"/>
  <c r="AL144" i="1"/>
  <c r="AK145" i="1"/>
  <c r="AL145" i="1"/>
  <c r="AK146" i="1"/>
  <c r="AL146" i="1"/>
  <c r="AK147" i="1"/>
  <c r="AL147" i="1"/>
  <c r="AK148" i="1"/>
  <c r="AL148" i="1"/>
  <c r="AK149" i="1"/>
  <c r="AL149" i="1"/>
  <c r="AK150" i="1"/>
  <c r="AL150" i="1"/>
  <c r="AK151" i="1"/>
  <c r="AL151" i="1"/>
  <c r="AK152" i="1"/>
  <c r="AL152" i="1"/>
  <c r="AK153" i="1"/>
  <c r="AL153" i="1"/>
  <c r="AK154" i="1"/>
  <c r="AL154" i="1"/>
  <c r="AK155" i="1"/>
  <c r="AL155" i="1"/>
  <c r="AK156" i="1"/>
  <c r="AL156" i="1"/>
  <c r="AK157" i="1"/>
  <c r="AL157" i="1"/>
  <c r="AK158" i="1"/>
  <c r="AL158" i="1"/>
  <c r="AK159" i="1"/>
  <c r="AL159" i="1"/>
  <c r="AK160" i="1"/>
  <c r="AL160" i="1"/>
  <c r="AK161" i="1"/>
  <c r="AL161" i="1"/>
  <c r="AK162" i="1"/>
  <c r="AL162" i="1"/>
  <c r="AK163" i="1"/>
  <c r="AL163" i="1"/>
  <c r="AK164" i="1"/>
  <c r="AL164" i="1"/>
  <c r="AK165" i="1"/>
  <c r="AL165" i="1"/>
  <c r="AK166" i="1"/>
  <c r="AL166" i="1"/>
  <c r="AK167" i="1"/>
  <c r="AL167" i="1"/>
  <c r="AK168" i="1"/>
  <c r="AL168" i="1"/>
  <c r="AK169" i="1"/>
  <c r="AL169" i="1"/>
  <c r="AK170" i="1"/>
  <c r="AL170" i="1"/>
  <c r="AK171" i="1"/>
  <c r="AL171" i="1"/>
  <c r="AK172" i="1"/>
  <c r="AL172" i="1"/>
  <c r="AK173" i="1"/>
  <c r="AL173" i="1"/>
  <c r="AK174" i="1"/>
  <c r="AL174" i="1"/>
  <c r="AK175" i="1"/>
  <c r="AL175" i="1"/>
  <c r="AK176" i="1"/>
  <c r="AL176" i="1"/>
  <c r="AK177" i="1"/>
  <c r="AL177" i="1"/>
  <c r="AK178" i="1"/>
  <c r="AL178" i="1"/>
  <c r="AK179" i="1"/>
  <c r="AL179" i="1"/>
  <c r="AK180" i="1"/>
  <c r="AL180" i="1"/>
  <c r="AK181" i="1"/>
  <c r="AL181" i="1"/>
  <c r="AK182" i="1"/>
  <c r="AL182" i="1"/>
  <c r="AK183" i="1"/>
  <c r="AL183" i="1"/>
  <c r="AK184" i="1"/>
  <c r="AL184" i="1"/>
  <c r="AK185" i="1"/>
  <c r="AL185" i="1"/>
  <c r="AK186" i="1"/>
  <c r="AL186" i="1"/>
  <c r="AK187" i="1"/>
  <c r="AL187" i="1"/>
  <c r="AK188" i="1"/>
  <c r="AL188" i="1"/>
  <c r="AK189" i="1"/>
  <c r="AL189" i="1"/>
  <c r="AK190" i="1"/>
  <c r="AL190" i="1"/>
  <c r="AK191" i="1"/>
  <c r="AL191" i="1"/>
  <c r="AK192" i="1"/>
  <c r="AL192" i="1"/>
  <c r="AK193" i="1"/>
  <c r="AL193" i="1"/>
  <c r="AK194" i="1"/>
  <c r="AL194" i="1"/>
  <c r="AK195" i="1"/>
  <c r="AL195" i="1"/>
  <c r="AK196" i="1"/>
  <c r="AL196" i="1"/>
  <c r="AK197" i="1"/>
  <c r="AL197" i="1"/>
  <c r="AK198" i="1"/>
  <c r="AL198" i="1"/>
  <c r="AK199" i="1"/>
  <c r="AL199" i="1"/>
  <c r="AK200" i="1"/>
  <c r="AL200" i="1"/>
  <c r="AK201" i="1"/>
  <c r="AL201" i="1"/>
  <c r="AK202" i="1"/>
  <c r="AL202" i="1"/>
  <c r="AK203" i="1"/>
  <c r="AL203" i="1"/>
  <c r="AK204" i="1"/>
  <c r="AL204" i="1"/>
  <c r="AK205" i="1"/>
  <c r="AL205" i="1"/>
  <c r="AK206" i="1"/>
  <c r="AL206" i="1"/>
  <c r="AK207" i="1"/>
  <c r="AL207" i="1"/>
  <c r="AK208" i="1"/>
  <c r="AL208" i="1"/>
  <c r="AK209" i="1"/>
  <c r="AL209" i="1"/>
  <c r="AK210" i="1"/>
  <c r="AL210" i="1"/>
  <c r="AK211" i="1"/>
  <c r="AL211" i="1"/>
  <c r="AK213" i="1"/>
  <c r="AL213" i="1"/>
  <c r="AK214" i="1"/>
  <c r="AL214" i="1"/>
  <c r="AK215" i="1"/>
  <c r="AL215" i="1"/>
  <c r="AK216" i="1"/>
  <c r="AL216" i="1"/>
  <c r="AK217" i="1"/>
  <c r="AL217" i="1"/>
  <c r="AK218" i="1"/>
  <c r="AL218" i="1"/>
  <c r="AK219" i="1"/>
  <c r="AL219" i="1"/>
  <c r="AK220" i="1"/>
  <c r="AL220" i="1"/>
  <c r="AK221" i="1"/>
  <c r="AL221" i="1"/>
  <c r="AK222" i="1"/>
  <c r="AL222" i="1"/>
  <c r="AK223" i="1"/>
  <c r="AL223" i="1"/>
  <c r="AK224" i="1"/>
  <c r="AL224" i="1"/>
  <c r="AK225" i="1"/>
  <c r="AL225" i="1"/>
  <c r="AK226" i="1"/>
  <c r="AL226" i="1"/>
  <c r="AK227" i="1"/>
  <c r="AL227" i="1"/>
  <c r="AK228" i="1"/>
  <c r="AL228" i="1"/>
  <c r="AK229" i="1"/>
  <c r="AL229" i="1"/>
  <c r="AK230" i="1"/>
  <c r="AL230" i="1"/>
  <c r="AK231" i="1"/>
  <c r="AL231" i="1"/>
  <c r="AK232" i="1"/>
  <c r="AL232" i="1"/>
  <c r="AK233" i="1"/>
  <c r="AL233" i="1"/>
  <c r="AK234" i="1"/>
  <c r="AL234" i="1"/>
  <c r="AK235" i="1"/>
  <c r="AL235" i="1"/>
  <c r="AK236" i="1"/>
  <c r="AL236" i="1"/>
  <c r="AK237" i="1"/>
  <c r="AL237" i="1"/>
  <c r="AK238" i="1"/>
  <c r="AL238" i="1"/>
  <c r="AK239" i="1"/>
  <c r="AL239" i="1"/>
  <c r="AK240" i="1"/>
  <c r="AL240" i="1"/>
  <c r="AK241" i="1"/>
  <c r="AL241" i="1"/>
  <c r="AK242" i="1"/>
  <c r="AL242" i="1"/>
  <c r="AK243" i="1"/>
  <c r="AL243" i="1"/>
  <c r="AK244" i="1"/>
  <c r="AL244" i="1"/>
  <c r="AK245" i="1"/>
  <c r="AL245" i="1"/>
  <c r="AK246" i="1"/>
  <c r="AL246" i="1"/>
  <c r="AK247" i="1"/>
  <c r="AL247" i="1"/>
  <c r="AK248" i="1"/>
  <c r="AL248" i="1"/>
  <c r="AK249" i="1"/>
  <c r="AL249" i="1"/>
  <c r="AK250" i="1"/>
  <c r="AL250" i="1"/>
  <c r="AK251" i="1"/>
  <c r="AL251" i="1"/>
  <c r="AK252" i="1"/>
  <c r="AL252" i="1"/>
  <c r="AK253" i="1"/>
  <c r="AL253" i="1"/>
  <c r="AK254" i="1"/>
  <c r="AL254" i="1"/>
  <c r="AK255" i="1"/>
  <c r="AL255" i="1"/>
  <c r="AK256" i="1"/>
  <c r="AL256" i="1"/>
  <c r="AK257" i="1"/>
  <c r="AL257" i="1"/>
  <c r="AK258" i="1"/>
  <c r="AL258" i="1"/>
  <c r="AK259" i="1"/>
  <c r="AL259" i="1"/>
  <c r="AK260" i="1"/>
  <c r="AL260" i="1"/>
  <c r="AK261" i="1"/>
  <c r="AL261" i="1"/>
  <c r="AK262" i="1"/>
  <c r="AL262" i="1"/>
  <c r="AK263" i="1"/>
  <c r="AL263" i="1"/>
  <c r="AK264" i="1"/>
  <c r="AL264" i="1"/>
  <c r="AK265" i="1"/>
  <c r="AL265" i="1"/>
  <c r="AK266" i="1"/>
  <c r="AL266" i="1"/>
  <c r="AK267" i="1"/>
  <c r="AL267" i="1"/>
  <c r="AK268" i="1"/>
  <c r="AL268" i="1"/>
  <c r="AK269" i="1"/>
  <c r="AL269" i="1"/>
  <c r="AK270" i="1"/>
  <c r="AL270" i="1"/>
  <c r="AK271" i="1"/>
  <c r="AL271" i="1"/>
  <c r="AK272" i="1"/>
  <c r="AL272" i="1"/>
  <c r="AK273" i="1"/>
  <c r="AL273" i="1"/>
  <c r="AK274" i="1"/>
  <c r="AL274" i="1"/>
  <c r="AK275" i="1"/>
  <c r="AL275" i="1"/>
  <c r="AK276" i="1"/>
  <c r="AL276" i="1"/>
  <c r="AK277" i="1"/>
  <c r="AL277" i="1"/>
  <c r="AK278" i="1"/>
  <c r="AL278" i="1"/>
  <c r="AK279" i="1"/>
  <c r="AL279" i="1"/>
  <c r="AK280" i="1"/>
  <c r="AL280" i="1"/>
  <c r="AK281" i="1"/>
  <c r="AL281" i="1"/>
  <c r="AK282" i="1"/>
  <c r="AL282" i="1"/>
  <c r="AK283" i="1"/>
  <c r="AL283" i="1"/>
  <c r="AK284" i="1"/>
  <c r="AL284" i="1"/>
  <c r="AK285" i="1"/>
  <c r="AL285" i="1"/>
  <c r="AK286" i="1"/>
  <c r="AL286" i="1"/>
  <c r="AK287" i="1"/>
  <c r="AL287" i="1"/>
  <c r="AK288" i="1"/>
  <c r="AL288" i="1"/>
  <c r="AK289" i="1"/>
  <c r="AL289" i="1"/>
  <c r="AK290" i="1"/>
  <c r="AL290" i="1"/>
  <c r="AK291" i="1"/>
  <c r="AL291" i="1"/>
  <c r="AK292" i="1"/>
  <c r="AL292" i="1"/>
  <c r="AK293" i="1"/>
  <c r="AL293" i="1"/>
  <c r="AK294" i="1"/>
  <c r="AL294" i="1"/>
  <c r="AK295" i="1"/>
  <c r="AL295" i="1"/>
  <c r="AK296" i="1"/>
  <c r="AL296" i="1"/>
  <c r="AK297" i="1"/>
  <c r="AL297" i="1"/>
  <c r="AK298" i="1"/>
  <c r="AL298" i="1"/>
  <c r="AK299" i="1"/>
  <c r="AL299" i="1"/>
  <c r="AK300" i="1"/>
  <c r="AL300" i="1"/>
  <c r="AK301" i="1"/>
  <c r="AL301" i="1"/>
  <c r="AK302" i="1"/>
  <c r="AL302" i="1"/>
  <c r="AK303" i="1"/>
  <c r="AL303" i="1"/>
  <c r="AK304" i="1"/>
  <c r="AL304" i="1"/>
  <c r="AK305" i="1"/>
  <c r="AL305" i="1"/>
  <c r="AK306" i="1"/>
  <c r="AL306" i="1"/>
  <c r="AK307" i="1"/>
  <c r="AL307" i="1"/>
  <c r="AK308" i="1"/>
  <c r="AL308" i="1"/>
  <c r="AK309" i="1"/>
  <c r="AL309" i="1"/>
  <c r="AK310" i="1"/>
  <c r="AL310" i="1"/>
  <c r="AK311" i="1"/>
  <c r="AL311" i="1"/>
  <c r="AK312" i="1"/>
  <c r="AL312" i="1"/>
  <c r="AK313" i="1"/>
  <c r="AL313" i="1"/>
  <c r="AK314" i="1"/>
  <c r="AL314" i="1"/>
  <c r="AK315" i="1"/>
  <c r="AL315" i="1"/>
  <c r="AK316" i="1"/>
  <c r="AL316" i="1"/>
  <c r="AK317" i="1"/>
  <c r="AL317" i="1"/>
  <c r="AK318" i="1"/>
  <c r="AL318" i="1"/>
  <c r="AK319" i="1"/>
  <c r="AL319" i="1"/>
  <c r="AK320" i="1"/>
  <c r="AL320" i="1"/>
  <c r="AK321" i="1"/>
  <c r="AL321" i="1"/>
  <c r="AK322" i="1"/>
  <c r="AL322" i="1"/>
  <c r="AK323" i="1"/>
  <c r="AL323" i="1"/>
  <c r="AK324" i="1"/>
  <c r="AL324" i="1"/>
  <c r="AK325" i="1"/>
  <c r="AL325" i="1"/>
  <c r="AK326" i="1"/>
  <c r="AL326" i="1"/>
  <c r="AK327" i="1"/>
  <c r="AL327" i="1"/>
  <c r="AK328" i="1"/>
  <c r="AL328" i="1"/>
  <c r="AK329" i="1"/>
  <c r="AL329" i="1"/>
  <c r="AK330" i="1"/>
  <c r="AL330" i="1"/>
  <c r="AK331" i="1"/>
  <c r="AL331" i="1"/>
  <c r="AK332" i="1"/>
  <c r="AL332" i="1"/>
  <c r="AK333" i="1"/>
  <c r="AL333" i="1"/>
  <c r="AK334" i="1"/>
  <c r="AL334" i="1"/>
  <c r="AK335" i="1"/>
  <c r="AL335" i="1"/>
  <c r="AK336" i="1"/>
  <c r="AL336" i="1"/>
  <c r="AK337" i="1"/>
  <c r="AL337" i="1"/>
  <c r="AK338" i="1"/>
  <c r="AL338" i="1"/>
  <c r="AK339" i="1"/>
  <c r="AL339" i="1"/>
  <c r="AK340" i="1"/>
  <c r="AL340" i="1"/>
  <c r="AK341" i="1"/>
  <c r="AL341" i="1"/>
  <c r="AK342" i="1"/>
  <c r="AL342" i="1"/>
  <c r="AK343" i="1"/>
  <c r="AL343" i="1"/>
  <c r="AK344" i="1"/>
  <c r="AL344" i="1"/>
  <c r="AK345" i="1"/>
  <c r="AL345" i="1"/>
  <c r="AK346" i="1"/>
  <c r="AL346" i="1"/>
  <c r="AK347" i="1"/>
  <c r="AL347" i="1"/>
  <c r="AK348" i="1"/>
  <c r="AL348" i="1"/>
  <c r="AK349" i="1"/>
  <c r="AL349" i="1"/>
  <c r="AK350" i="1"/>
  <c r="AL350" i="1"/>
  <c r="AK351" i="1"/>
  <c r="AL351" i="1"/>
  <c r="AK352" i="1"/>
  <c r="AL352" i="1"/>
  <c r="AK353" i="1"/>
  <c r="AL353" i="1"/>
  <c r="AK354" i="1"/>
  <c r="AL354" i="1"/>
  <c r="AK355" i="1"/>
  <c r="AL355" i="1"/>
  <c r="AK356" i="1"/>
  <c r="AL356" i="1"/>
  <c r="AK357" i="1"/>
  <c r="AL357" i="1"/>
  <c r="AK358" i="1"/>
  <c r="AL358" i="1"/>
  <c r="AK359" i="1"/>
  <c r="AL359" i="1"/>
  <c r="AK360" i="1"/>
  <c r="AL360" i="1"/>
  <c r="AK361" i="1"/>
  <c r="AL361" i="1"/>
  <c r="AK362" i="1"/>
  <c r="AL362" i="1"/>
  <c r="AK363" i="1"/>
  <c r="AL363" i="1"/>
  <c r="AK364" i="1"/>
  <c r="AL364" i="1"/>
  <c r="AK365" i="1"/>
  <c r="AL365" i="1"/>
  <c r="AK366" i="1"/>
  <c r="AL366" i="1"/>
  <c r="AK367" i="1"/>
  <c r="AL367" i="1"/>
  <c r="AK368" i="1"/>
  <c r="AL368" i="1"/>
  <c r="AK369" i="1"/>
  <c r="AL369" i="1"/>
  <c r="AK370" i="1"/>
  <c r="AL370" i="1"/>
  <c r="AK371" i="1"/>
  <c r="AL371" i="1"/>
  <c r="AK372" i="1"/>
  <c r="AL372" i="1"/>
  <c r="AK373" i="1"/>
  <c r="AL373" i="1"/>
  <c r="AK374" i="1"/>
  <c r="AL374" i="1"/>
  <c r="AK375" i="1"/>
  <c r="AL375" i="1"/>
  <c r="AK376" i="1"/>
  <c r="AL376" i="1"/>
  <c r="AK377" i="1"/>
  <c r="AL377" i="1"/>
  <c r="AK378" i="1"/>
  <c r="AL378" i="1"/>
  <c r="AK379" i="1"/>
  <c r="AL379" i="1"/>
  <c r="AK380" i="1"/>
  <c r="AL380" i="1"/>
  <c r="AK381" i="1"/>
  <c r="AL381" i="1"/>
  <c r="AK382" i="1"/>
  <c r="AL382" i="1"/>
  <c r="AK383" i="1"/>
  <c r="AL383" i="1"/>
  <c r="AK384" i="1"/>
  <c r="AL384" i="1"/>
  <c r="AK385" i="1"/>
  <c r="AL385" i="1"/>
  <c r="AK386" i="1"/>
  <c r="AL386" i="1"/>
  <c r="AK387" i="1"/>
  <c r="AL387" i="1"/>
  <c r="AK388" i="1"/>
  <c r="AL388" i="1"/>
  <c r="AK389" i="1"/>
  <c r="AL389" i="1"/>
  <c r="AK390" i="1"/>
  <c r="AL390" i="1"/>
  <c r="AK391" i="1"/>
  <c r="AL391" i="1"/>
  <c r="AK392" i="1"/>
  <c r="AL392" i="1"/>
  <c r="AK393" i="1"/>
  <c r="AL393" i="1"/>
  <c r="AK394" i="1"/>
  <c r="AL394" i="1"/>
  <c r="AK395" i="1"/>
  <c r="AL395" i="1"/>
  <c r="AK396" i="1"/>
  <c r="AL396" i="1"/>
  <c r="AK397" i="1"/>
  <c r="AL397" i="1"/>
  <c r="AK398" i="1"/>
  <c r="AL398" i="1"/>
  <c r="AK399" i="1"/>
  <c r="AL399" i="1"/>
  <c r="AK400" i="1"/>
  <c r="AL400" i="1"/>
  <c r="AK401" i="1"/>
  <c r="AL401" i="1"/>
  <c r="AK402" i="1"/>
  <c r="AL402" i="1"/>
  <c r="AK403" i="1"/>
  <c r="AL403" i="1"/>
  <c r="AK404" i="1"/>
  <c r="AL404" i="1"/>
  <c r="AK405" i="1"/>
  <c r="AL405" i="1"/>
  <c r="AK406" i="1"/>
  <c r="AL406" i="1"/>
  <c r="AK407" i="1"/>
  <c r="AL407" i="1"/>
  <c r="AK408" i="1"/>
  <c r="AL408" i="1"/>
  <c r="AK409" i="1"/>
  <c r="AL409" i="1"/>
  <c r="AK410" i="1"/>
  <c r="AL410" i="1"/>
  <c r="AK411" i="1"/>
  <c r="AL411" i="1"/>
  <c r="AK412" i="1"/>
  <c r="AL412" i="1"/>
  <c r="AK413" i="1"/>
  <c r="AL413" i="1"/>
  <c r="AK414" i="1"/>
  <c r="AL414" i="1"/>
  <c r="AK415" i="1"/>
  <c r="AL415" i="1"/>
  <c r="AK416" i="1"/>
  <c r="AL416" i="1"/>
  <c r="AK417" i="1"/>
  <c r="AL417" i="1"/>
  <c r="AK418" i="1"/>
  <c r="AL418" i="1"/>
  <c r="AK419" i="1"/>
  <c r="AL419" i="1"/>
  <c r="AK420" i="1"/>
  <c r="AL420" i="1"/>
  <c r="AK421" i="1"/>
  <c r="AL421" i="1"/>
  <c r="AK422" i="1"/>
  <c r="AL422" i="1"/>
  <c r="AK423" i="1"/>
  <c r="AL423" i="1"/>
  <c r="AK424" i="1"/>
  <c r="AL424" i="1"/>
  <c r="AK425" i="1"/>
  <c r="AL425" i="1"/>
  <c r="AK426" i="1"/>
  <c r="AL426" i="1"/>
  <c r="AK427" i="1"/>
  <c r="AL427" i="1"/>
  <c r="AK428" i="1"/>
  <c r="AL428" i="1"/>
  <c r="AK429" i="1"/>
  <c r="AL429" i="1"/>
  <c r="AK430" i="1"/>
  <c r="AL430" i="1"/>
  <c r="AK431" i="1"/>
  <c r="AL431" i="1"/>
  <c r="AK432" i="1"/>
  <c r="AL432" i="1"/>
  <c r="AK433" i="1"/>
  <c r="AL433" i="1"/>
  <c r="AK434" i="1"/>
  <c r="AL434" i="1"/>
  <c r="AK435" i="1"/>
  <c r="AL435" i="1"/>
  <c r="AK436" i="1"/>
  <c r="AL436" i="1"/>
  <c r="AK437" i="1"/>
  <c r="AL437" i="1"/>
  <c r="AK438" i="1"/>
  <c r="AL438" i="1"/>
  <c r="AK439" i="1"/>
  <c r="AL439" i="1"/>
  <c r="AK440" i="1"/>
  <c r="AL440" i="1"/>
  <c r="AK441" i="1"/>
  <c r="AL441" i="1"/>
  <c r="AK442" i="1"/>
  <c r="AL442" i="1"/>
  <c r="AK443" i="1"/>
  <c r="AL443" i="1"/>
  <c r="AK444" i="1"/>
  <c r="AL444" i="1"/>
  <c r="AK445" i="1"/>
  <c r="AL445" i="1"/>
  <c r="AK446" i="1"/>
  <c r="AL446" i="1"/>
  <c r="AK447" i="1"/>
  <c r="AL447" i="1"/>
  <c r="AK448" i="1"/>
  <c r="AL448" i="1"/>
  <c r="AK449" i="1"/>
  <c r="AL449" i="1"/>
  <c r="AK450" i="1"/>
  <c r="AL450" i="1"/>
  <c r="AK451" i="1"/>
  <c r="AL451" i="1"/>
  <c r="AK452" i="1"/>
  <c r="AL452" i="1"/>
  <c r="AK453" i="1"/>
  <c r="AL453" i="1"/>
  <c r="AK454" i="1"/>
  <c r="AL454" i="1"/>
  <c r="AK455" i="1"/>
  <c r="AL455" i="1"/>
  <c r="AK456" i="1"/>
  <c r="AL456" i="1"/>
  <c r="AK457" i="1"/>
  <c r="AL457" i="1"/>
  <c r="AK458" i="1"/>
  <c r="AL458" i="1"/>
  <c r="AK459" i="1"/>
  <c r="AL459" i="1"/>
  <c r="AK460" i="1"/>
  <c r="AL460" i="1"/>
  <c r="AK461" i="1"/>
  <c r="AL461" i="1"/>
  <c r="AK462" i="1"/>
  <c r="AL462" i="1"/>
  <c r="AK463" i="1"/>
  <c r="AL463" i="1"/>
  <c r="AK464" i="1"/>
  <c r="AL464" i="1"/>
  <c r="AK465" i="1"/>
  <c r="AL465" i="1"/>
  <c r="AK466" i="1"/>
  <c r="AL466" i="1"/>
  <c r="AK467" i="1"/>
  <c r="AL467" i="1"/>
  <c r="AK468" i="1"/>
  <c r="AL468" i="1"/>
  <c r="AK469" i="1"/>
  <c r="AL469" i="1"/>
  <c r="AK470" i="1"/>
  <c r="AL470" i="1"/>
  <c r="AK471" i="1"/>
  <c r="AL471" i="1"/>
  <c r="AK472" i="1"/>
  <c r="AL472" i="1"/>
  <c r="AK473" i="1"/>
  <c r="AL473" i="1"/>
  <c r="AK474" i="1"/>
  <c r="AL474" i="1"/>
  <c r="AK475" i="1"/>
  <c r="AL475" i="1"/>
  <c r="AK476" i="1"/>
  <c r="AL476" i="1"/>
  <c r="AK477" i="1"/>
  <c r="AL477" i="1"/>
  <c r="AK478" i="1"/>
  <c r="AL478" i="1"/>
  <c r="AK479" i="1"/>
  <c r="AL479" i="1"/>
  <c r="AK480" i="1"/>
  <c r="AL480" i="1"/>
  <c r="AK481" i="1"/>
  <c r="AL481" i="1"/>
  <c r="AK482" i="1"/>
  <c r="AL482" i="1"/>
  <c r="AK483" i="1"/>
  <c r="AL483" i="1"/>
  <c r="AK484" i="1"/>
  <c r="AL484" i="1"/>
  <c r="AK485" i="1"/>
  <c r="AL485" i="1"/>
  <c r="AK486" i="1"/>
  <c r="AL486" i="1"/>
  <c r="AK487" i="1"/>
  <c r="AL487" i="1"/>
  <c r="AK488" i="1"/>
  <c r="AL488" i="1"/>
  <c r="AK489" i="1"/>
  <c r="AL489" i="1"/>
  <c r="AK490" i="1"/>
  <c r="AL490" i="1"/>
  <c r="AK491" i="1"/>
  <c r="AL491" i="1"/>
  <c r="AK492" i="1"/>
  <c r="AL492" i="1"/>
  <c r="AK493" i="1"/>
  <c r="AL493" i="1"/>
  <c r="AK494" i="1"/>
  <c r="AL494" i="1"/>
  <c r="AK495" i="1"/>
  <c r="AL495" i="1"/>
  <c r="AK496" i="1"/>
  <c r="AL496" i="1"/>
  <c r="AK497" i="1"/>
  <c r="AL497" i="1"/>
  <c r="AK498" i="1"/>
  <c r="AL498" i="1"/>
  <c r="AK499" i="1"/>
  <c r="AL499" i="1"/>
  <c r="AK500" i="1"/>
  <c r="AL500" i="1"/>
  <c r="AK501" i="1"/>
  <c r="AL501" i="1"/>
  <c r="AK502" i="1"/>
  <c r="AL502" i="1"/>
  <c r="AK503" i="1"/>
  <c r="AL503" i="1"/>
  <c r="AK504" i="1"/>
  <c r="AL504" i="1"/>
  <c r="AK505" i="1"/>
  <c r="AL505" i="1"/>
  <c r="AK506" i="1"/>
  <c r="AL506" i="1"/>
  <c r="AK507" i="1"/>
  <c r="AL507" i="1"/>
  <c r="AK508" i="1"/>
  <c r="AL508" i="1"/>
  <c r="AK509" i="1"/>
  <c r="AL509" i="1"/>
  <c r="AK510" i="1"/>
  <c r="AL510" i="1"/>
  <c r="AK511" i="1"/>
  <c r="AL511" i="1"/>
  <c r="AK512" i="1"/>
  <c r="AL512" i="1"/>
  <c r="AK513" i="1"/>
  <c r="AL513" i="1"/>
  <c r="AK514" i="1"/>
  <c r="AL514" i="1"/>
  <c r="AK515" i="1"/>
  <c r="AL515" i="1"/>
  <c r="AK516" i="1"/>
  <c r="AL516" i="1"/>
  <c r="AK517" i="1"/>
  <c r="AL517" i="1"/>
  <c r="AK518" i="1"/>
  <c r="AL518" i="1"/>
  <c r="AK519" i="1"/>
  <c r="AL519" i="1"/>
  <c r="AK520" i="1"/>
  <c r="AL520" i="1"/>
  <c r="AK521" i="1"/>
  <c r="AL521" i="1"/>
  <c r="AK522" i="1"/>
  <c r="AL522" i="1"/>
  <c r="AK523" i="1"/>
  <c r="AL523" i="1"/>
  <c r="AK524" i="1"/>
  <c r="AL524" i="1"/>
  <c r="AK525" i="1"/>
  <c r="AL525" i="1"/>
  <c r="AK526" i="1"/>
  <c r="AL526" i="1"/>
  <c r="AK527" i="1"/>
  <c r="AL527" i="1"/>
  <c r="AK528" i="1"/>
  <c r="AL528" i="1"/>
  <c r="AK529" i="1"/>
  <c r="AL529" i="1"/>
  <c r="AK530" i="1"/>
  <c r="AL530" i="1"/>
  <c r="AK531" i="1"/>
  <c r="AL531" i="1"/>
  <c r="AK532" i="1"/>
  <c r="AL532" i="1"/>
  <c r="AK533" i="1"/>
  <c r="AL533" i="1"/>
  <c r="AK534" i="1"/>
  <c r="AL534" i="1"/>
  <c r="AK535" i="1"/>
  <c r="AL535" i="1"/>
  <c r="AK536" i="1"/>
  <c r="AL536" i="1"/>
  <c r="AK537" i="1"/>
  <c r="AL537" i="1"/>
  <c r="AK538" i="1"/>
  <c r="AL538" i="1"/>
  <c r="AK539" i="1"/>
  <c r="AL539" i="1"/>
  <c r="AK540" i="1"/>
  <c r="AL540" i="1"/>
  <c r="AK541" i="1"/>
  <c r="AL541" i="1"/>
  <c r="AK542" i="1"/>
  <c r="AL542" i="1"/>
  <c r="AK543" i="1"/>
  <c r="AL543" i="1"/>
  <c r="AK544" i="1"/>
  <c r="AL544" i="1"/>
  <c r="AK545" i="1"/>
  <c r="AL545" i="1"/>
  <c r="AK546" i="1"/>
  <c r="AL546" i="1"/>
  <c r="AK547" i="1"/>
  <c r="AL547" i="1"/>
  <c r="AK548" i="1"/>
  <c r="AL548" i="1"/>
  <c r="AK549" i="1"/>
  <c r="AL549" i="1"/>
  <c r="AK550" i="1"/>
  <c r="AL550" i="1"/>
  <c r="AK551" i="1"/>
  <c r="AL551" i="1"/>
  <c r="AK552" i="1"/>
  <c r="AL552" i="1"/>
  <c r="AK553" i="1"/>
  <c r="AL553" i="1"/>
  <c r="AK554" i="1"/>
  <c r="AL554" i="1"/>
  <c r="AK555" i="1"/>
  <c r="AL555" i="1"/>
  <c r="AK556" i="1"/>
  <c r="AL556" i="1"/>
  <c r="AK557" i="1"/>
  <c r="AL557" i="1"/>
  <c r="AK558" i="1"/>
  <c r="AL558" i="1"/>
  <c r="AK559" i="1"/>
  <c r="AL559" i="1"/>
  <c r="AK560" i="1"/>
  <c r="AL560" i="1"/>
  <c r="AK561" i="1"/>
  <c r="AL561" i="1"/>
  <c r="AK562" i="1"/>
  <c r="AL562" i="1"/>
  <c r="AK563" i="1"/>
  <c r="AL563" i="1"/>
  <c r="AK564" i="1"/>
  <c r="AL564" i="1"/>
  <c r="AK565" i="1"/>
  <c r="AL565" i="1"/>
  <c r="AK566" i="1"/>
  <c r="AL566" i="1"/>
  <c r="AK567" i="1"/>
  <c r="AL567" i="1"/>
  <c r="AK568" i="1"/>
  <c r="AL568" i="1"/>
  <c r="AK569" i="1"/>
  <c r="AL569" i="1"/>
  <c r="AK570" i="1"/>
  <c r="AL570" i="1"/>
  <c r="AK571" i="1"/>
  <c r="AL571" i="1"/>
  <c r="AK572" i="1"/>
  <c r="AL572" i="1"/>
  <c r="AK573" i="1"/>
  <c r="AL573" i="1"/>
  <c r="AK574" i="1"/>
  <c r="AL574" i="1"/>
  <c r="AK575" i="1"/>
  <c r="AL575" i="1"/>
  <c r="AK576" i="1"/>
  <c r="AL576" i="1"/>
  <c r="AK577" i="1"/>
  <c r="AL577" i="1"/>
  <c r="AK578" i="1"/>
  <c r="AL578" i="1"/>
  <c r="AK579" i="1"/>
  <c r="AL579" i="1"/>
  <c r="AK580" i="1"/>
  <c r="AL580" i="1"/>
  <c r="AK581" i="1"/>
  <c r="AL581" i="1"/>
  <c r="AK582" i="1"/>
  <c r="AL582" i="1"/>
  <c r="AK583" i="1"/>
  <c r="AL583" i="1"/>
  <c r="AK584" i="1"/>
  <c r="AL584" i="1"/>
  <c r="AK585" i="1"/>
  <c r="AL585" i="1"/>
  <c r="AK586" i="1"/>
  <c r="AL586" i="1"/>
  <c r="AK587" i="1"/>
  <c r="AL587" i="1"/>
  <c r="AK588" i="1"/>
  <c r="AL588" i="1"/>
  <c r="AK589" i="1"/>
  <c r="AL589" i="1"/>
  <c r="AK590" i="1"/>
  <c r="AL590" i="1"/>
  <c r="AK591" i="1"/>
  <c r="AL591" i="1"/>
  <c r="AK592" i="1"/>
  <c r="AL592" i="1"/>
  <c r="AK593" i="1"/>
  <c r="AL593" i="1"/>
  <c r="AK594" i="1"/>
  <c r="AL594" i="1"/>
  <c r="AK595" i="1"/>
  <c r="AL595" i="1"/>
  <c r="AK596" i="1"/>
  <c r="AL596" i="1"/>
  <c r="AK597" i="1"/>
  <c r="AL597" i="1"/>
  <c r="AK598" i="1"/>
  <c r="AL598" i="1"/>
  <c r="AK599" i="1"/>
  <c r="AL599" i="1"/>
  <c r="AK600" i="1"/>
  <c r="AL600" i="1"/>
  <c r="AK601" i="1"/>
  <c r="AL601" i="1"/>
  <c r="AK602" i="1"/>
  <c r="AL602" i="1"/>
  <c r="AK603" i="1"/>
  <c r="AL603" i="1"/>
  <c r="AK604" i="1"/>
  <c r="AL604" i="1"/>
  <c r="AK605" i="1"/>
  <c r="AL605" i="1"/>
  <c r="AK606" i="1"/>
  <c r="AL606" i="1"/>
  <c r="AK607" i="1"/>
  <c r="AL607" i="1"/>
  <c r="AK608" i="1"/>
  <c r="AL608" i="1"/>
  <c r="AK609" i="1"/>
  <c r="AL609" i="1"/>
  <c r="AK610" i="1"/>
  <c r="AL610" i="1"/>
  <c r="AK611" i="1"/>
  <c r="AL611" i="1"/>
  <c r="AK612" i="1"/>
  <c r="AL612" i="1"/>
  <c r="AK613" i="1"/>
  <c r="AL613" i="1"/>
  <c r="AK614" i="1"/>
  <c r="AL614" i="1"/>
  <c r="AK615" i="1"/>
  <c r="AL615" i="1"/>
  <c r="AK616" i="1"/>
  <c r="AL616" i="1"/>
  <c r="AK617" i="1"/>
  <c r="AL617" i="1"/>
  <c r="AK618" i="1"/>
  <c r="AL618" i="1"/>
  <c r="AK619" i="1"/>
  <c r="AL619" i="1"/>
  <c r="AK620" i="1"/>
  <c r="AL620" i="1"/>
  <c r="AK621" i="1"/>
  <c r="AL621" i="1"/>
  <c r="AK622" i="1"/>
  <c r="AL622" i="1"/>
  <c r="AK623" i="1"/>
  <c r="AL623" i="1"/>
  <c r="AK624" i="1"/>
  <c r="AL624" i="1"/>
  <c r="AK626" i="1"/>
  <c r="AL626" i="1"/>
  <c r="AK628" i="1"/>
  <c r="AL628" i="1"/>
  <c r="AK629" i="1"/>
  <c r="AL629" i="1"/>
  <c r="AK630" i="1"/>
  <c r="AL630" i="1"/>
  <c r="AK212" i="1"/>
  <c r="AL212" i="1"/>
  <c r="AK631" i="1"/>
  <c r="AL631" i="1"/>
  <c r="AK632" i="1"/>
  <c r="AL632" i="1"/>
  <c r="AK634" i="1"/>
  <c r="AL634" i="1"/>
  <c r="AK635" i="1"/>
  <c r="AL635" i="1"/>
  <c r="AK636" i="1"/>
  <c r="AL636" i="1"/>
  <c r="AK637" i="1"/>
  <c r="AL637" i="1"/>
  <c r="AK638" i="1"/>
  <c r="AL638" i="1"/>
  <c r="AK639" i="1"/>
  <c r="AL639" i="1"/>
  <c r="AK641" i="1"/>
  <c r="AL641" i="1"/>
  <c r="AK645" i="1"/>
  <c r="AL645" i="1"/>
  <c r="AK643" i="1"/>
  <c r="AL643" i="1"/>
  <c r="AK642" i="1"/>
  <c r="AL642" i="1"/>
  <c r="AK644" i="1"/>
  <c r="AL644" i="1"/>
  <c r="AK640" i="1"/>
  <c r="AL640" i="1"/>
  <c r="AK650" i="1"/>
  <c r="AL650" i="1"/>
  <c r="AK649" i="1"/>
  <c r="AL649" i="1"/>
  <c r="AK648" i="1"/>
  <c r="AL648" i="1"/>
  <c r="AK646" i="1"/>
  <c r="AL646" i="1"/>
  <c r="AK647" i="1"/>
  <c r="AL647" i="1"/>
  <c r="AK652" i="1"/>
  <c r="AL652" i="1"/>
  <c r="AK651" i="1"/>
  <c r="AL651" i="1"/>
  <c r="AK657" i="1"/>
  <c r="AL657" i="1"/>
  <c r="AK654" i="1"/>
  <c r="AL654" i="1"/>
  <c r="AK653" i="1"/>
  <c r="AL653" i="1"/>
  <c r="AK655" i="1"/>
  <c r="AL655" i="1"/>
  <c r="AK656" i="1"/>
  <c r="AL656" i="1"/>
  <c r="AK633" i="1"/>
  <c r="AL633" i="1"/>
  <c r="AK625" i="1"/>
  <c r="AL625" i="1"/>
  <c r="AK627" i="1"/>
  <c r="AL627" i="1"/>
  <c r="AK658" i="1"/>
  <c r="AL658" i="1"/>
  <c r="AK660" i="1"/>
  <c r="AL660" i="1"/>
  <c r="AK661" i="1"/>
  <c r="AL661" i="1"/>
  <c r="AK662" i="1"/>
  <c r="AL662" i="1"/>
  <c r="AK663" i="1"/>
  <c r="AL663" i="1"/>
  <c r="AK664" i="1"/>
  <c r="AL664" i="1"/>
  <c r="AK665" i="1"/>
  <c r="AL665" i="1"/>
  <c r="AK666" i="1"/>
  <c r="AL666" i="1"/>
  <c r="AK667" i="1"/>
  <c r="AL667" i="1"/>
  <c r="AK659" i="1"/>
  <c r="AL659" i="1"/>
  <c r="AK673" i="1"/>
  <c r="AL673" i="1"/>
  <c r="AK675" i="1"/>
  <c r="AL675" i="1"/>
  <c r="AK671" i="1"/>
  <c r="AL671" i="1"/>
  <c r="AK672" i="1"/>
  <c r="AL672" i="1"/>
  <c r="AK668" i="1"/>
  <c r="AL668" i="1"/>
  <c r="AK669" i="1"/>
  <c r="AL669" i="1"/>
  <c r="AK670" i="1"/>
  <c r="AL670" i="1"/>
  <c r="AK674" i="1"/>
  <c r="AL674" i="1"/>
  <c r="AK676" i="1"/>
  <c r="AL676" i="1"/>
  <c r="AK682" i="1"/>
  <c r="AL682" i="1"/>
  <c r="AK677" i="1"/>
  <c r="AL677" i="1"/>
  <c r="AK678" i="1"/>
  <c r="AL678" i="1"/>
  <c r="AK679" i="1"/>
  <c r="AL679" i="1"/>
  <c r="AK681" i="1"/>
  <c r="AL681" i="1"/>
  <c r="AK680" i="1"/>
  <c r="AL680" i="1"/>
  <c r="AK683" i="1"/>
  <c r="AL683" i="1"/>
  <c r="AK684" i="1"/>
  <c r="AL684" i="1"/>
  <c r="AK687" i="1"/>
  <c r="AL687" i="1"/>
  <c r="AK686" i="1"/>
  <c r="AL686" i="1"/>
  <c r="AK688" i="1"/>
  <c r="AL688" i="1"/>
  <c r="AK685" i="1"/>
  <c r="AL685" i="1"/>
  <c r="AK689" i="1"/>
  <c r="AL689" i="1"/>
  <c r="AK690" i="1"/>
  <c r="AL690" i="1"/>
  <c r="CH690" i="1" l="1"/>
  <c r="CI690" i="1" s="1"/>
  <c r="AN17" i="1"/>
  <c r="AN504" i="1"/>
  <c r="AM488" i="1"/>
  <c r="AO488" i="1" s="1"/>
  <c r="AM472" i="1"/>
  <c r="AO472" i="1" s="1"/>
  <c r="AM464" i="1"/>
  <c r="AO464" i="1" s="1"/>
  <c r="AM448" i="1"/>
  <c r="AO448" i="1" s="1"/>
  <c r="AM436" i="1"/>
  <c r="AO436" i="1" s="1"/>
  <c r="AM432" i="1"/>
  <c r="AO432" i="1" s="1"/>
  <c r="AM428" i="1"/>
  <c r="AO428" i="1" s="1"/>
  <c r="AM424" i="1"/>
  <c r="AO424" i="1" s="1"/>
  <c r="AM420" i="1"/>
  <c r="AO420" i="1" s="1"/>
  <c r="AN392" i="1"/>
  <c r="AN43" i="1"/>
  <c r="AN27" i="1"/>
  <c r="AM371" i="1"/>
  <c r="AO371" i="1" s="1"/>
  <c r="AM355" i="1"/>
  <c r="AO355" i="1" s="1"/>
  <c r="AM331" i="1"/>
  <c r="AO331" i="1" s="1"/>
  <c r="AM223" i="1"/>
  <c r="AO223" i="1" s="1"/>
  <c r="AN215" i="1"/>
  <c r="AN198" i="1"/>
  <c r="AM190" i="1"/>
  <c r="AO190" i="1" s="1"/>
  <c r="AM182" i="1"/>
  <c r="AO182" i="1" s="1"/>
  <c r="AM178" i="1"/>
  <c r="AO178" i="1" s="1"/>
  <c r="AM158" i="1"/>
  <c r="AO158" i="1" s="1"/>
  <c r="AN154" i="1"/>
  <c r="AN150" i="1"/>
  <c r="AN142" i="1"/>
  <c r="AN138" i="1"/>
  <c r="AM592" i="1"/>
  <c r="AO592" i="1" s="1"/>
  <c r="AN576" i="1"/>
  <c r="AM107" i="1"/>
  <c r="AO107" i="1" s="1"/>
  <c r="AN611" i="1"/>
  <c r="AM177" i="1"/>
  <c r="AO177" i="1" s="1"/>
  <c r="AN173" i="1"/>
  <c r="AN141" i="1"/>
  <c r="AN117" i="1"/>
  <c r="AM113" i="1"/>
  <c r="AO113" i="1" s="1"/>
  <c r="AM109" i="1"/>
  <c r="AO109" i="1" s="1"/>
  <c r="AN45" i="1"/>
  <c r="AM99" i="1"/>
  <c r="AO99" i="1" s="1"/>
  <c r="AN212" i="1"/>
  <c r="AN409" i="1"/>
  <c r="AN96" i="1"/>
  <c r="AM72" i="1"/>
  <c r="AO72" i="1" s="1"/>
  <c r="CG434" i="1"/>
  <c r="AM617" i="1"/>
  <c r="AO617" i="1" s="1"/>
  <c r="AM626" i="1"/>
  <c r="AO626" i="1" s="1"/>
  <c r="AM54" i="1"/>
  <c r="AO54" i="1" s="1"/>
  <c r="AN46" i="1"/>
  <c r="CG466" i="1"/>
  <c r="AN600" i="1"/>
  <c r="AM583" i="1"/>
  <c r="AO583" i="1" s="1"/>
  <c r="AM519" i="1"/>
  <c r="AO519" i="1" s="1"/>
  <c r="AN515" i="1"/>
  <c r="CG333" i="1"/>
  <c r="AN579" i="1"/>
  <c r="AM527" i="1"/>
  <c r="AO527" i="1" s="1"/>
  <c r="AM511" i="1"/>
  <c r="AO511" i="1" s="1"/>
  <c r="AM545" i="1"/>
  <c r="AO545" i="1" s="1"/>
  <c r="CG452" i="1"/>
  <c r="AM587" i="1"/>
  <c r="AO587" i="1" s="1"/>
  <c r="CG353" i="1"/>
  <c r="CG321" i="1"/>
  <c r="CG313" i="1"/>
  <c r="CG380" i="1"/>
  <c r="CG402" i="1"/>
  <c r="CG470" i="1"/>
  <c r="AN376" i="1"/>
  <c r="AN364" i="1"/>
  <c r="AM360" i="1"/>
  <c r="AO360" i="1" s="1"/>
  <c r="AN356" i="1"/>
  <c r="AN336" i="1"/>
  <c r="AM328" i="1"/>
  <c r="AO328" i="1" s="1"/>
  <c r="AN308" i="1"/>
  <c r="AM211" i="1"/>
  <c r="AO211" i="1" s="1"/>
  <c r="CG432" i="1"/>
  <c r="CG326" i="1"/>
  <c r="CG456" i="1"/>
  <c r="CG325" i="1"/>
  <c r="CG430" i="1"/>
  <c r="AN510" i="1"/>
  <c r="AM254" i="1"/>
  <c r="AO254" i="1" s="1"/>
  <c r="AN53" i="1"/>
  <c r="AN30" i="1"/>
  <c r="AM22" i="1"/>
  <c r="AO22" i="1" s="1"/>
  <c r="AM14" i="1"/>
  <c r="AO14" i="1" s="1"/>
  <c r="CG377" i="1"/>
  <c r="CG307" i="1"/>
  <c r="CG376" i="1"/>
  <c r="AN200" i="1"/>
  <c r="AN672" i="1"/>
  <c r="AM659" i="1"/>
  <c r="AO659" i="1" s="1"/>
  <c r="AM664" i="1"/>
  <c r="AO664" i="1" s="1"/>
  <c r="AM660" i="1"/>
  <c r="AO660" i="1" s="1"/>
  <c r="AM633" i="1"/>
  <c r="AO633" i="1" s="1"/>
  <c r="AM634" i="1"/>
  <c r="AO634" i="1" s="1"/>
  <c r="AM394" i="1"/>
  <c r="AO394" i="1" s="1"/>
  <c r="AN234" i="1"/>
  <c r="AN226" i="1"/>
  <c r="AM205" i="1"/>
  <c r="AO205" i="1" s="1"/>
  <c r="AN86" i="1"/>
  <c r="AM78" i="1"/>
  <c r="AO78" i="1" s="1"/>
  <c r="AM667" i="1"/>
  <c r="AO667" i="1" s="1"/>
  <c r="AM657" i="1"/>
  <c r="AO657" i="1" s="1"/>
  <c r="AM640" i="1"/>
  <c r="AO640" i="1" s="1"/>
  <c r="AM637" i="1"/>
  <c r="AO637" i="1" s="1"/>
  <c r="AM317" i="1"/>
  <c r="AO317" i="1" s="1"/>
  <c r="AM301" i="1"/>
  <c r="AO301" i="1" s="1"/>
  <c r="AN277" i="1"/>
  <c r="AM237" i="1"/>
  <c r="AO237" i="1" s="1"/>
  <c r="AM85" i="1"/>
  <c r="AO85" i="1" s="1"/>
  <c r="AM651" i="1"/>
  <c r="AO651" i="1" s="1"/>
  <c r="AN636" i="1"/>
  <c r="AN595" i="1"/>
  <c r="AN320" i="1"/>
  <c r="AN192" i="1"/>
  <c r="AM184" i="1"/>
  <c r="AO184" i="1" s="1"/>
  <c r="AN136" i="1"/>
  <c r="AM45" i="1"/>
  <c r="AO45" i="1" s="1"/>
  <c r="AM41" i="1"/>
  <c r="AO41" i="1" s="1"/>
  <c r="AM37" i="1"/>
  <c r="AO37" i="1" s="1"/>
  <c r="AM29" i="1"/>
  <c r="AO29" i="1" s="1"/>
  <c r="AM13" i="1"/>
  <c r="AO13" i="1" s="1"/>
  <c r="AM5" i="1"/>
  <c r="AO5" i="1" s="1"/>
  <c r="AM628" i="1"/>
  <c r="AO628" i="1" s="1"/>
  <c r="AN582" i="1"/>
  <c r="AM471" i="1"/>
  <c r="AO471" i="1" s="1"/>
  <c r="AM467" i="1"/>
  <c r="AO467" i="1" s="1"/>
  <c r="AM463" i="1"/>
  <c r="AO463" i="1" s="1"/>
  <c r="AM198" i="1"/>
  <c r="AO198" i="1" s="1"/>
  <c r="AN175" i="1"/>
  <c r="AN159" i="1"/>
  <c r="AN24" i="1"/>
  <c r="AM686" i="1"/>
  <c r="AO686" i="1" s="1"/>
  <c r="AM677" i="1"/>
  <c r="AO677" i="1" s="1"/>
  <c r="AM616" i="1"/>
  <c r="AO616" i="1" s="1"/>
  <c r="AM612" i="1"/>
  <c r="AO612" i="1" s="1"/>
  <c r="AN608" i="1"/>
  <c r="AN592" i="1"/>
  <c r="AM581" i="1"/>
  <c r="AO581" i="1" s="1"/>
  <c r="AM577" i="1"/>
  <c r="AO577" i="1" s="1"/>
  <c r="AM505" i="1"/>
  <c r="AO505" i="1" s="1"/>
  <c r="AM310" i="1"/>
  <c r="AO310" i="1" s="1"/>
  <c r="AM307" i="1"/>
  <c r="AO307" i="1" s="1"/>
  <c r="AN299" i="1"/>
  <c r="AG299" i="1" s="1"/>
  <c r="AM116" i="1"/>
  <c r="AO116" i="1" s="1"/>
  <c r="AM81" i="1"/>
  <c r="AO81" i="1" s="1"/>
  <c r="AM70" i="1"/>
  <c r="AO70" i="1" s="1"/>
  <c r="AN607" i="1"/>
  <c r="AM572" i="1"/>
  <c r="AO572" i="1" s="1"/>
  <c r="AM568" i="1"/>
  <c r="AO568" i="1" s="1"/>
  <c r="AM552" i="1"/>
  <c r="AO552" i="1" s="1"/>
  <c r="AM528" i="1"/>
  <c r="AO528" i="1" s="1"/>
  <c r="AM508" i="1"/>
  <c r="AO508" i="1" s="1"/>
  <c r="AM473" i="1"/>
  <c r="AO473" i="1" s="1"/>
  <c r="AM294" i="1"/>
  <c r="AO294" i="1" s="1"/>
  <c r="AM286" i="1"/>
  <c r="AO286" i="1" s="1"/>
  <c r="AM142" i="1"/>
  <c r="AO142" i="1" s="1"/>
  <c r="AM69" i="1"/>
  <c r="AO69" i="1" s="1"/>
  <c r="AM662" i="1"/>
  <c r="AO662" i="1" s="1"/>
  <c r="AM599" i="1"/>
  <c r="AO599" i="1" s="1"/>
  <c r="AN333" i="1"/>
  <c r="AN257" i="1"/>
  <c r="AM253" i="1"/>
  <c r="AO253" i="1" s="1"/>
  <c r="AN186" i="1"/>
  <c r="AN344" i="1"/>
  <c r="AM308" i="1"/>
  <c r="AO308" i="1" s="1"/>
  <c r="AM201" i="1"/>
  <c r="AO201" i="1" s="1"/>
  <c r="AN64" i="1"/>
  <c r="AN40" i="1"/>
  <c r="AN8" i="1"/>
  <c r="AM679" i="1"/>
  <c r="AO679" i="1" s="1"/>
  <c r="AM676" i="1"/>
  <c r="AO676" i="1" s="1"/>
  <c r="AM625" i="1"/>
  <c r="AO625" i="1" s="1"/>
  <c r="AM652" i="1"/>
  <c r="AO652" i="1" s="1"/>
  <c r="AM639" i="1"/>
  <c r="AO639" i="1" s="1"/>
  <c r="AN491" i="1"/>
  <c r="AN475" i="1"/>
  <c r="AN78" i="1"/>
  <c r="AM502" i="1"/>
  <c r="AO502" i="1" s="1"/>
  <c r="AM339" i="1"/>
  <c r="AO339" i="1" s="1"/>
  <c r="AM292" i="1"/>
  <c r="AO292" i="1" s="1"/>
  <c r="AN276" i="1"/>
  <c r="AN268" i="1"/>
  <c r="AN248" i="1"/>
  <c r="AN240" i="1"/>
  <c r="AM105" i="1"/>
  <c r="AO105" i="1" s="1"/>
  <c r="AM93" i="1"/>
  <c r="AO93" i="1" s="1"/>
  <c r="AN67" i="1"/>
  <c r="AM663" i="1"/>
  <c r="AO663" i="1" s="1"/>
  <c r="AM632" i="1"/>
  <c r="AO632" i="1" s="1"/>
  <c r="AM601" i="1"/>
  <c r="AO601" i="1" s="1"/>
  <c r="AN571" i="1"/>
  <c r="AM567" i="1"/>
  <c r="AO567" i="1" s="1"/>
  <c r="AM559" i="1"/>
  <c r="AO559" i="1" s="1"/>
  <c r="AN555" i="1"/>
  <c r="AM547" i="1"/>
  <c r="AO547" i="1" s="1"/>
  <c r="AM543" i="1"/>
  <c r="AO543" i="1" s="1"/>
  <c r="AN539" i="1"/>
  <c r="AM535" i="1"/>
  <c r="AO535" i="1" s="1"/>
  <c r="AM531" i="1"/>
  <c r="AO531" i="1" s="1"/>
  <c r="AM430" i="1"/>
  <c r="AO430" i="1" s="1"/>
  <c r="AM329" i="1"/>
  <c r="AO329" i="1" s="1"/>
  <c r="AM325" i="1"/>
  <c r="AO325" i="1" s="1"/>
  <c r="AM219" i="1"/>
  <c r="AO219" i="1" s="1"/>
  <c r="AN211" i="1"/>
  <c r="AN135" i="1"/>
  <c r="AN131" i="1"/>
  <c r="AN127" i="1"/>
  <c r="AN119" i="1"/>
  <c r="AM104" i="1"/>
  <c r="AO104" i="1" s="1"/>
  <c r="AN93" i="1"/>
  <c r="AN339" i="1"/>
  <c r="AM134" i="1"/>
  <c r="AO134" i="1" s="1"/>
  <c r="AN5" i="1"/>
  <c r="AM689" i="1"/>
  <c r="AO689" i="1" s="1"/>
  <c r="AM687" i="1"/>
  <c r="AO687" i="1" s="1"/>
  <c r="AN681" i="1"/>
  <c r="AN666" i="1"/>
  <c r="AM629" i="1"/>
  <c r="AO629" i="1" s="1"/>
  <c r="AN619" i="1"/>
  <c r="AM518" i="1"/>
  <c r="AO518" i="1" s="1"/>
  <c r="AM507" i="1"/>
  <c r="AO507" i="1" s="1"/>
  <c r="AM413" i="1"/>
  <c r="AO413" i="1" s="1"/>
  <c r="AM374" i="1"/>
  <c r="AO374" i="1" s="1"/>
  <c r="AM350" i="1"/>
  <c r="AO350" i="1" s="1"/>
  <c r="AM313" i="1"/>
  <c r="AO313" i="1" s="1"/>
  <c r="AM309" i="1"/>
  <c r="AO309" i="1" s="1"/>
  <c r="AM293" i="1"/>
  <c r="AO293" i="1" s="1"/>
  <c r="AM262" i="1"/>
  <c r="AO262" i="1" s="1"/>
  <c r="AM215" i="1"/>
  <c r="AO215" i="1" s="1"/>
  <c r="AM206" i="1"/>
  <c r="AO206" i="1" s="1"/>
  <c r="AM195" i="1"/>
  <c r="AO195" i="1" s="1"/>
  <c r="AM92" i="1"/>
  <c r="AO92" i="1" s="1"/>
  <c r="AN80" i="1"/>
  <c r="AN73" i="1"/>
  <c r="AM46" i="1"/>
  <c r="AO46" i="1" s="1"/>
  <c r="AM35" i="1"/>
  <c r="AO35" i="1" s="1"/>
  <c r="AM16" i="1"/>
  <c r="AO16" i="1" s="1"/>
  <c r="AN627" i="1"/>
  <c r="AM631" i="1"/>
  <c r="AO631" i="1" s="1"/>
  <c r="AM600" i="1"/>
  <c r="AO600" i="1" s="1"/>
  <c r="AN488" i="1"/>
  <c r="AM668" i="1"/>
  <c r="AO668" i="1" s="1"/>
  <c r="AN603" i="1"/>
  <c r="AN572" i="1"/>
  <c r="AM557" i="1"/>
  <c r="AO557" i="1" s="1"/>
  <c r="AM533" i="1"/>
  <c r="AO533" i="1" s="1"/>
  <c r="AN416" i="1"/>
  <c r="AN412" i="1"/>
  <c r="AM389" i="1"/>
  <c r="AO389" i="1" s="1"/>
  <c r="AM361" i="1"/>
  <c r="AO361" i="1" s="1"/>
  <c r="AN353" i="1"/>
  <c r="AM296" i="1"/>
  <c r="AO296" i="1" s="1"/>
  <c r="AN269" i="1"/>
  <c r="AM257" i="1"/>
  <c r="AO257" i="1" s="1"/>
  <c r="AN245" i="1"/>
  <c r="AN237" i="1"/>
  <c r="AM186" i="1"/>
  <c r="AO186" i="1" s="1"/>
  <c r="AN178" i="1"/>
  <c r="AM170" i="1"/>
  <c r="AO170" i="1" s="1"/>
  <c r="AM166" i="1"/>
  <c r="AO166" i="1" s="1"/>
  <c r="AM150" i="1"/>
  <c r="AO150" i="1" s="1"/>
  <c r="AN143" i="1"/>
  <c r="AM133" i="1"/>
  <c r="AO133" i="1" s="1"/>
  <c r="AM125" i="1"/>
  <c r="AO125" i="1" s="1"/>
  <c r="AN121" i="1"/>
  <c r="AN113" i="1"/>
  <c r="AN102" i="1"/>
  <c r="AM8" i="1"/>
  <c r="AO8" i="1" s="1"/>
  <c r="AM672" i="1"/>
  <c r="AO672" i="1" s="1"/>
  <c r="AM635" i="1"/>
  <c r="AO635" i="1" s="1"/>
  <c r="AN536" i="1"/>
  <c r="AN528" i="1"/>
  <c r="AM487" i="1"/>
  <c r="AO487" i="1" s="1"/>
  <c r="AN256" i="1"/>
  <c r="AN647" i="1"/>
  <c r="AN643" i="1"/>
  <c r="AN617" i="1"/>
  <c r="AN613" i="1"/>
  <c r="AM455" i="1"/>
  <c r="AO455" i="1" s="1"/>
  <c r="AM451" i="1"/>
  <c r="AO451" i="1" s="1"/>
  <c r="AM447" i="1"/>
  <c r="AO447" i="1" s="1"/>
  <c r="AN435" i="1"/>
  <c r="AM368" i="1"/>
  <c r="AO368" i="1" s="1"/>
  <c r="AM326" i="1"/>
  <c r="AO326" i="1" s="1"/>
  <c r="AN228" i="1"/>
  <c r="AM224" i="1"/>
  <c r="AO224" i="1" s="1"/>
  <c r="AN165" i="1"/>
  <c r="AN29" i="1"/>
  <c r="AN14" i="1"/>
  <c r="AM683" i="1"/>
  <c r="AO683" i="1" s="1"/>
  <c r="AN664" i="1"/>
  <c r="AM653" i="1"/>
  <c r="AO653" i="1" s="1"/>
  <c r="AN599" i="1"/>
  <c r="AN568" i="1"/>
  <c r="AM512" i="1"/>
  <c r="AO512" i="1" s="1"/>
  <c r="AN413" i="1"/>
  <c r="AM403" i="1"/>
  <c r="AO403" i="1" s="1"/>
  <c r="AM395" i="1"/>
  <c r="AO395" i="1" s="1"/>
  <c r="AM376" i="1"/>
  <c r="AO376" i="1" s="1"/>
  <c r="AM372" i="1"/>
  <c r="AO372" i="1" s="1"/>
  <c r="AM364" i="1"/>
  <c r="AO364" i="1" s="1"/>
  <c r="AM357" i="1"/>
  <c r="AO357" i="1" s="1"/>
  <c r="AN331" i="1"/>
  <c r="AN328" i="1"/>
  <c r="AM277" i="1"/>
  <c r="AO277" i="1" s="1"/>
  <c r="AM269" i="1"/>
  <c r="AO269" i="1" s="1"/>
  <c r="AM259" i="1"/>
  <c r="AO259" i="1" s="1"/>
  <c r="AM252" i="1"/>
  <c r="AO252" i="1" s="1"/>
  <c r="AM248" i="1"/>
  <c r="AO248" i="1" s="1"/>
  <c r="AM245" i="1"/>
  <c r="AO245" i="1" s="1"/>
  <c r="AM235" i="1"/>
  <c r="AO235" i="1" s="1"/>
  <c r="AN223" i="1"/>
  <c r="AM216" i="1"/>
  <c r="AO216" i="1" s="1"/>
  <c r="AN179" i="1"/>
  <c r="AN139" i="1"/>
  <c r="AM123" i="1"/>
  <c r="AO123" i="1" s="1"/>
  <c r="AM119" i="1"/>
  <c r="AO119" i="1" s="1"/>
  <c r="AM117" i="1"/>
  <c r="AO117" i="1" s="1"/>
  <c r="AN70" i="1"/>
  <c r="AM64" i="1"/>
  <c r="AO64" i="1" s="1"/>
  <c r="AM60" i="1"/>
  <c r="AO60" i="1" s="1"/>
  <c r="AM52" i="1"/>
  <c r="AO52" i="1" s="1"/>
  <c r="AM48" i="1"/>
  <c r="AO48" i="1" s="1"/>
  <c r="AM30" i="1"/>
  <c r="AO30" i="1" s="1"/>
  <c r="AM28" i="1"/>
  <c r="AO28" i="1" s="1"/>
  <c r="AN16" i="1"/>
  <c r="AM671" i="1"/>
  <c r="AO671" i="1" s="1"/>
  <c r="AM604" i="1"/>
  <c r="AO604" i="1" s="1"/>
  <c r="AM553" i="1"/>
  <c r="AO553" i="1" s="1"/>
  <c r="AM483" i="1"/>
  <c r="AO483" i="1" s="1"/>
  <c r="AM479" i="1"/>
  <c r="AO479" i="1" s="1"/>
  <c r="AN379" i="1"/>
  <c r="AM349" i="1"/>
  <c r="AO349" i="1" s="1"/>
  <c r="AM341" i="1"/>
  <c r="AO341" i="1" s="1"/>
  <c r="AM280" i="1"/>
  <c r="AO280" i="1" s="1"/>
  <c r="AM273" i="1"/>
  <c r="AO273" i="1" s="1"/>
  <c r="AM230" i="1"/>
  <c r="AO230" i="1" s="1"/>
  <c r="AN182" i="1"/>
  <c r="AM163" i="1"/>
  <c r="AO163" i="1" s="1"/>
  <c r="AM138" i="1"/>
  <c r="AO138" i="1" s="1"/>
  <c r="AM102" i="1"/>
  <c r="AO102" i="1" s="1"/>
  <c r="AM51" i="1"/>
  <c r="AO51" i="1" s="1"/>
  <c r="AM24" i="1"/>
  <c r="AO24" i="1" s="1"/>
  <c r="AM681" i="1"/>
  <c r="AO681" i="1" s="1"/>
  <c r="AM669" i="1"/>
  <c r="AO669" i="1" s="1"/>
  <c r="AN633" i="1"/>
  <c r="AM647" i="1"/>
  <c r="AO647" i="1" s="1"/>
  <c r="AM643" i="1"/>
  <c r="AO643" i="1" s="1"/>
  <c r="AM638" i="1"/>
  <c r="AO638" i="1" s="1"/>
  <c r="AN626" i="1"/>
  <c r="AM622" i="1"/>
  <c r="AO622" i="1" s="1"/>
  <c r="AM590" i="1"/>
  <c r="AO590" i="1" s="1"/>
  <c r="AM571" i="1"/>
  <c r="AO571" i="1" s="1"/>
  <c r="AM564" i="1"/>
  <c r="AO564" i="1" s="1"/>
  <c r="AM556" i="1"/>
  <c r="AO556" i="1" s="1"/>
  <c r="AN552" i="1"/>
  <c r="AN507" i="1"/>
  <c r="AM489" i="1"/>
  <c r="AO489" i="1" s="1"/>
  <c r="AM486" i="1"/>
  <c r="AO486" i="1" s="1"/>
  <c r="AM431" i="1"/>
  <c r="AO431" i="1" s="1"/>
  <c r="AM427" i="1"/>
  <c r="AO427" i="1" s="1"/>
  <c r="AM423" i="1"/>
  <c r="AO423" i="1" s="1"/>
  <c r="AM416" i="1"/>
  <c r="AO416" i="1" s="1"/>
  <c r="AM382" i="1"/>
  <c r="AO382" i="1" s="1"/>
  <c r="AM352" i="1"/>
  <c r="AO352" i="1" s="1"/>
  <c r="AM324" i="1"/>
  <c r="AO324" i="1" s="1"/>
  <c r="AN309" i="1"/>
  <c r="AN294" i="1"/>
  <c r="AM291" i="1"/>
  <c r="AO291" i="1" s="1"/>
  <c r="AM283" i="1"/>
  <c r="AO283" i="1" s="1"/>
  <c r="AM276" i="1"/>
  <c r="AO276" i="1" s="1"/>
  <c r="AN272" i="1"/>
  <c r="AM208" i="1"/>
  <c r="AO208" i="1" s="1"/>
  <c r="AM197" i="1"/>
  <c r="AO197" i="1" s="1"/>
  <c r="AM185" i="1"/>
  <c r="AO185" i="1" s="1"/>
  <c r="AN158" i="1"/>
  <c r="AN151" i="1"/>
  <c r="AM144" i="1"/>
  <c r="AO144" i="1" s="1"/>
  <c r="AN130" i="1"/>
  <c r="AN104" i="1"/>
  <c r="AM44" i="1"/>
  <c r="AO44" i="1" s="1"/>
  <c r="AN19" i="1"/>
  <c r="AM685" i="1"/>
  <c r="AO685" i="1" s="1"/>
  <c r="AN684" i="1"/>
  <c r="AM666" i="1"/>
  <c r="AO666" i="1" s="1"/>
  <c r="AM656" i="1"/>
  <c r="AO656" i="1" s="1"/>
  <c r="AM646" i="1"/>
  <c r="AO646" i="1" s="1"/>
  <c r="AN634" i="1"/>
  <c r="AM593" i="1"/>
  <c r="AO593" i="1" s="1"/>
  <c r="AN581" i="1"/>
  <c r="AM504" i="1"/>
  <c r="AO504" i="1" s="1"/>
  <c r="AM500" i="1"/>
  <c r="AO500" i="1" s="1"/>
  <c r="AM492" i="1"/>
  <c r="AO492" i="1" s="1"/>
  <c r="AM470" i="1"/>
  <c r="AO470" i="1" s="1"/>
  <c r="AM409" i="1"/>
  <c r="AO409" i="1" s="1"/>
  <c r="AM401" i="1"/>
  <c r="AO401" i="1" s="1"/>
  <c r="AM397" i="1"/>
  <c r="AO397" i="1" s="1"/>
  <c r="AM370" i="1"/>
  <c r="AO370" i="1" s="1"/>
  <c r="AM366" i="1"/>
  <c r="AO366" i="1" s="1"/>
  <c r="AM363" i="1"/>
  <c r="AO363" i="1" s="1"/>
  <c r="AM340" i="1"/>
  <c r="AO340" i="1" s="1"/>
  <c r="AM320" i="1"/>
  <c r="AO320" i="1" s="1"/>
  <c r="AM298" i="1"/>
  <c r="AO298" i="1" s="1"/>
  <c r="AM282" i="1"/>
  <c r="AO282" i="1" s="1"/>
  <c r="AM265" i="1"/>
  <c r="AO265" i="1" s="1"/>
  <c r="AN250" i="1"/>
  <c r="AM244" i="1"/>
  <c r="AO244" i="1" s="1"/>
  <c r="AM203" i="1"/>
  <c r="AO203" i="1" s="1"/>
  <c r="AM181" i="1"/>
  <c r="AO181" i="1" s="1"/>
  <c r="AN166" i="1"/>
  <c r="AN162" i="1"/>
  <c r="AM147" i="1"/>
  <c r="AO147" i="1" s="1"/>
  <c r="AM141" i="1"/>
  <c r="AO141" i="1" s="1"/>
  <c r="AM118" i="1"/>
  <c r="AO118" i="1" s="1"/>
  <c r="AM97" i="1"/>
  <c r="AO97" i="1" s="1"/>
  <c r="AN54" i="1"/>
  <c r="AM40" i="1"/>
  <c r="AO40" i="1" s="1"/>
  <c r="AM36" i="1"/>
  <c r="AO36" i="1" s="1"/>
  <c r="AN673" i="1"/>
  <c r="AM665" i="1"/>
  <c r="AO665" i="1" s="1"/>
  <c r="AM627" i="1"/>
  <c r="AO627" i="1" s="1"/>
  <c r="AM606" i="1"/>
  <c r="AO606" i="1" s="1"/>
  <c r="AM596" i="1"/>
  <c r="AO596" i="1" s="1"/>
  <c r="AM555" i="1"/>
  <c r="AO555" i="1" s="1"/>
  <c r="AM544" i="1"/>
  <c r="AO544" i="1" s="1"/>
  <c r="AM540" i="1"/>
  <c r="AO540" i="1" s="1"/>
  <c r="AM521" i="1"/>
  <c r="AO521" i="1" s="1"/>
  <c r="AM457" i="1"/>
  <c r="AO457" i="1" s="1"/>
  <c r="AM449" i="1"/>
  <c r="AO449" i="1" s="1"/>
  <c r="AM441" i="1"/>
  <c r="AO441" i="1" s="1"/>
  <c r="AM433" i="1"/>
  <c r="AO433" i="1" s="1"/>
  <c r="AM422" i="1"/>
  <c r="AO422" i="1" s="1"/>
  <c r="AM404" i="1"/>
  <c r="AO404" i="1" s="1"/>
  <c r="AM396" i="1"/>
  <c r="AO396" i="1" s="1"/>
  <c r="AM373" i="1"/>
  <c r="AO373" i="1" s="1"/>
  <c r="AM369" i="1"/>
  <c r="AO369" i="1" s="1"/>
  <c r="AM358" i="1"/>
  <c r="AO358" i="1" s="1"/>
  <c r="AM297" i="1"/>
  <c r="AO297" i="1" s="1"/>
  <c r="AM268" i="1"/>
  <c r="AO268" i="1" s="1"/>
  <c r="AN264" i="1"/>
  <c r="AM246" i="1"/>
  <c r="AO246" i="1" s="1"/>
  <c r="AM236" i="1"/>
  <c r="AO236" i="1" s="1"/>
  <c r="AN232" i="1"/>
  <c r="AM228" i="1"/>
  <c r="AO228" i="1" s="1"/>
  <c r="AN210" i="1"/>
  <c r="AM173" i="1"/>
  <c r="AO173" i="1" s="1"/>
  <c r="AM169" i="1"/>
  <c r="AO169" i="1" s="1"/>
  <c r="AM161" i="1"/>
  <c r="AO161" i="1" s="1"/>
  <c r="AM86" i="1"/>
  <c r="AO86" i="1" s="1"/>
  <c r="AM61" i="1"/>
  <c r="AO61" i="1" s="1"/>
  <c r="AM57" i="1"/>
  <c r="AO57" i="1" s="1"/>
  <c r="AM674" i="1"/>
  <c r="AO674" i="1" s="1"/>
  <c r="AN661" i="1"/>
  <c r="AM648" i="1"/>
  <c r="AO648" i="1" s="1"/>
  <c r="AM636" i="1"/>
  <c r="AO636" i="1" s="1"/>
  <c r="AN620" i="1"/>
  <c r="AM584" i="1"/>
  <c r="AO584" i="1" s="1"/>
  <c r="AM580" i="1"/>
  <c r="AO580" i="1" s="1"/>
  <c r="AN558" i="1"/>
  <c r="AM480" i="1"/>
  <c r="AO480" i="1" s="1"/>
  <c r="AM476" i="1"/>
  <c r="AO476" i="1" s="1"/>
  <c r="AN472" i="1"/>
  <c r="AN432" i="1"/>
  <c r="AM411" i="1"/>
  <c r="AO411" i="1" s="1"/>
  <c r="AM392" i="1"/>
  <c r="AO392" i="1" s="1"/>
  <c r="AM388" i="1"/>
  <c r="AO388" i="1" s="1"/>
  <c r="AN304" i="1"/>
  <c r="AM300" i="1"/>
  <c r="AO300" i="1" s="1"/>
  <c r="AM289" i="1"/>
  <c r="AO289" i="1" s="1"/>
  <c r="AM274" i="1"/>
  <c r="AO274" i="1" s="1"/>
  <c r="AM270" i="1"/>
  <c r="AO270" i="1" s="1"/>
  <c r="AM217" i="1"/>
  <c r="AO217" i="1" s="1"/>
  <c r="AM214" i="1"/>
  <c r="AO214" i="1" s="1"/>
  <c r="AN206" i="1"/>
  <c r="AM202" i="1"/>
  <c r="AO202" i="1" s="1"/>
  <c r="AN183" i="1"/>
  <c r="AN146" i="1"/>
  <c r="AM136" i="1"/>
  <c r="AO136" i="1" s="1"/>
  <c r="AM132" i="1"/>
  <c r="AO132" i="1" s="1"/>
  <c r="AM128" i="1"/>
  <c r="AO128" i="1" s="1"/>
  <c r="AM124" i="1"/>
  <c r="AO124" i="1" s="1"/>
  <c r="AM120" i="1"/>
  <c r="AO120" i="1" s="1"/>
  <c r="AM110" i="1"/>
  <c r="AO110" i="1" s="1"/>
  <c r="AM96" i="1"/>
  <c r="AO96" i="1" s="1"/>
  <c r="AN75" i="1"/>
  <c r="AM4" i="1"/>
  <c r="AO4" i="1" s="1"/>
  <c r="AM312" i="1"/>
  <c r="AO312" i="1" s="1"/>
  <c r="AN312" i="1"/>
  <c r="AM288" i="1"/>
  <c r="AO288" i="1" s="1"/>
  <c r="AN288" i="1"/>
  <c r="AM209" i="1"/>
  <c r="AO209" i="1" s="1"/>
  <c r="AN209" i="1"/>
  <c r="AM126" i="1"/>
  <c r="AO126" i="1" s="1"/>
  <c r="AN126" i="1"/>
  <c r="AM112" i="1"/>
  <c r="AO112" i="1" s="1"/>
  <c r="AN112" i="1"/>
  <c r="AM94" i="1"/>
  <c r="AO94" i="1" s="1"/>
  <c r="AN94" i="1"/>
  <c r="AM77" i="1"/>
  <c r="AO77" i="1" s="1"/>
  <c r="AN77" i="1"/>
  <c r="AM611" i="1"/>
  <c r="AO611" i="1" s="1"/>
  <c r="AM576" i="1"/>
  <c r="AO576" i="1" s="1"/>
  <c r="AM569" i="1"/>
  <c r="AO569" i="1" s="1"/>
  <c r="AM566" i="1"/>
  <c r="AO566" i="1" s="1"/>
  <c r="AM536" i="1"/>
  <c r="AO536" i="1" s="1"/>
  <c r="AM529" i="1"/>
  <c r="AO529" i="1" s="1"/>
  <c r="AM459" i="1"/>
  <c r="AO459" i="1" s="1"/>
  <c r="AN459" i="1"/>
  <c r="AM443" i="1"/>
  <c r="AO443" i="1" s="1"/>
  <c r="AN443" i="1"/>
  <c r="AM353" i="1"/>
  <c r="AO353" i="1" s="1"/>
  <c r="AM305" i="1"/>
  <c r="AO305" i="1" s="1"/>
  <c r="AN230" i="1"/>
  <c r="AM176" i="1"/>
  <c r="AO176" i="1" s="1"/>
  <c r="AN176" i="1"/>
  <c r="AM101" i="1"/>
  <c r="AO101" i="1" s="1"/>
  <c r="AN101" i="1"/>
  <c r="AM6" i="1"/>
  <c r="AO6" i="1" s="1"/>
  <c r="AN6" i="1"/>
  <c r="AM390" i="1"/>
  <c r="AO390" i="1" s="1"/>
  <c r="AN390" i="1"/>
  <c r="AM684" i="1"/>
  <c r="AO684" i="1" s="1"/>
  <c r="AM682" i="1"/>
  <c r="AO682" i="1" s="1"/>
  <c r="AM675" i="1"/>
  <c r="AO675" i="1" s="1"/>
  <c r="AM661" i="1"/>
  <c r="AO661" i="1" s="1"/>
  <c r="AM654" i="1"/>
  <c r="AO654" i="1" s="1"/>
  <c r="AM620" i="1"/>
  <c r="AO620" i="1" s="1"/>
  <c r="AM579" i="1"/>
  <c r="AO579" i="1" s="1"/>
  <c r="AM513" i="1"/>
  <c r="AO513" i="1" s="1"/>
  <c r="AM446" i="1"/>
  <c r="AO446" i="1" s="1"/>
  <c r="AM405" i="1"/>
  <c r="AO405" i="1" s="1"/>
  <c r="AN405" i="1"/>
  <c r="AM393" i="1"/>
  <c r="AO393" i="1" s="1"/>
  <c r="AN393" i="1"/>
  <c r="AM345" i="1"/>
  <c r="AO345" i="1" s="1"/>
  <c r="AN345" i="1"/>
  <c r="AN326" i="1"/>
  <c r="AN261" i="1"/>
  <c r="AM261" i="1"/>
  <c r="AO261" i="1" s="1"/>
  <c r="AM233" i="1"/>
  <c r="AO233" i="1" s="1"/>
  <c r="AN233" i="1"/>
  <c r="AM65" i="1"/>
  <c r="AO65" i="1" s="1"/>
  <c r="AN65" i="1"/>
  <c r="AM53" i="1"/>
  <c r="AO53" i="1" s="1"/>
  <c r="AM644" i="1"/>
  <c r="AO644" i="1" s="1"/>
  <c r="AN644" i="1"/>
  <c r="AM315" i="1"/>
  <c r="AO315" i="1" s="1"/>
  <c r="AN315" i="1"/>
  <c r="AM168" i="1"/>
  <c r="AO168" i="1" s="1"/>
  <c r="AN168" i="1"/>
  <c r="AM62" i="1"/>
  <c r="AO62" i="1" s="1"/>
  <c r="AN62" i="1"/>
  <c r="AM9" i="1"/>
  <c r="AO9" i="1" s="1"/>
  <c r="AN9" i="1"/>
  <c r="AM690" i="1"/>
  <c r="AO690" i="1" s="1"/>
  <c r="AM688" i="1"/>
  <c r="AO688" i="1" s="1"/>
  <c r="AM670" i="1"/>
  <c r="AO670" i="1" s="1"/>
  <c r="AM649" i="1"/>
  <c r="AO649" i="1" s="1"/>
  <c r="AN649" i="1"/>
  <c r="AM623" i="1"/>
  <c r="AO623" i="1" s="1"/>
  <c r="AM550" i="1"/>
  <c r="AO550" i="1" s="1"/>
  <c r="AM499" i="1"/>
  <c r="AO499" i="1" s="1"/>
  <c r="AN499" i="1"/>
  <c r="AM318" i="1"/>
  <c r="AO318" i="1" s="1"/>
  <c r="AN318" i="1"/>
  <c r="AN296" i="1"/>
  <c r="AM275" i="1"/>
  <c r="AO275" i="1" s="1"/>
  <c r="AM222" i="1"/>
  <c r="AO222" i="1" s="1"/>
  <c r="AN222" i="1"/>
  <c r="AM149" i="1"/>
  <c r="AO149" i="1" s="1"/>
  <c r="AN149" i="1"/>
  <c r="AM32" i="1"/>
  <c r="AO32" i="1" s="1"/>
  <c r="AN32" i="1"/>
  <c r="AM12" i="1"/>
  <c r="AO12" i="1" s="1"/>
  <c r="AM624" i="1"/>
  <c r="AO624" i="1" s="1"/>
  <c r="AN624" i="1"/>
  <c r="AM157" i="1"/>
  <c r="AO157" i="1" s="1"/>
  <c r="AN157" i="1"/>
  <c r="AN689" i="1"/>
  <c r="AN676" i="1"/>
  <c r="AN669" i="1"/>
  <c r="AM560" i="1"/>
  <c r="AO560" i="1" s="1"/>
  <c r="AN560" i="1"/>
  <c r="AM520" i="1"/>
  <c r="AO520" i="1" s="1"/>
  <c r="AN520" i="1"/>
  <c r="AM408" i="1"/>
  <c r="AO408" i="1" s="1"/>
  <c r="AN408" i="1"/>
  <c r="AM400" i="1"/>
  <c r="AO400" i="1" s="1"/>
  <c r="AN400" i="1"/>
  <c r="AM381" i="1"/>
  <c r="AO381" i="1" s="1"/>
  <c r="AN381" i="1"/>
  <c r="AM348" i="1"/>
  <c r="AO348" i="1" s="1"/>
  <c r="AN348" i="1"/>
  <c r="AM321" i="1"/>
  <c r="AO321" i="1" s="1"/>
  <c r="AN321" i="1"/>
  <c r="AM243" i="1"/>
  <c r="AO243" i="1" s="1"/>
  <c r="AN243" i="1"/>
  <c r="AM174" i="1"/>
  <c r="AO174" i="1" s="1"/>
  <c r="AN174" i="1"/>
  <c r="AM68" i="1"/>
  <c r="AO68" i="1" s="1"/>
  <c r="AM673" i="1"/>
  <c r="AO673" i="1" s="1"/>
  <c r="AM655" i="1"/>
  <c r="AO655" i="1" s="1"/>
  <c r="AN651" i="1"/>
  <c r="AM608" i="1"/>
  <c r="AO608" i="1" s="1"/>
  <c r="AM334" i="1"/>
  <c r="AO334" i="1" s="1"/>
  <c r="AN334" i="1"/>
  <c r="AM285" i="1"/>
  <c r="AO285" i="1" s="1"/>
  <c r="AN285" i="1"/>
  <c r="AM281" i="1"/>
  <c r="AO281" i="1" s="1"/>
  <c r="AN281" i="1"/>
  <c r="AM162" i="1"/>
  <c r="AO162" i="1" s="1"/>
  <c r="AN123" i="1"/>
  <c r="AM88" i="1"/>
  <c r="AO88" i="1" s="1"/>
  <c r="AN88" i="1"/>
  <c r="AN85" i="1"/>
  <c r="AM56" i="1"/>
  <c r="AO56" i="1" s="1"/>
  <c r="AN56" i="1"/>
  <c r="AM21" i="1"/>
  <c r="AO21" i="1" s="1"/>
  <c r="AN21" i="1"/>
  <c r="AM496" i="1"/>
  <c r="AO496" i="1" s="1"/>
  <c r="AN496" i="1"/>
  <c r="AM129" i="1"/>
  <c r="AO129" i="1" s="1"/>
  <c r="AN129" i="1"/>
  <c r="AM680" i="1"/>
  <c r="AO680" i="1" s="1"/>
  <c r="AM678" i="1"/>
  <c r="AO678" i="1" s="1"/>
  <c r="AM658" i="1"/>
  <c r="AO658" i="1" s="1"/>
  <c r="AN653" i="1"/>
  <c r="AM645" i="1"/>
  <c r="AO645" i="1" s="1"/>
  <c r="AM615" i="1"/>
  <c r="AO615" i="1" s="1"/>
  <c r="AM563" i="1"/>
  <c r="AO563" i="1" s="1"/>
  <c r="AN563" i="1"/>
  <c r="AM523" i="1"/>
  <c r="AO523" i="1" s="1"/>
  <c r="AN523" i="1"/>
  <c r="AM456" i="1"/>
  <c r="AO456" i="1" s="1"/>
  <c r="AN456" i="1"/>
  <c r="AM440" i="1"/>
  <c r="AO440" i="1" s="1"/>
  <c r="AN440" i="1"/>
  <c r="AM417" i="1"/>
  <c r="AO417" i="1" s="1"/>
  <c r="AN417" i="1"/>
  <c r="AM384" i="1"/>
  <c r="AO384" i="1" s="1"/>
  <c r="AN384" i="1"/>
  <c r="AN368" i="1"/>
  <c r="AN365" i="1"/>
  <c r="AM365" i="1"/>
  <c r="AO365" i="1" s="1"/>
  <c r="AM302" i="1"/>
  <c r="AO302" i="1" s="1"/>
  <c r="AN302" i="1"/>
  <c r="AM267" i="1"/>
  <c r="AO267" i="1" s="1"/>
  <c r="AN267" i="1"/>
  <c r="AM165" i="1"/>
  <c r="AO165" i="1" s="1"/>
  <c r="AM154" i="1"/>
  <c r="AO154" i="1" s="1"/>
  <c r="AM137" i="1"/>
  <c r="AO137" i="1" s="1"/>
  <c r="AN134" i="1"/>
  <c r="AN109" i="1"/>
  <c r="AM91" i="1"/>
  <c r="AO91" i="1" s="1"/>
  <c r="AM59" i="1"/>
  <c r="AO59" i="1" s="1"/>
  <c r="AM38" i="1"/>
  <c r="AO38" i="1" s="1"/>
  <c r="AN38" i="1"/>
  <c r="AM650" i="1"/>
  <c r="AO650" i="1" s="1"/>
  <c r="AM642" i="1"/>
  <c r="AO642" i="1" s="1"/>
  <c r="AM641" i="1"/>
  <c r="AO641" i="1" s="1"/>
  <c r="AM212" i="1"/>
  <c r="AO212" i="1" s="1"/>
  <c r="AM614" i="1"/>
  <c r="AO614" i="1" s="1"/>
  <c r="AN604" i="1"/>
  <c r="AM595" i="1"/>
  <c r="AO595" i="1" s="1"/>
  <c r="AM585" i="1"/>
  <c r="AO585" i="1" s="1"/>
  <c r="AM582" i="1"/>
  <c r="AO582" i="1" s="1"/>
  <c r="AM575" i="1"/>
  <c r="AO575" i="1" s="1"/>
  <c r="AM565" i="1"/>
  <c r="AO565" i="1" s="1"/>
  <c r="AM539" i="1"/>
  <c r="AO539" i="1" s="1"/>
  <c r="AM532" i="1"/>
  <c r="AO532" i="1" s="1"/>
  <c r="AM526" i="1"/>
  <c r="AO526" i="1" s="1"/>
  <c r="AM516" i="1"/>
  <c r="AO516" i="1" s="1"/>
  <c r="AN512" i="1"/>
  <c r="AM495" i="1"/>
  <c r="AO495" i="1" s="1"/>
  <c r="AM475" i="1"/>
  <c r="AO475" i="1" s="1"/>
  <c r="AM465" i="1"/>
  <c r="AO465" i="1" s="1"/>
  <c r="AM462" i="1"/>
  <c r="AO462" i="1" s="1"/>
  <c r="AM452" i="1"/>
  <c r="AO452" i="1" s="1"/>
  <c r="AN448" i="1"/>
  <c r="AM439" i="1"/>
  <c r="AO439" i="1" s="1"/>
  <c r="AM419" i="1"/>
  <c r="AO419" i="1" s="1"/>
  <c r="AN404" i="1"/>
  <c r="AN401" i="1"/>
  <c r="AN395" i="1"/>
  <c r="AN389" i="1"/>
  <c r="AM387" i="1"/>
  <c r="AO387" i="1" s="1"/>
  <c r="AM377" i="1"/>
  <c r="AO377" i="1" s="1"/>
  <c r="AM362" i="1"/>
  <c r="AO362" i="1" s="1"/>
  <c r="AM356" i="1"/>
  <c r="AO356" i="1" s="1"/>
  <c r="AN349" i="1"/>
  <c r="AM347" i="1"/>
  <c r="AO347" i="1" s="1"/>
  <c r="AN341" i="1"/>
  <c r="AM336" i="1"/>
  <c r="AO336" i="1" s="1"/>
  <c r="AM333" i="1"/>
  <c r="AO333" i="1" s="1"/>
  <c r="AM323" i="1"/>
  <c r="AO323" i="1" s="1"/>
  <c r="AN301" i="1"/>
  <c r="AN293" i="1"/>
  <c r="AN289" i="1"/>
  <c r="AM284" i="1"/>
  <c r="AO284" i="1" s="1"/>
  <c r="AN280" i="1"/>
  <c r="AM260" i="1"/>
  <c r="AO260" i="1" s="1"/>
  <c r="AM251" i="1"/>
  <c r="AO251" i="1" s="1"/>
  <c r="AM238" i="1"/>
  <c r="AO238" i="1" s="1"/>
  <c r="AM218" i="1"/>
  <c r="AO218" i="1" s="1"/>
  <c r="AN195" i="1"/>
  <c r="AM191" i="1"/>
  <c r="AO191" i="1" s="1"/>
  <c r="AM175" i="1"/>
  <c r="AO175" i="1" s="1"/>
  <c r="AN161" i="1"/>
  <c r="AM145" i="1"/>
  <c r="AO145" i="1" s="1"/>
  <c r="AM131" i="1"/>
  <c r="AO131" i="1" s="1"/>
  <c r="AN125" i="1"/>
  <c r="AM100" i="1"/>
  <c r="AO100" i="1" s="1"/>
  <c r="AM76" i="1"/>
  <c r="AO76" i="1" s="1"/>
  <c r="AM73" i="1"/>
  <c r="AO73" i="1" s="1"/>
  <c r="AM67" i="1"/>
  <c r="AO67" i="1" s="1"/>
  <c r="AN61" i="1"/>
  <c r="AM49" i="1"/>
  <c r="AO49" i="1" s="1"/>
  <c r="AN37" i="1"/>
  <c r="AN35" i="1"/>
  <c r="AN22" i="1"/>
  <c r="AM17" i="1"/>
  <c r="AO17" i="1" s="1"/>
  <c r="AM11" i="1"/>
  <c r="AO11" i="1" s="1"/>
  <c r="AN639" i="1"/>
  <c r="AN616" i="1"/>
  <c r="AM598" i="1"/>
  <c r="AO598" i="1" s="1"/>
  <c r="AM588" i="1"/>
  <c r="AO588" i="1" s="1"/>
  <c r="AN584" i="1"/>
  <c r="AM574" i="1"/>
  <c r="AO574" i="1" s="1"/>
  <c r="AM561" i="1"/>
  <c r="AO561" i="1" s="1"/>
  <c r="AM542" i="1"/>
  <c r="AO542" i="1" s="1"/>
  <c r="AN531" i="1"/>
  <c r="AM510" i="1"/>
  <c r="AO510" i="1" s="1"/>
  <c r="AM491" i="1"/>
  <c r="AO491" i="1" s="1"/>
  <c r="AM481" i="1"/>
  <c r="AO481" i="1" s="1"/>
  <c r="AM478" i="1"/>
  <c r="AO478" i="1" s="1"/>
  <c r="AM468" i="1"/>
  <c r="AO468" i="1" s="1"/>
  <c r="AN464" i="1"/>
  <c r="AN451" i="1"/>
  <c r="AM425" i="1"/>
  <c r="AO425" i="1" s="1"/>
  <c r="AM380" i="1"/>
  <c r="AO380" i="1" s="1"/>
  <c r="AN352" i="1"/>
  <c r="AM344" i="1"/>
  <c r="AO344" i="1" s="1"/>
  <c r="AN340" i="1"/>
  <c r="AN325" i="1"/>
  <c r="AM304" i="1"/>
  <c r="AO304" i="1" s="1"/>
  <c r="AM299" i="1"/>
  <c r="AO299" i="1" s="1"/>
  <c r="AN292" i="1"/>
  <c r="AN283" i="1"/>
  <c r="AN262" i="1"/>
  <c r="AN253" i="1"/>
  <c r="AM250" i="1"/>
  <c r="AO250" i="1" s="1"/>
  <c r="AM226" i="1"/>
  <c r="AO226" i="1" s="1"/>
  <c r="AN220" i="1"/>
  <c r="AN205" i="1"/>
  <c r="AN202" i="1"/>
  <c r="AN197" i="1"/>
  <c r="AM194" i="1"/>
  <c r="AO194" i="1" s="1"/>
  <c r="AN190" i="1"/>
  <c r="AM187" i="1"/>
  <c r="AO187" i="1" s="1"/>
  <c r="AN169" i="1"/>
  <c r="AM139" i="1"/>
  <c r="AO139" i="1" s="1"/>
  <c r="AN133" i="1"/>
  <c r="AN110" i="1"/>
  <c r="AN72" i="1"/>
  <c r="AN48" i="1"/>
  <c r="AM43" i="1"/>
  <c r="AO43" i="1" s="1"/>
  <c r="AM20" i="1"/>
  <c r="AO20" i="1" s="1"/>
  <c r="AM630" i="1"/>
  <c r="AO630" i="1" s="1"/>
  <c r="AM619" i="1"/>
  <c r="AO619" i="1" s="1"/>
  <c r="AM613" i="1"/>
  <c r="AO613" i="1" s="1"/>
  <c r="AM607" i="1"/>
  <c r="AO607" i="1" s="1"/>
  <c r="AM591" i="1"/>
  <c r="AO591" i="1" s="1"/>
  <c r="AN587" i="1"/>
  <c r="AM548" i="1"/>
  <c r="AO548" i="1" s="1"/>
  <c r="AN541" i="1"/>
  <c r="AN518" i="1"/>
  <c r="AM497" i="1"/>
  <c r="AO497" i="1" s="1"/>
  <c r="AM494" i="1"/>
  <c r="AO494" i="1" s="1"/>
  <c r="AM484" i="1"/>
  <c r="AO484" i="1" s="1"/>
  <c r="AN480" i="1"/>
  <c r="AN467" i="1"/>
  <c r="AM435" i="1"/>
  <c r="AO435" i="1" s="1"/>
  <c r="AN424" i="1"/>
  <c r="AM398" i="1"/>
  <c r="AO398" i="1" s="1"/>
  <c r="AN373" i="1"/>
  <c r="AN369" i="1"/>
  <c r="AN357" i="1"/>
  <c r="AN317" i="1"/>
  <c r="AM241" i="1"/>
  <c r="AO241" i="1" s="1"/>
  <c r="AM234" i="1"/>
  <c r="AO234" i="1" s="1"/>
  <c r="AM232" i="1"/>
  <c r="AO232" i="1" s="1"/>
  <c r="AN214" i="1"/>
  <c r="AN118" i="1"/>
  <c r="AM108" i="1"/>
  <c r="AO108" i="1" s="1"/>
  <c r="AM84" i="1"/>
  <c r="AO84" i="1" s="1"/>
  <c r="AM75" i="1"/>
  <c r="AO75" i="1" s="1"/>
  <c r="AN69" i="1"/>
  <c r="AM25" i="1"/>
  <c r="AO25" i="1" s="1"/>
  <c r="AM19" i="1"/>
  <c r="AO19" i="1" s="1"/>
  <c r="AN13" i="1"/>
  <c r="AM609" i="1"/>
  <c r="AO609" i="1" s="1"/>
  <c r="AM603" i="1"/>
  <c r="AO603" i="1" s="1"/>
  <c r="AN573" i="1"/>
  <c r="AM558" i="1"/>
  <c r="AO558" i="1" s="1"/>
  <c r="AN547" i="1"/>
  <c r="AM515" i="1"/>
  <c r="AO515" i="1" s="1"/>
  <c r="AN483" i="1"/>
  <c r="AM444" i="1"/>
  <c r="AO444" i="1" s="1"/>
  <c r="AM438" i="1"/>
  <c r="AO438" i="1" s="1"/>
  <c r="AN427" i="1"/>
  <c r="AM406" i="1"/>
  <c r="AO406" i="1" s="1"/>
  <c r="AN372" i="1"/>
  <c r="AN366" i="1"/>
  <c r="AN360" i="1"/>
  <c r="AN219" i="1"/>
  <c r="AM210" i="1"/>
  <c r="AO210" i="1" s="1"/>
  <c r="AM207" i="1"/>
  <c r="AO207" i="1" s="1"/>
  <c r="AM155" i="1"/>
  <c r="AO155" i="1" s="1"/>
  <c r="AM152" i="1"/>
  <c r="AO152" i="1" s="1"/>
  <c r="AM143" i="1"/>
  <c r="AO143" i="1" s="1"/>
  <c r="AM130" i="1"/>
  <c r="AO130" i="1" s="1"/>
  <c r="AM89" i="1"/>
  <c r="AO89" i="1" s="1"/>
  <c r="AM551" i="1"/>
  <c r="AO551" i="1" s="1"/>
  <c r="AN544" i="1"/>
  <c r="AM537" i="1"/>
  <c r="AO537" i="1" s="1"/>
  <c r="AM534" i="1"/>
  <c r="AO534" i="1" s="1"/>
  <c r="AM524" i="1"/>
  <c r="AO524" i="1" s="1"/>
  <c r="AM503" i="1"/>
  <c r="AO503" i="1" s="1"/>
  <c r="AM460" i="1"/>
  <c r="AO460" i="1" s="1"/>
  <c r="AM454" i="1"/>
  <c r="AO454" i="1" s="1"/>
  <c r="AM414" i="1"/>
  <c r="AO414" i="1" s="1"/>
  <c r="AM412" i="1"/>
  <c r="AO412" i="1" s="1"/>
  <c r="AN397" i="1"/>
  <c r="AM385" i="1"/>
  <c r="AO385" i="1" s="1"/>
  <c r="AM379" i="1"/>
  <c r="AO379" i="1" s="1"/>
  <c r="AM332" i="1"/>
  <c r="AO332" i="1" s="1"/>
  <c r="AM316" i="1"/>
  <c r="AO316" i="1" s="1"/>
  <c r="AN282" i="1"/>
  <c r="AM256" i="1"/>
  <c r="AO256" i="1" s="1"/>
  <c r="AM249" i="1"/>
  <c r="AO249" i="1" s="1"/>
  <c r="AM121" i="1"/>
  <c r="AO121" i="1" s="1"/>
  <c r="AM83" i="1"/>
  <c r="AO83" i="1" s="1"/>
  <c r="AM80" i="1"/>
  <c r="AO80" i="1" s="1"/>
  <c r="AM33" i="1"/>
  <c r="AO33" i="1" s="1"/>
  <c r="AN533" i="1"/>
  <c r="AN420" i="1"/>
  <c r="AM342" i="1"/>
  <c r="AO342" i="1" s="1"/>
  <c r="AM337" i="1"/>
  <c r="AO337" i="1" s="1"/>
  <c r="AN329" i="1"/>
  <c r="AM278" i="1"/>
  <c r="AO278" i="1" s="1"/>
  <c r="AM272" i="1"/>
  <c r="AO272" i="1" s="1"/>
  <c r="AM264" i="1"/>
  <c r="AO264" i="1" s="1"/>
  <c r="AM240" i="1"/>
  <c r="AO240" i="1" s="1"/>
  <c r="AM227" i="1"/>
  <c r="AO227" i="1" s="1"/>
  <c r="AN216" i="1"/>
  <c r="AM179" i="1"/>
  <c r="AO179" i="1" s="1"/>
  <c r="AM171" i="1"/>
  <c r="AO171" i="1" s="1"/>
  <c r="AM146" i="1"/>
  <c r="AO146" i="1" s="1"/>
  <c r="AM115" i="1"/>
  <c r="AO115" i="1" s="1"/>
  <c r="AM27" i="1"/>
  <c r="AO27" i="1" s="1"/>
  <c r="AM514" i="1"/>
  <c r="AO514" i="1" s="1"/>
  <c r="AN514" i="1"/>
  <c r="AM311" i="1"/>
  <c r="AO311" i="1" s="1"/>
  <c r="AN311" i="1"/>
  <c r="AN688" i="1"/>
  <c r="AN678" i="1"/>
  <c r="AM605" i="1"/>
  <c r="AO605" i="1" s="1"/>
  <c r="AN605" i="1"/>
  <c r="AM602" i="1"/>
  <c r="AO602" i="1" s="1"/>
  <c r="AN602" i="1"/>
  <c r="AM549" i="1"/>
  <c r="AO549" i="1" s="1"/>
  <c r="AM322" i="1"/>
  <c r="AO322" i="1" s="1"/>
  <c r="AN322" i="1"/>
  <c r="AM229" i="1"/>
  <c r="AO229" i="1" s="1"/>
  <c r="AN229" i="1"/>
  <c r="AM517" i="1"/>
  <c r="AO517" i="1" s="1"/>
  <c r="AN517" i="1"/>
  <c r="AN690" i="1"/>
  <c r="AN680" i="1"/>
  <c r="AN670" i="1"/>
  <c r="AN667" i="1"/>
  <c r="AN658" i="1"/>
  <c r="AN657" i="1"/>
  <c r="AN640" i="1"/>
  <c r="AN637" i="1"/>
  <c r="AN629" i="1"/>
  <c r="AM335" i="1"/>
  <c r="AO335" i="1" s="1"/>
  <c r="AN335" i="1"/>
  <c r="AM546" i="1"/>
  <c r="AO546" i="1" s="1"/>
  <c r="AN546" i="1"/>
  <c r="AN687" i="1"/>
  <c r="AN682" i="1"/>
  <c r="AN675" i="1"/>
  <c r="AN662" i="1"/>
  <c r="AN655" i="1"/>
  <c r="AN648" i="1"/>
  <c r="AN641" i="1"/>
  <c r="AN631" i="1"/>
  <c r="AM589" i="1"/>
  <c r="AO589" i="1" s="1"/>
  <c r="AN589" i="1"/>
  <c r="AM586" i="1"/>
  <c r="AO586" i="1" s="1"/>
  <c r="AN586" i="1"/>
  <c r="AM573" i="1"/>
  <c r="AO573" i="1" s="1"/>
  <c r="AM570" i="1"/>
  <c r="AO570" i="1" s="1"/>
  <c r="AN570" i="1"/>
  <c r="AM538" i="1"/>
  <c r="AO538" i="1" s="1"/>
  <c r="AN538" i="1"/>
  <c r="AM525" i="1"/>
  <c r="AO525" i="1" s="1"/>
  <c r="AN525" i="1"/>
  <c r="AM522" i="1"/>
  <c r="AO522" i="1" s="1"/>
  <c r="AN522" i="1"/>
  <c r="AM501" i="1"/>
  <c r="AO501" i="1" s="1"/>
  <c r="AN501" i="1"/>
  <c r="AM498" i="1"/>
  <c r="AO498" i="1" s="1"/>
  <c r="AN498" i="1"/>
  <c r="AM485" i="1"/>
  <c r="AO485" i="1" s="1"/>
  <c r="AN485" i="1"/>
  <c r="AM482" i="1"/>
  <c r="AO482" i="1" s="1"/>
  <c r="AN482" i="1"/>
  <c r="AM469" i="1"/>
  <c r="AO469" i="1" s="1"/>
  <c r="AN469" i="1"/>
  <c r="AM466" i="1"/>
  <c r="AO466" i="1" s="1"/>
  <c r="AN466" i="1"/>
  <c r="AM453" i="1"/>
  <c r="AO453" i="1" s="1"/>
  <c r="AN453" i="1"/>
  <c r="AM450" i="1"/>
  <c r="AO450" i="1" s="1"/>
  <c r="AN450" i="1"/>
  <c r="AM437" i="1"/>
  <c r="AO437" i="1" s="1"/>
  <c r="AN437" i="1"/>
  <c r="AM434" i="1"/>
  <c r="AO434" i="1" s="1"/>
  <c r="AN434" i="1"/>
  <c r="AM421" i="1"/>
  <c r="AO421" i="1" s="1"/>
  <c r="AN421" i="1"/>
  <c r="AM354" i="1"/>
  <c r="AO354" i="1" s="1"/>
  <c r="AN354" i="1"/>
  <c r="AM247" i="1"/>
  <c r="AO247" i="1" s="1"/>
  <c r="AN247" i="1"/>
  <c r="AN685" i="1"/>
  <c r="AN679" i="1"/>
  <c r="AN668" i="1"/>
  <c r="AN665" i="1"/>
  <c r="AN625" i="1"/>
  <c r="AN652" i="1"/>
  <c r="AN642" i="1"/>
  <c r="AN635" i="1"/>
  <c r="AM610" i="1"/>
  <c r="AO610" i="1" s="1"/>
  <c r="AN610" i="1"/>
  <c r="AM554" i="1"/>
  <c r="AO554" i="1" s="1"/>
  <c r="AN554" i="1"/>
  <c r="AM541" i="1"/>
  <c r="AO541" i="1" s="1"/>
  <c r="AN683" i="1"/>
  <c r="AN674" i="1"/>
  <c r="AN659" i="1"/>
  <c r="AN660" i="1"/>
  <c r="AN654" i="1"/>
  <c r="AN650" i="1"/>
  <c r="AN638" i="1"/>
  <c r="AN630" i="1"/>
  <c r="AM621" i="1"/>
  <c r="AO621" i="1" s="1"/>
  <c r="AN621" i="1"/>
  <c r="AM509" i="1"/>
  <c r="AO509" i="1" s="1"/>
  <c r="AN509" i="1"/>
  <c r="AM375" i="1"/>
  <c r="AO375" i="1" s="1"/>
  <c r="AN375" i="1"/>
  <c r="AN686" i="1"/>
  <c r="AN677" i="1"/>
  <c r="AN671" i="1"/>
  <c r="AN663" i="1"/>
  <c r="AN656" i="1"/>
  <c r="AN646" i="1"/>
  <c r="AN645" i="1"/>
  <c r="AN632" i="1"/>
  <c r="AN628" i="1"/>
  <c r="AM618" i="1"/>
  <c r="AO618" i="1" s="1"/>
  <c r="AN618" i="1"/>
  <c r="AM597" i="1"/>
  <c r="AO597" i="1" s="1"/>
  <c r="AN597" i="1"/>
  <c r="AM594" i="1"/>
  <c r="AO594" i="1" s="1"/>
  <c r="AN594" i="1"/>
  <c r="AM578" i="1"/>
  <c r="AO578" i="1" s="1"/>
  <c r="AN578" i="1"/>
  <c r="AM562" i="1"/>
  <c r="AO562" i="1" s="1"/>
  <c r="AN562" i="1"/>
  <c r="AM530" i="1"/>
  <c r="AO530" i="1" s="1"/>
  <c r="AN530" i="1"/>
  <c r="AM506" i="1"/>
  <c r="AO506" i="1" s="1"/>
  <c r="AN506" i="1"/>
  <c r="AM493" i="1"/>
  <c r="AO493" i="1" s="1"/>
  <c r="AN493" i="1"/>
  <c r="AM490" i="1"/>
  <c r="AO490" i="1" s="1"/>
  <c r="AN490" i="1"/>
  <c r="AM477" i="1"/>
  <c r="AO477" i="1" s="1"/>
  <c r="AN477" i="1"/>
  <c r="AM474" i="1"/>
  <c r="AO474" i="1" s="1"/>
  <c r="AN474" i="1"/>
  <c r="AM461" i="1"/>
  <c r="AO461" i="1" s="1"/>
  <c r="AN461" i="1"/>
  <c r="AM458" i="1"/>
  <c r="AO458" i="1" s="1"/>
  <c r="AN458" i="1"/>
  <c r="AM445" i="1"/>
  <c r="AO445" i="1" s="1"/>
  <c r="AN445" i="1"/>
  <c r="AM442" i="1"/>
  <c r="AO442" i="1" s="1"/>
  <c r="AN442" i="1"/>
  <c r="AM429" i="1"/>
  <c r="AO429" i="1" s="1"/>
  <c r="AN429" i="1"/>
  <c r="AM426" i="1"/>
  <c r="AO426" i="1" s="1"/>
  <c r="AN426" i="1"/>
  <c r="AM410" i="1"/>
  <c r="AO410" i="1" s="1"/>
  <c r="AN410" i="1"/>
  <c r="AN622" i="1"/>
  <c r="AN614" i="1"/>
  <c r="AN606" i="1"/>
  <c r="AN598" i="1"/>
  <c r="AN590" i="1"/>
  <c r="AN574" i="1"/>
  <c r="AN566" i="1"/>
  <c r="AN550" i="1"/>
  <c r="AN542" i="1"/>
  <c r="AN534" i="1"/>
  <c r="AN526" i="1"/>
  <c r="AN502" i="1"/>
  <c r="AN494" i="1"/>
  <c r="AN486" i="1"/>
  <c r="AN478" i="1"/>
  <c r="AN470" i="1"/>
  <c r="AN462" i="1"/>
  <c r="AN454" i="1"/>
  <c r="AN446" i="1"/>
  <c r="AN438" i="1"/>
  <c r="AN430" i="1"/>
  <c r="AN422" i="1"/>
  <c r="AM418" i="1"/>
  <c r="AO418" i="1" s="1"/>
  <c r="AN418" i="1"/>
  <c r="AM399" i="1"/>
  <c r="AO399" i="1" s="1"/>
  <c r="AN399" i="1"/>
  <c r="AM378" i="1"/>
  <c r="AO378" i="1" s="1"/>
  <c r="AM343" i="1"/>
  <c r="AO343" i="1" s="1"/>
  <c r="AN343" i="1"/>
  <c r="AM338" i="1"/>
  <c r="AO338" i="1" s="1"/>
  <c r="AM330" i="1"/>
  <c r="AO330" i="1" s="1"/>
  <c r="AM327" i="1"/>
  <c r="AO327" i="1" s="1"/>
  <c r="AN327" i="1"/>
  <c r="AM314" i="1"/>
  <c r="AO314" i="1" s="1"/>
  <c r="AM290" i="1"/>
  <c r="AO290" i="1" s="1"/>
  <c r="AM258" i="1"/>
  <c r="AO258" i="1" s="1"/>
  <c r="AN167" i="1"/>
  <c r="AM167" i="1"/>
  <c r="AO167" i="1" s="1"/>
  <c r="AN609" i="1"/>
  <c r="AN601" i="1"/>
  <c r="AN593" i="1"/>
  <c r="AN585" i="1"/>
  <c r="AN577" i="1"/>
  <c r="AN569" i="1"/>
  <c r="AN561" i="1"/>
  <c r="AN553" i="1"/>
  <c r="AN545" i="1"/>
  <c r="AN537" i="1"/>
  <c r="AN529" i="1"/>
  <c r="AN521" i="1"/>
  <c r="AN513" i="1"/>
  <c r="AN505" i="1"/>
  <c r="AN497" i="1"/>
  <c r="AN489" i="1"/>
  <c r="AN481" i="1"/>
  <c r="AN473" i="1"/>
  <c r="AN465" i="1"/>
  <c r="AN457" i="1"/>
  <c r="AN449" i="1"/>
  <c r="AN441" i="1"/>
  <c r="AN433" i="1"/>
  <c r="AN425" i="1"/>
  <c r="AM407" i="1"/>
  <c r="AO407" i="1" s="1"/>
  <c r="AN407" i="1"/>
  <c r="AM351" i="1"/>
  <c r="AO351" i="1" s="1"/>
  <c r="AN351" i="1"/>
  <c r="AM319" i="1"/>
  <c r="AO319" i="1" s="1"/>
  <c r="AN319" i="1"/>
  <c r="AM287" i="1"/>
  <c r="AO287" i="1" s="1"/>
  <c r="AN287" i="1"/>
  <c r="AM255" i="1"/>
  <c r="AO255" i="1" s="1"/>
  <c r="AN255" i="1"/>
  <c r="AM225" i="1"/>
  <c r="AO225" i="1" s="1"/>
  <c r="AN225" i="1"/>
  <c r="AM153" i="1"/>
  <c r="AO153" i="1" s="1"/>
  <c r="AN153" i="1"/>
  <c r="AM122" i="1"/>
  <c r="AO122" i="1" s="1"/>
  <c r="AN122" i="1"/>
  <c r="AN612" i="1"/>
  <c r="AN596" i="1"/>
  <c r="AN588" i="1"/>
  <c r="AN580" i="1"/>
  <c r="AN564" i="1"/>
  <c r="AN556" i="1"/>
  <c r="AN548" i="1"/>
  <c r="AN540" i="1"/>
  <c r="AN532" i="1"/>
  <c r="AN524" i="1"/>
  <c r="AN516" i="1"/>
  <c r="AN508" i="1"/>
  <c r="AN500" i="1"/>
  <c r="AN492" i="1"/>
  <c r="AN484" i="1"/>
  <c r="AN476" i="1"/>
  <c r="AN468" i="1"/>
  <c r="AN460" i="1"/>
  <c r="AN452" i="1"/>
  <c r="AN444" i="1"/>
  <c r="AN436" i="1"/>
  <c r="AN428" i="1"/>
  <c r="AM415" i="1"/>
  <c r="AO415" i="1" s="1"/>
  <c r="AN415" i="1"/>
  <c r="AM386" i="1"/>
  <c r="AO386" i="1" s="1"/>
  <c r="AN386" i="1"/>
  <c r="AM383" i="1"/>
  <c r="AO383" i="1" s="1"/>
  <c r="AN383" i="1"/>
  <c r="AM359" i="1"/>
  <c r="AO359" i="1" s="1"/>
  <c r="AN359" i="1"/>
  <c r="AM295" i="1"/>
  <c r="AO295" i="1" s="1"/>
  <c r="AN295" i="1"/>
  <c r="AM231" i="1"/>
  <c r="AO231" i="1" s="1"/>
  <c r="AN231" i="1"/>
  <c r="AN623" i="1"/>
  <c r="AN615" i="1"/>
  <c r="AN591" i="1"/>
  <c r="AN583" i="1"/>
  <c r="AN575" i="1"/>
  <c r="AN567" i="1"/>
  <c r="AN559" i="1"/>
  <c r="AN551" i="1"/>
  <c r="AN543" i="1"/>
  <c r="AN535" i="1"/>
  <c r="AN527" i="1"/>
  <c r="AN519" i="1"/>
  <c r="AN511" i="1"/>
  <c r="AN503" i="1"/>
  <c r="AN495" i="1"/>
  <c r="AN487" i="1"/>
  <c r="AN479" i="1"/>
  <c r="AN471" i="1"/>
  <c r="AN463" i="1"/>
  <c r="AN455" i="1"/>
  <c r="AN447" i="1"/>
  <c r="AN439" i="1"/>
  <c r="AN431" i="1"/>
  <c r="AN423" i="1"/>
  <c r="AM271" i="1"/>
  <c r="AO271" i="1" s="1"/>
  <c r="AN271" i="1"/>
  <c r="AM266" i="1"/>
  <c r="AO266" i="1" s="1"/>
  <c r="AN266" i="1"/>
  <c r="AM263" i="1"/>
  <c r="AO263" i="1" s="1"/>
  <c r="AN263" i="1"/>
  <c r="AN199" i="1"/>
  <c r="AM199" i="1"/>
  <c r="AO199" i="1" s="1"/>
  <c r="AM193" i="1"/>
  <c r="AO193" i="1" s="1"/>
  <c r="AN193" i="1"/>
  <c r="AM66" i="1"/>
  <c r="AO66" i="1" s="1"/>
  <c r="AN66" i="1"/>
  <c r="AM391" i="1"/>
  <c r="AO391" i="1" s="1"/>
  <c r="AN391" i="1"/>
  <c r="AM303" i="1"/>
  <c r="AO303" i="1" s="1"/>
  <c r="AN303" i="1"/>
  <c r="AM239" i="1"/>
  <c r="AO239" i="1" s="1"/>
  <c r="AN239" i="1"/>
  <c r="AM160" i="1"/>
  <c r="AO160" i="1" s="1"/>
  <c r="AN160" i="1"/>
  <c r="AN565" i="1"/>
  <c r="AN557" i="1"/>
  <c r="AN549" i="1"/>
  <c r="AM367" i="1"/>
  <c r="AO367" i="1" s="1"/>
  <c r="AN367" i="1"/>
  <c r="AM306" i="1"/>
  <c r="AO306" i="1" s="1"/>
  <c r="AM242" i="1"/>
  <c r="AO242" i="1" s="1"/>
  <c r="AM189" i="1"/>
  <c r="AO189" i="1" s="1"/>
  <c r="AN189" i="1"/>
  <c r="AM402" i="1"/>
  <c r="AO402" i="1" s="1"/>
  <c r="AN402" i="1"/>
  <c r="AM346" i="1"/>
  <c r="AO346" i="1" s="1"/>
  <c r="AN346" i="1"/>
  <c r="AM279" i="1"/>
  <c r="AO279" i="1" s="1"/>
  <c r="AN279" i="1"/>
  <c r="AN419" i="1"/>
  <c r="AN411" i="1"/>
  <c r="AN403" i="1"/>
  <c r="AN387" i="1"/>
  <c r="AN371" i="1"/>
  <c r="AN363" i="1"/>
  <c r="AN355" i="1"/>
  <c r="AN347" i="1"/>
  <c r="AN323" i="1"/>
  <c r="AN307" i="1"/>
  <c r="AN291" i="1"/>
  <c r="AN275" i="1"/>
  <c r="AN259" i="1"/>
  <c r="AN251" i="1"/>
  <c r="AN235" i="1"/>
  <c r="AM220" i="1"/>
  <c r="AO220" i="1" s="1"/>
  <c r="AN218" i="1"/>
  <c r="AN207" i="1"/>
  <c r="AN203" i="1"/>
  <c r="AN194" i="1"/>
  <c r="AN184" i="1"/>
  <c r="AM172" i="1"/>
  <c r="AO172" i="1" s="1"/>
  <c r="AM159" i="1"/>
  <c r="AO159" i="1" s="1"/>
  <c r="AN152" i="1"/>
  <c r="AN145" i="1"/>
  <c r="AM106" i="1"/>
  <c r="AO106" i="1" s="1"/>
  <c r="AN106" i="1"/>
  <c r="AM103" i="1"/>
  <c r="AO103" i="1" s="1"/>
  <c r="AN103" i="1"/>
  <c r="AM74" i="1"/>
  <c r="AO74" i="1" s="1"/>
  <c r="AN74" i="1"/>
  <c r="AM63" i="1"/>
  <c r="AO63" i="1" s="1"/>
  <c r="AN63" i="1"/>
  <c r="AM34" i="1"/>
  <c r="AO34" i="1" s="1"/>
  <c r="AN34" i="1"/>
  <c r="AM31" i="1"/>
  <c r="AO31" i="1" s="1"/>
  <c r="AN31" i="1"/>
  <c r="AN414" i="1"/>
  <c r="AN406" i="1"/>
  <c r="AN398" i="1"/>
  <c r="AN382" i="1"/>
  <c r="AN374" i="1"/>
  <c r="AN358" i="1"/>
  <c r="AN350" i="1"/>
  <c r="AN342" i="1"/>
  <c r="AN310" i="1"/>
  <c r="AN286" i="1"/>
  <c r="AN278" i="1"/>
  <c r="AN270" i="1"/>
  <c r="AN254" i="1"/>
  <c r="AN246" i="1"/>
  <c r="AN238" i="1"/>
  <c r="AM180" i="1"/>
  <c r="AO180" i="1" s="1"/>
  <c r="AN180" i="1"/>
  <c r="AN155" i="1"/>
  <c r="AM148" i="1"/>
  <c r="AO148" i="1" s="1"/>
  <c r="AM135" i="1"/>
  <c r="AO135" i="1" s="1"/>
  <c r="AN128" i="1"/>
  <c r="AM114" i="1"/>
  <c r="AO114" i="1" s="1"/>
  <c r="AN114" i="1"/>
  <c r="AM71" i="1"/>
  <c r="AO71" i="1" s="1"/>
  <c r="AN71" i="1"/>
  <c r="AN385" i="1"/>
  <c r="AN377" i="1"/>
  <c r="AN361" i="1"/>
  <c r="AN337" i="1"/>
  <c r="AN313" i="1"/>
  <c r="AN305" i="1"/>
  <c r="AN297" i="1"/>
  <c r="AN273" i="1"/>
  <c r="AN265" i="1"/>
  <c r="AN249" i="1"/>
  <c r="AN241" i="1"/>
  <c r="AN224" i="1"/>
  <c r="AM188" i="1"/>
  <c r="AO188" i="1" s="1"/>
  <c r="AN188" i="1"/>
  <c r="AM111" i="1"/>
  <c r="AO111" i="1" s="1"/>
  <c r="AN111" i="1"/>
  <c r="AM82" i="1"/>
  <c r="AO82" i="1" s="1"/>
  <c r="AN82" i="1"/>
  <c r="AM79" i="1"/>
  <c r="AO79" i="1" s="1"/>
  <c r="AN79" i="1"/>
  <c r="AM42" i="1"/>
  <c r="AO42" i="1" s="1"/>
  <c r="AN42" i="1"/>
  <c r="AM39" i="1"/>
  <c r="AO39" i="1" s="1"/>
  <c r="AN39" i="1"/>
  <c r="AN396" i="1"/>
  <c r="AN388" i="1"/>
  <c r="AN380" i="1"/>
  <c r="AN332" i="1"/>
  <c r="AN324" i="1"/>
  <c r="AN316" i="1"/>
  <c r="AN300" i="1"/>
  <c r="AN284" i="1"/>
  <c r="AN260" i="1"/>
  <c r="AN252" i="1"/>
  <c r="AN244" i="1"/>
  <c r="AN236" i="1"/>
  <c r="AN208" i="1"/>
  <c r="AM196" i="1"/>
  <c r="AO196" i="1" s="1"/>
  <c r="AN196" i="1"/>
  <c r="AM192" i="1"/>
  <c r="AO192" i="1" s="1"/>
  <c r="AM183" i="1"/>
  <c r="AO183" i="1" s="1"/>
  <c r="AN181" i="1"/>
  <c r="AN177" i="1"/>
  <c r="AN171" i="1"/>
  <c r="AM164" i="1"/>
  <c r="AO164" i="1" s="1"/>
  <c r="AM151" i="1"/>
  <c r="AO151" i="1" s="1"/>
  <c r="AN144" i="1"/>
  <c r="AN137" i="1"/>
  <c r="AM10" i="1"/>
  <c r="AO10" i="1" s="1"/>
  <c r="AN10" i="1"/>
  <c r="AN227" i="1"/>
  <c r="AN217" i="1"/>
  <c r="AM204" i="1"/>
  <c r="AO204" i="1" s="1"/>
  <c r="AN204" i="1"/>
  <c r="AM200" i="1"/>
  <c r="AO200" i="1" s="1"/>
  <c r="AN185" i="1"/>
  <c r="AN170" i="1"/>
  <c r="AN147" i="1"/>
  <c r="AM140" i="1"/>
  <c r="AO140" i="1" s="1"/>
  <c r="AM127" i="1"/>
  <c r="AO127" i="1" s="1"/>
  <c r="AN120" i="1"/>
  <c r="AM90" i="1"/>
  <c r="AO90" i="1" s="1"/>
  <c r="AN90" i="1"/>
  <c r="AM87" i="1"/>
  <c r="AO87" i="1" s="1"/>
  <c r="AN87" i="1"/>
  <c r="AM50" i="1"/>
  <c r="AO50" i="1" s="1"/>
  <c r="AN50" i="1"/>
  <c r="AM47" i="1"/>
  <c r="AO47" i="1" s="1"/>
  <c r="AN47" i="1"/>
  <c r="AM18" i="1"/>
  <c r="AO18" i="1" s="1"/>
  <c r="AN18" i="1"/>
  <c r="AM7" i="1"/>
  <c r="AO7" i="1" s="1"/>
  <c r="AN7" i="1"/>
  <c r="AN394" i="1"/>
  <c r="AN378" i="1"/>
  <c r="AN370" i="1"/>
  <c r="AN362" i="1"/>
  <c r="AN338" i="1"/>
  <c r="AN330" i="1"/>
  <c r="AN314" i="1"/>
  <c r="AN306" i="1"/>
  <c r="AN298" i="1"/>
  <c r="AN290" i="1"/>
  <c r="AN274" i="1"/>
  <c r="AN258" i="1"/>
  <c r="AN242" i="1"/>
  <c r="AM213" i="1"/>
  <c r="AO213" i="1" s="1"/>
  <c r="AN213" i="1"/>
  <c r="AM15" i="1"/>
  <c r="AO15" i="1" s="1"/>
  <c r="AN15" i="1"/>
  <c r="AM221" i="1"/>
  <c r="AO221" i="1" s="1"/>
  <c r="AN221" i="1"/>
  <c r="AN201" i="1"/>
  <c r="AN191" i="1"/>
  <c r="AN187" i="1"/>
  <c r="AN163" i="1"/>
  <c r="AM156" i="1"/>
  <c r="AO156" i="1" s="1"/>
  <c r="AM98" i="1"/>
  <c r="AO98" i="1" s="1"/>
  <c r="AN98" i="1"/>
  <c r="AM95" i="1"/>
  <c r="AO95" i="1" s="1"/>
  <c r="AN95" i="1"/>
  <c r="AM58" i="1"/>
  <c r="AO58" i="1" s="1"/>
  <c r="AN58" i="1"/>
  <c r="AM55" i="1"/>
  <c r="AO55" i="1" s="1"/>
  <c r="AN55" i="1"/>
  <c r="AM26" i="1"/>
  <c r="AO26" i="1" s="1"/>
  <c r="AN26" i="1"/>
  <c r="AG26" i="1" s="1"/>
  <c r="AM23" i="1"/>
  <c r="AO23" i="1" s="1"/>
  <c r="AN23" i="1"/>
  <c r="AN115" i="1"/>
  <c r="AN107" i="1"/>
  <c r="AN99" i="1"/>
  <c r="AN91" i="1"/>
  <c r="AN83" i="1"/>
  <c r="AN59" i="1"/>
  <c r="AN51" i="1"/>
  <c r="AN11" i="1"/>
  <c r="AN105" i="1"/>
  <c r="AN97" i="1"/>
  <c r="AN89" i="1"/>
  <c r="AN81" i="1"/>
  <c r="AN57" i="1"/>
  <c r="AN49" i="1"/>
  <c r="AN41" i="1"/>
  <c r="AN33" i="1"/>
  <c r="AN25" i="1"/>
  <c r="AN172" i="1"/>
  <c r="AN164" i="1"/>
  <c r="AN156" i="1"/>
  <c r="AN148" i="1"/>
  <c r="AN140" i="1"/>
  <c r="AN132" i="1"/>
  <c r="AN124" i="1"/>
  <c r="AN116" i="1"/>
  <c r="AN108" i="1"/>
  <c r="AN100" i="1"/>
  <c r="AN92" i="1"/>
  <c r="AN84" i="1"/>
  <c r="AN76" i="1"/>
  <c r="AN68" i="1"/>
  <c r="AN60" i="1"/>
  <c r="AN52" i="1"/>
  <c r="AN44" i="1"/>
  <c r="AN36" i="1"/>
  <c r="AN28" i="1"/>
  <c r="AN20" i="1"/>
  <c r="AN12" i="1"/>
  <c r="AN4" i="1"/>
  <c r="AC690" i="1" l="1"/>
  <c r="CD690" i="1" s="1"/>
  <c r="AD690" i="1"/>
  <c r="AE690" i="1"/>
  <c r="AJ690" i="1" s="1"/>
  <c r="AH690" i="1"/>
  <c r="AQ690" i="1"/>
  <c r="AR690" i="1" s="1"/>
  <c r="AS690" i="1"/>
  <c r="AT690" i="1"/>
  <c r="BE690" i="1"/>
  <c r="BF690" i="1" s="1"/>
  <c r="V696" i="1"/>
  <c r="V691" i="1"/>
  <c r="AF690" i="1" l="1"/>
  <c r="AI690" i="1"/>
  <c r="AG690" i="1"/>
  <c r="AS4" i="1" l="1"/>
  <c r="AS5" i="1"/>
  <c r="AS6" i="1"/>
  <c r="AS7" i="1"/>
  <c r="AS8" i="1"/>
  <c r="AS9" i="1"/>
  <c r="AS10" i="1"/>
  <c r="AS11" i="1"/>
  <c r="AS12" i="1"/>
  <c r="AS13" i="1"/>
  <c r="AS14" i="1"/>
  <c r="AS15" i="1"/>
  <c r="AS16" i="1"/>
  <c r="AS17" i="1"/>
  <c r="AS18" i="1"/>
  <c r="AS19" i="1"/>
  <c r="AS20" i="1"/>
  <c r="AS21" i="1"/>
  <c r="AS22" i="1"/>
  <c r="AS23" i="1"/>
  <c r="AS24" i="1"/>
  <c r="AS25" i="1"/>
  <c r="AS26" i="1"/>
  <c r="AS27" i="1"/>
  <c r="AS28" i="1"/>
  <c r="AS29" i="1"/>
  <c r="AS30" i="1"/>
  <c r="AS31" i="1"/>
  <c r="AS32" i="1"/>
  <c r="AS33" i="1"/>
  <c r="AS34" i="1"/>
  <c r="AS35" i="1"/>
  <c r="AS36" i="1"/>
  <c r="AS37" i="1"/>
  <c r="AS38" i="1"/>
  <c r="AS39" i="1"/>
  <c r="AS40" i="1"/>
  <c r="AS41" i="1"/>
  <c r="AS42" i="1"/>
  <c r="AS43" i="1"/>
  <c r="AS44" i="1"/>
  <c r="AS45" i="1"/>
  <c r="AS46" i="1"/>
  <c r="AS47" i="1"/>
  <c r="AS48" i="1"/>
  <c r="AS49" i="1"/>
  <c r="AS50" i="1"/>
  <c r="AS51" i="1"/>
  <c r="AS52" i="1"/>
  <c r="AS53" i="1"/>
  <c r="AS54" i="1"/>
  <c r="AS55" i="1"/>
  <c r="AS56" i="1"/>
  <c r="AS57" i="1"/>
  <c r="AS58" i="1"/>
  <c r="AS59" i="1"/>
  <c r="AS60" i="1"/>
  <c r="AS61" i="1"/>
  <c r="AS62" i="1"/>
  <c r="AS63" i="1"/>
  <c r="AS64" i="1"/>
  <c r="AS65" i="1"/>
  <c r="AS66" i="1"/>
  <c r="AS67" i="1"/>
  <c r="AS68" i="1"/>
  <c r="AS69" i="1"/>
  <c r="AS70" i="1"/>
  <c r="AS71" i="1"/>
  <c r="AS72" i="1"/>
  <c r="AS73" i="1"/>
  <c r="AS74" i="1"/>
  <c r="AS75" i="1"/>
  <c r="AS76" i="1"/>
  <c r="AS77" i="1"/>
  <c r="AS78" i="1"/>
  <c r="AS79" i="1"/>
  <c r="AS80" i="1"/>
  <c r="AS81" i="1"/>
  <c r="AS82" i="1"/>
  <c r="AS83" i="1"/>
  <c r="AS84" i="1"/>
  <c r="AS85" i="1"/>
  <c r="AS86" i="1"/>
  <c r="AS87" i="1"/>
  <c r="AS88" i="1"/>
  <c r="AS89" i="1"/>
  <c r="AS90" i="1"/>
  <c r="AS91" i="1"/>
  <c r="AS92" i="1"/>
  <c r="AS93" i="1"/>
  <c r="AS94" i="1"/>
  <c r="AS95" i="1"/>
  <c r="AS96" i="1"/>
  <c r="AS97" i="1"/>
  <c r="AS98" i="1"/>
  <c r="AS99" i="1"/>
  <c r="AS100" i="1"/>
  <c r="AS101" i="1"/>
  <c r="AS102" i="1"/>
  <c r="AS103" i="1"/>
  <c r="AS104" i="1"/>
  <c r="AS105" i="1"/>
  <c r="AS106" i="1"/>
  <c r="AS107" i="1"/>
  <c r="AS108" i="1"/>
  <c r="AS109" i="1"/>
  <c r="AS110" i="1"/>
  <c r="AS111" i="1"/>
  <c r="AS112" i="1"/>
  <c r="AS113" i="1"/>
  <c r="AS114" i="1"/>
  <c r="AS115" i="1"/>
  <c r="AS116" i="1"/>
  <c r="AS117" i="1"/>
  <c r="AS118" i="1"/>
  <c r="AS119" i="1"/>
  <c r="AS120" i="1"/>
  <c r="AS121" i="1"/>
  <c r="AS122" i="1"/>
  <c r="AS123" i="1"/>
  <c r="AS124" i="1"/>
  <c r="AS125" i="1"/>
  <c r="AS126" i="1"/>
  <c r="AS127" i="1"/>
  <c r="AS128" i="1"/>
  <c r="AS129" i="1"/>
  <c r="AS130" i="1"/>
  <c r="AS131" i="1"/>
  <c r="AS132" i="1"/>
  <c r="AS133" i="1"/>
  <c r="AS134" i="1"/>
  <c r="AS135" i="1"/>
  <c r="AS136" i="1"/>
  <c r="AS137" i="1"/>
  <c r="AS138" i="1"/>
  <c r="AS139" i="1"/>
  <c r="AS140" i="1"/>
  <c r="AS141" i="1"/>
  <c r="AS142" i="1"/>
  <c r="AS143" i="1"/>
  <c r="AS144" i="1"/>
  <c r="AS145" i="1"/>
  <c r="AS146" i="1"/>
  <c r="AS147" i="1"/>
  <c r="AS148" i="1"/>
  <c r="AS149" i="1"/>
  <c r="AS150" i="1"/>
  <c r="AS151" i="1"/>
  <c r="AS152" i="1"/>
  <c r="AS153" i="1"/>
  <c r="AS154" i="1"/>
  <c r="AS155" i="1"/>
  <c r="AS156" i="1"/>
  <c r="AS157" i="1"/>
  <c r="AS158" i="1"/>
  <c r="AS159" i="1"/>
  <c r="AS160" i="1"/>
  <c r="AS161" i="1"/>
  <c r="AS162" i="1"/>
  <c r="AS163" i="1"/>
  <c r="AS164" i="1"/>
  <c r="AS165" i="1"/>
  <c r="AS166" i="1"/>
  <c r="AS167" i="1"/>
  <c r="AS168" i="1"/>
  <c r="AS169" i="1"/>
  <c r="AS170" i="1"/>
  <c r="AS171" i="1"/>
  <c r="AS172" i="1"/>
  <c r="AS173" i="1"/>
  <c r="AS174" i="1"/>
  <c r="AS175" i="1"/>
  <c r="AS176" i="1"/>
  <c r="AS177" i="1"/>
  <c r="AS178" i="1"/>
  <c r="AS179" i="1"/>
  <c r="AS180" i="1"/>
  <c r="AS181" i="1"/>
  <c r="AS182" i="1"/>
  <c r="AS183" i="1"/>
  <c r="AS184" i="1"/>
  <c r="AS185" i="1"/>
  <c r="AS186" i="1"/>
  <c r="AS187" i="1"/>
  <c r="AS188" i="1"/>
  <c r="AS189" i="1"/>
  <c r="AS190" i="1"/>
  <c r="AS191" i="1"/>
  <c r="AS192" i="1"/>
  <c r="AS193" i="1"/>
  <c r="AS194" i="1"/>
  <c r="AS195" i="1"/>
  <c r="AS196" i="1"/>
  <c r="AS197" i="1"/>
  <c r="AS198" i="1"/>
  <c r="AS199" i="1"/>
  <c r="AS200" i="1"/>
  <c r="AS201" i="1"/>
  <c r="AS202" i="1"/>
  <c r="AS203" i="1"/>
  <c r="AS204" i="1"/>
  <c r="AS205" i="1"/>
  <c r="AS206" i="1"/>
  <c r="AS207" i="1"/>
  <c r="AS208" i="1"/>
  <c r="AS209" i="1"/>
  <c r="AS210" i="1"/>
  <c r="AS211" i="1"/>
  <c r="AS213" i="1"/>
  <c r="AS214" i="1"/>
  <c r="AS215" i="1"/>
  <c r="AS216" i="1"/>
  <c r="AS217" i="1"/>
  <c r="AS218" i="1"/>
  <c r="AS219" i="1"/>
  <c r="AS220" i="1"/>
  <c r="AS221" i="1"/>
  <c r="AS222" i="1"/>
  <c r="AS223" i="1"/>
  <c r="AS224" i="1"/>
  <c r="AS225" i="1"/>
  <c r="AS226" i="1"/>
  <c r="AS227" i="1"/>
  <c r="AS228" i="1"/>
  <c r="AS229" i="1"/>
  <c r="AS230" i="1"/>
  <c r="AS231" i="1"/>
  <c r="AS232" i="1"/>
  <c r="AS233" i="1"/>
  <c r="AS234" i="1"/>
  <c r="AS235" i="1"/>
  <c r="AS236" i="1"/>
  <c r="AS237" i="1"/>
  <c r="AS238" i="1"/>
  <c r="AS239" i="1"/>
  <c r="AS240" i="1"/>
  <c r="AS241" i="1"/>
  <c r="AS242" i="1"/>
  <c r="AS243" i="1"/>
  <c r="AS244" i="1"/>
  <c r="AS245" i="1"/>
  <c r="AS246" i="1"/>
  <c r="AS247" i="1"/>
  <c r="AS248" i="1"/>
  <c r="AS249" i="1"/>
  <c r="AS250" i="1"/>
  <c r="AS251" i="1"/>
  <c r="AS252" i="1"/>
  <c r="AS253" i="1"/>
  <c r="AS254" i="1"/>
  <c r="AS255" i="1"/>
  <c r="AS256" i="1"/>
  <c r="AS257" i="1"/>
  <c r="AS258" i="1"/>
  <c r="AS259" i="1"/>
  <c r="AS260" i="1"/>
  <c r="AS261" i="1"/>
  <c r="AS262" i="1"/>
  <c r="AS263" i="1"/>
  <c r="AS264" i="1"/>
  <c r="AS265" i="1"/>
  <c r="AS266" i="1"/>
  <c r="AS267" i="1"/>
  <c r="AS268" i="1"/>
  <c r="AS269" i="1"/>
  <c r="AS270" i="1"/>
  <c r="AS271" i="1"/>
  <c r="AS272" i="1"/>
  <c r="AS273" i="1"/>
  <c r="AS274" i="1"/>
  <c r="AS275" i="1"/>
  <c r="AS276" i="1"/>
  <c r="AS277" i="1"/>
  <c r="AS278" i="1"/>
  <c r="AS279" i="1"/>
  <c r="AS280" i="1"/>
  <c r="AS281" i="1"/>
  <c r="AS282" i="1"/>
  <c r="AS283" i="1"/>
  <c r="AS284" i="1"/>
  <c r="AS285" i="1"/>
  <c r="AS286" i="1"/>
  <c r="AS287" i="1"/>
  <c r="AS288" i="1"/>
  <c r="AS289" i="1"/>
  <c r="AS290" i="1"/>
  <c r="AS291" i="1"/>
  <c r="AS292" i="1"/>
  <c r="AS293" i="1"/>
  <c r="AS294" i="1"/>
  <c r="AS295" i="1"/>
  <c r="AS296" i="1"/>
  <c r="AS297" i="1"/>
  <c r="AS298" i="1"/>
  <c r="AS299" i="1"/>
  <c r="AS300" i="1"/>
  <c r="AS301" i="1"/>
  <c r="AS302" i="1"/>
  <c r="AS303" i="1"/>
  <c r="AS304" i="1"/>
  <c r="AS305" i="1"/>
  <c r="AS306" i="1"/>
  <c r="AS307" i="1"/>
  <c r="AS308" i="1"/>
  <c r="AS309" i="1"/>
  <c r="AS310" i="1"/>
  <c r="AS311" i="1"/>
  <c r="AS312" i="1"/>
  <c r="AS313" i="1"/>
  <c r="AS314" i="1"/>
  <c r="AS315" i="1"/>
  <c r="AS316" i="1"/>
  <c r="AS317" i="1"/>
  <c r="AS318" i="1"/>
  <c r="AS319" i="1"/>
  <c r="AS320" i="1"/>
  <c r="AS321" i="1"/>
  <c r="AS322" i="1"/>
  <c r="AS323" i="1"/>
  <c r="AS324" i="1"/>
  <c r="AS325" i="1"/>
  <c r="AS326" i="1"/>
  <c r="AS327" i="1"/>
  <c r="AS328" i="1"/>
  <c r="AS329" i="1"/>
  <c r="AS330" i="1"/>
  <c r="AS331" i="1"/>
  <c r="AS332" i="1"/>
  <c r="AS333" i="1"/>
  <c r="AS334" i="1"/>
  <c r="AS335" i="1"/>
  <c r="AS336" i="1"/>
  <c r="AS337" i="1"/>
  <c r="AS338" i="1"/>
  <c r="AS339" i="1"/>
  <c r="AS340" i="1"/>
  <c r="AS341" i="1"/>
  <c r="AS342" i="1"/>
  <c r="AS343" i="1"/>
  <c r="AS344" i="1"/>
  <c r="AS345" i="1"/>
  <c r="AS346" i="1"/>
  <c r="AS347" i="1"/>
  <c r="AS348" i="1"/>
  <c r="AS349" i="1"/>
  <c r="AS350" i="1"/>
  <c r="AS351" i="1"/>
  <c r="AS352" i="1"/>
  <c r="AS353" i="1"/>
  <c r="AS354" i="1"/>
  <c r="AS355" i="1"/>
  <c r="AS356" i="1"/>
  <c r="AS357" i="1"/>
  <c r="AS358" i="1"/>
  <c r="AS359" i="1"/>
  <c r="AS360" i="1"/>
  <c r="AS361" i="1"/>
  <c r="AS362" i="1"/>
  <c r="AS363" i="1"/>
  <c r="AS364" i="1"/>
  <c r="AS365" i="1"/>
  <c r="AS366" i="1"/>
  <c r="AS367" i="1"/>
  <c r="AS368" i="1"/>
  <c r="AS369" i="1"/>
  <c r="AS370" i="1"/>
  <c r="AS371" i="1"/>
  <c r="AS372" i="1"/>
  <c r="AS373" i="1"/>
  <c r="AS374" i="1"/>
  <c r="AS375" i="1"/>
  <c r="AS376" i="1"/>
  <c r="AS377" i="1"/>
  <c r="AS378" i="1"/>
  <c r="AS379" i="1"/>
  <c r="AS380" i="1"/>
  <c r="AS381" i="1"/>
  <c r="AS382" i="1"/>
  <c r="AS383" i="1"/>
  <c r="AS384" i="1"/>
  <c r="AS385" i="1"/>
  <c r="AS386" i="1"/>
  <c r="AS387" i="1"/>
  <c r="AS388" i="1"/>
  <c r="AS389" i="1"/>
  <c r="AS390" i="1"/>
  <c r="AS391" i="1"/>
  <c r="AS392" i="1"/>
  <c r="AS393" i="1"/>
  <c r="AS394" i="1"/>
  <c r="AS395" i="1"/>
  <c r="AS396" i="1"/>
  <c r="AS397" i="1"/>
  <c r="AS398" i="1"/>
  <c r="AS399" i="1"/>
  <c r="AS400" i="1"/>
  <c r="AS401" i="1"/>
  <c r="AS402" i="1"/>
  <c r="AS403" i="1"/>
  <c r="AS404" i="1"/>
  <c r="AS405" i="1"/>
  <c r="AS406" i="1"/>
  <c r="AS407" i="1"/>
  <c r="AS408" i="1"/>
  <c r="AS409" i="1"/>
  <c r="AS410" i="1"/>
  <c r="AS411" i="1"/>
  <c r="AS412" i="1"/>
  <c r="AS413" i="1"/>
  <c r="AS414" i="1"/>
  <c r="AS415" i="1"/>
  <c r="AS416" i="1"/>
  <c r="AS417" i="1"/>
  <c r="AS418" i="1"/>
  <c r="AS419" i="1"/>
  <c r="AS420" i="1"/>
  <c r="AS421" i="1"/>
  <c r="AS422" i="1"/>
  <c r="AS423" i="1"/>
  <c r="AS424" i="1"/>
  <c r="AS425" i="1"/>
  <c r="AS426" i="1"/>
  <c r="AS427" i="1"/>
  <c r="AS428" i="1"/>
  <c r="AS429" i="1"/>
  <c r="AS430" i="1"/>
  <c r="AS431" i="1"/>
  <c r="AS432" i="1"/>
  <c r="AS433" i="1"/>
  <c r="AS434" i="1"/>
  <c r="AS435" i="1"/>
  <c r="AS436" i="1"/>
  <c r="AS437" i="1"/>
  <c r="AS438" i="1"/>
  <c r="AS439" i="1"/>
  <c r="AS440" i="1"/>
  <c r="AS441" i="1"/>
  <c r="AS442" i="1"/>
  <c r="AS443" i="1"/>
  <c r="AS444" i="1"/>
  <c r="AS445" i="1"/>
  <c r="AS446" i="1"/>
  <c r="AS447" i="1"/>
  <c r="AS448" i="1"/>
  <c r="AS449" i="1"/>
  <c r="AS450" i="1"/>
  <c r="AS451" i="1"/>
  <c r="AS452" i="1"/>
  <c r="AS453" i="1"/>
  <c r="AS454" i="1"/>
  <c r="AS455" i="1"/>
  <c r="AS456" i="1"/>
  <c r="AS457" i="1"/>
  <c r="AS458" i="1"/>
  <c r="AS459" i="1"/>
  <c r="AS460" i="1"/>
  <c r="AS461" i="1"/>
  <c r="AS462" i="1"/>
  <c r="AS463" i="1"/>
  <c r="AS464" i="1"/>
  <c r="AS465" i="1"/>
  <c r="AS466" i="1"/>
  <c r="AS467" i="1"/>
  <c r="AS468" i="1"/>
  <c r="AS469" i="1"/>
  <c r="AS470" i="1"/>
  <c r="AS471" i="1"/>
  <c r="AS472" i="1"/>
  <c r="AS473" i="1"/>
  <c r="AS474" i="1"/>
  <c r="AS475" i="1"/>
  <c r="AS476" i="1"/>
  <c r="AS477" i="1"/>
  <c r="AS478" i="1"/>
  <c r="AS479" i="1"/>
  <c r="AS480" i="1"/>
  <c r="AS481" i="1"/>
  <c r="AS482" i="1"/>
  <c r="AS483" i="1"/>
  <c r="AS484" i="1"/>
  <c r="AS485" i="1"/>
  <c r="AS486" i="1"/>
  <c r="AS487" i="1"/>
  <c r="AS488" i="1"/>
  <c r="AS489" i="1"/>
  <c r="AS490" i="1"/>
  <c r="AS491" i="1"/>
  <c r="AS492" i="1"/>
  <c r="AS493" i="1"/>
  <c r="AS494" i="1"/>
  <c r="AS495" i="1"/>
  <c r="AS496" i="1"/>
  <c r="AS497" i="1"/>
  <c r="AS498" i="1"/>
  <c r="AS499" i="1"/>
  <c r="AS500" i="1"/>
  <c r="AS501" i="1"/>
  <c r="AS502" i="1"/>
  <c r="AS503" i="1"/>
  <c r="AS504" i="1"/>
  <c r="AS505" i="1"/>
  <c r="AS506" i="1"/>
  <c r="AS507" i="1"/>
  <c r="AS508" i="1"/>
  <c r="AS509" i="1"/>
  <c r="AS510" i="1"/>
  <c r="AS511" i="1"/>
  <c r="AS512" i="1"/>
  <c r="AS513" i="1"/>
  <c r="AS514" i="1"/>
  <c r="AS515" i="1"/>
  <c r="AS516" i="1"/>
  <c r="AS517" i="1"/>
  <c r="AS518" i="1"/>
  <c r="AS519" i="1"/>
  <c r="AS520" i="1"/>
  <c r="AS521" i="1"/>
  <c r="AS522" i="1"/>
  <c r="AS523" i="1"/>
  <c r="AS524" i="1"/>
  <c r="AS525" i="1"/>
  <c r="AS526" i="1"/>
  <c r="AS527" i="1"/>
  <c r="AS528" i="1"/>
  <c r="AS529" i="1"/>
  <c r="AS530" i="1"/>
  <c r="AS531" i="1"/>
  <c r="AS532" i="1"/>
  <c r="AS533" i="1"/>
  <c r="AS534" i="1"/>
  <c r="AS535" i="1"/>
  <c r="AS536" i="1"/>
  <c r="AS537" i="1"/>
  <c r="AS538" i="1"/>
  <c r="AS539" i="1"/>
  <c r="AS540" i="1"/>
  <c r="AS541" i="1"/>
  <c r="AS542" i="1"/>
  <c r="AS543" i="1"/>
  <c r="AS544" i="1"/>
  <c r="AS545" i="1"/>
  <c r="AS546" i="1"/>
  <c r="AS547" i="1"/>
  <c r="AS548" i="1"/>
  <c r="AS549" i="1"/>
  <c r="AS550" i="1"/>
  <c r="AS551" i="1"/>
  <c r="AS552" i="1"/>
  <c r="AS553" i="1"/>
  <c r="AS554" i="1"/>
  <c r="AS555" i="1"/>
  <c r="AS556" i="1"/>
  <c r="AS557" i="1"/>
  <c r="AS558" i="1"/>
  <c r="AS559" i="1"/>
  <c r="AS560" i="1"/>
  <c r="AS561" i="1"/>
  <c r="AS562" i="1"/>
  <c r="AS563" i="1"/>
  <c r="AS564" i="1"/>
  <c r="AS565" i="1"/>
  <c r="AS566" i="1"/>
  <c r="AS567" i="1"/>
  <c r="AS568" i="1"/>
  <c r="AS569" i="1"/>
  <c r="AS570" i="1"/>
  <c r="AS571" i="1"/>
  <c r="AS572" i="1"/>
  <c r="AS573" i="1"/>
  <c r="AS574" i="1"/>
  <c r="AS575" i="1"/>
  <c r="AS576" i="1"/>
  <c r="AS577" i="1"/>
  <c r="AS578" i="1"/>
  <c r="AS579" i="1"/>
  <c r="AS580" i="1"/>
  <c r="AS581" i="1"/>
  <c r="AS582" i="1"/>
  <c r="AS583" i="1"/>
  <c r="AS584" i="1"/>
  <c r="AS585" i="1"/>
  <c r="AS586" i="1"/>
  <c r="AS587" i="1"/>
  <c r="AS588" i="1"/>
  <c r="AS589" i="1"/>
  <c r="AS590" i="1"/>
  <c r="AS591" i="1"/>
  <c r="AS592" i="1"/>
  <c r="AS593" i="1"/>
  <c r="AS594" i="1"/>
  <c r="AS595" i="1"/>
  <c r="AS596" i="1"/>
  <c r="AS597" i="1"/>
  <c r="AS598" i="1"/>
  <c r="AS599" i="1"/>
  <c r="AS600" i="1"/>
  <c r="AS601" i="1"/>
  <c r="AS602" i="1"/>
  <c r="AS603" i="1"/>
  <c r="AS604" i="1"/>
  <c r="AS605" i="1"/>
  <c r="AS606" i="1"/>
  <c r="AS607" i="1"/>
  <c r="AS608" i="1"/>
  <c r="AS609" i="1"/>
  <c r="AS610" i="1"/>
  <c r="AS611" i="1"/>
  <c r="AS612" i="1"/>
  <c r="AS613" i="1"/>
  <c r="AS614" i="1"/>
  <c r="AS615" i="1"/>
  <c r="AS616" i="1"/>
  <c r="AS617" i="1"/>
  <c r="AS618" i="1"/>
  <c r="AS619" i="1"/>
  <c r="AS620" i="1"/>
  <c r="AS621" i="1"/>
  <c r="AS622" i="1"/>
  <c r="AS623" i="1"/>
  <c r="AS624" i="1"/>
  <c r="AS626" i="1"/>
  <c r="AS628" i="1"/>
  <c r="AS629" i="1"/>
  <c r="AS630" i="1"/>
  <c r="AS212" i="1"/>
  <c r="AS631" i="1"/>
  <c r="AS632" i="1"/>
  <c r="AS634" i="1"/>
  <c r="AS635" i="1"/>
  <c r="AS636" i="1"/>
  <c r="AS637" i="1"/>
  <c r="AS638" i="1"/>
  <c r="AS639" i="1"/>
  <c r="AS641" i="1"/>
  <c r="AS645" i="1"/>
  <c r="AS643" i="1"/>
  <c r="AS642" i="1"/>
  <c r="AS644" i="1"/>
  <c r="AS640" i="1"/>
  <c r="AS650" i="1"/>
  <c r="AS649" i="1"/>
  <c r="AS648" i="1"/>
  <c r="AS646" i="1"/>
  <c r="AS647" i="1"/>
  <c r="AS652" i="1"/>
  <c r="AS651" i="1"/>
  <c r="AS657" i="1"/>
  <c r="AS654" i="1"/>
  <c r="AS653" i="1"/>
  <c r="AS655" i="1"/>
  <c r="AS656" i="1"/>
  <c r="AS633" i="1"/>
  <c r="AS625" i="1"/>
  <c r="AS627" i="1"/>
  <c r="AS658" i="1"/>
  <c r="AS660" i="1"/>
  <c r="AS661" i="1"/>
  <c r="AS662" i="1"/>
  <c r="AS663" i="1"/>
  <c r="AS664" i="1"/>
  <c r="AS665" i="1"/>
  <c r="AS666" i="1"/>
  <c r="AS667" i="1"/>
  <c r="AS659" i="1"/>
  <c r="AS673" i="1"/>
  <c r="AS675" i="1"/>
  <c r="AS671" i="1"/>
  <c r="AS672" i="1"/>
  <c r="AS668" i="1"/>
  <c r="AS669" i="1"/>
  <c r="AS670" i="1"/>
  <c r="AS674" i="1"/>
  <c r="AS676" i="1"/>
  <c r="AS682" i="1"/>
  <c r="AS677" i="1"/>
  <c r="AS678" i="1"/>
  <c r="AS679" i="1"/>
  <c r="AS681" i="1"/>
  <c r="AS680" i="1"/>
  <c r="AS683" i="1"/>
  <c r="AS684" i="1"/>
  <c r="AS687" i="1"/>
  <c r="AS686" i="1"/>
  <c r="AS688" i="1"/>
  <c r="AS685" i="1"/>
  <c r="AS689" i="1"/>
  <c r="AS3" i="1"/>
  <c r="AL9" i="4"/>
  <c r="AM12" i="4"/>
  <c r="AM13" i="4"/>
  <c r="AM14" i="4"/>
  <c r="AM15" i="4"/>
  <c r="AM16" i="4"/>
  <c r="AM17" i="4"/>
  <c r="AM11" i="4"/>
  <c r="CJ4" i="1"/>
  <c r="CJ5" i="1"/>
  <c r="CJ6" i="1"/>
  <c r="CJ7" i="1"/>
  <c r="CJ8" i="1"/>
  <c r="CJ9" i="1"/>
  <c r="CJ10" i="1"/>
  <c r="CJ11" i="1"/>
  <c r="CJ12" i="1"/>
  <c r="CJ13" i="1"/>
  <c r="CJ14" i="1"/>
  <c r="CJ15" i="1"/>
  <c r="CJ16" i="1"/>
  <c r="CJ17" i="1"/>
  <c r="CJ18" i="1"/>
  <c r="CJ19" i="1"/>
  <c r="CJ20" i="1"/>
  <c r="CJ21" i="1"/>
  <c r="CJ22" i="1"/>
  <c r="CJ23" i="1"/>
  <c r="CJ24" i="1"/>
  <c r="CJ25" i="1"/>
  <c r="CJ26" i="1"/>
  <c r="CJ27" i="1"/>
  <c r="CJ28" i="1"/>
  <c r="CJ29" i="1"/>
  <c r="CJ30" i="1"/>
  <c r="CJ31" i="1"/>
  <c r="CJ32" i="1"/>
  <c r="CJ33" i="1"/>
  <c r="CJ34" i="1"/>
  <c r="CJ35" i="1"/>
  <c r="CJ36" i="1"/>
  <c r="CJ37" i="1"/>
  <c r="CJ38" i="1"/>
  <c r="CJ39" i="1"/>
  <c r="CJ40" i="1"/>
  <c r="CJ41" i="1"/>
  <c r="CJ42" i="1"/>
  <c r="CJ43" i="1"/>
  <c r="CJ44" i="1"/>
  <c r="CJ45" i="1"/>
  <c r="CJ46" i="1"/>
  <c r="CJ47" i="1"/>
  <c r="CJ48" i="1"/>
  <c r="CJ49" i="1"/>
  <c r="CJ50" i="1"/>
  <c r="CJ51" i="1"/>
  <c r="CJ52" i="1"/>
  <c r="CJ53" i="1"/>
  <c r="CJ54" i="1"/>
  <c r="CJ55" i="1"/>
  <c r="CJ56" i="1"/>
  <c r="CJ57" i="1"/>
  <c r="CJ58" i="1"/>
  <c r="CJ59" i="1"/>
  <c r="CJ60" i="1"/>
  <c r="CJ61" i="1"/>
  <c r="CJ62" i="1"/>
  <c r="CJ63" i="1"/>
  <c r="CJ64" i="1"/>
  <c r="CJ65" i="1"/>
  <c r="CJ66" i="1"/>
  <c r="CJ67" i="1"/>
  <c r="CJ68" i="1"/>
  <c r="CJ69" i="1"/>
  <c r="CJ70" i="1"/>
  <c r="CJ71" i="1"/>
  <c r="CJ72" i="1"/>
  <c r="CJ73" i="1"/>
  <c r="CJ74" i="1"/>
  <c r="CJ75" i="1"/>
  <c r="CJ76" i="1"/>
  <c r="CJ77" i="1"/>
  <c r="CJ78" i="1"/>
  <c r="CJ79" i="1"/>
  <c r="CJ80" i="1"/>
  <c r="CJ81" i="1"/>
  <c r="CJ82" i="1"/>
  <c r="CJ83" i="1"/>
  <c r="CJ84" i="1"/>
  <c r="CJ85" i="1"/>
  <c r="CJ86" i="1"/>
  <c r="CJ87" i="1"/>
  <c r="CJ88" i="1"/>
  <c r="CJ89" i="1"/>
  <c r="CJ90" i="1"/>
  <c r="CJ91" i="1"/>
  <c r="CJ92" i="1"/>
  <c r="CJ93" i="1"/>
  <c r="CJ94" i="1"/>
  <c r="CJ95" i="1"/>
  <c r="CJ96" i="1"/>
  <c r="CJ97" i="1"/>
  <c r="CJ98" i="1"/>
  <c r="CJ99" i="1"/>
  <c r="CJ100" i="1"/>
  <c r="CJ101" i="1"/>
  <c r="CJ102" i="1"/>
  <c r="CJ103" i="1"/>
  <c r="CJ104" i="1"/>
  <c r="CJ105" i="1"/>
  <c r="CJ106" i="1"/>
  <c r="CJ107" i="1"/>
  <c r="CJ108" i="1"/>
  <c r="CJ109" i="1"/>
  <c r="CJ110" i="1"/>
  <c r="CJ111" i="1"/>
  <c r="CJ112" i="1"/>
  <c r="CJ113" i="1"/>
  <c r="CJ114" i="1"/>
  <c r="CJ115" i="1"/>
  <c r="CJ116" i="1"/>
  <c r="CJ117" i="1"/>
  <c r="CJ118" i="1"/>
  <c r="CJ119" i="1"/>
  <c r="CJ120" i="1"/>
  <c r="CJ121" i="1"/>
  <c r="CJ122" i="1"/>
  <c r="CJ123" i="1"/>
  <c r="CJ124" i="1"/>
  <c r="CJ125" i="1"/>
  <c r="CJ126" i="1"/>
  <c r="CJ127" i="1"/>
  <c r="CJ128" i="1"/>
  <c r="CJ129" i="1"/>
  <c r="CJ130" i="1"/>
  <c r="CJ131" i="1"/>
  <c r="CJ132" i="1"/>
  <c r="CJ133" i="1"/>
  <c r="CJ134" i="1"/>
  <c r="CJ135" i="1"/>
  <c r="CJ136" i="1"/>
  <c r="CJ137" i="1"/>
  <c r="CJ138" i="1"/>
  <c r="CJ139" i="1"/>
  <c r="CJ140" i="1"/>
  <c r="CJ142" i="1"/>
  <c r="CJ143" i="1"/>
  <c r="CJ144" i="1"/>
  <c r="CJ145" i="1"/>
  <c r="CJ146" i="1"/>
  <c r="CJ147" i="1"/>
  <c r="CJ148" i="1"/>
  <c r="CJ149" i="1"/>
  <c r="CJ150" i="1"/>
  <c r="CJ151" i="1"/>
  <c r="CJ152" i="1"/>
  <c r="CJ153" i="1"/>
  <c r="CJ154" i="1"/>
  <c r="CJ155" i="1"/>
  <c r="CJ156" i="1"/>
  <c r="CJ157" i="1"/>
  <c r="CJ158" i="1"/>
  <c r="CJ159" i="1"/>
  <c r="CJ160" i="1"/>
  <c r="CJ161" i="1"/>
  <c r="CJ162" i="1"/>
  <c r="CJ163" i="1"/>
  <c r="CJ164" i="1"/>
  <c r="CJ165" i="1"/>
  <c r="CJ166" i="1"/>
  <c r="CJ167" i="1"/>
  <c r="CJ168" i="1"/>
  <c r="CJ169" i="1"/>
  <c r="CJ170" i="1"/>
  <c r="CJ171" i="1"/>
  <c r="CJ172" i="1"/>
  <c r="CJ173" i="1"/>
  <c r="CJ174" i="1"/>
  <c r="CJ175" i="1"/>
  <c r="CJ176" i="1"/>
  <c r="CJ177" i="1"/>
  <c r="CJ178" i="1"/>
  <c r="CJ179" i="1"/>
  <c r="CJ180" i="1"/>
  <c r="CJ181" i="1"/>
  <c r="CJ182" i="1"/>
  <c r="CJ183" i="1"/>
  <c r="CJ184" i="1"/>
  <c r="CJ185" i="1"/>
  <c r="CJ186" i="1"/>
  <c r="CJ187" i="1"/>
  <c r="CJ188" i="1"/>
  <c r="CJ189" i="1"/>
  <c r="CJ190" i="1"/>
  <c r="CJ191" i="1"/>
  <c r="CJ192" i="1"/>
  <c r="CJ193" i="1"/>
  <c r="CJ194" i="1"/>
  <c r="CJ195" i="1"/>
  <c r="CJ196" i="1"/>
  <c r="CJ197" i="1"/>
  <c r="CJ198" i="1"/>
  <c r="CJ199" i="1"/>
  <c r="CJ200" i="1"/>
  <c r="CJ201" i="1"/>
  <c r="CJ202" i="1"/>
  <c r="CJ203" i="1"/>
  <c r="CJ204" i="1"/>
  <c r="CJ205" i="1"/>
  <c r="CJ206" i="1"/>
  <c r="CJ207" i="1"/>
  <c r="CJ208" i="1"/>
  <c r="CJ209" i="1"/>
  <c r="CJ210" i="1"/>
  <c r="CJ211" i="1"/>
  <c r="CJ213" i="1"/>
  <c r="CJ214" i="1"/>
  <c r="AL14" i="4" s="1"/>
  <c r="CJ215" i="1"/>
  <c r="CJ216" i="1"/>
  <c r="CJ217" i="1"/>
  <c r="CJ218" i="1"/>
  <c r="CJ219" i="1"/>
  <c r="CJ220" i="1"/>
  <c r="CJ221" i="1"/>
  <c r="CJ222" i="1"/>
  <c r="CJ223" i="1"/>
  <c r="CJ224" i="1"/>
  <c r="CJ225" i="1"/>
  <c r="CJ226" i="1"/>
  <c r="CJ227" i="1"/>
  <c r="CJ228" i="1"/>
  <c r="CJ229" i="1"/>
  <c r="CJ230" i="1"/>
  <c r="CJ231" i="1"/>
  <c r="CJ232" i="1"/>
  <c r="CJ233" i="1"/>
  <c r="CJ234" i="1"/>
  <c r="CJ235" i="1"/>
  <c r="CJ236" i="1"/>
  <c r="CJ237" i="1"/>
  <c r="CJ238" i="1"/>
  <c r="CJ239" i="1"/>
  <c r="CJ240" i="1"/>
  <c r="CJ241" i="1"/>
  <c r="CJ242" i="1"/>
  <c r="CJ243" i="1"/>
  <c r="CJ244" i="1"/>
  <c r="CJ245" i="1"/>
  <c r="CJ246" i="1"/>
  <c r="CJ247" i="1"/>
  <c r="CJ248" i="1"/>
  <c r="CJ249" i="1"/>
  <c r="CJ250" i="1"/>
  <c r="CJ251" i="1"/>
  <c r="CJ252" i="1"/>
  <c r="CJ253" i="1"/>
  <c r="CJ254" i="1"/>
  <c r="CJ255" i="1"/>
  <c r="CJ256" i="1"/>
  <c r="CJ257" i="1"/>
  <c r="CJ258" i="1"/>
  <c r="CJ259" i="1"/>
  <c r="CJ260" i="1"/>
  <c r="CJ261" i="1"/>
  <c r="CJ262" i="1"/>
  <c r="CJ263" i="1"/>
  <c r="CJ264" i="1"/>
  <c r="CJ265" i="1"/>
  <c r="CJ266" i="1"/>
  <c r="CJ267" i="1"/>
  <c r="CJ268" i="1"/>
  <c r="CJ269" i="1"/>
  <c r="CJ270" i="1"/>
  <c r="CJ271" i="1"/>
  <c r="CJ272" i="1"/>
  <c r="CJ273" i="1"/>
  <c r="CJ274" i="1"/>
  <c r="CJ275" i="1"/>
  <c r="CJ276" i="1"/>
  <c r="CJ277" i="1"/>
  <c r="CJ278" i="1"/>
  <c r="CJ279" i="1"/>
  <c r="CJ280" i="1"/>
  <c r="CJ281" i="1"/>
  <c r="CJ282" i="1"/>
  <c r="CJ283" i="1"/>
  <c r="CJ284" i="1"/>
  <c r="CJ285" i="1"/>
  <c r="CJ286" i="1"/>
  <c r="CJ287" i="1"/>
  <c r="CJ288" i="1"/>
  <c r="CJ289" i="1"/>
  <c r="CJ290" i="1"/>
  <c r="CJ291" i="1"/>
  <c r="CJ292" i="1"/>
  <c r="CJ293" i="1"/>
  <c r="CJ294" i="1"/>
  <c r="CJ295" i="1"/>
  <c r="CJ296" i="1"/>
  <c r="CJ297" i="1"/>
  <c r="CJ298" i="1"/>
  <c r="CJ299" i="1"/>
  <c r="CJ300" i="1"/>
  <c r="CJ301" i="1"/>
  <c r="CJ302" i="1"/>
  <c r="CJ303" i="1"/>
  <c r="CJ304" i="1"/>
  <c r="CJ305" i="1"/>
  <c r="CJ306" i="1"/>
  <c r="CJ307" i="1"/>
  <c r="CJ308" i="1"/>
  <c r="CJ309" i="1"/>
  <c r="CJ310" i="1"/>
  <c r="CJ311" i="1"/>
  <c r="CJ312" i="1"/>
  <c r="CJ313" i="1"/>
  <c r="CJ314" i="1"/>
  <c r="CJ315" i="1"/>
  <c r="CJ316" i="1"/>
  <c r="CJ317" i="1"/>
  <c r="CJ318" i="1"/>
  <c r="CJ319" i="1"/>
  <c r="CJ320" i="1"/>
  <c r="CJ321" i="1"/>
  <c r="CJ322" i="1"/>
  <c r="CJ323" i="1"/>
  <c r="CJ324" i="1"/>
  <c r="CJ325" i="1"/>
  <c r="CJ326" i="1"/>
  <c r="CJ327" i="1"/>
  <c r="CJ328" i="1"/>
  <c r="CJ329" i="1"/>
  <c r="CJ330" i="1"/>
  <c r="CJ331" i="1"/>
  <c r="CJ332" i="1"/>
  <c r="CJ333" i="1"/>
  <c r="CJ334" i="1"/>
  <c r="CJ335" i="1"/>
  <c r="CJ336" i="1"/>
  <c r="CJ337" i="1"/>
  <c r="CJ338" i="1"/>
  <c r="CJ339" i="1"/>
  <c r="CJ340" i="1"/>
  <c r="CJ341" i="1"/>
  <c r="CJ342" i="1"/>
  <c r="CJ343" i="1"/>
  <c r="CJ344" i="1"/>
  <c r="CJ345" i="1"/>
  <c r="CJ346" i="1"/>
  <c r="CJ347" i="1"/>
  <c r="CJ348" i="1"/>
  <c r="CJ349" i="1"/>
  <c r="CJ350" i="1"/>
  <c r="CJ351" i="1"/>
  <c r="CJ352" i="1"/>
  <c r="CJ353" i="1"/>
  <c r="CJ354" i="1"/>
  <c r="CJ355" i="1"/>
  <c r="CJ356" i="1"/>
  <c r="CJ357" i="1"/>
  <c r="CJ358" i="1"/>
  <c r="CJ359" i="1"/>
  <c r="CJ360" i="1"/>
  <c r="CJ361" i="1"/>
  <c r="CJ362" i="1"/>
  <c r="CJ363" i="1"/>
  <c r="CJ364" i="1"/>
  <c r="CJ365" i="1"/>
  <c r="CJ366" i="1"/>
  <c r="CJ367" i="1"/>
  <c r="CJ368" i="1"/>
  <c r="CJ369" i="1"/>
  <c r="CJ370" i="1"/>
  <c r="CJ371" i="1"/>
  <c r="CJ372" i="1"/>
  <c r="CJ373" i="1"/>
  <c r="CJ374" i="1"/>
  <c r="CJ375" i="1"/>
  <c r="CJ376" i="1"/>
  <c r="CJ377" i="1"/>
  <c r="CJ378" i="1"/>
  <c r="CJ379" i="1"/>
  <c r="CJ380" i="1"/>
  <c r="CJ381" i="1"/>
  <c r="CJ382" i="1"/>
  <c r="CJ383" i="1"/>
  <c r="CJ384" i="1"/>
  <c r="CJ385" i="1"/>
  <c r="CJ386" i="1"/>
  <c r="CJ387" i="1"/>
  <c r="CJ388" i="1"/>
  <c r="CJ389" i="1"/>
  <c r="CJ390" i="1"/>
  <c r="CJ391" i="1"/>
  <c r="CJ392" i="1"/>
  <c r="CJ393" i="1"/>
  <c r="CJ394" i="1"/>
  <c r="CJ395" i="1"/>
  <c r="CJ396" i="1"/>
  <c r="CJ397" i="1"/>
  <c r="CJ398" i="1"/>
  <c r="CJ399" i="1"/>
  <c r="CJ400" i="1"/>
  <c r="CJ401" i="1"/>
  <c r="CJ402" i="1"/>
  <c r="CJ403" i="1"/>
  <c r="CJ404" i="1"/>
  <c r="CJ405" i="1"/>
  <c r="CJ406" i="1"/>
  <c r="CJ407" i="1"/>
  <c r="CJ408" i="1"/>
  <c r="CJ409" i="1"/>
  <c r="CJ410" i="1"/>
  <c r="CJ411" i="1"/>
  <c r="CJ412" i="1"/>
  <c r="CJ413" i="1"/>
  <c r="CJ414" i="1"/>
  <c r="CJ415" i="1"/>
  <c r="CJ416" i="1"/>
  <c r="CJ417" i="1"/>
  <c r="CJ418" i="1"/>
  <c r="CJ419" i="1"/>
  <c r="CJ420" i="1"/>
  <c r="CJ421" i="1"/>
  <c r="CJ422" i="1"/>
  <c r="CJ423" i="1"/>
  <c r="CJ424" i="1"/>
  <c r="CJ425" i="1"/>
  <c r="CJ426" i="1"/>
  <c r="CJ427" i="1"/>
  <c r="CJ428" i="1"/>
  <c r="CJ429" i="1"/>
  <c r="CJ430" i="1"/>
  <c r="CJ431" i="1"/>
  <c r="CJ432" i="1"/>
  <c r="CJ433" i="1"/>
  <c r="CJ434" i="1"/>
  <c r="CJ435" i="1"/>
  <c r="CJ436" i="1"/>
  <c r="CJ437" i="1"/>
  <c r="CJ438" i="1"/>
  <c r="CJ439" i="1"/>
  <c r="CJ440" i="1"/>
  <c r="CJ441" i="1"/>
  <c r="CJ442" i="1"/>
  <c r="AL17" i="4" s="1"/>
  <c r="CJ443" i="1"/>
  <c r="CJ444" i="1"/>
  <c r="CJ445" i="1"/>
  <c r="CJ446" i="1"/>
  <c r="CJ447" i="1"/>
  <c r="CJ448" i="1"/>
  <c r="CJ449" i="1"/>
  <c r="CJ450" i="1"/>
  <c r="CJ451" i="1"/>
  <c r="CJ452" i="1"/>
  <c r="CJ453" i="1"/>
  <c r="CJ454" i="1"/>
  <c r="CJ455" i="1"/>
  <c r="CJ456" i="1"/>
  <c r="CJ457" i="1"/>
  <c r="CJ458" i="1"/>
  <c r="CJ459" i="1"/>
  <c r="CJ460" i="1"/>
  <c r="CJ461" i="1"/>
  <c r="CJ462" i="1"/>
  <c r="CJ463" i="1"/>
  <c r="CJ464" i="1"/>
  <c r="CJ465" i="1"/>
  <c r="CJ466" i="1"/>
  <c r="CJ467" i="1"/>
  <c r="CJ468" i="1"/>
  <c r="CJ469" i="1"/>
  <c r="CJ470" i="1"/>
  <c r="CJ471" i="1"/>
  <c r="CJ472" i="1"/>
  <c r="CJ473" i="1"/>
  <c r="CJ474" i="1"/>
  <c r="CJ475" i="1"/>
  <c r="CJ476" i="1"/>
  <c r="CJ477" i="1"/>
  <c r="CJ478" i="1"/>
  <c r="CJ479" i="1"/>
  <c r="CJ480" i="1"/>
  <c r="CJ481" i="1"/>
  <c r="CJ482" i="1"/>
  <c r="CJ483" i="1"/>
  <c r="CJ484" i="1"/>
  <c r="CJ485" i="1"/>
  <c r="CJ486" i="1"/>
  <c r="CJ487" i="1"/>
  <c r="X52" i="4"/>
  <c r="Y52" i="4"/>
  <c r="V52" i="4"/>
  <c r="X50" i="4"/>
  <c r="X51" i="4"/>
  <c r="X53" i="4"/>
  <c r="X54" i="4"/>
  <c r="X55" i="4"/>
  <c r="X56" i="4"/>
  <c r="V50" i="4"/>
  <c r="V51" i="4"/>
  <c r="V53" i="4"/>
  <c r="V54" i="4"/>
  <c r="V55" i="4"/>
  <c r="V56" i="4"/>
  <c r="T50" i="4"/>
  <c r="T51" i="4"/>
  <c r="T53" i="4"/>
  <c r="T54" i="4"/>
  <c r="T55" i="4"/>
  <c r="T56" i="4"/>
  <c r="V49" i="4"/>
  <c r="Q49" i="4"/>
  <c r="X49" i="4"/>
  <c r="T49" i="4"/>
  <c r="AK17" i="4" l="1"/>
  <c r="AK16" i="4"/>
  <c r="AL11" i="4"/>
  <c r="AL12" i="4"/>
  <c r="AL16" i="4"/>
  <c r="CJ688" i="1"/>
  <c r="CJ678" i="1"/>
  <c r="CJ672" i="1"/>
  <c r="CJ664" i="1"/>
  <c r="CJ633" i="1"/>
  <c r="CJ647" i="1"/>
  <c r="CJ643" i="1"/>
  <c r="CJ634" i="1"/>
  <c r="CJ624" i="1"/>
  <c r="CG624" i="1"/>
  <c r="CJ616" i="1"/>
  <c r="CJ608" i="1"/>
  <c r="CJ600" i="1"/>
  <c r="CJ592" i="1"/>
  <c r="CJ584" i="1"/>
  <c r="CJ576" i="1"/>
  <c r="CJ568" i="1"/>
  <c r="CJ560" i="1"/>
  <c r="CJ552" i="1"/>
  <c r="CJ544" i="1"/>
  <c r="CJ536" i="1"/>
  <c r="CJ528" i="1"/>
  <c r="CJ520" i="1"/>
  <c r="CJ512" i="1"/>
  <c r="CJ504" i="1"/>
  <c r="CJ496" i="1"/>
  <c r="CJ488" i="1"/>
  <c r="CJ686" i="1"/>
  <c r="CJ677" i="1"/>
  <c r="CJ671" i="1"/>
  <c r="CJ663" i="1"/>
  <c r="CJ656" i="1"/>
  <c r="CJ646" i="1"/>
  <c r="CJ645" i="1"/>
  <c r="CJ632" i="1"/>
  <c r="CJ623" i="1"/>
  <c r="CG623" i="1"/>
  <c r="CJ615" i="1"/>
  <c r="CJ607" i="1"/>
  <c r="CJ599" i="1"/>
  <c r="CJ591" i="1"/>
  <c r="CJ583" i="1"/>
  <c r="CG583" i="1"/>
  <c r="CJ575" i="1"/>
  <c r="CJ567" i="1"/>
  <c r="CJ559" i="1"/>
  <c r="CJ551" i="1"/>
  <c r="CJ543" i="1"/>
  <c r="CJ535" i="1"/>
  <c r="CJ527" i="1"/>
  <c r="CG527" i="1"/>
  <c r="CJ519" i="1"/>
  <c r="CJ511" i="1"/>
  <c r="CJ503" i="1"/>
  <c r="CJ495" i="1"/>
  <c r="CJ687" i="1"/>
  <c r="CJ682" i="1"/>
  <c r="CJ675" i="1"/>
  <c r="CJ662" i="1"/>
  <c r="CJ655" i="1"/>
  <c r="CJ648" i="1"/>
  <c r="CJ641" i="1"/>
  <c r="CJ631" i="1"/>
  <c r="CJ622" i="1"/>
  <c r="CJ614" i="1"/>
  <c r="CJ606" i="1"/>
  <c r="CJ598" i="1"/>
  <c r="CJ590" i="1"/>
  <c r="CJ582" i="1"/>
  <c r="CJ574" i="1"/>
  <c r="CJ566" i="1"/>
  <c r="CJ558" i="1"/>
  <c r="CJ550" i="1"/>
  <c r="CJ542" i="1"/>
  <c r="CJ534" i="1"/>
  <c r="CJ526" i="1"/>
  <c r="CJ518" i="1"/>
  <c r="CJ510" i="1"/>
  <c r="CJ502" i="1"/>
  <c r="CJ494" i="1"/>
  <c r="CJ684" i="1"/>
  <c r="CJ676" i="1"/>
  <c r="CJ673" i="1"/>
  <c r="CJ661" i="1"/>
  <c r="CJ653" i="1"/>
  <c r="CJ649" i="1"/>
  <c r="CJ639" i="1"/>
  <c r="CJ212" i="1"/>
  <c r="CJ621" i="1"/>
  <c r="CJ613" i="1"/>
  <c r="CJ605" i="1"/>
  <c r="CJ597" i="1"/>
  <c r="CJ589" i="1"/>
  <c r="CJ581" i="1"/>
  <c r="CJ573" i="1"/>
  <c r="CJ565" i="1"/>
  <c r="AL15" i="4" s="1"/>
  <c r="CG565" i="1"/>
  <c r="CJ557" i="1"/>
  <c r="CJ549" i="1"/>
  <c r="CJ541" i="1"/>
  <c r="CJ533" i="1"/>
  <c r="CJ525" i="1"/>
  <c r="CG525" i="1"/>
  <c r="CJ517" i="1"/>
  <c r="CJ509" i="1"/>
  <c r="CJ501" i="1"/>
  <c r="CJ493" i="1"/>
  <c r="CJ3" i="1"/>
  <c r="CJ683" i="1"/>
  <c r="CJ674" i="1"/>
  <c r="CJ659" i="1"/>
  <c r="CJ660" i="1"/>
  <c r="CJ654" i="1"/>
  <c r="CJ650" i="1"/>
  <c r="CJ638" i="1"/>
  <c r="CJ630" i="1"/>
  <c r="CJ620" i="1"/>
  <c r="CJ612" i="1"/>
  <c r="CJ604" i="1"/>
  <c r="CJ596" i="1"/>
  <c r="CJ588" i="1"/>
  <c r="CJ580" i="1"/>
  <c r="CJ572" i="1"/>
  <c r="CJ564" i="1"/>
  <c r="CJ556" i="1"/>
  <c r="CJ548" i="1"/>
  <c r="CJ540" i="1"/>
  <c r="CJ532" i="1"/>
  <c r="CJ524" i="1"/>
  <c r="CJ516" i="1"/>
  <c r="CJ508" i="1"/>
  <c r="CJ500" i="1"/>
  <c r="CJ492" i="1"/>
  <c r="AL13" i="4" s="1"/>
  <c r="CJ680" i="1"/>
  <c r="CJ670" i="1"/>
  <c r="CJ667" i="1"/>
  <c r="CJ658" i="1"/>
  <c r="CJ657" i="1"/>
  <c r="CJ640" i="1"/>
  <c r="CJ637" i="1"/>
  <c r="CJ629" i="1"/>
  <c r="CJ619" i="1"/>
  <c r="CJ611" i="1"/>
  <c r="CJ603" i="1"/>
  <c r="CJ595" i="1"/>
  <c r="CJ587" i="1"/>
  <c r="CJ579" i="1"/>
  <c r="CJ571" i="1"/>
  <c r="CJ563" i="1"/>
  <c r="CJ555" i="1"/>
  <c r="CJ547" i="1"/>
  <c r="CJ539" i="1"/>
  <c r="CJ531" i="1"/>
  <c r="CJ523" i="1"/>
  <c r="CJ515" i="1"/>
  <c r="CJ507" i="1"/>
  <c r="CJ499" i="1"/>
  <c r="CJ491" i="1"/>
  <c r="CJ689" i="1"/>
  <c r="CJ681" i="1"/>
  <c r="CJ669" i="1"/>
  <c r="CJ666" i="1"/>
  <c r="CJ627" i="1"/>
  <c r="CJ651" i="1"/>
  <c r="CJ644" i="1"/>
  <c r="CJ636" i="1"/>
  <c r="CJ628" i="1"/>
  <c r="CJ618" i="1"/>
  <c r="CJ610" i="1"/>
  <c r="CJ602" i="1"/>
  <c r="CJ594" i="1"/>
  <c r="CJ586" i="1"/>
  <c r="CJ578" i="1"/>
  <c r="CJ570" i="1"/>
  <c r="CJ562" i="1"/>
  <c r="CJ554" i="1"/>
  <c r="CJ546" i="1"/>
  <c r="CJ538" i="1"/>
  <c r="CJ530" i="1"/>
  <c r="CG530" i="1"/>
  <c r="CJ522" i="1"/>
  <c r="CJ514" i="1"/>
  <c r="CJ506" i="1"/>
  <c r="CJ498" i="1"/>
  <c r="CJ490" i="1"/>
  <c r="CJ685" i="1"/>
  <c r="CJ679" i="1"/>
  <c r="CJ668" i="1"/>
  <c r="CJ665" i="1"/>
  <c r="CJ625" i="1"/>
  <c r="CJ652" i="1"/>
  <c r="CJ642" i="1"/>
  <c r="CJ635" i="1"/>
  <c r="CJ626" i="1"/>
  <c r="CJ617" i="1"/>
  <c r="CJ609" i="1"/>
  <c r="CJ601" i="1"/>
  <c r="CJ593" i="1"/>
  <c r="CJ585" i="1"/>
  <c r="CJ577" i="1"/>
  <c r="CJ569" i="1"/>
  <c r="CJ561" i="1"/>
  <c r="CJ553" i="1"/>
  <c r="CJ545" i="1"/>
  <c r="CJ537" i="1"/>
  <c r="CG537" i="1"/>
  <c r="CJ529" i="1"/>
  <c r="CG529" i="1"/>
  <c r="CJ521" i="1"/>
  <c r="CJ513" i="1"/>
  <c r="CJ505" i="1"/>
  <c r="CJ497" i="1"/>
  <c r="CJ489" i="1"/>
  <c r="Z52" i="4"/>
  <c r="T57" i="4"/>
  <c r="AK18" i="4" l="1"/>
  <c r="AK14" i="4"/>
  <c r="AK15" i="4"/>
  <c r="AL18" i="4"/>
  <c r="AK11" i="4"/>
  <c r="AK13" i="4"/>
  <c r="AK12" i="4"/>
  <c r="BA537" i="1"/>
  <c r="CC537" i="1" s="1"/>
  <c r="CH72" i="1"/>
  <c r="CI72" i="1" s="1"/>
  <c r="CH210" i="1"/>
  <c r="CI210" i="1" s="1"/>
  <c r="CH287" i="1"/>
  <c r="CI287" i="1" s="1"/>
  <c r="CH288" i="1"/>
  <c r="CI288" i="1" s="1"/>
  <c r="CH289" i="1"/>
  <c r="CI289" i="1" s="1"/>
  <c r="CH290" i="1"/>
  <c r="CI290" i="1" s="1"/>
  <c r="CH291" i="1"/>
  <c r="CI291" i="1" s="1"/>
  <c r="CH292" i="1"/>
  <c r="CI292" i="1" s="1"/>
  <c r="CH293" i="1"/>
  <c r="CI293" i="1" s="1"/>
  <c r="CH294" i="1"/>
  <c r="CI294" i="1" s="1"/>
  <c r="CH296" i="1"/>
  <c r="CI296" i="1" s="1"/>
  <c r="CH297" i="1"/>
  <c r="CI297" i="1" s="1"/>
  <c r="CH299" i="1"/>
  <c r="CI299" i="1" s="1"/>
  <c r="CH300" i="1"/>
  <c r="CI300" i="1" s="1"/>
  <c r="CH301" i="1"/>
  <c r="CI301" i="1" s="1"/>
  <c r="CA4" i="1"/>
  <c r="CA5" i="1"/>
  <c r="CA6" i="1"/>
  <c r="CA7" i="1"/>
  <c r="CA8" i="1"/>
  <c r="CA9" i="1"/>
  <c r="CA10" i="1"/>
  <c r="CA11" i="1"/>
  <c r="CA12" i="1"/>
  <c r="CA13" i="1"/>
  <c r="CA14" i="1"/>
  <c r="CA15" i="1"/>
  <c r="CA16" i="1"/>
  <c r="CA17" i="1"/>
  <c r="CA18" i="1"/>
  <c r="CA19" i="1"/>
  <c r="CA20" i="1"/>
  <c r="CA21" i="1"/>
  <c r="CA22" i="1"/>
  <c r="CA23" i="1"/>
  <c r="CA24" i="1"/>
  <c r="CA25" i="1"/>
  <c r="CA26" i="1"/>
  <c r="CA27" i="1"/>
  <c r="CA28" i="1"/>
  <c r="CA29" i="1"/>
  <c r="CA30" i="1"/>
  <c r="CA31" i="1"/>
  <c r="CA32" i="1"/>
  <c r="CA33" i="1"/>
  <c r="CA34" i="1"/>
  <c r="CA35" i="1"/>
  <c r="CA36" i="1"/>
  <c r="CA37" i="1"/>
  <c r="CA38" i="1"/>
  <c r="CA39" i="1"/>
  <c r="CA40" i="1"/>
  <c r="CA41" i="1"/>
  <c r="CA42" i="1"/>
  <c r="CA43" i="1"/>
  <c r="CA44" i="1"/>
  <c r="CA45" i="1"/>
  <c r="CA46" i="1"/>
  <c r="CA47" i="1"/>
  <c r="CA48" i="1"/>
  <c r="CA49" i="1"/>
  <c r="CA50" i="1"/>
  <c r="CA51" i="1"/>
  <c r="CA52" i="1"/>
  <c r="CA53" i="1"/>
  <c r="CA54" i="1"/>
  <c r="CA55" i="1"/>
  <c r="CA56" i="1"/>
  <c r="CA57" i="1"/>
  <c r="CA58" i="1"/>
  <c r="CA59" i="1"/>
  <c r="CA60" i="1"/>
  <c r="CA61" i="1"/>
  <c r="CA62" i="1"/>
  <c r="CA63" i="1"/>
  <c r="CA64" i="1"/>
  <c r="CA65" i="1"/>
  <c r="CA66" i="1"/>
  <c r="CA67" i="1"/>
  <c r="CA68" i="1"/>
  <c r="CA69" i="1"/>
  <c r="CA70" i="1"/>
  <c r="CA71" i="1"/>
  <c r="CA72" i="1"/>
  <c r="CA73" i="1"/>
  <c r="CA74" i="1"/>
  <c r="CA75" i="1"/>
  <c r="CA76" i="1"/>
  <c r="CA77" i="1"/>
  <c r="CA78" i="1"/>
  <c r="CA79" i="1"/>
  <c r="CA80" i="1"/>
  <c r="CA81" i="1"/>
  <c r="CA82" i="1"/>
  <c r="CA83" i="1"/>
  <c r="CA84" i="1"/>
  <c r="CA85" i="1"/>
  <c r="CA86" i="1"/>
  <c r="CA87" i="1"/>
  <c r="CA88" i="1"/>
  <c r="CA89" i="1"/>
  <c r="CA90" i="1"/>
  <c r="CA91" i="1"/>
  <c r="CA92" i="1"/>
  <c r="CA93" i="1"/>
  <c r="CA94" i="1"/>
  <c r="CA95" i="1"/>
  <c r="CA96" i="1"/>
  <c r="CA97" i="1"/>
  <c r="CA98" i="1"/>
  <c r="CA99" i="1"/>
  <c r="CA100" i="1"/>
  <c r="CA101" i="1"/>
  <c r="CA102" i="1"/>
  <c r="CA103" i="1"/>
  <c r="CA104" i="1"/>
  <c r="CA105" i="1"/>
  <c r="CA106" i="1"/>
  <c r="CA107" i="1"/>
  <c r="CA108" i="1"/>
  <c r="CA109" i="1"/>
  <c r="CA110" i="1"/>
  <c r="CA111" i="1"/>
  <c r="CA112" i="1"/>
  <c r="CA113" i="1"/>
  <c r="CA114" i="1"/>
  <c r="CA115" i="1"/>
  <c r="CA116" i="1"/>
  <c r="CA117" i="1"/>
  <c r="CA118" i="1"/>
  <c r="CA119" i="1"/>
  <c r="CA120" i="1"/>
  <c r="CA121" i="1"/>
  <c r="CA122" i="1"/>
  <c r="CA123" i="1"/>
  <c r="CA124" i="1"/>
  <c r="CA125" i="1"/>
  <c r="CA126" i="1"/>
  <c r="CA127" i="1"/>
  <c r="CA128" i="1"/>
  <c r="CA129" i="1"/>
  <c r="CA130" i="1"/>
  <c r="CA131" i="1"/>
  <c r="CA132" i="1"/>
  <c r="CA133" i="1"/>
  <c r="CA134" i="1"/>
  <c r="CA135" i="1"/>
  <c r="CA136" i="1"/>
  <c r="CA137" i="1"/>
  <c r="CA138" i="1"/>
  <c r="CA139" i="1"/>
  <c r="CA140" i="1"/>
  <c r="CA141" i="1"/>
  <c r="CA142" i="1"/>
  <c r="CA143" i="1"/>
  <c r="CA144" i="1"/>
  <c r="CA145" i="1"/>
  <c r="CA146" i="1"/>
  <c r="CA147" i="1"/>
  <c r="CA148" i="1"/>
  <c r="CA149" i="1"/>
  <c r="CA150" i="1"/>
  <c r="CA151" i="1"/>
  <c r="CA152" i="1"/>
  <c r="CA153" i="1"/>
  <c r="CA154" i="1"/>
  <c r="CA155" i="1"/>
  <c r="CA156" i="1"/>
  <c r="CA157" i="1"/>
  <c r="CA158" i="1"/>
  <c r="CA159" i="1"/>
  <c r="CA160" i="1"/>
  <c r="CA161" i="1"/>
  <c r="CA162" i="1"/>
  <c r="CA163" i="1"/>
  <c r="CA164" i="1"/>
  <c r="CA165" i="1"/>
  <c r="CA166" i="1"/>
  <c r="CA167" i="1"/>
  <c r="CA168" i="1"/>
  <c r="CA169" i="1"/>
  <c r="CA170" i="1"/>
  <c r="CA171" i="1"/>
  <c r="CA172" i="1"/>
  <c r="CA174" i="1"/>
  <c r="CA175" i="1"/>
  <c r="CA176" i="1"/>
  <c r="CA177" i="1"/>
  <c r="CA178" i="1"/>
  <c r="CA179" i="1"/>
  <c r="CA180" i="1"/>
  <c r="CA181" i="1"/>
  <c r="CA182" i="1"/>
  <c r="CA183" i="1"/>
  <c r="CA184" i="1"/>
  <c r="CA185" i="1"/>
  <c r="CA186" i="1"/>
  <c r="CA187" i="1"/>
  <c r="CA188" i="1"/>
  <c r="CA189" i="1"/>
  <c r="CA190" i="1"/>
  <c r="CA191" i="1"/>
  <c r="CA192" i="1"/>
  <c r="CA193" i="1"/>
  <c r="CA194" i="1"/>
  <c r="CA195" i="1"/>
  <c r="CA196" i="1"/>
  <c r="CA197" i="1"/>
  <c r="CA198" i="1"/>
  <c r="CA199" i="1"/>
  <c r="CA200" i="1"/>
  <c r="CA201" i="1"/>
  <c r="CA202" i="1"/>
  <c r="CA203" i="1"/>
  <c r="CA204" i="1"/>
  <c r="CA205" i="1"/>
  <c r="CA206" i="1"/>
  <c r="CA207" i="1"/>
  <c r="CA208" i="1"/>
  <c r="CA209" i="1"/>
  <c r="CA210" i="1"/>
  <c r="CA211" i="1"/>
  <c r="CA213" i="1"/>
  <c r="CA214" i="1"/>
  <c r="CA215" i="1"/>
  <c r="CA216" i="1"/>
  <c r="CA217" i="1"/>
  <c r="CA218" i="1"/>
  <c r="CA219" i="1"/>
  <c r="CA220" i="1"/>
  <c r="CA221" i="1"/>
  <c r="CA222" i="1"/>
  <c r="CA223" i="1"/>
  <c r="CA224" i="1"/>
  <c r="CA225" i="1"/>
  <c r="CA226" i="1"/>
  <c r="CA227" i="1"/>
  <c r="CA228" i="1"/>
  <c r="CA229" i="1"/>
  <c r="CA230" i="1"/>
  <c r="CA231" i="1"/>
  <c r="CA232" i="1"/>
  <c r="CA233" i="1"/>
  <c r="CA234" i="1"/>
  <c r="CA235" i="1"/>
  <c r="CA236" i="1"/>
  <c r="CA237" i="1"/>
  <c r="CA238" i="1"/>
  <c r="CA239" i="1"/>
  <c r="CA240" i="1"/>
  <c r="CA241" i="1"/>
  <c r="CA242" i="1"/>
  <c r="CA243" i="1"/>
  <c r="CA244" i="1"/>
  <c r="CA245" i="1"/>
  <c r="CA246" i="1"/>
  <c r="CA247" i="1"/>
  <c r="CA248" i="1"/>
  <c r="CA249" i="1"/>
  <c r="CA250" i="1"/>
  <c r="CA251" i="1"/>
  <c r="CA252" i="1"/>
  <c r="CA253" i="1"/>
  <c r="CA254" i="1"/>
  <c r="CA255" i="1"/>
  <c r="CA256" i="1"/>
  <c r="CA257" i="1"/>
  <c r="CA258" i="1"/>
  <c r="CA259" i="1"/>
  <c r="CA260" i="1"/>
  <c r="CA261" i="1"/>
  <c r="CA262" i="1"/>
  <c r="CA263" i="1"/>
  <c r="CA264" i="1"/>
  <c r="CA265" i="1"/>
  <c r="CA266" i="1"/>
  <c r="CA267" i="1"/>
  <c r="CA268" i="1"/>
  <c r="CA269" i="1"/>
  <c r="CA270" i="1"/>
  <c r="CA271" i="1"/>
  <c r="CA272" i="1"/>
  <c r="CA273" i="1"/>
  <c r="CA274" i="1"/>
  <c r="CA275" i="1"/>
  <c r="CA276" i="1"/>
  <c r="CA277" i="1"/>
  <c r="CA278" i="1"/>
  <c r="CA279" i="1"/>
  <c r="CA280" i="1"/>
  <c r="CA281" i="1"/>
  <c r="CA282" i="1"/>
  <c r="CA283" i="1"/>
  <c r="CA284" i="1"/>
  <c r="CA285" i="1"/>
  <c r="CA286" i="1"/>
  <c r="CA287" i="1"/>
  <c r="CA288" i="1"/>
  <c r="CA289" i="1"/>
  <c r="CA290" i="1"/>
  <c r="CA291" i="1"/>
  <c r="CA292" i="1"/>
  <c r="CA293" i="1"/>
  <c r="CA294" i="1"/>
  <c r="CA295" i="1"/>
  <c r="CA296" i="1"/>
  <c r="CA297" i="1"/>
  <c r="CA298" i="1"/>
  <c r="CA299" i="1"/>
  <c r="CA300" i="1"/>
  <c r="CA301" i="1"/>
  <c r="CA302" i="1"/>
  <c r="CA303" i="1"/>
  <c r="CA304" i="1"/>
  <c r="CA305" i="1"/>
  <c r="CA306" i="1"/>
  <c r="CA307" i="1"/>
  <c r="CA308" i="1"/>
  <c r="CA309" i="1"/>
  <c r="CA310" i="1"/>
  <c r="CA311" i="1"/>
  <c r="CA312" i="1"/>
  <c r="CA313" i="1"/>
  <c r="CA314" i="1"/>
  <c r="CA315" i="1"/>
  <c r="CA316" i="1"/>
  <c r="CA317" i="1"/>
  <c r="CA318" i="1"/>
  <c r="CA319" i="1"/>
  <c r="CA320" i="1"/>
  <c r="CA321" i="1"/>
  <c r="CA322" i="1"/>
  <c r="CA323" i="1"/>
  <c r="CA324" i="1"/>
  <c r="CA325" i="1"/>
  <c r="CA326" i="1"/>
  <c r="CA327" i="1"/>
  <c r="CA328" i="1"/>
  <c r="CA329" i="1"/>
  <c r="CA330" i="1"/>
  <c r="CA331" i="1"/>
  <c r="CA332" i="1"/>
  <c r="CA333" i="1"/>
  <c r="CA334" i="1"/>
  <c r="CA335" i="1"/>
  <c r="CA336" i="1"/>
  <c r="CA337" i="1"/>
  <c r="CA338" i="1"/>
  <c r="CA339" i="1"/>
  <c r="CA340" i="1"/>
  <c r="CA341" i="1"/>
  <c r="CA342" i="1"/>
  <c r="CA343" i="1"/>
  <c r="CA344" i="1"/>
  <c r="CA345" i="1"/>
  <c r="CA346" i="1"/>
  <c r="CA347" i="1"/>
  <c r="CA348" i="1"/>
  <c r="CA349" i="1"/>
  <c r="CA350" i="1"/>
  <c r="CA351" i="1"/>
  <c r="CA352" i="1"/>
  <c r="CA353" i="1"/>
  <c r="CA354" i="1"/>
  <c r="CA355" i="1"/>
  <c r="CA356" i="1"/>
  <c r="CA357" i="1"/>
  <c r="CA358" i="1"/>
  <c r="CA359" i="1"/>
  <c r="CA360" i="1"/>
  <c r="CA361" i="1"/>
  <c r="CA362" i="1"/>
  <c r="CA363" i="1"/>
  <c r="CA364" i="1"/>
  <c r="CA365" i="1"/>
  <c r="CA366" i="1"/>
  <c r="CA367" i="1"/>
  <c r="CA368" i="1"/>
  <c r="CA369" i="1"/>
  <c r="CA370" i="1"/>
  <c r="CA371" i="1"/>
  <c r="CA372" i="1"/>
  <c r="CA373" i="1"/>
  <c r="CA374" i="1"/>
  <c r="CA375" i="1"/>
  <c r="CA376" i="1"/>
  <c r="CA377" i="1"/>
  <c r="CA378" i="1"/>
  <c r="CA379" i="1"/>
  <c r="CA380" i="1"/>
  <c r="CA381" i="1"/>
  <c r="CA382" i="1"/>
  <c r="CA383" i="1"/>
  <c r="CA384" i="1"/>
  <c r="CA385" i="1"/>
  <c r="CA386" i="1"/>
  <c r="CA387" i="1"/>
  <c r="CA388" i="1"/>
  <c r="CA389" i="1"/>
  <c r="CA390" i="1"/>
  <c r="CA391" i="1"/>
  <c r="CA392" i="1"/>
  <c r="CA393" i="1"/>
  <c r="CA394" i="1"/>
  <c r="CA395" i="1"/>
  <c r="CA396" i="1"/>
  <c r="CA397" i="1"/>
  <c r="CA398" i="1"/>
  <c r="CA399" i="1"/>
  <c r="CA400" i="1"/>
  <c r="CA401" i="1"/>
  <c r="CA402" i="1"/>
  <c r="CA403" i="1"/>
  <c r="CA404" i="1"/>
  <c r="CA405" i="1"/>
  <c r="CA406" i="1"/>
  <c r="CA407" i="1"/>
  <c r="CA408" i="1"/>
  <c r="CA409" i="1"/>
  <c r="CA410" i="1"/>
  <c r="CA411" i="1"/>
  <c r="CA412" i="1"/>
  <c r="CA413" i="1"/>
  <c r="CA414" i="1"/>
  <c r="CA415" i="1"/>
  <c r="CA416" i="1"/>
  <c r="CA417" i="1"/>
  <c r="CA418" i="1"/>
  <c r="CA419" i="1"/>
  <c r="CA420" i="1"/>
  <c r="CA421" i="1"/>
  <c r="CA422" i="1"/>
  <c r="CA423" i="1"/>
  <c r="CA424" i="1"/>
  <c r="CA425" i="1"/>
  <c r="CA426" i="1"/>
  <c r="CA427" i="1"/>
  <c r="CA428" i="1"/>
  <c r="CA429" i="1"/>
  <c r="CA430" i="1"/>
  <c r="CA431" i="1"/>
  <c r="CA432" i="1"/>
  <c r="CA433" i="1"/>
  <c r="CA434" i="1"/>
  <c r="CA435" i="1"/>
  <c r="CA436" i="1"/>
  <c r="CA437" i="1"/>
  <c r="CA438" i="1"/>
  <c r="CA439" i="1"/>
  <c r="CA440" i="1"/>
  <c r="CA441" i="1"/>
  <c r="CA442" i="1"/>
  <c r="CA443" i="1"/>
  <c r="CA444" i="1"/>
  <c r="CA445" i="1"/>
  <c r="CA446" i="1"/>
  <c r="CA447" i="1"/>
  <c r="CA448" i="1"/>
  <c r="CA449" i="1"/>
  <c r="CA450" i="1"/>
  <c r="CA451" i="1"/>
  <c r="CA452" i="1"/>
  <c r="CA453" i="1"/>
  <c r="CA454" i="1"/>
  <c r="CA455" i="1"/>
  <c r="CA456" i="1"/>
  <c r="CA457" i="1"/>
  <c r="CA458" i="1"/>
  <c r="CA459" i="1"/>
  <c r="CA460" i="1"/>
  <c r="CA461" i="1"/>
  <c r="CA462" i="1"/>
  <c r="CA463" i="1"/>
  <c r="CA464" i="1"/>
  <c r="CA465" i="1"/>
  <c r="CA466" i="1"/>
  <c r="CA467" i="1"/>
  <c r="CA468" i="1"/>
  <c r="CA469" i="1"/>
  <c r="CA470" i="1"/>
  <c r="CA471" i="1"/>
  <c r="CA472" i="1"/>
  <c r="CA473" i="1"/>
  <c r="CA474" i="1"/>
  <c r="CA475" i="1"/>
  <c r="CA476" i="1"/>
  <c r="CA477" i="1"/>
  <c r="CA478" i="1"/>
  <c r="CA479" i="1"/>
  <c r="CA480" i="1"/>
  <c r="CA481" i="1"/>
  <c r="CA482" i="1"/>
  <c r="CA483" i="1"/>
  <c r="CA484" i="1"/>
  <c r="CA485" i="1"/>
  <c r="CA486" i="1"/>
  <c r="CA487" i="1"/>
  <c r="CA488" i="1"/>
  <c r="CA489" i="1"/>
  <c r="CA490" i="1"/>
  <c r="CA491" i="1"/>
  <c r="CA492" i="1"/>
  <c r="CA493" i="1"/>
  <c r="CA494" i="1"/>
  <c r="CA495" i="1"/>
  <c r="CA496" i="1"/>
  <c r="CA497" i="1"/>
  <c r="CA498" i="1"/>
  <c r="CA499" i="1"/>
  <c r="CA500" i="1"/>
  <c r="CA501" i="1"/>
  <c r="CA502" i="1"/>
  <c r="CA503" i="1"/>
  <c r="CA504" i="1"/>
  <c r="CA505" i="1"/>
  <c r="CA506" i="1"/>
  <c r="CA507" i="1"/>
  <c r="CA508" i="1"/>
  <c r="CA509" i="1"/>
  <c r="CA510" i="1"/>
  <c r="CA511" i="1"/>
  <c r="CA512" i="1"/>
  <c r="CA513" i="1"/>
  <c r="CA514" i="1"/>
  <c r="CA515" i="1"/>
  <c r="CA516" i="1"/>
  <c r="CA517" i="1"/>
  <c r="CA518" i="1"/>
  <c r="CA519" i="1"/>
  <c r="CA520" i="1"/>
  <c r="CA521" i="1"/>
  <c r="CA522" i="1"/>
  <c r="CA523" i="1"/>
  <c r="CA524" i="1"/>
  <c r="CA525" i="1"/>
  <c r="CA526" i="1"/>
  <c r="CA527" i="1"/>
  <c r="CA528" i="1"/>
  <c r="CA529" i="1"/>
  <c r="CA530" i="1"/>
  <c r="CA531" i="1"/>
  <c r="CA532" i="1"/>
  <c r="CA533" i="1"/>
  <c r="CA534" i="1"/>
  <c r="CA535" i="1"/>
  <c r="CA536" i="1"/>
  <c r="CA537" i="1"/>
  <c r="CA538" i="1"/>
  <c r="CA539" i="1"/>
  <c r="CA540" i="1"/>
  <c r="CA541" i="1"/>
  <c r="CA542" i="1"/>
  <c r="CA543" i="1"/>
  <c r="CA544" i="1"/>
  <c r="CA545" i="1"/>
  <c r="CA546" i="1"/>
  <c r="CA547" i="1"/>
  <c r="CA548" i="1"/>
  <c r="CA549" i="1"/>
  <c r="CA550" i="1"/>
  <c r="CA551" i="1"/>
  <c r="CA552" i="1"/>
  <c r="CA553" i="1"/>
  <c r="CA554" i="1"/>
  <c r="CA555" i="1"/>
  <c r="CA556" i="1"/>
  <c r="CA557" i="1"/>
  <c r="CA558" i="1"/>
  <c r="CA559" i="1"/>
  <c r="CA560" i="1"/>
  <c r="CA561" i="1"/>
  <c r="CA562" i="1"/>
  <c r="CA563" i="1"/>
  <c r="CA564" i="1"/>
  <c r="CA565" i="1"/>
  <c r="CA566" i="1"/>
  <c r="CA567" i="1"/>
  <c r="CA568" i="1"/>
  <c r="CA569" i="1"/>
  <c r="CA570" i="1"/>
  <c r="CA571" i="1"/>
  <c r="CA572" i="1"/>
  <c r="CA573" i="1"/>
  <c r="CA574" i="1"/>
  <c r="CA575" i="1"/>
  <c r="CA576" i="1"/>
  <c r="CA577" i="1"/>
  <c r="CA578" i="1"/>
  <c r="CA579" i="1"/>
  <c r="CA580" i="1"/>
  <c r="CA581" i="1"/>
  <c r="CA582" i="1"/>
  <c r="CA583" i="1"/>
  <c r="CA584" i="1"/>
  <c r="CA585" i="1"/>
  <c r="CA586" i="1"/>
  <c r="CA587" i="1"/>
  <c r="CA588" i="1"/>
  <c r="CA589" i="1"/>
  <c r="CA590" i="1"/>
  <c r="CA591" i="1"/>
  <c r="CA592" i="1"/>
  <c r="CA593" i="1"/>
  <c r="CA594" i="1"/>
  <c r="CA595" i="1"/>
  <c r="CA596" i="1"/>
  <c r="CA597" i="1"/>
  <c r="CA598" i="1"/>
  <c r="CA599" i="1"/>
  <c r="CA600" i="1"/>
  <c r="CA601" i="1"/>
  <c r="CA602" i="1"/>
  <c r="CA603" i="1"/>
  <c r="CA604" i="1"/>
  <c r="CA605" i="1"/>
  <c r="CA606" i="1"/>
  <c r="CA607" i="1"/>
  <c r="CA608" i="1"/>
  <c r="CA609" i="1"/>
  <c r="CA610" i="1"/>
  <c r="CA611" i="1"/>
  <c r="CA612" i="1"/>
  <c r="CA613" i="1"/>
  <c r="CA614" i="1"/>
  <c r="CA615" i="1"/>
  <c r="CA616" i="1"/>
  <c r="CA617" i="1"/>
  <c r="CA618" i="1"/>
  <c r="CA619" i="1"/>
  <c r="CA620" i="1"/>
  <c r="CA621" i="1"/>
  <c r="CA622" i="1"/>
  <c r="CA623" i="1"/>
  <c r="CA624" i="1"/>
  <c r="CA626" i="1"/>
  <c r="CA628" i="1"/>
  <c r="CA629" i="1"/>
  <c r="CA630" i="1"/>
  <c r="CA212" i="1"/>
  <c r="CA631" i="1"/>
  <c r="CA632" i="1"/>
  <c r="CA634" i="1"/>
  <c r="CA635" i="1"/>
  <c r="CA636" i="1"/>
  <c r="CA637" i="1"/>
  <c r="CA638" i="1"/>
  <c r="CA639" i="1"/>
  <c r="CA641" i="1"/>
  <c r="CA645" i="1"/>
  <c r="CA643" i="1"/>
  <c r="CA642" i="1"/>
  <c r="CA644" i="1"/>
  <c r="CA640" i="1"/>
  <c r="CA650" i="1"/>
  <c r="CA649" i="1"/>
  <c r="CA648" i="1"/>
  <c r="CA646" i="1"/>
  <c r="CA647" i="1"/>
  <c r="CA652" i="1"/>
  <c r="CA651" i="1"/>
  <c r="CA657" i="1"/>
  <c r="CA654" i="1"/>
  <c r="CA653" i="1"/>
  <c r="CA655" i="1"/>
  <c r="CA656" i="1"/>
  <c r="CA633" i="1"/>
  <c r="CA625" i="1"/>
  <c r="CA627" i="1"/>
  <c r="CA658" i="1"/>
  <c r="CA660" i="1"/>
  <c r="CA661" i="1"/>
  <c r="CA662" i="1"/>
  <c r="CA663" i="1"/>
  <c r="CA664" i="1"/>
  <c r="CA665" i="1"/>
  <c r="CA666" i="1"/>
  <c r="CA667" i="1"/>
  <c r="CA659" i="1"/>
  <c r="CA673" i="1"/>
  <c r="CA675" i="1"/>
  <c r="CA671" i="1"/>
  <c r="CA672" i="1"/>
  <c r="CA668" i="1"/>
  <c r="CA669" i="1"/>
  <c r="CA670" i="1"/>
  <c r="CA674" i="1"/>
  <c r="CA676" i="1"/>
  <c r="CA682" i="1"/>
  <c r="CA677" i="1"/>
  <c r="CA678" i="1"/>
  <c r="CA679" i="1"/>
  <c r="CA681" i="1"/>
  <c r="CA680" i="1"/>
  <c r="CA683" i="1"/>
  <c r="CA684" i="1"/>
  <c r="CA687" i="1"/>
  <c r="CA686" i="1"/>
  <c r="CA688" i="1"/>
  <c r="CA685" i="1"/>
  <c r="CA689" i="1"/>
  <c r="CA690" i="1"/>
  <c r="CB690" i="1" s="1"/>
  <c r="CA3" i="1"/>
  <c r="CM658" i="1"/>
  <c r="CL658" i="1"/>
  <c r="CM660" i="1"/>
  <c r="CL660" i="1"/>
  <c r="CM661" i="1"/>
  <c r="CL661" i="1"/>
  <c r="CM662" i="1"/>
  <c r="CL662" i="1"/>
  <c r="CM663" i="1"/>
  <c r="CL663" i="1"/>
  <c r="CM664" i="1"/>
  <c r="CL664" i="1"/>
  <c r="CM665" i="1"/>
  <c r="CL665" i="1"/>
  <c r="CM666" i="1"/>
  <c r="CL666" i="1"/>
  <c r="CM667" i="1"/>
  <c r="CL667" i="1"/>
  <c r="CM659" i="1"/>
  <c r="CL659" i="1"/>
  <c r="CM673" i="1"/>
  <c r="CL673" i="1"/>
  <c r="CM675" i="1"/>
  <c r="CL675" i="1"/>
  <c r="CM671" i="1"/>
  <c r="CL671" i="1"/>
  <c r="CM672" i="1"/>
  <c r="CL672" i="1"/>
  <c r="CM668" i="1"/>
  <c r="CL668" i="1"/>
  <c r="CM669" i="1"/>
  <c r="CL669" i="1"/>
  <c r="CM670" i="1"/>
  <c r="CL670" i="1"/>
  <c r="CM674" i="1"/>
  <c r="CL674" i="1"/>
  <c r="CM676" i="1"/>
  <c r="CL676" i="1"/>
  <c r="CM682" i="1"/>
  <c r="CL682" i="1"/>
  <c r="CM677" i="1"/>
  <c r="CL677" i="1"/>
  <c r="CM678" i="1"/>
  <c r="CL678" i="1"/>
  <c r="CM679" i="1"/>
  <c r="CL679" i="1"/>
  <c r="CM681" i="1"/>
  <c r="CL681" i="1"/>
  <c r="CM680" i="1"/>
  <c r="CL680" i="1"/>
  <c r="CM683" i="1"/>
  <c r="CL683" i="1"/>
  <c r="CM684" i="1"/>
  <c r="CL684" i="1"/>
  <c r="CM687" i="1"/>
  <c r="CL687" i="1"/>
  <c r="CM686" i="1"/>
  <c r="CL686" i="1"/>
  <c r="CM688" i="1"/>
  <c r="CL688" i="1"/>
  <c r="CM685" i="1"/>
  <c r="CL685" i="1"/>
  <c r="CM689" i="1"/>
  <c r="CL689" i="1"/>
  <c r="AC4" i="1"/>
  <c r="CD4" i="1" s="1"/>
  <c r="AC5" i="1"/>
  <c r="CD5" i="1" s="1"/>
  <c r="CE5" i="1" s="1"/>
  <c r="AC6" i="1"/>
  <c r="CD6" i="1" s="1"/>
  <c r="AC7" i="1"/>
  <c r="CD7" i="1" s="1"/>
  <c r="AC8" i="1"/>
  <c r="CD8" i="1" s="1"/>
  <c r="AC9" i="1"/>
  <c r="CD9" i="1" s="1"/>
  <c r="AC10" i="1"/>
  <c r="CD10" i="1" s="1"/>
  <c r="AC11" i="1"/>
  <c r="CD11" i="1" s="1"/>
  <c r="AC12" i="1"/>
  <c r="CD12" i="1" s="1"/>
  <c r="AC13" i="1"/>
  <c r="CD13" i="1" s="1"/>
  <c r="AC14" i="1"/>
  <c r="CD14" i="1" s="1"/>
  <c r="AC15" i="1"/>
  <c r="CD15" i="1" s="1"/>
  <c r="AC16" i="1"/>
  <c r="CD16" i="1" s="1"/>
  <c r="AC17" i="1"/>
  <c r="CD17" i="1" s="1"/>
  <c r="AC18" i="1"/>
  <c r="CD18" i="1" s="1"/>
  <c r="AC19" i="1"/>
  <c r="CD19" i="1" s="1"/>
  <c r="AC20" i="1"/>
  <c r="CD20" i="1" s="1"/>
  <c r="AC21" i="1"/>
  <c r="CD21" i="1" s="1"/>
  <c r="AC22" i="1"/>
  <c r="CD22" i="1" s="1"/>
  <c r="AC23" i="1"/>
  <c r="CD23" i="1" s="1"/>
  <c r="AC24" i="1"/>
  <c r="CD24" i="1" s="1"/>
  <c r="AC25" i="1"/>
  <c r="CD25" i="1" s="1"/>
  <c r="AC26" i="1"/>
  <c r="CD26" i="1" s="1"/>
  <c r="AC27" i="1"/>
  <c r="CD27" i="1" s="1"/>
  <c r="AC28" i="1"/>
  <c r="CD28" i="1" s="1"/>
  <c r="AC29" i="1"/>
  <c r="CD29" i="1" s="1"/>
  <c r="AC30" i="1"/>
  <c r="CD30" i="1" s="1"/>
  <c r="AC31" i="1"/>
  <c r="CD31" i="1" s="1"/>
  <c r="AC32" i="1"/>
  <c r="CD32" i="1" s="1"/>
  <c r="AC33" i="1"/>
  <c r="CD33" i="1" s="1"/>
  <c r="AC34" i="1"/>
  <c r="CD34" i="1" s="1"/>
  <c r="AC35" i="1"/>
  <c r="CD35" i="1" s="1"/>
  <c r="AC36" i="1"/>
  <c r="CD36" i="1" s="1"/>
  <c r="AC37" i="1"/>
  <c r="CD37" i="1" s="1"/>
  <c r="AC38" i="1"/>
  <c r="CD38" i="1" s="1"/>
  <c r="AC39" i="1"/>
  <c r="CD39" i="1" s="1"/>
  <c r="AC40" i="1"/>
  <c r="CD40" i="1" s="1"/>
  <c r="AC41" i="1"/>
  <c r="CD41" i="1" s="1"/>
  <c r="AC42" i="1"/>
  <c r="CD42" i="1" s="1"/>
  <c r="AC43" i="1"/>
  <c r="CD43" i="1" s="1"/>
  <c r="AC44" i="1"/>
  <c r="CD44" i="1" s="1"/>
  <c r="AC45" i="1"/>
  <c r="CD45" i="1" s="1"/>
  <c r="AC46" i="1"/>
  <c r="CD46" i="1" s="1"/>
  <c r="AC47" i="1"/>
  <c r="CD47" i="1" s="1"/>
  <c r="AC48" i="1"/>
  <c r="CD48" i="1" s="1"/>
  <c r="AC49" i="1"/>
  <c r="CD49" i="1" s="1"/>
  <c r="AC50" i="1"/>
  <c r="CD50" i="1" s="1"/>
  <c r="AC51" i="1"/>
  <c r="CD51" i="1" s="1"/>
  <c r="AC52" i="1"/>
  <c r="CD52" i="1" s="1"/>
  <c r="AC53" i="1"/>
  <c r="CD53" i="1" s="1"/>
  <c r="AC54" i="1"/>
  <c r="CD54" i="1" s="1"/>
  <c r="AC55" i="1"/>
  <c r="CD55" i="1" s="1"/>
  <c r="AC56" i="1"/>
  <c r="CD56" i="1" s="1"/>
  <c r="AC57" i="1"/>
  <c r="CD57" i="1" s="1"/>
  <c r="AC58" i="1"/>
  <c r="CD58" i="1" s="1"/>
  <c r="AC59" i="1"/>
  <c r="CD59" i="1" s="1"/>
  <c r="AC60" i="1"/>
  <c r="CD60" i="1" s="1"/>
  <c r="AC61" i="1"/>
  <c r="CD61" i="1" s="1"/>
  <c r="AC62" i="1"/>
  <c r="CD62" i="1" s="1"/>
  <c r="AC63" i="1"/>
  <c r="CD63" i="1" s="1"/>
  <c r="AC64" i="1"/>
  <c r="CD64" i="1" s="1"/>
  <c r="AC65" i="1"/>
  <c r="CD65" i="1" s="1"/>
  <c r="AC66" i="1"/>
  <c r="CD66" i="1" s="1"/>
  <c r="AC67" i="1"/>
  <c r="CD67" i="1" s="1"/>
  <c r="AC68" i="1"/>
  <c r="CD68" i="1" s="1"/>
  <c r="AC69" i="1"/>
  <c r="CD69" i="1" s="1"/>
  <c r="AC70" i="1"/>
  <c r="CD70" i="1" s="1"/>
  <c r="AC71" i="1"/>
  <c r="CD71" i="1" s="1"/>
  <c r="AC72" i="1"/>
  <c r="CD72" i="1" s="1"/>
  <c r="AC73" i="1"/>
  <c r="CD73" i="1" s="1"/>
  <c r="AC74" i="1"/>
  <c r="CD74" i="1" s="1"/>
  <c r="AC75" i="1"/>
  <c r="CD75" i="1" s="1"/>
  <c r="AC76" i="1"/>
  <c r="CD76" i="1" s="1"/>
  <c r="AC77" i="1"/>
  <c r="CD77" i="1" s="1"/>
  <c r="AC78" i="1"/>
  <c r="CD78" i="1" s="1"/>
  <c r="AC79" i="1"/>
  <c r="CD79" i="1" s="1"/>
  <c r="AC80" i="1"/>
  <c r="CD80" i="1" s="1"/>
  <c r="AC81" i="1"/>
  <c r="CD81" i="1" s="1"/>
  <c r="AC82" i="1"/>
  <c r="CD82" i="1" s="1"/>
  <c r="AC83" i="1"/>
  <c r="CD83" i="1" s="1"/>
  <c r="AC84" i="1"/>
  <c r="CD84" i="1" s="1"/>
  <c r="AC85" i="1"/>
  <c r="CD85" i="1" s="1"/>
  <c r="AC86" i="1"/>
  <c r="CD86" i="1" s="1"/>
  <c r="AC87" i="1"/>
  <c r="CD87" i="1" s="1"/>
  <c r="AC88" i="1"/>
  <c r="CD88" i="1" s="1"/>
  <c r="AC89" i="1"/>
  <c r="CD89" i="1" s="1"/>
  <c r="AC90" i="1"/>
  <c r="CD90" i="1" s="1"/>
  <c r="AC91" i="1"/>
  <c r="CD91" i="1" s="1"/>
  <c r="AC92" i="1"/>
  <c r="CD92" i="1" s="1"/>
  <c r="AC93" i="1"/>
  <c r="CD93" i="1" s="1"/>
  <c r="AC94" i="1"/>
  <c r="CD94" i="1" s="1"/>
  <c r="AC95" i="1"/>
  <c r="CD95" i="1" s="1"/>
  <c r="AC96" i="1"/>
  <c r="CD96" i="1" s="1"/>
  <c r="AC97" i="1"/>
  <c r="CD97" i="1" s="1"/>
  <c r="AC98" i="1"/>
  <c r="CD98" i="1" s="1"/>
  <c r="AC99" i="1"/>
  <c r="CD99" i="1" s="1"/>
  <c r="AC100" i="1"/>
  <c r="CD100" i="1" s="1"/>
  <c r="AC101" i="1"/>
  <c r="CD101" i="1" s="1"/>
  <c r="AC102" i="1"/>
  <c r="CD102" i="1" s="1"/>
  <c r="AC103" i="1"/>
  <c r="CD103" i="1" s="1"/>
  <c r="AC104" i="1"/>
  <c r="CD104" i="1" s="1"/>
  <c r="AC105" i="1"/>
  <c r="CD105" i="1" s="1"/>
  <c r="AC106" i="1"/>
  <c r="CD106" i="1" s="1"/>
  <c r="AC107" i="1"/>
  <c r="CD107" i="1" s="1"/>
  <c r="AC108" i="1"/>
  <c r="CD108" i="1" s="1"/>
  <c r="AC109" i="1"/>
  <c r="CD109" i="1" s="1"/>
  <c r="AC110" i="1"/>
  <c r="CD110" i="1" s="1"/>
  <c r="AC111" i="1"/>
  <c r="CD111" i="1" s="1"/>
  <c r="AC112" i="1"/>
  <c r="CD112" i="1" s="1"/>
  <c r="AC113" i="1"/>
  <c r="CD113" i="1" s="1"/>
  <c r="AC114" i="1"/>
  <c r="CD114" i="1" s="1"/>
  <c r="AC115" i="1"/>
  <c r="CD115" i="1" s="1"/>
  <c r="AC116" i="1"/>
  <c r="CD116" i="1" s="1"/>
  <c r="AC117" i="1"/>
  <c r="CD117" i="1" s="1"/>
  <c r="AC118" i="1"/>
  <c r="CD118" i="1" s="1"/>
  <c r="AC119" i="1"/>
  <c r="CD119" i="1" s="1"/>
  <c r="AC120" i="1"/>
  <c r="CD120" i="1" s="1"/>
  <c r="AC121" i="1"/>
  <c r="CD121" i="1" s="1"/>
  <c r="AC122" i="1"/>
  <c r="CD122" i="1" s="1"/>
  <c r="AC123" i="1"/>
  <c r="CD123" i="1" s="1"/>
  <c r="AC124" i="1"/>
  <c r="CD124" i="1" s="1"/>
  <c r="AC125" i="1"/>
  <c r="CD125" i="1" s="1"/>
  <c r="AC126" i="1"/>
  <c r="CD126" i="1" s="1"/>
  <c r="AC127" i="1"/>
  <c r="CD127" i="1" s="1"/>
  <c r="AC128" i="1"/>
  <c r="CD128" i="1" s="1"/>
  <c r="AC129" i="1"/>
  <c r="CD129" i="1" s="1"/>
  <c r="AC130" i="1"/>
  <c r="CD130" i="1" s="1"/>
  <c r="AC131" i="1"/>
  <c r="CD131" i="1" s="1"/>
  <c r="AC132" i="1"/>
  <c r="CD132" i="1" s="1"/>
  <c r="AC133" i="1"/>
  <c r="CD133" i="1" s="1"/>
  <c r="AC134" i="1"/>
  <c r="CD134" i="1" s="1"/>
  <c r="AC135" i="1"/>
  <c r="CD135" i="1" s="1"/>
  <c r="AC136" i="1"/>
  <c r="CD136" i="1" s="1"/>
  <c r="AC137" i="1"/>
  <c r="CD137" i="1" s="1"/>
  <c r="AC138" i="1"/>
  <c r="CD138" i="1" s="1"/>
  <c r="AC142" i="1"/>
  <c r="CD142" i="1" s="1"/>
  <c r="AC143" i="1"/>
  <c r="CD143" i="1" s="1"/>
  <c r="AC144" i="1"/>
  <c r="CD144" i="1" s="1"/>
  <c r="AC145" i="1"/>
  <c r="CD145" i="1" s="1"/>
  <c r="AC146" i="1"/>
  <c r="CD146" i="1" s="1"/>
  <c r="AC147" i="1"/>
  <c r="CD147" i="1" s="1"/>
  <c r="AC148" i="1"/>
  <c r="CD148" i="1" s="1"/>
  <c r="AC149" i="1"/>
  <c r="CD149" i="1" s="1"/>
  <c r="AC150" i="1"/>
  <c r="CD150" i="1" s="1"/>
  <c r="AC151" i="1"/>
  <c r="CD151" i="1" s="1"/>
  <c r="AC152" i="1"/>
  <c r="CD152" i="1" s="1"/>
  <c r="AC153" i="1"/>
  <c r="CD153" i="1" s="1"/>
  <c r="AC154" i="1"/>
  <c r="CD154" i="1" s="1"/>
  <c r="AC155" i="1"/>
  <c r="CD155" i="1" s="1"/>
  <c r="AC156" i="1"/>
  <c r="CD156" i="1" s="1"/>
  <c r="AC157" i="1"/>
  <c r="CD157" i="1" s="1"/>
  <c r="AC158" i="1"/>
  <c r="CD158" i="1" s="1"/>
  <c r="AC159" i="1"/>
  <c r="CD159" i="1" s="1"/>
  <c r="AC160" i="1"/>
  <c r="CD160" i="1" s="1"/>
  <c r="AC161" i="1"/>
  <c r="CD161" i="1" s="1"/>
  <c r="AC162" i="1"/>
  <c r="CD162" i="1" s="1"/>
  <c r="AC163" i="1"/>
  <c r="CD163" i="1" s="1"/>
  <c r="AC164" i="1"/>
  <c r="CD164" i="1" s="1"/>
  <c r="AC165" i="1"/>
  <c r="CD165" i="1" s="1"/>
  <c r="AC166" i="1"/>
  <c r="CD166" i="1" s="1"/>
  <c r="AC167" i="1"/>
  <c r="CD167" i="1" s="1"/>
  <c r="AC168" i="1"/>
  <c r="CD168" i="1" s="1"/>
  <c r="AC169" i="1"/>
  <c r="CD169" i="1" s="1"/>
  <c r="AC170" i="1"/>
  <c r="CD170" i="1" s="1"/>
  <c r="AC171" i="1"/>
  <c r="CD171" i="1" s="1"/>
  <c r="AC172" i="1"/>
  <c r="CD172" i="1" s="1"/>
  <c r="AC173" i="1"/>
  <c r="CD173" i="1" s="1"/>
  <c r="AC174" i="1"/>
  <c r="CD174" i="1" s="1"/>
  <c r="AC175" i="1"/>
  <c r="CD175" i="1" s="1"/>
  <c r="AC176" i="1"/>
  <c r="CD176" i="1" s="1"/>
  <c r="AC177" i="1"/>
  <c r="CD177" i="1" s="1"/>
  <c r="AC178" i="1"/>
  <c r="CD178" i="1" s="1"/>
  <c r="AC179" i="1"/>
  <c r="CD179" i="1" s="1"/>
  <c r="AC180" i="1"/>
  <c r="CD180" i="1" s="1"/>
  <c r="AC181" i="1"/>
  <c r="CD181" i="1" s="1"/>
  <c r="AC182" i="1"/>
  <c r="CD182" i="1" s="1"/>
  <c r="AC183" i="1"/>
  <c r="CD183" i="1" s="1"/>
  <c r="AC184" i="1"/>
  <c r="CD184" i="1" s="1"/>
  <c r="AC185" i="1"/>
  <c r="CD185" i="1" s="1"/>
  <c r="AC186" i="1"/>
  <c r="CD186" i="1" s="1"/>
  <c r="AC187" i="1"/>
  <c r="CD187" i="1" s="1"/>
  <c r="AC188" i="1"/>
  <c r="CD188" i="1" s="1"/>
  <c r="AC189" i="1"/>
  <c r="CD189" i="1" s="1"/>
  <c r="AC190" i="1"/>
  <c r="CD190" i="1" s="1"/>
  <c r="AC191" i="1"/>
  <c r="CD191" i="1" s="1"/>
  <c r="AC192" i="1"/>
  <c r="CD192" i="1" s="1"/>
  <c r="AC193" i="1"/>
  <c r="CD193" i="1" s="1"/>
  <c r="AC194" i="1"/>
  <c r="CD194" i="1" s="1"/>
  <c r="AC195" i="1"/>
  <c r="CD195" i="1" s="1"/>
  <c r="AC196" i="1"/>
  <c r="CD196" i="1" s="1"/>
  <c r="AC197" i="1"/>
  <c r="CD197" i="1" s="1"/>
  <c r="AC198" i="1"/>
  <c r="CD198" i="1" s="1"/>
  <c r="AC199" i="1"/>
  <c r="CD199" i="1" s="1"/>
  <c r="AC200" i="1"/>
  <c r="CD200" i="1" s="1"/>
  <c r="AC201" i="1"/>
  <c r="CD201" i="1" s="1"/>
  <c r="AC202" i="1"/>
  <c r="CD202" i="1" s="1"/>
  <c r="AC203" i="1"/>
  <c r="CD203" i="1" s="1"/>
  <c r="AC204" i="1"/>
  <c r="CD204" i="1" s="1"/>
  <c r="AC205" i="1"/>
  <c r="CD205" i="1" s="1"/>
  <c r="AC206" i="1"/>
  <c r="CD206" i="1" s="1"/>
  <c r="AC207" i="1"/>
  <c r="CD207" i="1" s="1"/>
  <c r="AC208" i="1"/>
  <c r="CD208" i="1" s="1"/>
  <c r="AC209" i="1"/>
  <c r="CD209" i="1" s="1"/>
  <c r="AC210" i="1"/>
  <c r="CD210" i="1" s="1"/>
  <c r="AC211" i="1"/>
  <c r="CD211" i="1" s="1"/>
  <c r="AC213" i="1"/>
  <c r="CD213" i="1" s="1"/>
  <c r="AC214" i="1"/>
  <c r="CD214" i="1" s="1"/>
  <c r="AC215" i="1"/>
  <c r="CD215" i="1" s="1"/>
  <c r="AC216" i="1"/>
  <c r="CD216" i="1" s="1"/>
  <c r="AC217" i="1"/>
  <c r="CD217" i="1" s="1"/>
  <c r="AC218" i="1"/>
  <c r="CD218" i="1" s="1"/>
  <c r="AC219" i="1"/>
  <c r="CD219" i="1" s="1"/>
  <c r="AC220" i="1"/>
  <c r="CD220" i="1" s="1"/>
  <c r="AC221" i="1"/>
  <c r="CD221" i="1" s="1"/>
  <c r="AC222" i="1"/>
  <c r="CD222" i="1" s="1"/>
  <c r="AC223" i="1"/>
  <c r="CD223" i="1" s="1"/>
  <c r="AC224" i="1"/>
  <c r="CD224" i="1" s="1"/>
  <c r="AC225" i="1"/>
  <c r="CD225" i="1" s="1"/>
  <c r="AC226" i="1"/>
  <c r="CD226" i="1" s="1"/>
  <c r="AC227" i="1"/>
  <c r="CD227" i="1" s="1"/>
  <c r="AC228" i="1"/>
  <c r="CD228" i="1" s="1"/>
  <c r="AC229" i="1"/>
  <c r="CD229" i="1" s="1"/>
  <c r="AC230" i="1"/>
  <c r="CD230" i="1" s="1"/>
  <c r="AC231" i="1"/>
  <c r="CD231" i="1" s="1"/>
  <c r="AC232" i="1"/>
  <c r="CD232" i="1" s="1"/>
  <c r="AC233" i="1"/>
  <c r="CD233" i="1" s="1"/>
  <c r="AC234" i="1"/>
  <c r="CD234" i="1" s="1"/>
  <c r="AC235" i="1"/>
  <c r="CD235" i="1" s="1"/>
  <c r="AC236" i="1"/>
  <c r="CD236" i="1" s="1"/>
  <c r="AC237" i="1"/>
  <c r="CD237" i="1" s="1"/>
  <c r="AC238" i="1"/>
  <c r="CD238" i="1" s="1"/>
  <c r="AC239" i="1"/>
  <c r="CD239" i="1" s="1"/>
  <c r="AC240" i="1"/>
  <c r="CD240" i="1" s="1"/>
  <c r="AC241" i="1"/>
  <c r="CD241" i="1" s="1"/>
  <c r="AC242" i="1"/>
  <c r="CD242" i="1" s="1"/>
  <c r="AC243" i="1"/>
  <c r="CD243" i="1" s="1"/>
  <c r="AC244" i="1"/>
  <c r="CD244" i="1" s="1"/>
  <c r="AC245" i="1"/>
  <c r="CD245" i="1" s="1"/>
  <c r="AC246" i="1"/>
  <c r="CD246" i="1" s="1"/>
  <c r="AC247" i="1"/>
  <c r="CD247" i="1" s="1"/>
  <c r="AC248" i="1"/>
  <c r="CD248" i="1" s="1"/>
  <c r="AC249" i="1"/>
  <c r="CD249" i="1" s="1"/>
  <c r="AC250" i="1"/>
  <c r="CD250" i="1" s="1"/>
  <c r="AC251" i="1"/>
  <c r="CD251" i="1" s="1"/>
  <c r="AC252" i="1"/>
  <c r="CD252" i="1" s="1"/>
  <c r="AC253" i="1"/>
  <c r="CD253" i="1" s="1"/>
  <c r="AC254" i="1"/>
  <c r="CD254" i="1" s="1"/>
  <c r="AC255" i="1"/>
  <c r="CD255" i="1" s="1"/>
  <c r="AC256" i="1"/>
  <c r="CD256" i="1" s="1"/>
  <c r="AC257" i="1"/>
  <c r="CD257" i="1" s="1"/>
  <c r="AC258" i="1"/>
  <c r="CD258" i="1" s="1"/>
  <c r="AC259" i="1"/>
  <c r="CD259" i="1" s="1"/>
  <c r="AC260" i="1"/>
  <c r="CD260" i="1" s="1"/>
  <c r="AC261" i="1"/>
  <c r="CD261" i="1" s="1"/>
  <c r="AC262" i="1"/>
  <c r="CD262" i="1" s="1"/>
  <c r="AC263" i="1"/>
  <c r="CD263" i="1" s="1"/>
  <c r="AC264" i="1"/>
  <c r="CD264" i="1" s="1"/>
  <c r="AC265" i="1"/>
  <c r="CD265" i="1" s="1"/>
  <c r="AC266" i="1"/>
  <c r="CD266" i="1" s="1"/>
  <c r="AC267" i="1"/>
  <c r="CD267" i="1" s="1"/>
  <c r="AC268" i="1"/>
  <c r="CD268" i="1" s="1"/>
  <c r="AC269" i="1"/>
  <c r="CD269" i="1" s="1"/>
  <c r="AC270" i="1"/>
  <c r="CD270" i="1" s="1"/>
  <c r="AC271" i="1"/>
  <c r="CD271" i="1" s="1"/>
  <c r="AC272" i="1"/>
  <c r="CD272" i="1" s="1"/>
  <c r="AC273" i="1"/>
  <c r="CD273" i="1" s="1"/>
  <c r="AC274" i="1"/>
  <c r="CD274" i="1" s="1"/>
  <c r="AC275" i="1"/>
  <c r="CD275" i="1" s="1"/>
  <c r="AC276" i="1"/>
  <c r="CD276" i="1" s="1"/>
  <c r="AC277" i="1"/>
  <c r="CD277" i="1" s="1"/>
  <c r="AC278" i="1"/>
  <c r="CD278" i="1" s="1"/>
  <c r="AC279" i="1"/>
  <c r="CD279" i="1" s="1"/>
  <c r="AC280" i="1"/>
  <c r="CD280" i="1" s="1"/>
  <c r="AC281" i="1"/>
  <c r="CD281" i="1" s="1"/>
  <c r="AC282" i="1"/>
  <c r="CD282" i="1" s="1"/>
  <c r="AC283" i="1"/>
  <c r="CD283" i="1" s="1"/>
  <c r="AC284" i="1"/>
  <c r="CD284" i="1" s="1"/>
  <c r="AC285" i="1"/>
  <c r="CD285" i="1" s="1"/>
  <c r="AC286" i="1"/>
  <c r="CD286" i="1" s="1"/>
  <c r="AC287" i="1"/>
  <c r="CD287" i="1" s="1"/>
  <c r="AC288" i="1"/>
  <c r="CD288" i="1" s="1"/>
  <c r="AC289" i="1"/>
  <c r="CD289" i="1" s="1"/>
  <c r="AC290" i="1"/>
  <c r="CD290" i="1" s="1"/>
  <c r="AC291" i="1"/>
  <c r="CD291" i="1" s="1"/>
  <c r="AC292" i="1"/>
  <c r="CD292" i="1" s="1"/>
  <c r="AC293" i="1"/>
  <c r="CD293" i="1" s="1"/>
  <c r="AC294" i="1"/>
  <c r="CD294" i="1" s="1"/>
  <c r="AC295" i="1"/>
  <c r="CD295" i="1" s="1"/>
  <c r="AC296" i="1"/>
  <c r="CD296" i="1" s="1"/>
  <c r="AC297" i="1"/>
  <c r="CD297" i="1" s="1"/>
  <c r="AC298" i="1"/>
  <c r="CD298" i="1" s="1"/>
  <c r="AC299" i="1"/>
  <c r="CD299" i="1" s="1"/>
  <c r="AC300" i="1"/>
  <c r="CD300" i="1" s="1"/>
  <c r="AC301" i="1"/>
  <c r="CD301" i="1" s="1"/>
  <c r="AC302" i="1"/>
  <c r="CD302" i="1" s="1"/>
  <c r="AC303" i="1"/>
  <c r="CD303" i="1" s="1"/>
  <c r="AC304" i="1"/>
  <c r="CD304" i="1" s="1"/>
  <c r="AC305" i="1"/>
  <c r="CD305" i="1" s="1"/>
  <c r="AC306" i="1"/>
  <c r="CD306" i="1" s="1"/>
  <c r="AC307" i="1"/>
  <c r="AC308" i="1"/>
  <c r="CD308" i="1" s="1"/>
  <c r="AC309" i="1"/>
  <c r="CD309" i="1" s="1"/>
  <c r="AC310" i="1"/>
  <c r="CD310" i="1" s="1"/>
  <c r="AC311" i="1"/>
  <c r="CD311" i="1" s="1"/>
  <c r="AC312" i="1"/>
  <c r="CD312" i="1" s="1"/>
  <c r="AC313" i="1"/>
  <c r="AC314" i="1"/>
  <c r="CD314" i="1" s="1"/>
  <c r="AC315" i="1"/>
  <c r="CD315" i="1" s="1"/>
  <c r="AC316" i="1"/>
  <c r="CD316" i="1" s="1"/>
  <c r="AC317" i="1"/>
  <c r="CD317" i="1" s="1"/>
  <c r="AC318" i="1"/>
  <c r="CD318" i="1" s="1"/>
  <c r="AC319" i="1"/>
  <c r="CD319" i="1" s="1"/>
  <c r="AC320" i="1"/>
  <c r="CD320" i="1" s="1"/>
  <c r="AC321" i="1"/>
  <c r="AC322" i="1"/>
  <c r="CD322" i="1" s="1"/>
  <c r="AC323" i="1"/>
  <c r="CD323" i="1" s="1"/>
  <c r="AC324" i="1"/>
  <c r="CD324" i="1" s="1"/>
  <c r="AC325" i="1"/>
  <c r="AC326" i="1"/>
  <c r="AC327" i="1"/>
  <c r="CD327" i="1" s="1"/>
  <c r="AC328" i="1"/>
  <c r="CD328" i="1" s="1"/>
  <c r="AC329" i="1"/>
  <c r="CD329" i="1" s="1"/>
  <c r="AC330" i="1"/>
  <c r="CD330" i="1" s="1"/>
  <c r="AC331" i="1"/>
  <c r="CD331" i="1" s="1"/>
  <c r="AC332" i="1"/>
  <c r="CD332" i="1" s="1"/>
  <c r="AC333" i="1"/>
  <c r="CD333" i="1" s="1"/>
  <c r="AC334" i="1"/>
  <c r="CD334" i="1" s="1"/>
  <c r="AC335" i="1"/>
  <c r="CD335" i="1" s="1"/>
  <c r="AC336" i="1"/>
  <c r="CD336" i="1" s="1"/>
  <c r="AC337" i="1"/>
  <c r="CD337" i="1" s="1"/>
  <c r="AC338" i="1"/>
  <c r="CD338" i="1" s="1"/>
  <c r="AC339" i="1"/>
  <c r="CD339" i="1" s="1"/>
  <c r="AC340" i="1"/>
  <c r="CD340" i="1" s="1"/>
  <c r="AC341" i="1"/>
  <c r="CD341" i="1" s="1"/>
  <c r="AC342" i="1"/>
  <c r="CD342" i="1" s="1"/>
  <c r="AC343" i="1"/>
  <c r="CD343" i="1" s="1"/>
  <c r="AC344" i="1"/>
  <c r="CD344" i="1" s="1"/>
  <c r="AC345" i="1"/>
  <c r="CD345" i="1" s="1"/>
  <c r="AC346" i="1"/>
  <c r="CD346" i="1" s="1"/>
  <c r="AC347" i="1"/>
  <c r="CD347" i="1" s="1"/>
  <c r="AC348" i="1"/>
  <c r="CD348" i="1" s="1"/>
  <c r="AC349" i="1"/>
  <c r="CD349" i="1" s="1"/>
  <c r="AC350" i="1"/>
  <c r="CD350" i="1" s="1"/>
  <c r="AC351" i="1"/>
  <c r="CD351" i="1" s="1"/>
  <c r="AC352" i="1"/>
  <c r="CD352" i="1" s="1"/>
  <c r="AC353" i="1"/>
  <c r="AC354" i="1"/>
  <c r="CD354" i="1" s="1"/>
  <c r="AC355" i="1"/>
  <c r="CD355" i="1" s="1"/>
  <c r="AC356" i="1"/>
  <c r="CD356" i="1" s="1"/>
  <c r="AC357" i="1"/>
  <c r="CD357" i="1" s="1"/>
  <c r="AC358" i="1"/>
  <c r="CD358" i="1" s="1"/>
  <c r="AC359" i="1"/>
  <c r="CD359" i="1" s="1"/>
  <c r="AC360" i="1"/>
  <c r="CD360" i="1" s="1"/>
  <c r="AC361" i="1"/>
  <c r="CD361" i="1" s="1"/>
  <c r="AC362" i="1"/>
  <c r="CD362" i="1" s="1"/>
  <c r="AC363" i="1"/>
  <c r="CD363" i="1" s="1"/>
  <c r="AC364" i="1"/>
  <c r="CD364" i="1" s="1"/>
  <c r="AC365" i="1"/>
  <c r="CD365" i="1" s="1"/>
  <c r="AC366" i="1"/>
  <c r="CD366" i="1" s="1"/>
  <c r="AC367" i="1"/>
  <c r="CD367" i="1" s="1"/>
  <c r="AC368" i="1"/>
  <c r="CD368" i="1" s="1"/>
  <c r="AC369" i="1"/>
  <c r="CD369" i="1" s="1"/>
  <c r="AC370" i="1"/>
  <c r="CD370" i="1" s="1"/>
  <c r="AC371" i="1"/>
  <c r="CD371" i="1" s="1"/>
  <c r="AC372" i="1"/>
  <c r="CD372" i="1" s="1"/>
  <c r="AC373" i="1"/>
  <c r="CD373" i="1" s="1"/>
  <c r="AC374" i="1"/>
  <c r="CD374" i="1" s="1"/>
  <c r="AC375" i="1"/>
  <c r="CD375" i="1" s="1"/>
  <c r="AC376" i="1"/>
  <c r="CD376" i="1" s="1"/>
  <c r="AC377" i="1"/>
  <c r="CD377" i="1" s="1"/>
  <c r="AC378" i="1"/>
  <c r="CD378" i="1" s="1"/>
  <c r="AC379" i="1"/>
  <c r="CD379" i="1" s="1"/>
  <c r="AC380" i="1"/>
  <c r="CD380" i="1" s="1"/>
  <c r="AC381" i="1"/>
  <c r="CD381" i="1" s="1"/>
  <c r="AC382" i="1"/>
  <c r="CD382" i="1" s="1"/>
  <c r="AC383" i="1"/>
  <c r="CD383" i="1" s="1"/>
  <c r="AC384" i="1"/>
  <c r="CD384" i="1" s="1"/>
  <c r="AC385" i="1"/>
  <c r="CD385" i="1" s="1"/>
  <c r="AC386" i="1"/>
  <c r="CD386" i="1" s="1"/>
  <c r="AC387" i="1"/>
  <c r="CD387" i="1" s="1"/>
  <c r="AC388" i="1"/>
  <c r="CD388" i="1" s="1"/>
  <c r="AC389" i="1"/>
  <c r="CD389" i="1" s="1"/>
  <c r="AC390" i="1"/>
  <c r="CD390" i="1" s="1"/>
  <c r="AC391" i="1"/>
  <c r="CD391" i="1" s="1"/>
  <c r="AC392" i="1"/>
  <c r="CD392" i="1" s="1"/>
  <c r="AC393" i="1"/>
  <c r="CD393" i="1" s="1"/>
  <c r="AC394" i="1"/>
  <c r="CD394" i="1" s="1"/>
  <c r="AC395" i="1"/>
  <c r="CD395" i="1" s="1"/>
  <c r="AC396" i="1"/>
  <c r="CD396" i="1" s="1"/>
  <c r="AC397" i="1"/>
  <c r="CD397" i="1" s="1"/>
  <c r="AC398" i="1"/>
  <c r="CD398" i="1" s="1"/>
  <c r="AC399" i="1"/>
  <c r="CD399" i="1" s="1"/>
  <c r="AC400" i="1"/>
  <c r="CD400" i="1" s="1"/>
  <c r="AC401" i="1"/>
  <c r="CD401" i="1" s="1"/>
  <c r="AC402" i="1"/>
  <c r="AC403" i="1"/>
  <c r="CD403" i="1" s="1"/>
  <c r="AC404" i="1"/>
  <c r="CD404" i="1" s="1"/>
  <c r="AC405" i="1"/>
  <c r="CD405" i="1" s="1"/>
  <c r="AC406" i="1"/>
  <c r="CD406" i="1" s="1"/>
  <c r="AC407" i="1"/>
  <c r="CD407" i="1" s="1"/>
  <c r="AC408" i="1"/>
  <c r="CD408" i="1" s="1"/>
  <c r="AC409" i="1"/>
  <c r="CD409" i="1" s="1"/>
  <c r="AC410" i="1"/>
  <c r="CD410" i="1" s="1"/>
  <c r="AC411" i="1"/>
  <c r="CD411" i="1" s="1"/>
  <c r="AC412" i="1"/>
  <c r="CD412" i="1" s="1"/>
  <c r="AC413" i="1"/>
  <c r="CD413" i="1" s="1"/>
  <c r="AC414" i="1"/>
  <c r="CD414" i="1" s="1"/>
  <c r="AC415" i="1"/>
  <c r="CD415" i="1" s="1"/>
  <c r="AC416" i="1"/>
  <c r="CD416" i="1" s="1"/>
  <c r="AC417" i="1"/>
  <c r="CD417" i="1" s="1"/>
  <c r="AC418" i="1"/>
  <c r="CD418" i="1" s="1"/>
  <c r="AC419" i="1"/>
  <c r="CD419" i="1" s="1"/>
  <c r="AC420" i="1"/>
  <c r="CD420" i="1" s="1"/>
  <c r="AC421" i="1"/>
  <c r="CD421" i="1" s="1"/>
  <c r="AC422" i="1"/>
  <c r="CD422" i="1" s="1"/>
  <c r="AC423" i="1"/>
  <c r="CD423" i="1" s="1"/>
  <c r="AC424" i="1"/>
  <c r="CD424" i="1" s="1"/>
  <c r="AC425" i="1"/>
  <c r="CD425" i="1" s="1"/>
  <c r="AC426" i="1"/>
  <c r="CD426" i="1" s="1"/>
  <c r="AC427" i="1"/>
  <c r="CD427" i="1" s="1"/>
  <c r="AC428" i="1"/>
  <c r="CD428" i="1" s="1"/>
  <c r="AC429" i="1"/>
  <c r="CD429" i="1" s="1"/>
  <c r="AC430" i="1"/>
  <c r="AC431" i="1"/>
  <c r="CD431" i="1" s="1"/>
  <c r="AC432" i="1"/>
  <c r="AC433" i="1"/>
  <c r="CD433" i="1" s="1"/>
  <c r="AC434" i="1"/>
  <c r="CD434" i="1" s="1"/>
  <c r="AC435" i="1"/>
  <c r="CD435" i="1" s="1"/>
  <c r="AC436" i="1"/>
  <c r="CD436" i="1" s="1"/>
  <c r="AC437" i="1"/>
  <c r="CD437" i="1" s="1"/>
  <c r="AC438" i="1"/>
  <c r="CD438" i="1" s="1"/>
  <c r="AC439" i="1"/>
  <c r="CD439" i="1" s="1"/>
  <c r="AC440" i="1"/>
  <c r="CD440" i="1" s="1"/>
  <c r="AC441" i="1"/>
  <c r="CD441" i="1" s="1"/>
  <c r="AC442" i="1"/>
  <c r="CD442" i="1" s="1"/>
  <c r="AC443" i="1"/>
  <c r="CD443" i="1" s="1"/>
  <c r="AC444" i="1"/>
  <c r="CD444" i="1" s="1"/>
  <c r="AC445" i="1"/>
  <c r="CD445" i="1" s="1"/>
  <c r="AC446" i="1"/>
  <c r="CD446" i="1" s="1"/>
  <c r="AC447" i="1"/>
  <c r="CD447" i="1" s="1"/>
  <c r="AC448" i="1"/>
  <c r="CD448" i="1" s="1"/>
  <c r="AC449" i="1"/>
  <c r="CD449" i="1" s="1"/>
  <c r="AC450" i="1"/>
  <c r="CD450" i="1" s="1"/>
  <c r="AC451" i="1"/>
  <c r="CD451" i="1" s="1"/>
  <c r="AC452" i="1"/>
  <c r="AC453" i="1"/>
  <c r="CD453" i="1" s="1"/>
  <c r="AC454" i="1"/>
  <c r="CD454" i="1" s="1"/>
  <c r="AC455" i="1"/>
  <c r="CD455" i="1" s="1"/>
  <c r="AC456" i="1"/>
  <c r="AC457" i="1"/>
  <c r="CD457" i="1" s="1"/>
  <c r="AC458" i="1"/>
  <c r="CD458" i="1" s="1"/>
  <c r="AC459" i="1"/>
  <c r="CD459" i="1" s="1"/>
  <c r="AC460" i="1"/>
  <c r="CD460" i="1" s="1"/>
  <c r="AC461" i="1"/>
  <c r="CD461" i="1" s="1"/>
  <c r="AC462" i="1"/>
  <c r="CD462" i="1" s="1"/>
  <c r="AC463" i="1"/>
  <c r="CD463" i="1" s="1"/>
  <c r="AC464" i="1"/>
  <c r="CD464" i="1" s="1"/>
  <c r="AC465" i="1"/>
  <c r="CD465" i="1" s="1"/>
  <c r="AC466" i="1"/>
  <c r="CD466" i="1" s="1"/>
  <c r="AC467" i="1"/>
  <c r="CD467" i="1" s="1"/>
  <c r="AC468" i="1"/>
  <c r="CD468" i="1" s="1"/>
  <c r="AC469" i="1"/>
  <c r="CD469" i="1" s="1"/>
  <c r="AC470" i="1"/>
  <c r="CD470" i="1" s="1"/>
  <c r="AC471" i="1"/>
  <c r="CD471" i="1" s="1"/>
  <c r="AC472" i="1"/>
  <c r="CD472" i="1" s="1"/>
  <c r="AC473" i="1"/>
  <c r="CD473" i="1" s="1"/>
  <c r="AC474" i="1"/>
  <c r="CD474" i="1" s="1"/>
  <c r="AC475" i="1"/>
  <c r="CD475" i="1" s="1"/>
  <c r="AC476" i="1"/>
  <c r="CD476" i="1" s="1"/>
  <c r="AC477" i="1"/>
  <c r="CD477" i="1" s="1"/>
  <c r="AC478" i="1"/>
  <c r="CD478" i="1" s="1"/>
  <c r="AC479" i="1"/>
  <c r="CD479" i="1" s="1"/>
  <c r="AC480" i="1"/>
  <c r="CD480" i="1" s="1"/>
  <c r="AC481" i="1"/>
  <c r="CD481" i="1" s="1"/>
  <c r="AC482" i="1"/>
  <c r="CD482" i="1" s="1"/>
  <c r="AC483" i="1"/>
  <c r="CD483" i="1" s="1"/>
  <c r="AC484" i="1"/>
  <c r="CD484" i="1" s="1"/>
  <c r="AC485" i="1"/>
  <c r="CD485" i="1" s="1"/>
  <c r="AC486" i="1"/>
  <c r="CD486" i="1" s="1"/>
  <c r="AC487" i="1"/>
  <c r="CD487" i="1" s="1"/>
  <c r="AC488" i="1"/>
  <c r="CD488" i="1" s="1"/>
  <c r="AC489" i="1"/>
  <c r="CD489" i="1" s="1"/>
  <c r="AC490" i="1"/>
  <c r="CD490" i="1" s="1"/>
  <c r="AC491" i="1"/>
  <c r="CD491" i="1" s="1"/>
  <c r="AC492" i="1"/>
  <c r="CD492" i="1" s="1"/>
  <c r="AC493" i="1"/>
  <c r="CD493" i="1" s="1"/>
  <c r="AC494" i="1"/>
  <c r="CD494" i="1" s="1"/>
  <c r="AC495" i="1"/>
  <c r="CD495" i="1" s="1"/>
  <c r="AC496" i="1"/>
  <c r="CD496" i="1" s="1"/>
  <c r="AC497" i="1"/>
  <c r="CD497" i="1" s="1"/>
  <c r="AC498" i="1"/>
  <c r="CD498" i="1" s="1"/>
  <c r="AC499" i="1"/>
  <c r="CD499" i="1" s="1"/>
  <c r="AC500" i="1"/>
  <c r="CD500" i="1" s="1"/>
  <c r="AC501" i="1"/>
  <c r="CD501" i="1" s="1"/>
  <c r="AC502" i="1"/>
  <c r="CD502" i="1" s="1"/>
  <c r="AC503" i="1"/>
  <c r="CD503" i="1" s="1"/>
  <c r="AC504" i="1"/>
  <c r="CD504" i="1" s="1"/>
  <c r="AC505" i="1"/>
  <c r="CD505" i="1" s="1"/>
  <c r="AC506" i="1"/>
  <c r="CD506" i="1" s="1"/>
  <c r="AC507" i="1"/>
  <c r="CD507" i="1" s="1"/>
  <c r="AC508" i="1"/>
  <c r="CD508" i="1" s="1"/>
  <c r="AC509" i="1"/>
  <c r="CD509" i="1" s="1"/>
  <c r="AC510" i="1"/>
  <c r="CD510" i="1" s="1"/>
  <c r="AC511" i="1"/>
  <c r="CD511" i="1" s="1"/>
  <c r="AC512" i="1"/>
  <c r="CD512" i="1" s="1"/>
  <c r="AC513" i="1"/>
  <c r="CD513" i="1" s="1"/>
  <c r="AC514" i="1"/>
  <c r="CD514" i="1" s="1"/>
  <c r="AC515" i="1"/>
  <c r="CD515" i="1" s="1"/>
  <c r="AC516" i="1"/>
  <c r="CD516" i="1" s="1"/>
  <c r="AC517" i="1"/>
  <c r="CD517" i="1" s="1"/>
  <c r="AC518" i="1"/>
  <c r="CD518" i="1" s="1"/>
  <c r="AC519" i="1"/>
  <c r="CD519" i="1" s="1"/>
  <c r="AC520" i="1"/>
  <c r="CD520" i="1" s="1"/>
  <c r="AC521" i="1"/>
  <c r="CD521" i="1" s="1"/>
  <c r="AC522" i="1"/>
  <c r="CD522" i="1" s="1"/>
  <c r="AC523" i="1"/>
  <c r="CD523" i="1" s="1"/>
  <c r="AC524" i="1"/>
  <c r="CD524" i="1" s="1"/>
  <c r="AC525" i="1"/>
  <c r="AC526" i="1"/>
  <c r="CD526" i="1" s="1"/>
  <c r="AC527" i="1"/>
  <c r="AC528" i="1"/>
  <c r="CD528" i="1" s="1"/>
  <c r="AC529" i="1"/>
  <c r="AC530" i="1"/>
  <c r="AC531" i="1"/>
  <c r="CD531" i="1" s="1"/>
  <c r="AC532" i="1"/>
  <c r="CD532" i="1" s="1"/>
  <c r="AC533" i="1"/>
  <c r="CD533" i="1" s="1"/>
  <c r="AC534" i="1"/>
  <c r="CD534" i="1" s="1"/>
  <c r="AC535" i="1"/>
  <c r="CD535" i="1" s="1"/>
  <c r="AC536" i="1"/>
  <c r="CD536" i="1" s="1"/>
  <c r="AC537" i="1"/>
  <c r="AC538" i="1"/>
  <c r="CD538" i="1" s="1"/>
  <c r="AC539" i="1"/>
  <c r="CD539" i="1" s="1"/>
  <c r="AC540" i="1"/>
  <c r="CD540" i="1" s="1"/>
  <c r="AC541" i="1"/>
  <c r="CD541" i="1" s="1"/>
  <c r="AC542" i="1"/>
  <c r="CD542" i="1" s="1"/>
  <c r="AC543" i="1"/>
  <c r="CD543" i="1" s="1"/>
  <c r="AC544" i="1"/>
  <c r="CD544" i="1" s="1"/>
  <c r="AC545" i="1"/>
  <c r="CD545" i="1" s="1"/>
  <c r="AC546" i="1"/>
  <c r="CD546" i="1" s="1"/>
  <c r="AC547" i="1"/>
  <c r="CD547" i="1" s="1"/>
  <c r="AC548" i="1"/>
  <c r="CD548" i="1" s="1"/>
  <c r="AC549" i="1"/>
  <c r="CD549" i="1" s="1"/>
  <c r="AC550" i="1"/>
  <c r="CD550" i="1" s="1"/>
  <c r="AC551" i="1"/>
  <c r="CD551" i="1" s="1"/>
  <c r="AC552" i="1"/>
  <c r="CD552" i="1" s="1"/>
  <c r="AC553" i="1"/>
  <c r="CD553" i="1" s="1"/>
  <c r="AC554" i="1"/>
  <c r="CD554" i="1" s="1"/>
  <c r="AC555" i="1"/>
  <c r="CD555" i="1" s="1"/>
  <c r="AC556" i="1"/>
  <c r="CD556" i="1" s="1"/>
  <c r="AC557" i="1"/>
  <c r="CD557" i="1" s="1"/>
  <c r="AC558" i="1"/>
  <c r="CD558" i="1" s="1"/>
  <c r="AC559" i="1"/>
  <c r="CD559" i="1" s="1"/>
  <c r="AC560" i="1"/>
  <c r="CD560" i="1" s="1"/>
  <c r="AC561" i="1"/>
  <c r="CD561" i="1" s="1"/>
  <c r="AC562" i="1"/>
  <c r="CD562" i="1" s="1"/>
  <c r="AC563" i="1"/>
  <c r="CD563" i="1" s="1"/>
  <c r="AC564" i="1"/>
  <c r="CD564" i="1" s="1"/>
  <c r="AC565" i="1"/>
  <c r="AC566" i="1"/>
  <c r="CD566" i="1" s="1"/>
  <c r="AC567" i="1"/>
  <c r="CD567" i="1" s="1"/>
  <c r="AC568" i="1"/>
  <c r="CD568" i="1" s="1"/>
  <c r="AC569" i="1"/>
  <c r="CD569" i="1" s="1"/>
  <c r="AC570" i="1"/>
  <c r="CD570" i="1" s="1"/>
  <c r="AC571" i="1"/>
  <c r="CD571" i="1" s="1"/>
  <c r="AC572" i="1"/>
  <c r="CD572" i="1" s="1"/>
  <c r="AC573" i="1"/>
  <c r="CD573" i="1" s="1"/>
  <c r="AC574" i="1"/>
  <c r="CD574" i="1" s="1"/>
  <c r="AC575" i="1"/>
  <c r="CD575" i="1" s="1"/>
  <c r="AC576" i="1"/>
  <c r="CD576" i="1" s="1"/>
  <c r="AC577" i="1"/>
  <c r="CD577" i="1" s="1"/>
  <c r="AC578" i="1"/>
  <c r="CD578" i="1" s="1"/>
  <c r="AC579" i="1"/>
  <c r="CD579" i="1" s="1"/>
  <c r="AC580" i="1"/>
  <c r="CD580" i="1" s="1"/>
  <c r="AC581" i="1"/>
  <c r="CD581" i="1" s="1"/>
  <c r="AC582" i="1"/>
  <c r="CD582" i="1" s="1"/>
  <c r="AC583" i="1"/>
  <c r="CD583" i="1" s="1"/>
  <c r="AC584" i="1"/>
  <c r="CD584" i="1" s="1"/>
  <c r="AC585" i="1"/>
  <c r="CD585" i="1" s="1"/>
  <c r="AC586" i="1"/>
  <c r="CD586" i="1" s="1"/>
  <c r="AC587" i="1"/>
  <c r="CD587" i="1" s="1"/>
  <c r="AC588" i="1"/>
  <c r="CD588" i="1" s="1"/>
  <c r="AC589" i="1"/>
  <c r="CD589" i="1" s="1"/>
  <c r="AC590" i="1"/>
  <c r="CD590" i="1" s="1"/>
  <c r="AC591" i="1"/>
  <c r="CD591" i="1" s="1"/>
  <c r="AC592" i="1"/>
  <c r="CD592" i="1" s="1"/>
  <c r="AC593" i="1"/>
  <c r="CD593" i="1" s="1"/>
  <c r="AC594" i="1"/>
  <c r="CD594" i="1" s="1"/>
  <c r="AC595" i="1"/>
  <c r="CD595" i="1" s="1"/>
  <c r="AC596" i="1"/>
  <c r="CD596" i="1" s="1"/>
  <c r="AC597" i="1"/>
  <c r="CD597" i="1" s="1"/>
  <c r="AC598" i="1"/>
  <c r="CD598" i="1" s="1"/>
  <c r="AC599" i="1"/>
  <c r="CD599" i="1" s="1"/>
  <c r="AC600" i="1"/>
  <c r="CD600" i="1" s="1"/>
  <c r="AC601" i="1"/>
  <c r="CD601" i="1" s="1"/>
  <c r="AC602" i="1"/>
  <c r="CD602" i="1" s="1"/>
  <c r="AC603" i="1"/>
  <c r="CD603" i="1" s="1"/>
  <c r="AC604" i="1"/>
  <c r="CD604" i="1" s="1"/>
  <c r="AC605" i="1"/>
  <c r="CD605" i="1" s="1"/>
  <c r="AC606" i="1"/>
  <c r="CD606" i="1" s="1"/>
  <c r="AC607" i="1"/>
  <c r="CD607" i="1" s="1"/>
  <c r="AC608" i="1"/>
  <c r="CD608" i="1" s="1"/>
  <c r="AC609" i="1"/>
  <c r="CD609" i="1" s="1"/>
  <c r="AC610" i="1"/>
  <c r="CD610" i="1" s="1"/>
  <c r="AC611" i="1"/>
  <c r="CD611" i="1" s="1"/>
  <c r="AC612" i="1"/>
  <c r="CD612" i="1" s="1"/>
  <c r="AC613" i="1"/>
  <c r="CD613" i="1" s="1"/>
  <c r="AC614" i="1"/>
  <c r="CD614" i="1" s="1"/>
  <c r="AC615" i="1"/>
  <c r="CD615" i="1" s="1"/>
  <c r="AC616" i="1"/>
  <c r="CD616" i="1" s="1"/>
  <c r="AC617" i="1"/>
  <c r="CD617" i="1" s="1"/>
  <c r="AC618" i="1"/>
  <c r="CD618" i="1" s="1"/>
  <c r="AC619" i="1"/>
  <c r="CD619" i="1" s="1"/>
  <c r="AC620" i="1"/>
  <c r="CD620" i="1" s="1"/>
  <c r="AC621" i="1"/>
  <c r="CD621" i="1" s="1"/>
  <c r="AC622" i="1"/>
  <c r="CD622" i="1" s="1"/>
  <c r="AC623" i="1"/>
  <c r="CD623" i="1" s="1"/>
  <c r="AC624" i="1"/>
  <c r="CD624" i="1" s="1"/>
  <c r="AC626" i="1"/>
  <c r="CD626" i="1" s="1"/>
  <c r="AC628" i="1"/>
  <c r="CD628" i="1" s="1"/>
  <c r="AC629" i="1"/>
  <c r="CD629" i="1" s="1"/>
  <c r="AC630" i="1"/>
  <c r="CD630" i="1" s="1"/>
  <c r="AC212" i="1"/>
  <c r="CD212" i="1" s="1"/>
  <c r="AC631" i="1"/>
  <c r="CD631" i="1" s="1"/>
  <c r="AC632" i="1"/>
  <c r="CD632" i="1" s="1"/>
  <c r="AC634" i="1"/>
  <c r="CD634" i="1" s="1"/>
  <c r="AC635" i="1"/>
  <c r="CD635" i="1" s="1"/>
  <c r="AC636" i="1"/>
  <c r="CD636" i="1" s="1"/>
  <c r="AC637" i="1"/>
  <c r="CD637" i="1" s="1"/>
  <c r="AC638" i="1"/>
  <c r="CD638" i="1" s="1"/>
  <c r="AC639" i="1"/>
  <c r="CD639" i="1" s="1"/>
  <c r="AC641" i="1"/>
  <c r="CD641" i="1" s="1"/>
  <c r="AC645" i="1"/>
  <c r="CD645" i="1" s="1"/>
  <c r="AC643" i="1"/>
  <c r="CD643" i="1" s="1"/>
  <c r="AC642" i="1"/>
  <c r="CD642" i="1" s="1"/>
  <c r="AC644" i="1"/>
  <c r="CD644" i="1" s="1"/>
  <c r="AC640" i="1"/>
  <c r="CD640" i="1" s="1"/>
  <c r="AC650" i="1"/>
  <c r="CD650" i="1" s="1"/>
  <c r="AC649" i="1"/>
  <c r="CD649" i="1" s="1"/>
  <c r="AC648" i="1"/>
  <c r="CD648" i="1" s="1"/>
  <c r="AC646" i="1"/>
  <c r="CD646" i="1" s="1"/>
  <c r="AC647" i="1"/>
  <c r="CD647" i="1" s="1"/>
  <c r="AC652" i="1"/>
  <c r="CD652" i="1" s="1"/>
  <c r="AC651" i="1"/>
  <c r="CD651" i="1" s="1"/>
  <c r="AC657" i="1"/>
  <c r="CD657" i="1" s="1"/>
  <c r="AC654" i="1"/>
  <c r="CD654" i="1" s="1"/>
  <c r="AC653" i="1"/>
  <c r="CD653" i="1" s="1"/>
  <c r="AC655" i="1"/>
  <c r="CD655" i="1" s="1"/>
  <c r="AC656" i="1"/>
  <c r="CD656" i="1" s="1"/>
  <c r="AC633" i="1"/>
  <c r="CD633" i="1" s="1"/>
  <c r="AC625" i="1"/>
  <c r="CD625" i="1" s="1"/>
  <c r="AC627" i="1"/>
  <c r="CD627" i="1" s="1"/>
  <c r="AC658" i="1"/>
  <c r="CD658" i="1" s="1"/>
  <c r="AC660" i="1"/>
  <c r="CD660" i="1" s="1"/>
  <c r="AC661" i="1"/>
  <c r="CD661" i="1" s="1"/>
  <c r="AC662" i="1"/>
  <c r="CD662" i="1" s="1"/>
  <c r="AC663" i="1"/>
  <c r="CD663" i="1" s="1"/>
  <c r="AC664" i="1"/>
  <c r="CD664" i="1" s="1"/>
  <c r="AC665" i="1"/>
  <c r="CD665" i="1" s="1"/>
  <c r="AC666" i="1"/>
  <c r="CD666" i="1" s="1"/>
  <c r="AC667" i="1"/>
  <c r="CD667" i="1" s="1"/>
  <c r="AC659" i="1"/>
  <c r="CD659" i="1" s="1"/>
  <c r="AC673" i="1"/>
  <c r="CD673" i="1" s="1"/>
  <c r="AC675" i="1"/>
  <c r="CD675" i="1" s="1"/>
  <c r="AC671" i="1"/>
  <c r="CD671" i="1" s="1"/>
  <c r="AC672" i="1"/>
  <c r="CD672" i="1" s="1"/>
  <c r="AC668" i="1"/>
  <c r="CD668" i="1" s="1"/>
  <c r="AC669" i="1"/>
  <c r="CD669" i="1" s="1"/>
  <c r="AC670" i="1"/>
  <c r="CD670" i="1" s="1"/>
  <c r="AC674" i="1"/>
  <c r="CD674" i="1" s="1"/>
  <c r="AC676" i="1"/>
  <c r="CD676" i="1" s="1"/>
  <c r="AC682" i="1"/>
  <c r="CD682" i="1" s="1"/>
  <c r="AC677" i="1"/>
  <c r="CD677" i="1" s="1"/>
  <c r="AC678" i="1"/>
  <c r="CD678" i="1" s="1"/>
  <c r="AC679" i="1"/>
  <c r="CD679" i="1" s="1"/>
  <c r="AC681" i="1"/>
  <c r="CD681" i="1" s="1"/>
  <c r="AC680" i="1"/>
  <c r="CD680" i="1" s="1"/>
  <c r="AC683" i="1"/>
  <c r="CD683" i="1" s="1"/>
  <c r="AC684" i="1"/>
  <c r="CD684" i="1" s="1"/>
  <c r="AC687" i="1"/>
  <c r="CD687" i="1" s="1"/>
  <c r="AC686" i="1"/>
  <c r="CD686" i="1" s="1"/>
  <c r="AC688" i="1"/>
  <c r="CD688" i="1" s="1"/>
  <c r="AC685" i="1"/>
  <c r="CD685" i="1" s="1"/>
  <c r="AC689" i="1"/>
  <c r="CD689" i="1" s="1"/>
  <c r="CE690" i="1"/>
  <c r="AC3" i="1"/>
  <c r="CD3" i="1" s="1"/>
  <c r="BA432" i="1"/>
  <c r="CC432" i="1" s="1"/>
  <c r="BA321" i="1"/>
  <c r="CC321" i="1" s="1"/>
  <c r="BA456" i="1"/>
  <c r="CC456" i="1" s="1"/>
  <c r="BA530" i="1"/>
  <c r="CC530" i="1" s="1"/>
  <c r="BA529" i="1"/>
  <c r="CC529" i="1" s="1"/>
  <c r="BA527" i="1"/>
  <c r="BA402" i="1"/>
  <c r="CC402" i="1" s="1"/>
  <c r="BA525" i="1"/>
  <c r="CC525" i="1" s="1"/>
  <c r="BA565" i="1"/>
  <c r="CC565" i="1" s="1"/>
  <c r="BA430" i="1"/>
  <c r="CC430" i="1" s="1"/>
  <c r="BA452" i="1"/>
  <c r="CC452" i="1" s="1"/>
  <c r="BA353" i="1"/>
  <c r="CC353" i="1" s="1"/>
  <c r="BA325" i="1"/>
  <c r="CC325" i="1" s="1"/>
  <c r="CC370" i="1"/>
  <c r="BA313" i="1"/>
  <c r="CC313" i="1" s="1"/>
  <c r="BA307" i="1"/>
  <c r="CC307" i="1" s="1"/>
  <c r="CC174" i="1"/>
  <c r="CC175" i="1"/>
  <c r="CC176" i="1"/>
  <c r="CC177" i="1"/>
  <c r="CC178" i="1"/>
  <c r="CC179" i="1"/>
  <c r="CC180" i="1"/>
  <c r="CC181" i="1"/>
  <c r="CC182" i="1"/>
  <c r="CC183" i="1"/>
  <c r="CC184" i="1"/>
  <c r="CC185" i="1"/>
  <c r="CC186" i="1"/>
  <c r="CC187" i="1"/>
  <c r="CC188" i="1"/>
  <c r="CC189" i="1"/>
  <c r="CC190" i="1"/>
  <c r="CC191" i="1"/>
  <c r="CC192" i="1"/>
  <c r="CC193" i="1"/>
  <c r="CC194" i="1"/>
  <c r="CC195" i="1"/>
  <c r="CC196" i="1"/>
  <c r="CC197" i="1"/>
  <c r="CC198" i="1"/>
  <c r="CC199" i="1"/>
  <c r="CC200" i="1"/>
  <c r="CC201" i="1"/>
  <c r="CC202" i="1"/>
  <c r="CC203" i="1"/>
  <c r="CC204" i="1"/>
  <c r="CC205" i="1"/>
  <c r="CC206" i="1"/>
  <c r="CC207" i="1"/>
  <c r="CC208" i="1"/>
  <c r="CC209" i="1"/>
  <c r="CC210" i="1"/>
  <c r="CC211" i="1"/>
  <c r="CC213" i="1"/>
  <c r="CC214" i="1"/>
  <c r="CC215" i="1"/>
  <c r="CC216" i="1"/>
  <c r="CC217" i="1"/>
  <c r="CC218" i="1"/>
  <c r="CC219" i="1"/>
  <c r="CC220" i="1"/>
  <c r="CC221" i="1"/>
  <c r="CC222" i="1"/>
  <c r="CC223" i="1"/>
  <c r="CC224" i="1"/>
  <c r="CC225" i="1"/>
  <c r="CC226" i="1"/>
  <c r="CC227" i="1"/>
  <c r="CC228" i="1"/>
  <c r="CC229" i="1"/>
  <c r="CC230" i="1"/>
  <c r="CC231" i="1"/>
  <c r="CC232" i="1"/>
  <c r="CC233" i="1"/>
  <c r="CC234" i="1"/>
  <c r="CC235" i="1"/>
  <c r="CC236" i="1"/>
  <c r="CC237" i="1"/>
  <c r="CC238" i="1"/>
  <c r="CC239" i="1"/>
  <c r="CC240" i="1"/>
  <c r="CC241" i="1"/>
  <c r="CC242" i="1"/>
  <c r="CC243" i="1"/>
  <c r="CC244" i="1"/>
  <c r="CC245" i="1"/>
  <c r="CC246" i="1"/>
  <c r="CC247" i="1"/>
  <c r="CC248" i="1"/>
  <c r="CC249" i="1"/>
  <c r="CC250" i="1"/>
  <c r="CC251" i="1"/>
  <c r="CC252" i="1"/>
  <c r="CC253" i="1"/>
  <c r="CC254" i="1"/>
  <c r="CC255" i="1"/>
  <c r="CC256" i="1"/>
  <c r="CC257" i="1"/>
  <c r="CC258" i="1"/>
  <c r="CC259" i="1"/>
  <c r="CC260" i="1"/>
  <c r="CC261" i="1"/>
  <c r="CC262" i="1"/>
  <c r="CC263" i="1"/>
  <c r="CC264" i="1"/>
  <c r="CC265" i="1"/>
  <c r="CC266" i="1"/>
  <c r="CC267" i="1"/>
  <c r="CC268" i="1"/>
  <c r="CC269" i="1"/>
  <c r="CC270" i="1"/>
  <c r="CC271" i="1"/>
  <c r="CC272" i="1"/>
  <c r="CC273" i="1"/>
  <c r="CC274" i="1"/>
  <c r="CC275" i="1"/>
  <c r="CC276" i="1"/>
  <c r="CC277" i="1"/>
  <c r="CC278" i="1"/>
  <c r="CC279" i="1"/>
  <c r="CC280" i="1"/>
  <c r="CC281" i="1"/>
  <c r="CC282" i="1"/>
  <c r="CC283" i="1"/>
  <c r="CC284" i="1"/>
  <c r="CC285" i="1"/>
  <c r="CC286" i="1"/>
  <c r="CC287" i="1"/>
  <c r="CC288" i="1"/>
  <c r="CC289" i="1"/>
  <c r="CC290" i="1"/>
  <c r="CC291" i="1"/>
  <c r="CC292" i="1"/>
  <c r="CC293" i="1"/>
  <c r="CC294" i="1"/>
  <c r="CC295" i="1"/>
  <c r="CC296" i="1"/>
  <c r="CC297" i="1"/>
  <c r="CC298" i="1"/>
  <c r="CC299" i="1"/>
  <c r="CC300" i="1"/>
  <c r="CC301" i="1"/>
  <c r="CC302" i="1"/>
  <c r="CC303" i="1"/>
  <c r="CC304" i="1"/>
  <c r="CC305" i="1"/>
  <c r="CC306" i="1"/>
  <c r="CC308" i="1"/>
  <c r="CC309" i="1"/>
  <c r="CC310" i="1"/>
  <c r="CC311" i="1"/>
  <c r="CC312" i="1"/>
  <c r="CC314" i="1"/>
  <c r="CC315" i="1"/>
  <c r="CC316" i="1"/>
  <c r="CC317" i="1"/>
  <c r="CC318" i="1"/>
  <c r="CC319" i="1"/>
  <c r="CC320" i="1"/>
  <c r="CC322" i="1"/>
  <c r="CC323" i="1"/>
  <c r="CC324" i="1"/>
  <c r="CC327" i="1"/>
  <c r="CC328" i="1"/>
  <c r="CC329" i="1"/>
  <c r="CC330" i="1"/>
  <c r="CC331" i="1"/>
  <c r="CC332" i="1"/>
  <c r="CC333" i="1"/>
  <c r="CC334" i="1"/>
  <c r="CC335" i="1"/>
  <c r="CC336" i="1"/>
  <c r="CC337" i="1"/>
  <c r="CC338" i="1"/>
  <c r="CC339" i="1"/>
  <c r="CC340" i="1"/>
  <c r="CC341" i="1"/>
  <c r="CC342" i="1"/>
  <c r="CC343" i="1"/>
  <c r="CC344" i="1"/>
  <c r="CC345" i="1"/>
  <c r="CC346" i="1"/>
  <c r="CC347" i="1"/>
  <c r="CC348" i="1"/>
  <c r="CC349" i="1"/>
  <c r="CC350" i="1"/>
  <c r="CC351" i="1"/>
  <c r="CC352" i="1"/>
  <c r="CC354" i="1"/>
  <c r="CC355" i="1"/>
  <c r="CC356" i="1"/>
  <c r="CC357" i="1"/>
  <c r="CC358" i="1"/>
  <c r="CC359" i="1"/>
  <c r="CC360" i="1"/>
  <c r="CC361" i="1"/>
  <c r="CC362" i="1"/>
  <c r="CC363" i="1"/>
  <c r="CC364" i="1"/>
  <c r="CC365" i="1"/>
  <c r="CC366" i="1"/>
  <c r="CC367" i="1"/>
  <c r="CC368" i="1"/>
  <c r="CC369" i="1"/>
  <c r="CC371" i="1"/>
  <c r="CC372" i="1"/>
  <c r="CC373" i="1"/>
  <c r="CC374" i="1"/>
  <c r="CC375" i="1"/>
  <c r="CC376" i="1"/>
  <c r="CC377" i="1"/>
  <c r="CC378" i="1"/>
  <c r="CC379" i="1"/>
  <c r="CC380" i="1"/>
  <c r="CC381" i="1"/>
  <c r="CC382" i="1"/>
  <c r="CC383" i="1"/>
  <c r="CC384" i="1"/>
  <c r="CC385" i="1"/>
  <c r="CC386" i="1"/>
  <c r="CC387" i="1"/>
  <c r="CC388" i="1"/>
  <c r="CC389" i="1"/>
  <c r="CC390" i="1"/>
  <c r="CC391" i="1"/>
  <c r="CC392" i="1"/>
  <c r="CC393" i="1"/>
  <c r="CC394" i="1"/>
  <c r="CC395" i="1"/>
  <c r="CC396" i="1"/>
  <c r="CC397" i="1"/>
  <c r="CC398" i="1"/>
  <c r="CC399" i="1"/>
  <c r="CC400" i="1"/>
  <c r="CC401" i="1"/>
  <c r="CC403" i="1"/>
  <c r="CC404" i="1"/>
  <c r="CC405" i="1"/>
  <c r="CC406" i="1"/>
  <c r="CC407" i="1"/>
  <c r="CC408" i="1"/>
  <c r="CC409" i="1"/>
  <c r="CC410" i="1"/>
  <c r="CC411" i="1"/>
  <c r="CC412" i="1"/>
  <c r="CC413" i="1"/>
  <c r="CC414" i="1"/>
  <c r="CC415" i="1"/>
  <c r="CC416" i="1"/>
  <c r="CC417" i="1"/>
  <c r="CC418" i="1"/>
  <c r="CC419" i="1"/>
  <c r="CC420" i="1"/>
  <c r="CC421" i="1"/>
  <c r="CC422" i="1"/>
  <c r="CC423" i="1"/>
  <c r="CC424" i="1"/>
  <c r="CC425" i="1"/>
  <c r="CC426" i="1"/>
  <c r="CC427" i="1"/>
  <c r="CC428" i="1"/>
  <c r="CC429" i="1"/>
  <c r="CC431" i="1"/>
  <c r="CC433" i="1"/>
  <c r="CC434" i="1"/>
  <c r="CC435" i="1"/>
  <c r="CC436" i="1"/>
  <c r="CC437" i="1"/>
  <c r="CC438" i="1"/>
  <c r="CC439" i="1"/>
  <c r="CC440" i="1"/>
  <c r="CC441" i="1"/>
  <c r="CC442" i="1"/>
  <c r="CC443" i="1"/>
  <c r="CC444" i="1"/>
  <c r="CC445" i="1"/>
  <c r="CC446" i="1"/>
  <c r="CC447" i="1"/>
  <c r="CC448" i="1"/>
  <c r="CC449" i="1"/>
  <c r="CC450" i="1"/>
  <c r="CC451" i="1"/>
  <c r="CC453" i="1"/>
  <c r="CC454" i="1"/>
  <c r="CC455" i="1"/>
  <c r="CC457" i="1"/>
  <c r="CC458" i="1"/>
  <c r="CC459" i="1"/>
  <c r="CC460" i="1"/>
  <c r="CC461" i="1"/>
  <c r="CC462" i="1"/>
  <c r="CC463" i="1"/>
  <c r="CC464" i="1"/>
  <c r="CC465" i="1"/>
  <c r="CC466" i="1"/>
  <c r="CC467" i="1"/>
  <c r="CC468" i="1"/>
  <c r="CC469" i="1"/>
  <c r="CC470" i="1"/>
  <c r="CC471" i="1"/>
  <c r="CC472" i="1"/>
  <c r="CC473" i="1"/>
  <c r="CC474" i="1"/>
  <c r="CC475" i="1"/>
  <c r="CC476" i="1"/>
  <c r="CC477" i="1"/>
  <c r="CC478" i="1"/>
  <c r="CC479" i="1"/>
  <c r="CC480" i="1"/>
  <c r="CC481" i="1"/>
  <c r="CC482" i="1"/>
  <c r="CC483" i="1"/>
  <c r="CC484" i="1"/>
  <c r="CC485" i="1"/>
  <c r="CC486" i="1"/>
  <c r="CC487" i="1"/>
  <c r="CC488" i="1"/>
  <c r="CC489" i="1"/>
  <c r="CC490" i="1"/>
  <c r="CC491" i="1"/>
  <c r="CC492" i="1"/>
  <c r="CC493" i="1"/>
  <c r="CC494" i="1"/>
  <c r="CC495" i="1"/>
  <c r="CC496" i="1"/>
  <c r="CC497" i="1"/>
  <c r="CC498" i="1"/>
  <c r="CC499" i="1"/>
  <c r="CC500" i="1"/>
  <c r="CC501" i="1"/>
  <c r="CC502" i="1"/>
  <c r="CC503" i="1"/>
  <c r="CC504" i="1"/>
  <c r="CC505" i="1"/>
  <c r="CC506" i="1"/>
  <c r="CC507" i="1"/>
  <c r="CC508" i="1"/>
  <c r="CC509" i="1"/>
  <c r="CC510" i="1"/>
  <c r="CC511" i="1"/>
  <c r="CC512" i="1"/>
  <c r="CC513" i="1"/>
  <c r="CC514" i="1"/>
  <c r="CC515" i="1"/>
  <c r="CC516" i="1"/>
  <c r="CC517" i="1"/>
  <c r="CC518" i="1"/>
  <c r="CC519" i="1"/>
  <c r="CC520" i="1"/>
  <c r="CC521" i="1"/>
  <c r="CC522" i="1"/>
  <c r="CC523" i="1"/>
  <c r="CC524" i="1"/>
  <c r="CC526" i="1"/>
  <c r="CC528" i="1"/>
  <c r="CC531" i="1"/>
  <c r="CC532" i="1"/>
  <c r="CC533" i="1"/>
  <c r="CC534" i="1"/>
  <c r="CC535" i="1"/>
  <c r="CC536" i="1"/>
  <c r="CC538" i="1"/>
  <c r="CC539" i="1"/>
  <c r="CC540" i="1"/>
  <c r="CC541" i="1"/>
  <c r="CC542" i="1"/>
  <c r="CC543" i="1"/>
  <c r="CC544" i="1"/>
  <c r="CC545" i="1"/>
  <c r="CC546" i="1"/>
  <c r="CC547" i="1"/>
  <c r="CC548" i="1"/>
  <c r="CC549" i="1"/>
  <c r="CC550" i="1"/>
  <c r="CC551" i="1"/>
  <c r="CC552" i="1"/>
  <c r="CC553" i="1"/>
  <c r="CC554" i="1"/>
  <c r="CC555" i="1"/>
  <c r="CC556" i="1"/>
  <c r="CC557" i="1"/>
  <c r="CC558" i="1"/>
  <c r="CC559" i="1"/>
  <c r="CC560" i="1"/>
  <c r="CC561" i="1"/>
  <c r="CC562" i="1"/>
  <c r="CC563" i="1"/>
  <c r="CC564" i="1"/>
  <c r="CC566" i="1"/>
  <c r="CC567" i="1"/>
  <c r="CC568" i="1"/>
  <c r="CC569" i="1"/>
  <c r="CC570" i="1"/>
  <c r="CC571" i="1"/>
  <c r="CC572" i="1"/>
  <c r="CC573" i="1"/>
  <c r="CC574" i="1"/>
  <c r="CC575" i="1"/>
  <c r="CC576" i="1"/>
  <c r="CC577" i="1"/>
  <c r="CC578" i="1"/>
  <c r="CC579" i="1"/>
  <c r="CC580" i="1"/>
  <c r="CC581" i="1"/>
  <c r="CC582" i="1"/>
  <c r="CC584" i="1"/>
  <c r="CC585" i="1"/>
  <c r="CC586" i="1"/>
  <c r="CC587" i="1"/>
  <c r="CC588" i="1"/>
  <c r="CC589" i="1"/>
  <c r="CC590" i="1"/>
  <c r="CC591" i="1"/>
  <c r="CC592" i="1"/>
  <c r="CC593" i="1"/>
  <c r="CC594" i="1"/>
  <c r="CC595" i="1"/>
  <c r="CC596" i="1"/>
  <c r="CC597" i="1"/>
  <c r="CC598" i="1"/>
  <c r="CC599" i="1"/>
  <c r="CC600" i="1"/>
  <c r="CC601" i="1"/>
  <c r="CC602" i="1"/>
  <c r="CC603" i="1"/>
  <c r="CC604" i="1"/>
  <c r="CC605" i="1"/>
  <c r="CC606" i="1"/>
  <c r="CC607" i="1"/>
  <c r="CC608" i="1"/>
  <c r="CC609" i="1"/>
  <c r="CC610" i="1"/>
  <c r="CC611" i="1"/>
  <c r="CC612" i="1"/>
  <c r="CC613" i="1"/>
  <c r="CC614" i="1"/>
  <c r="CC615" i="1"/>
  <c r="CC616" i="1"/>
  <c r="CC617" i="1"/>
  <c r="CC618" i="1"/>
  <c r="CC619" i="1"/>
  <c r="CC620" i="1"/>
  <c r="CC621" i="1"/>
  <c r="CC622" i="1"/>
  <c r="CC623" i="1"/>
  <c r="CC624" i="1"/>
  <c r="CC626" i="1"/>
  <c r="CC628" i="1"/>
  <c r="CC629" i="1"/>
  <c r="CC630" i="1"/>
  <c r="CC212" i="1"/>
  <c r="CC631" i="1"/>
  <c r="CC632" i="1"/>
  <c r="CC634" i="1"/>
  <c r="CC635" i="1"/>
  <c r="CC636" i="1"/>
  <c r="CC637" i="1"/>
  <c r="CC638" i="1"/>
  <c r="CC639" i="1"/>
  <c r="CC641" i="1"/>
  <c r="CC645" i="1"/>
  <c r="CC643" i="1"/>
  <c r="CC642" i="1"/>
  <c r="CC644" i="1"/>
  <c r="CC640" i="1"/>
  <c r="CC650" i="1"/>
  <c r="CC649" i="1"/>
  <c r="CC648" i="1"/>
  <c r="CC646" i="1"/>
  <c r="CC647" i="1"/>
  <c r="CC652" i="1"/>
  <c r="CC651" i="1"/>
  <c r="CC657" i="1"/>
  <c r="CC654" i="1"/>
  <c r="CC653" i="1"/>
  <c r="CC655" i="1"/>
  <c r="CC656" i="1"/>
  <c r="CC633" i="1"/>
  <c r="CC625" i="1"/>
  <c r="CC627" i="1"/>
  <c r="CC658" i="1"/>
  <c r="CC660" i="1"/>
  <c r="CC661" i="1"/>
  <c r="CC662" i="1"/>
  <c r="CC663" i="1"/>
  <c r="CC664" i="1"/>
  <c r="CC665" i="1"/>
  <c r="CC666" i="1"/>
  <c r="CC667" i="1"/>
  <c r="CC659" i="1"/>
  <c r="CC673" i="1"/>
  <c r="CC675" i="1"/>
  <c r="CC671" i="1"/>
  <c r="CC672" i="1"/>
  <c r="CC668" i="1"/>
  <c r="CC669" i="1"/>
  <c r="CC670" i="1"/>
  <c r="CC674" i="1"/>
  <c r="CC676" i="1"/>
  <c r="CC682" i="1"/>
  <c r="CC677" i="1"/>
  <c r="CC678" i="1"/>
  <c r="CC679" i="1"/>
  <c r="CC681" i="1"/>
  <c r="CC680" i="1"/>
  <c r="CC683" i="1"/>
  <c r="CC684" i="1"/>
  <c r="CC687" i="1"/>
  <c r="CC686" i="1"/>
  <c r="CC688" i="1"/>
  <c r="CC685" i="1"/>
  <c r="CC689" i="1"/>
  <c r="CC690" i="1"/>
  <c r="CC4" i="1"/>
  <c r="CC5" i="1"/>
  <c r="CC6" i="1"/>
  <c r="CC7" i="1"/>
  <c r="CC8" i="1"/>
  <c r="CC9" i="1"/>
  <c r="CC10" i="1"/>
  <c r="CC11" i="1"/>
  <c r="CC12" i="1"/>
  <c r="CC13" i="1"/>
  <c r="CC14" i="1"/>
  <c r="CC15" i="1"/>
  <c r="CC16" i="1"/>
  <c r="CC17" i="1"/>
  <c r="CC18" i="1"/>
  <c r="CC19" i="1"/>
  <c r="CC20" i="1"/>
  <c r="CC21" i="1"/>
  <c r="CC22" i="1"/>
  <c r="CC23" i="1"/>
  <c r="CC24" i="1"/>
  <c r="CC25" i="1"/>
  <c r="CC26" i="1"/>
  <c r="CC27" i="1"/>
  <c r="CC28" i="1"/>
  <c r="CC29" i="1"/>
  <c r="CC30" i="1"/>
  <c r="CC31" i="1"/>
  <c r="CC32" i="1"/>
  <c r="CC33" i="1"/>
  <c r="CC34" i="1"/>
  <c r="CC35" i="1"/>
  <c r="CC36" i="1"/>
  <c r="CC37" i="1"/>
  <c r="CC38" i="1"/>
  <c r="CC39" i="1"/>
  <c r="CC40" i="1"/>
  <c r="CC41" i="1"/>
  <c r="CC42" i="1"/>
  <c r="CC43" i="1"/>
  <c r="CC44" i="1"/>
  <c r="CC45" i="1"/>
  <c r="CC46" i="1"/>
  <c r="CC47" i="1"/>
  <c r="CC48" i="1"/>
  <c r="CC49" i="1"/>
  <c r="CC50" i="1"/>
  <c r="CC51" i="1"/>
  <c r="CC52" i="1"/>
  <c r="CC53" i="1"/>
  <c r="CC54" i="1"/>
  <c r="CC55" i="1"/>
  <c r="CC56" i="1"/>
  <c r="CC57" i="1"/>
  <c r="CC58" i="1"/>
  <c r="CC59" i="1"/>
  <c r="CC60" i="1"/>
  <c r="CC61" i="1"/>
  <c r="CC62" i="1"/>
  <c r="CC63" i="1"/>
  <c r="CC64" i="1"/>
  <c r="CC65" i="1"/>
  <c r="CC66" i="1"/>
  <c r="CC67" i="1"/>
  <c r="CC68" i="1"/>
  <c r="CC69" i="1"/>
  <c r="CC70" i="1"/>
  <c r="CC71" i="1"/>
  <c r="CC72" i="1"/>
  <c r="CC73" i="1"/>
  <c r="CC74" i="1"/>
  <c r="CC75" i="1"/>
  <c r="CC76" i="1"/>
  <c r="CC77" i="1"/>
  <c r="CC78" i="1"/>
  <c r="CC79" i="1"/>
  <c r="CC80" i="1"/>
  <c r="CC81" i="1"/>
  <c r="CC82" i="1"/>
  <c r="CC83" i="1"/>
  <c r="CC84" i="1"/>
  <c r="CC85" i="1"/>
  <c r="CC86" i="1"/>
  <c r="CC87" i="1"/>
  <c r="CC88" i="1"/>
  <c r="CC89" i="1"/>
  <c r="CC90" i="1"/>
  <c r="CC91" i="1"/>
  <c r="CC92" i="1"/>
  <c r="CC93" i="1"/>
  <c r="CC94" i="1"/>
  <c r="CC95" i="1"/>
  <c r="CC96" i="1"/>
  <c r="CC97" i="1"/>
  <c r="CC98" i="1"/>
  <c r="CC99" i="1"/>
  <c r="CC100" i="1"/>
  <c r="CC101" i="1"/>
  <c r="CC102" i="1"/>
  <c r="CC103" i="1"/>
  <c r="CC104" i="1"/>
  <c r="CC105" i="1"/>
  <c r="CC106" i="1"/>
  <c r="CC107" i="1"/>
  <c r="CC108" i="1"/>
  <c r="CC109" i="1"/>
  <c r="CC110" i="1"/>
  <c r="CC111" i="1"/>
  <c r="CC112" i="1"/>
  <c r="CC113" i="1"/>
  <c r="CC114" i="1"/>
  <c r="CC115" i="1"/>
  <c r="CC116" i="1"/>
  <c r="CC117" i="1"/>
  <c r="CC118" i="1"/>
  <c r="CC119" i="1"/>
  <c r="CC120" i="1"/>
  <c r="CC121" i="1"/>
  <c r="CC122" i="1"/>
  <c r="CC123" i="1"/>
  <c r="CC124" i="1"/>
  <c r="CC125" i="1"/>
  <c r="CC126" i="1"/>
  <c r="CC127" i="1"/>
  <c r="CC128" i="1"/>
  <c r="CC129" i="1"/>
  <c r="CC130" i="1"/>
  <c r="CC131" i="1"/>
  <c r="CC132" i="1"/>
  <c r="CC133" i="1"/>
  <c r="CC134" i="1"/>
  <c r="CC135" i="1"/>
  <c r="CC136" i="1"/>
  <c r="CC137" i="1"/>
  <c r="CC138" i="1"/>
  <c r="CC139" i="1"/>
  <c r="CC140" i="1"/>
  <c r="CC141" i="1"/>
  <c r="CC142" i="1"/>
  <c r="CC143" i="1"/>
  <c r="CC144" i="1"/>
  <c r="CC145" i="1"/>
  <c r="CC146" i="1"/>
  <c r="CC147" i="1"/>
  <c r="CC148" i="1"/>
  <c r="CC149" i="1"/>
  <c r="CC150" i="1"/>
  <c r="CC151" i="1"/>
  <c r="CC152" i="1"/>
  <c r="CC153" i="1"/>
  <c r="CC154" i="1"/>
  <c r="CC155" i="1"/>
  <c r="CC156" i="1"/>
  <c r="CC157" i="1"/>
  <c r="CC158" i="1"/>
  <c r="CC159" i="1"/>
  <c r="CC160" i="1"/>
  <c r="CC161" i="1"/>
  <c r="CC162" i="1"/>
  <c r="CC163" i="1"/>
  <c r="CC164" i="1"/>
  <c r="CC165" i="1"/>
  <c r="CC166" i="1"/>
  <c r="CC167" i="1"/>
  <c r="CC168" i="1"/>
  <c r="CC169" i="1"/>
  <c r="CC170" i="1"/>
  <c r="CC171" i="1"/>
  <c r="CC172" i="1"/>
  <c r="CC3" i="1"/>
  <c r="CD537" i="1" l="1"/>
  <c r="CE537" i="1" s="1"/>
  <c r="CD525" i="1"/>
  <c r="CE525" i="1" s="1"/>
  <c r="CD325" i="1"/>
  <c r="CE325" i="1" s="1"/>
  <c r="CD527" i="1"/>
  <c r="CE527" i="1" s="1"/>
  <c r="CD430" i="1"/>
  <c r="CE430" i="1" s="1"/>
  <c r="CD452" i="1"/>
  <c r="CE452" i="1" s="1"/>
  <c r="CD307" i="1"/>
  <c r="CE307" i="1" s="1"/>
  <c r="CD530" i="1"/>
  <c r="CE530" i="1" s="1"/>
  <c r="CD402" i="1"/>
  <c r="CE402" i="1" s="1"/>
  <c r="CD529" i="1"/>
  <c r="CE529" i="1" s="1"/>
  <c r="CD353" i="1"/>
  <c r="CE353" i="1" s="1"/>
  <c r="CD321" i="1"/>
  <c r="CE321" i="1" s="1"/>
  <c r="CD313" i="1"/>
  <c r="CE313" i="1" s="1"/>
  <c r="CD565" i="1"/>
  <c r="CE565" i="1" s="1"/>
  <c r="CD456" i="1"/>
  <c r="CE456" i="1" s="1"/>
  <c r="CD432" i="1"/>
  <c r="CE432" i="1" s="1"/>
  <c r="CE303" i="1"/>
  <c r="CE295" i="1"/>
  <c r="CE279" i="1"/>
  <c r="CE271" i="1"/>
  <c r="CE263" i="1"/>
  <c r="CE255" i="1"/>
  <c r="CE247" i="1"/>
  <c r="CE239" i="1"/>
  <c r="CE231" i="1"/>
  <c r="CE223" i="1"/>
  <c r="CE215" i="1"/>
  <c r="CE206" i="1"/>
  <c r="CE198" i="1"/>
  <c r="CE190" i="1"/>
  <c r="CE182" i="1"/>
  <c r="CE174" i="1"/>
  <c r="CE166" i="1"/>
  <c r="CE158" i="1"/>
  <c r="CE150" i="1"/>
  <c r="CE131" i="1"/>
  <c r="CE123" i="1"/>
  <c r="CE115" i="1"/>
  <c r="CE107" i="1"/>
  <c r="CE99" i="1"/>
  <c r="CE91" i="1"/>
  <c r="CE83" i="1"/>
  <c r="CE75" i="1"/>
  <c r="CE67" i="1"/>
  <c r="CE59" i="1"/>
  <c r="CE51" i="1"/>
  <c r="CE43" i="1"/>
  <c r="CE27" i="1"/>
  <c r="CE19" i="1"/>
  <c r="CE11" i="1"/>
  <c r="CE470" i="1"/>
  <c r="CE310" i="1"/>
  <c r="CE302" i="1"/>
  <c r="CE286" i="1"/>
  <c r="CE270" i="1"/>
  <c r="CE262" i="1"/>
  <c r="CE254" i="1"/>
  <c r="CE246" i="1"/>
  <c r="CE238" i="1"/>
  <c r="CE230" i="1"/>
  <c r="CE222" i="1"/>
  <c r="CE214" i="1"/>
  <c r="CE205" i="1"/>
  <c r="CE197" i="1"/>
  <c r="CE189" i="1"/>
  <c r="CE181" i="1"/>
  <c r="CE173" i="1"/>
  <c r="CE165" i="1"/>
  <c r="CE157" i="1"/>
  <c r="CE138" i="1"/>
  <c r="CE130" i="1"/>
  <c r="CE122" i="1"/>
  <c r="CE114" i="1"/>
  <c r="CE98" i="1"/>
  <c r="CE90" i="1"/>
  <c r="CE82" i="1"/>
  <c r="CE74" i="1"/>
  <c r="CE66" i="1"/>
  <c r="CE58" i="1"/>
  <c r="CE50" i="1"/>
  <c r="CE42" i="1"/>
  <c r="CE34" i="1"/>
  <c r="CE26" i="1"/>
  <c r="CE18" i="1"/>
  <c r="CE10" i="1"/>
  <c r="CE212" i="1"/>
  <c r="CE309" i="1"/>
  <c r="CE301" i="1"/>
  <c r="CE293" i="1"/>
  <c r="CE285" i="1"/>
  <c r="CE277" i="1"/>
  <c r="CE269" i="1"/>
  <c r="CE261" i="1"/>
  <c r="CE253" i="1"/>
  <c r="CE245" i="1"/>
  <c r="CE237" i="1"/>
  <c r="CE229" i="1"/>
  <c r="CE221" i="1"/>
  <c r="CE213" i="1"/>
  <c r="CE204" i="1"/>
  <c r="CE188" i="1"/>
  <c r="CE180" i="1"/>
  <c r="CE172" i="1"/>
  <c r="CE156" i="1"/>
  <c r="CE148" i="1"/>
  <c r="CE137" i="1"/>
  <c r="CE129" i="1"/>
  <c r="CE121" i="1"/>
  <c r="CE113" i="1"/>
  <c r="CE105" i="1"/>
  <c r="CE97" i="1"/>
  <c r="CE81" i="1"/>
  <c r="CE73" i="1"/>
  <c r="CE65" i="1"/>
  <c r="CE57" i="1"/>
  <c r="CE49" i="1"/>
  <c r="CE41" i="1"/>
  <c r="CE33" i="1"/>
  <c r="CE25" i="1"/>
  <c r="CE17" i="1"/>
  <c r="CE9" i="1"/>
  <c r="CE316" i="1"/>
  <c r="CE292" i="1"/>
  <c r="CE284" i="1"/>
  <c r="CE276" i="1"/>
  <c r="CE268" i="1"/>
  <c r="CE260" i="1"/>
  <c r="CE252" i="1"/>
  <c r="CE244" i="1"/>
  <c r="CE236" i="1"/>
  <c r="CE228" i="1"/>
  <c r="CE220" i="1"/>
  <c r="CE203" i="1"/>
  <c r="CE195" i="1"/>
  <c r="CE187" i="1"/>
  <c r="CE179" i="1"/>
  <c r="CE171" i="1"/>
  <c r="CE163" i="1"/>
  <c r="CE155" i="1"/>
  <c r="CE147" i="1"/>
  <c r="CE128" i="1"/>
  <c r="CE120" i="1"/>
  <c r="CE112" i="1"/>
  <c r="CE104" i="1"/>
  <c r="CE96" i="1"/>
  <c r="CE88" i="1"/>
  <c r="CE80" i="1"/>
  <c r="CE72" i="1"/>
  <c r="CE64" i="1"/>
  <c r="CE56" i="1"/>
  <c r="CE48" i="1"/>
  <c r="CE40" i="1"/>
  <c r="CE32" i="1"/>
  <c r="CE24" i="1"/>
  <c r="CE16" i="1"/>
  <c r="CE8" i="1"/>
  <c r="CE315" i="1"/>
  <c r="CE299" i="1"/>
  <c r="CE291" i="1"/>
  <c r="CE283" i="1"/>
  <c r="CE259" i="1"/>
  <c r="CE251" i="1"/>
  <c r="CE243" i="1"/>
  <c r="CE235" i="1"/>
  <c r="CE227" i="1"/>
  <c r="CE219" i="1"/>
  <c r="CE202" i="1"/>
  <c r="CE194" i="1"/>
  <c r="CE186" i="1"/>
  <c r="CE178" i="1"/>
  <c r="CE170" i="1"/>
  <c r="CE162" i="1"/>
  <c r="CE154" i="1"/>
  <c r="CE146" i="1"/>
  <c r="CE135" i="1"/>
  <c r="CE127" i="1"/>
  <c r="CE119" i="1"/>
  <c r="CE111" i="1"/>
  <c r="CE103" i="1"/>
  <c r="CE95" i="1"/>
  <c r="CE87" i="1"/>
  <c r="CE79" i="1"/>
  <c r="CE71" i="1"/>
  <c r="CE63" i="1"/>
  <c r="CE55" i="1"/>
  <c r="CE47" i="1"/>
  <c r="CE39" i="1"/>
  <c r="CE31" i="1"/>
  <c r="CE23" i="1"/>
  <c r="CE15" i="1"/>
  <c r="CE7" i="1"/>
  <c r="CE306" i="1"/>
  <c r="CE298" i="1"/>
  <c r="CE290" i="1"/>
  <c r="CE274" i="1"/>
  <c r="CE266" i="1"/>
  <c r="CE258" i="1"/>
  <c r="CE250" i="1"/>
  <c r="CE242" i="1"/>
  <c r="CE234" i="1"/>
  <c r="CE226" i="1"/>
  <c r="CE218" i="1"/>
  <c r="CE209" i="1"/>
  <c r="CE193" i="1"/>
  <c r="CE185" i="1"/>
  <c r="CE177" i="1"/>
  <c r="CE169" i="1"/>
  <c r="CE161" i="1"/>
  <c r="CE153" i="1"/>
  <c r="CE145" i="1"/>
  <c r="CE134" i="1"/>
  <c r="CE126" i="1"/>
  <c r="CE118" i="1"/>
  <c r="CE102" i="1"/>
  <c r="CE94" i="1"/>
  <c r="CE86" i="1"/>
  <c r="CE78" i="1"/>
  <c r="CE70" i="1"/>
  <c r="CE62" i="1"/>
  <c r="CE54" i="1"/>
  <c r="CE46" i="1"/>
  <c r="CE38" i="1"/>
  <c r="CE30" i="1"/>
  <c r="CE22" i="1"/>
  <c r="CE14" i="1"/>
  <c r="CE6" i="1"/>
  <c r="CE305" i="1"/>
  <c r="CE265" i="1"/>
  <c r="CE257" i="1"/>
  <c r="CE249" i="1"/>
  <c r="CE241" i="1"/>
  <c r="CE233" i="1"/>
  <c r="CE225" i="1"/>
  <c r="CE217" i="1"/>
  <c r="CE208" i="1"/>
  <c r="CE200" i="1"/>
  <c r="CE192" i="1"/>
  <c r="CE184" i="1"/>
  <c r="CE176" i="1"/>
  <c r="CE168" i="1"/>
  <c r="CE160" i="1"/>
  <c r="CE152" i="1"/>
  <c r="CE144" i="1"/>
  <c r="CE133" i="1"/>
  <c r="CE125" i="1"/>
  <c r="CE117" i="1"/>
  <c r="CE109" i="1"/>
  <c r="CE93" i="1"/>
  <c r="CE85" i="1"/>
  <c r="CE77" i="1"/>
  <c r="CE69" i="1"/>
  <c r="CE61" i="1"/>
  <c r="CE53" i="1"/>
  <c r="CE45" i="1"/>
  <c r="CE37" i="1"/>
  <c r="CE29" i="1"/>
  <c r="CE21" i="1"/>
  <c r="CE13" i="1"/>
  <c r="CE312" i="1"/>
  <c r="CE304" i="1"/>
  <c r="CE296" i="1"/>
  <c r="CE288" i="1"/>
  <c r="CE280" i="1"/>
  <c r="CE272" i="1"/>
  <c r="CE264" i="1"/>
  <c r="CE256" i="1"/>
  <c r="CE248" i="1"/>
  <c r="CE240" i="1"/>
  <c r="CE232" i="1"/>
  <c r="CE224" i="1"/>
  <c r="CE216" i="1"/>
  <c r="CE207" i="1"/>
  <c r="CE199" i="1"/>
  <c r="CE191" i="1"/>
  <c r="CE183" i="1"/>
  <c r="CE175" i="1"/>
  <c r="CE167" i="1"/>
  <c r="CE159" i="1"/>
  <c r="CE151" i="1"/>
  <c r="CE143" i="1"/>
  <c r="CE132" i="1"/>
  <c r="CE124" i="1"/>
  <c r="CE116" i="1"/>
  <c r="CE108" i="1"/>
  <c r="CE100" i="1"/>
  <c r="CE92" i="1"/>
  <c r="CE84" i="1"/>
  <c r="CE76" i="1"/>
  <c r="CE68" i="1"/>
  <c r="CE60" i="1"/>
  <c r="CE52" i="1"/>
  <c r="CE44" i="1"/>
  <c r="CE36" i="1"/>
  <c r="CE28" i="1"/>
  <c r="CE20" i="1"/>
  <c r="CE12" i="1"/>
  <c r="CE4" i="1"/>
  <c r="CE314" i="1"/>
  <c r="CE311" i="1"/>
  <c r="CE308" i="1"/>
  <c r="CE300" i="1"/>
  <c r="CE297" i="1"/>
  <c r="CE294" i="1"/>
  <c r="CE287" i="1"/>
  <c r="CE282" i="1"/>
  <c r="CE281" i="1"/>
  <c r="CE278" i="1"/>
  <c r="CE275" i="1"/>
  <c r="CE273" i="1"/>
  <c r="CE267" i="1"/>
  <c r="CE211" i="1"/>
  <c r="CE210" i="1"/>
  <c r="CE201" i="1"/>
  <c r="CE196" i="1"/>
  <c r="CE164" i="1"/>
  <c r="CE149" i="1"/>
  <c r="CE142" i="1"/>
  <c r="CE136" i="1"/>
  <c r="CE110" i="1"/>
  <c r="CE106" i="1"/>
  <c r="CE101" i="1"/>
  <c r="CE89" i="1"/>
  <c r="CE35" i="1"/>
  <c r="CB430" i="1"/>
  <c r="CB326" i="1"/>
  <c r="CB456" i="1"/>
  <c r="CB432" i="1"/>
  <c r="CB537" i="1"/>
  <c r="CB529" i="1"/>
  <c r="CB353" i="1"/>
  <c r="CB321" i="1"/>
  <c r="CB583" i="1"/>
  <c r="CB527" i="1"/>
  <c r="CB325" i="1"/>
  <c r="CB565" i="1"/>
  <c r="CB525" i="1"/>
  <c r="CE684" i="1"/>
  <c r="CB684" i="1"/>
  <c r="CE649" i="1"/>
  <c r="CB649" i="1"/>
  <c r="CE613" i="1"/>
  <c r="CB613" i="1"/>
  <c r="CE573" i="1"/>
  <c r="CB573" i="1"/>
  <c r="CE533" i="1"/>
  <c r="CB533" i="1"/>
  <c r="CE485" i="1"/>
  <c r="CB485" i="1"/>
  <c r="CE429" i="1"/>
  <c r="CB429" i="1"/>
  <c r="CE389" i="1"/>
  <c r="CB389" i="1"/>
  <c r="CE365" i="1"/>
  <c r="CB365" i="1"/>
  <c r="CE333" i="1"/>
  <c r="CB333" i="1"/>
  <c r="CE683" i="1"/>
  <c r="CB683" i="1"/>
  <c r="CE674" i="1"/>
  <c r="CB674" i="1"/>
  <c r="CE659" i="1"/>
  <c r="CB659" i="1"/>
  <c r="CE660" i="1"/>
  <c r="CB660" i="1"/>
  <c r="CE654" i="1"/>
  <c r="CB654" i="1"/>
  <c r="CE650" i="1"/>
  <c r="CB650" i="1"/>
  <c r="CE638" i="1"/>
  <c r="CB638" i="1"/>
  <c r="CE630" i="1"/>
  <c r="CB630" i="1"/>
  <c r="CE620" i="1"/>
  <c r="CB620" i="1"/>
  <c r="CE612" i="1"/>
  <c r="CB612" i="1"/>
  <c r="CE604" i="1"/>
  <c r="CB604" i="1"/>
  <c r="CE596" i="1"/>
  <c r="CB596" i="1"/>
  <c r="CE588" i="1"/>
  <c r="CB588" i="1"/>
  <c r="CE580" i="1"/>
  <c r="CB580" i="1"/>
  <c r="CE572" i="1"/>
  <c r="CB572" i="1"/>
  <c r="CE564" i="1"/>
  <c r="CB564" i="1"/>
  <c r="CE556" i="1"/>
  <c r="CB556" i="1"/>
  <c r="CE548" i="1"/>
  <c r="CB548" i="1"/>
  <c r="CE540" i="1"/>
  <c r="CB540" i="1"/>
  <c r="CE532" i="1"/>
  <c r="CB532" i="1"/>
  <c r="CE524" i="1"/>
  <c r="CB524" i="1"/>
  <c r="CE516" i="1"/>
  <c r="CB516" i="1"/>
  <c r="CE508" i="1"/>
  <c r="CB508" i="1"/>
  <c r="CE500" i="1"/>
  <c r="CB500" i="1"/>
  <c r="CE492" i="1"/>
  <c r="CB492" i="1"/>
  <c r="CE484" i="1"/>
  <c r="CB484" i="1"/>
  <c r="CE476" i="1"/>
  <c r="CB476" i="1"/>
  <c r="CE468" i="1"/>
  <c r="CB468" i="1"/>
  <c r="CE460" i="1"/>
  <c r="CB460" i="1"/>
  <c r="CB452" i="1"/>
  <c r="CE444" i="1"/>
  <c r="CB444" i="1"/>
  <c r="CE436" i="1"/>
  <c r="CB436" i="1"/>
  <c r="CE428" i="1"/>
  <c r="CB428" i="1"/>
  <c r="CE420" i="1"/>
  <c r="CB420" i="1"/>
  <c r="CE412" i="1"/>
  <c r="CB412" i="1"/>
  <c r="CE404" i="1"/>
  <c r="CB404" i="1"/>
  <c r="CE396" i="1"/>
  <c r="CB396" i="1"/>
  <c r="CE388" i="1"/>
  <c r="CB388" i="1"/>
  <c r="CE380" i="1"/>
  <c r="CB380" i="1"/>
  <c r="CE372" i="1"/>
  <c r="CB372" i="1"/>
  <c r="CE364" i="1"/>
  <c r="CB364" i="1"/>
  <c r="CE356" i="1"/>
  <c r="CB356" i="1"/>
  <c r="CE348" i="1"/>
  <c r="CB348" i="1"/>
  <c r="CE340" i="1"/>
  <c r="CB340" i="1"/>
  <c r="CE332" i="1"/>
  <c r="CB332" i="1"/>
  <c r="CE324" i="1"/>
  <c r="CB324" i="1"/>
  <c r="CE673" i="1"/>
  <c r="CB673" i="1"/>
  <c r="CE621" i="1"/>
  <c r="CB621" i="1"/>
  <c r="CE581" i="1"/>
  <c r="CB581" i="1"/>
  <c r="CE541" i="1"/>
  <c r="CB541" i="1"/>
  <c r="CE517" i="1"/>
  <c r="CB517" i="1"/>
  <c r="CE477" i="1"/>
  <c r="CB477" i="1"/>
  <c r="CE421" i="1"/>
  <c r="CB421" i="1"/>
  <c r="CE381" i="1"/>
  <c r="CB381" i="1"/>
  <c r="CE349" i="1"/>
  <c r="CB349" i="1"/>
  <c r="CE658" i="1"/>
  <c r="CB658" i="1"/>
  <c r="CE629" i="1"/>
  <c r="CB629" i="1"/>
  <c r="CE603" i="1"/>
  <c r="CB603" i="1"/>
  <c r="CE563" i="1"/>
  <c r="CB563" i="1"/>
  <c r="CE531" i="1"/>
  <c r="CB531" i="1"/>
  <c r="CE507" i="1"/>
  <c r="CB507" i="1"/>
  <c r="CE475" i="1"/>
  <c r="CB475" i="1"/>
  <c r="CE443" i="1"/>
  <c r="CB443" i="1"/>
  <c r="CE427" i="1"/>
  <c r="CB427" i="1"/>
  <c r="CE395" i="1"/>
  <c r="CB395" i="1"/>
  <c r="CE347" i="1"/>
  <c r="CB347" i="1"/>
  <c r="CE689" i="1"/>
  <c r="CB689" i="1"/>
  <c r="CE681" i="1"/>
  <c r="CB681" i="1"/>
  <c r="CE669" i="1"/>
  <c r="CB669" i="1"/>
  <c r="CE666" i="1"/>
  <c r="CB666" i="1"/>
  <c r="CE627" i="1"/>
  <c r="CB627" i="1"/>
  <c r="CE651" i="1"/>
  <c r="CB651" i="1"/>
  <c r="CE644" i="1"/>
  <c r="CB644" i="1"/>
  <c r="CE636" i="1"/>
  <c r="CB636" i="1"/>
  <c r="CE628" i="1"/>
  <c r="CB628" i="1"/>
  <c r="CE618" i="1"/>
  <c r="CB618" i="1"/>
  <c r="CE610" i="1"/>
  <c r="CB610" i="1"/>
  <c r="CE602" i="1"/>
  <c r="CB602" i="1"/>
  <c r="CE594" i="1"/>
  <c r="CB594" i="1"/>
  <c r="CE586" i="1"/>
  <c r="CB586" i="1"/>
  <c r="CE578" i="1"/>
  <c r="CB578" i="1"/>
  <c r="CE570" i="1"/>
  <c r="CB570" i="1"/>
  <c r="CE562" i="1"/>
  <c r="CB562" i="1"/>
  <c r="CE554" i="1"/>
  <c r="CB554" i="1"/>
  <c r="CE546" i="1"/>
  <c r="CB546" i="1"/>
  <c r="CE538" i="1"/>
  <c r="CB538" i="1"/>
  <c r="CB530" i="1"/>
  <c r="CE522" i="1"/>
  <c r="CB522" i="1"/>
  <c r="CE514" i="1"/>
  <c r="CB514" i="1"/>
  <c r="CE506" i="1"/>
  <c r="CB506" i="1"/>
  <c r="CE498" i="1"/>
  <c r="CB498" i="1"/>
  <c r="CE490" i="1"/>
  <c r="CB490" i="1"/>
  <c r="CE482" i="1"/>
  <c r="CB482" i="1"/>
  <c r="CE474" i="1"/>
  <c r="CB474" i="1"/>
  <c r="CE466" i="1"/>
  <c r="CB466" i="1"/>
  <c r="CE458" i="1"/>
  <c r="CB458" i="1"/>
  <c r="CE450" i="1"/>
  <c r="CB450" i="1"/>
  <c r="CE442" i="1"/>
  <c r="CB442" i="1"/>
  <c r="CE434" i="1"/>
  <c r="CB434" i="1"/>
  <c r="CE426" i="1"/>
  <c r="CB426" i="1"/>
  <c r="CE418" i="1"/>
  <c r="CB418" i="1"/>
  <c r="CE410" i="1"/>
  <c r="CB410" i="1"/>
  <c r="CB402" i="1"/>
  <c r="CE394" i="1"/>
  <c r="CB394" i="1"/>
  <c r="CE386" i="1"/>
  <c r="CB386" i="1"/>
  <c r="CE378" i="1"/>
  <c r="CB378" i="1"/>
  <c r="CE370" i="1"/>
  <c r="CB370" i="1"/>
  <c r="CE362" i="1"/>
  <c r="CB362" i="1"/>
  <c r="CE354" i="1"/>
  <c r="CB354" i="1"/>
  <c r="CE346" i="1"/>
  <c r="CB346" i="1"/>
  <c r="CE338" i="1"/>
  <c r="CB338" i="1"/>
  <c r="CE330" i="1"/>
  <c r="CB330" i="1"/>
  <c r="CE322" i="1"/>
  <c r="CB322" i="1"/>
  <c r="CE676" i="1"/>
  <c r="CB676" i="1"/>
  <c r="CE605" i="1"/>
  <c r="CB605" i="1"/>
  <c r="CE557" i="1"/>
  <c r="CB557" i="1"/>
  <c r="CE493" i="1"/>
  <c r="CB493" i="1"/>
  <c r="CE445" i="1"/>
  <c r="CB445" i="1"/>
  <c r="CE397" i="1"/>
  <c r="CB397" i="1"/>
  <c r="CE341" i="1"/>
  <c r="CB341" i="1"/>
  <c r="CE670" i="1"/>
  <c r="CB670" i="1"/>
  <c r="CE640" i="1"/>
  <c r="CB640" i="1"/>
  <c r="CE611" i="1"/>
  <c r="CB611" i="1"/>
  <c r="CE571" i="1"/>
  <c r="CB571" i="1"/>
  <c r="CE539" i="1"/>
  <c r="CB539" i="1"/>
  <c r="CE515" i="1"/>
  <c r="CB515" i="1"/>
  <c r="CE483" i="1"/>
  <c r="CB483" i="1"/>
  <c r="CE451" i="1"/>
  <c r="CB451" i="1"/>
  <c r="CE419" i="1"/>
  <c r="CB419" i="1"/>
  <c r="CE387" i="1"/>
  <c r="CB387" i="1"/>
  <c r="CE355" i="1"/>
  <c r="CB355" i="1"/>
  <c r="CE323" i="1"/>
  <c r="CB323" i="1"/>
  <c r="CE685" i="1"/>
  <c r="CB685" i="1"/>
  <c r="CE679" i="1"/>
  <c r="CB679" i="1"/>
  <c r="CE668" i="1"/>
  <c r="CB668" i="1"/>
  <c r="CE665" i="1"/>
  <c r="CB665" i="1"/>
  <c r="CE625" i="1"/>
  <c r="CB625" i="1"/>
  <c r="CE652" i="1"/>
  <c r="CB652" i="1"/>
  <c r="CE642" i="1"/>
  <c r="CB642" i="1"/>
  <c r="CE635" i="1"/>
  <c r="CB635" i="1"/>
  <c r="CE626" i="1"/>
  <c r="CB626" i="1"/>
  <c r="CE617" i="1"/>
  <c r="CB617" i="1"/>
  <c r="CE609" i="1"/>
  <c r="CB609" i="1"/>
  <c r="CE601" i="1"/>
  <c r="CB601" i="1"/>
  <c r="CE593" i="1"/>
  <c r="CB593" i="1"/>
  <c r="CE585" i="1"/>
  <c r="CB585" i="1"/>
  <c r="CE577" i="1"/>
  <c r="CB577" i="1"/>
  <c r="CE569" i="1"/>
  <c r="CB569" i="1"/>
  <c r="CE561" i="1"/>
  <c r="CB561" i="1"/>
  <c r="CE553" i="1"/>
  <c r="CB553" i="1"/>
  <c r="CE545" i="1"/>
  <c r="CB545" i="1"/>
  <c r="CE521" i="1"/>
  <c r="CB521" i="1"/>
  <c r="CE513" i="1"/>
  <c r="CB513" i="1"/>
  <c r="CE505" i="1"/>
  <c r="CB505" i="1"/>
  <c r="CE497" i="1"/>
  <c r="CB497" i="1"/>
  <c r="CE489" i="1"/>
  <c r="CB489" i="1"/>
  <c r="CE481" i="1"/>
  <c r="CB481" i="1"/>
  <c r="CE473" i="1"/>
  <c r="CB473" i="1"/>
  <c r="CE465" i="1"/>
  <c r="CB465" i="1"/>
  <c r="CE457" i="1"/>
  <c r="CB457" i="1"/>
  <c r="CE449" i="1"/>
  <c r="CB449" i="1"/>
  <c r="CE441" i="1"/>
  <c r="CB441" i="1"/>
  <c r="CE433" i="1"/>
  <c r="CB433" i="1"/>
  <c r="CE425" i="1"/>
  <c r="CB425" i="1"/>
  <c r="CE417" i="1"/>
  <c r="CB417" i="1"/>
  <c r="CE409" i="1"/>
  <c r="CB409" i="1"/>
  <c r="CE401" i="1"/>
  <c r="CB401" i="1"/>
  <c r="CE393" i="1"/>
  <c r="CB393" i="1"/>
  <c r="CE385" i="1"/>
  <c r="CB385" i="1"/>
  <c r="CE377" i="1"/>
  <c r="CB377" i="1"/>
  <c r="CE369" i="1"/>
  <c r="CB369" i="1"/>
  <c r="CE361" i="1"/>
  <c r="CB361" i="1"/>
  <c r="CE345" i="1"/>
  <c r="CB345" i="1"/>
  <c r="CE337" i="1"/>
  <c r="CB337" i="1"/>
  <c r="CE329" i="1"/>
  <c r="CB329" i="1"/>
  <c r="CE653" i="1"/>
  <c r="CB653" i="1"/>
  <c r="CE597" i="1"/>
  <c r="CB597" i="1"/>
  <c r="CE549" i="1"/>
  <c r="CB549" i="1"/>
  <c r="CE509" i="1"/>
  <c r="CB509" i="1"/>
  <c r="CE453" i="1"/>
  <c r="CB453" i="1"/>
  <c r="CE373" i="1"/>
  <c r="CB373" i="1"/>
  <c r="CE667" i="1"/>
  <c r="CB667" i="1"/>
  <c r="CE619" i="1"/>
  <c r="CB619" i="1"/>
  <c r="CE579" i="1"/>
  <c r="CB579" i="1"/>
  <c r="CE523" i="1"/>
  <c r="CB523" i="1"/>
  <c r="CE467" i="1"/>
  <c r="CB467" i="1"/>
  <c r="CE411" i="1"/>
  <c r="CB411" i="1"/>
  <c r="CE371" i="1"/>
  <c r="CB371" i="1"/>
  <c r="CE331" i="1"/>
  <c r="CB331" i="1"/>
  <c r="CE688" i="1"/>
  <c r="CB688" i="1"/>
  <c r="CE678" i="1"/>
  <c r="CB678" i="1"/>
  <c r="CE672" i="1"/>
  <c r="CB672" i="1"/>
  <c r="CE664" i="1"/>
  <c r="CB664" i="1"/>
  <c r="CE633" i="1"/>
  <c r="CB633" i="1"/>
  <c r="CE647" i="1"/>
  <c r="CB647" i="1"/>
  <c r="CE643" i="1"/>
  <c r="CB643" i="1"/>
  <c r="CE634" i="1"/>
  <c r="CB634" i="1"/>
  <c r="CE624" i="1"/>
  <c r="CB624" i="1"/>
  <c r="CE616" i="1"/>
  <c r="CB616" i="1"/>
  <c r="CE608" i="1"/>
  <c r="CB608" i="1"/>
  <c r="CE600" i="1"/>
  <c r="CB600" i="1"/>
  <c r="CE592" i="1"/>
  <c r="CB592" i="1"/>
  <c r="CE584" i="1"/>
  <c r="CB584" i="1"/>
  <c r="CE576" i="1"/>
  <c r="CB576" i="1"/>
  <c r="CE568" i="1"/>
  <c r="CB568" i="1"/>
  <c r="CE560" i="1"/>
  <c r="CB560" i="1"/>
  <c r="CE552" i="1"/>
  <c r="CB552" i="1"/>
  <c r="CE544" i="1"/>
  <c r="CB544" i="1"/>
  <c r="CE536" i="1"/>
  <c r="CB536" i="1"/>
  <c r="CE528" i="1"/>
  <c r="CB528" i="1"/>
  <c r="CE520" i="1"/>
  <c r="CB520" i="1"/>
  <c r="CE512" i="1"/>
  <c r="CB512" i="1"/>
  <c r="CE504" i="1"/>
  <c r="CB504" i="1"/>
  <c r="CE496" i="1"/>
  <c r="CB496" i="1"/>
  <c r="CE488" i="1"/>
  <c r="CB488" i="1"/>
  <c r="CE480" i="1"/>
  <c r="CB480" i="1"/>
  <c r="CE472" i="1"/>
  <c r="CB472" i="1"/>
  <c r="CE464" i="1"/>
  <c r="CB464" i="1"/>
  <c r="CE448" i="1"/>
  <c r="CB448" i="1"/>
  <c r="CE440" i="1"/>
  <c r="CB440" i="1"/>
  <c r="CE424" i="1"/>
  <c r="CB424" i="1"/>
  <c r="CE416" i="1"/>
  <c r="CB416" i="1"/>
  <c r="CE408" i="1"/>
  <c r="CB408" i="1"/>
  <c r="CE400" i="1"/>
  <c r="CB400" i="1"/>
  <c r="CE392" i="1"/>
  <c r="CB392" i="1"/>
  <c r="CE384" i="1"/>
  <c r="CB384" i="1"/>
  <c r="CE376" i="1"/>
  <c r="CB376" i="1"/>
  <c r="CE368" i="1"/>
  <c r="CB368" i="1"/>
  <c r="CE360" i="1"/>
  <c r="CB360" i="1"/>
  <c r="CE352" i="1"/>
  <c r="CB352" i="1"/>
  <c r="CE344" i="1"/>
  <c r="CB344" i="1"/>
  <c r="CE336" i="1"/>
  <c r="CB336" i="1"/>
  <c r="CE328" i="1"/>
  <c r="CB328" i="1"/>
  <c r="CE320" i="1"/>
  <c r="CB320" i="1"/>
  <c r="CE661" i="1"/>
  <c r="CB661" i="1"/>
  <c r="CE501" i="1"/>
  <c r="CB501" i="1"/>
  <c r="CE469" i="1"/>
  <c r="CB469" i="1"/>
  <c r="CE437" i="1"/>
  <c r="CB437" i="1"/>
  <c r="CE405" i="1"/>
  <c r="CB405" i="1"/>
  <c r="CE357" i="1"/>
  <c r="CB357" i="1"/>
  <c r="CE317" i="1"/>
  <c r="CB317" i="1"/>
  <c r="CE680" i="1"/>
  <c r="CB680" i="1"/>
  <c r="CE637" i="1"/>
  <c r="CB637" i="1"/>
  <c r="CE595" i="1"/>
  <c r="CB595" i="1"/>
  <c r="CE555" i="1"/>
  <c r="CB555" i="1"/>
  <c r="CE499" i="1"/>
  <c r="CB499" i="1"/>
  <c r="CE459" i="1"/>
  <c r="CB459" i="1"/>
  <c r="CE403" i="1"/>
  <c r="CB403" i="1"/>
  <c r="CE363" i="1"/>
  <c r="CB363" i="1"/>
  <c r="CE339" i="1"/>
  <c r="CB339" i="1"/>
  <c r="CE686" i="1"/>
  <c r="CB686" i="1"/>
  <c r="CE677" i="1"/>
  <c r="CB677" i="1"/>
  <c r="CE671" i="1"/>
  <c r="CB671" i="1"/>
  <c r="CE663" i="1"/>
  <c r="CB663" i="1"/>
  <c r="CE656" i="1"/>
  <c r="CB656" i="1"/>
  <c r="CE646" i="1"/>
  <c r="CB646" i="1"/>
  <c r="CE645" i="1"/>
  <c r="CB645" i="1"/>
  <c r="CE632" i="1"/>
  <c r="CB632" i="1"/>
  <c r="CE623" i="1"/>
  <c r="CB623" i="1"/>
  <c r="CE615" i="1"/>
  <c r="CB615" i="1"/>
  <c r="CE607" i="1"/>
  <c r="CB607" i="1"/>
  <c r="CE599" i="1"/>
  <c r="CB599" i="1"/>
  <c r="CE591" i="1"/>
  <c r="CB591" i="1"/>
  <c r="CE575" i="1"/>
  <c r="CB575" i="1"/>
  <c r="CE567" i="1"/>
  <c r="CB567" i="1"/>
  <c r="CE559" i="1"/>
  <c r="CB559" i="1"/>
  <c r="CE551" i="1"/>
  <c r="CB551" i="1"/>
  <c r="CE543" i="1"/>
  <c r="CB543" i="1"/>
  <c r="CE535" i="1"/>
  <c r="CB535" i="1"/>
  <c r="CE519" i="1"/>
  <c r="CB519" i="1"/>
  <c r="CE511" i="1"/>
  <c r="CB511" i="1"/>
  <c r="CE503" i="1"/>
  <c r="CB503" i="1"/>
  <c r="CE495" i="1"/>
  <c r="CB495" i="1"/>
  <c r="CE487" i="1"/>
  <c r="CB487" i="1"/>
  <c r="CE479" i="1"/>
  <c r="CB479" i="1"/>
  <c r="CE471" i="1"/>
  <c r="CB471" i="1"/>
  <c r="CE463" i="1"/>
  <c r="CB463" i="1"/>
  <c r="CE455" i="1"/>
  <c r="CB455" i="1"/>
  <c r="CE447" i="1"/>
  <c r="CB447" i="1"/>
  <c r="CE439" i="1"/>
  <c r="CB439" i="1"/>
  <c r="CE431" i="1"/>
  <c r="CB431" i="1"/>
  <c r="CE423" i="1"/>
  <c r="CB423" i="1"/>
  <c r="CE415" i="1"/>
  <c r="CB415" i="1"/>
  <c r="CE407" i="1"/>
  <c r="CB407" i="1"/>
  <c r="CE399" i="1"/>
  <c r="CB399" i="1"/>
  <c r="CE391" i="1"/>
  <c r="CB391" i="1"/>
  <c r="CE383" i="1"/>
  <c r="CB383" i="1"/>
  <c r="CE375" i="1"/>
  <c r="CB375" i="1"/>
  <c r="CE367" i="1"/>
  <c r="CB367" i="1"/>
  <c r="CE359" i="1"/>
  <c r="CB359" i="1"/>
  <c r="CE351" i="1"/>
  <c r="CB351" i="1"/>
  <c r="CE343" i="1"/>
  <c r="CB343" i="1"/>
  <c r="CE335" i="1"/>
  <c r="CB335" i="1"/>
  <c r="CE327" i="1"/>
  <c r="CB327" i="1"/>
  <c r="CE319" i="1"/>
  <c r="CB319" i="1"/>
  <c r="CE639" i="1"/>
  <c r="CB639" i="1"/>
  <c r="CE589" i="1"/>
  <c r="CB589" i="1"/>
  <c r="CE461" i="1"/>
  <c r="CB461" i="1"/>
  <c r="CE413" i="1"/>
  <c r="CB413" i="1"/>
  <c r="CE657" i="1"/>
  <c r="CB657" i="1"/>
  <c r="CE587" i="1"/>
  <c r="CB587" i="1"/>
  <c r="CE547" i="1"/>
  <c r="CB547" i="1"/>
  <c r="CE491" i="1"/>
  <c r="CB491" i="1"/>
  <c r="CE435" i="1"/>
  <c r="CB435" i="1"/>
  <c r="CE379" i="1"/>
  <c r="CB379" i="1"/>
  <c r="CE687" i="1"/>
  <c r="CB687" i="1"/>
  <c r="CE682" i="1"/>
  <c r="CB682" i="1"/>
  <c r="CE675" i="1"/>
  <c r="CB675" i="1"/>
  <c r="CE662" i="1"/>
  <c r="CB662" i="1"/>
  <c r="CE655" i="1"/>
  <c r="CB655" i="1"/>
  <c r="CE648" i="1"/>
  <c r="CB648" i="1"/>
  <c r="CE641" i="1"/>
  <c r="CB641" i="1"/>
  <c r="CE631" i="1"/>
  <c r="CB631" i="1"/>
  <c r="CE622" i="1"/>
  <c r="CB622" i="1"/>
  <c r="CE614" i="1"/>
  <c r="CB614" i="1"/>
  <c r="CE606" i="1"/>
  <c r="CB606" i="1"/>
  <c r="CE598" i="1"/>
  <c r="CB598" i="1"/>
  <c r="CE590" i="1"/>
  <c r="CB590" i="1"/>
  <c r="CE582" i="1"/>
  <c r="CB582" i="1"/>
  <c r="CE574" i="1"/>
  <c r="CB574" i="1"/>
  <c r="CE566" i="1"/>
  <c r="CB566" i="1"/>
  <c r="CE558" i="1"/>
  <c r="CB558" i="1"/>
  <c r="CE550" i="1"/>
  <c r="CB550" i="1"/>
  <c r="CE542" i="1"/>
  <c r="CB542" i="1"/>
  <c r="CE534" i="1"/>
  <c r="CB534" i="1"/>
  <c r="CE526" i="1"/>
  <c r="CB526" i="1"/>
  <c r="CE518" i="1"/>
  <c r="CB518" i="1"/>
  <c r="CE510" i="1"/>
  <c r="CB510" i="1"/>
  <c r="CE502" i="1"/>
  <c r="CB502" i="1"/>
  <c r="CE494" i="1"/>
  <c r="CB494" i="1"/>
  <c r="CE486" i="1"/>
  <c r="CB486" i="1"/>
  <c r="CE478" i="1"/>
  <c r="CB478" i="1"/>
  <c r="CB470" i="1"/>
  <c r="CE462" i="1"/>
  <c r="CB462" i="1"/>
  <c r="CE454" i="1"/>
  <c r="CB454" i="1"/>
  <c r="CE446" i="1"/>
  <c r="CB446" i="1"/>
  <c r="CE438" i="1"/>
  <c r="CB438" i="1"/>
  <c r="CE422" i="1"/>
  <c r="CB422" i="1"/>
  <c r="CE414" i="1"/>
  <c r="CB414" i="1"/>
  <c r="CE406" i="1"/>
  <c r="CB406" i="1"/>
  <c r="CE398" i="1"/>
  <c r="CB398" i="1"/>
  <c r="CE390" i="1"/>
  <c r="CB390" i="1"/>
  <c r="CE382" i="1"/>
  <c r="CB382" i="1"/>
  <c r="CE374" i="1"/>
  <c r="CB374" i="1"/>
  <c r="CE366" i="1"/>
  <c r="CB366" i="1"/>
  <c r="CE358" i="1"/>
  <c r="CB358" i="1"/>
  <c r="CE350" i="1"/>
  <c r="CB350" i="1"/>
  <c r="CE342" i="1"/>
  <c r="CB342" i="1"/>
  <c r="CE334" i="1"/>
  <c r="CB334" i="1"/>
  <c r="CE318" i="1"/>
  <c r="CB318" i="1"/>
  <c r="CC527" i="1"/>
  <c r="AI289" i="1"/>
  <c r="CE289" i="1"/>
  <c r="CB119" i="1"/>
  <c r="CB210" i="1"/>
  <c r="CB3" i="1"/>
  <c r="AI297" i="1"/>
  <c r="AI301" i="1"/>
  <c r="AI300" i="1"/>
  <c r="AI292" i="1"/>
  <c r="AI299" i="1"/>
  <c r="AI291" i="1"/>
  <c r="AI210" i="1"/>
  <c r="AI290" i="1"/>
  <c r="AI294" i="1"/>
  <c r="AI72" i="1"/>
  <c r="AI296" i="1"/>
  <c r="AI288" i="1"/>
  <c r="AI287" i="1"/>
  <c r="AI293" i="1"/>
  <c r="BA326" i="1" l="1"/>
  <c r="CD326" i="1" s="1"/>
  <c r="CC326" i="1" l="1"/>
  <c r="CE326" i="1"/>
  <c r="CC583" i="1"/>
  <c r="CE583" i="1"/>
  <c r="E92" i="5"/>
  <c r="D92" i="5"/>
  <c r="B92" i="5"/>
  <c r="F90" i="5"/>
  <c r="G90" i="5" s="1"/>
  <c r="F91" i="5"/>
  <c r="G91" i="5" s="1"/>
  <c r="N13" i="4" l="1"/>
  <c r="AT4" i="1"/>
  <c r="AT5" i="1"/>
  <c r="AT6" i="1"/>
  <c r="AT7" i="1"/>
  <c r="AT8" i="1"/>
  <c r="AT9" i="1"/>
  <c r="AT10" i="1"/>
  <c r="AT11" i="1"/>
  <c r="AT12" i="1"/>
  <c r="AT13" i="1"/>
  <c r="AT14" i="1"/>
  <c r="AT15" i="1"/>
  <c r="AT16" i="1"/>
  <c r="AT17" i="1"/>
  <c r="AT18" i="1"/>
  <c r="AT19" i="1"/>
  <c r="AT20" i="1"/>
  <c r="AT21" i="1"/>
  <c r="AT22" i="1"/>
  <c r="AT23" i="1"/>
  <c r="AT24" i="1"/>
  <c r="AT25" i="1"/>
  <c r="AT26" i="1"/>
  <c r="AT27" i="1"/>
  <c r="AT28" i="1"/>
  <c r="AT29" i="1"/>
  <c r="AT30" i="1"/>
  <c r="AT31" i="1"/>
  <c r="AT32" i="1"/>
  <c r="AT33" i="1"/>
  <c r="AT34" i="1"/>
  <c r="AT35" i="1"/>
  <c r="AT36" i="1"/>
  <c r="AT37" i="1"/>
  <c r="AT38" i="1"/>
  <c r="AT39" i="1"/>
  <c r="AT40" i="1"/>
  <c r="AT41" i="1"/>
  <c r="AT42" i="1"/>
  <c r="AT43" i="1"/>
  <c r="AT44" i="1"/>
  <c r="AT45" i="1"/>
  <c r="AT46" i="1"/>
  <c r="AT47" i="1"/>
  <c r="AT48" i="1"/>
  <c r="AT49" i="1"/>
  <c r="AT50" i="1"/>
  <c r="AT51" i="1"/>
  <c r="AT52" i="1"/>
  <c r="AT53" i="1"/>
  <c r="AT54" i="1"/>
  <c r="AT55" i="1"/>
  <c r="AT56" i="1"/>
  <c r="AT57" i="1"/>
  <c r="AT58" i="1"/>
  <c r="AT59" i="1"/>
  <c r="AT60" i="1"/>
  <c r="AT61" i="1"/>
  <c r="AT62" i="1"/>
  <c r="AT63" i="1"/>
  <c r="AT64" i="1"/>
  <c r="AT65" i="1"/>
  <c r="AT66" i="1"/>
  <c r="AT67" i="1"/>
  <c r="AT68" i="1"/>
  <c r="AT69" i="1"/>
  <c r="AT70" i="1"/>
  <c r="AT71" i="1"/>
  <c r="AT72" i="1"/>
  <c r="AT73" i="1"/>
  <c r="AT74" i="1"/>
  <c r="AT75" i="1"/>
  <c r="AT76" i="1"/>
  <c r="AT77" i="1"/>
  <c r="AT78" i="1"/>
  <c r="AT79" i="1"/>
  <c r="AT80" i="1"/>
  <c r="AT81" i="1"/>
  <c r="AT82" i="1"/>
  <c r="AT83" i="1"/>
  <c r="AT84" i="1"/>
  <c r="AT85" i="1"/>
  <c r="AT86" i="1"/>
  <c r="AT87" i="1"/>
  <c r="AT88" i="1"/>
  <c r="AT89" i="1"/>
  <c r="AT90" i="1"/>
  <c r="AT91" i="1"/>
  <c r="AT92" i="1"/>
  <c r="AT93" i="1"/>
  <c r="AT94" i="1"/>
  <c r="AT95" i="1"/>
  <c r="AT96" i="1"/>
  <c r="AT97" i="1"/>
  <c r="AT98" i="1"/>
  <c r="AT99" i="1"/>
  <c r="AT100" i="1"/>
  <c r="AT101" i="1"/>
  <c r="AT102" i="1"/>
  <c r="AT103" i="1"/>
  <c r="AT104" i="1"/>
  <c r="AT105" i="1"/>
  <c r="AT106" i="1"/>
  <c r="AT107" i="1"/>
  <c r="AT108" i="1"/>
  <c r="AT109" i="1"/>
  <c r="AT110" i="1"/>
  <c r="AT111" i="1"/>
  <c r="AT112" i="1"/>
  <c r="AT113" i="1"/>
  <c r="AT114" i="1"/>
  <c r="AT115" i="1"/>
  <c r="AT116" i="1"/>
  <c r="AT117" i="1"/>
  <c r="AT118" i="1"/>
  <c r="AT119" i="1"/>
  <c r="AT120" i="1"/>
  <c r="AT121" i="1"/>
  <c r="AT122" i="1"/>
  <c r="AT123" i="1"/>
  <c r="AT124" i="1"/>
  <c r="AT125" i="1"/>
  <c r="AT126" i="1"/>
  <c r="AT127" i="1"/>
  <c r="AT128" i="1"/>
  <c r="AT129" i="1"/>
  <c r="AT130" i="1"/>
  <c r="AT131" i="1"/>
  <c r="AT132" i="1"/>
  <c r="AT133" i="1"/>
  <c r="AT134" i="1"/>
  <c r="AT135" i="1"/>
  <c r="AT136" i="1"/>
  <c r="AT137" i="1"/>
  <c r="AT138" i="1"/>
  <c r="AT139" i="1"/>
  <c r="AT140" i="1"/>
  <c r="AT141" i="1"/>
  <c r="AT142" i="1"/>
  <c r="AT143" i="1"/>
  <c r="AT144" i="1"/>
  <c r="AT145" i="1"/>
  <c r="AT146" i="1"/>
  <c r="AT147" i="1"/>
  <c r="AT148" i="1"/>
  <c r="AT149" i="1"/>
  <c r="AT150" i="1"/>
  <c r="AT151" i="1"/>
  <c r="AT152" i="1"/>
  <c r="AT153" i="1"/>
  <c r="AT154" i="1"/>
  <c r="AT155" i="1"/>
  <c r="AT156" i="1"/>
  <c r="AT157" i="1"/>
  <c r="AT158" i="1"/>
  <c r="AT159" i="1"/>
  <c r="AT160" i="1"/>
  <c r="AT161" i="1"/>
  <c r="AT162" i="1"/>
  <c r="AT163" i="1"/>
  <c r="AT164" i="1"/>
  <c r="AT165" i="1"/>
  <c r="AT166" i="1"/>
  <c r="AT167" i="1"/>
  <c r="AT168" i="1"/>
  <c r="AT169" i="1"/>
  <c r="AT170" i="1"/>
  <c r="AT171" i="1"/>
  <c r="AT172" i="1"/>
  <c r="AT173" i="1"/>
  <c r="AT174" i="1"/>
  <c r="AT175" i="1"/>
  <c r="AT176" i="1"/>
  <c r="AT177" i="1"/>
  <c r="AT178" i="1"/>
  <c r="AT179" i="1"/>
  <c r="AT180" i="1"/>
  <c r="AT181" i="1"/>
  <c r="AT182" i="1"/>
  <c r="AT183" i="1"/>
  <c r="AT184" i="1"/>
  <c r="AT185" i="1"/>
  <c r="AT186" i="1"/>
  <c r="AT187" i="1"/>
  <c r="AT188" i="1"/>
  <c r="AT189" i="1"/>
  <c r="AT190" i="1"/>
  <c r="AT191" i="1"/>
  <c r="AT192" i="1"/>
  <c r="AT193" i="1"/>
  <c r="AT194" i="1"/>
  <c r="AT195" i="1"/>
  <c r="AT196" i="1"/>
  <c r="AT197" i="1"/>
  <c r="AT198" i="1"/>
  <c r="AT199" i="1"/>
  <c r="AT200" i="1"/>
  <c r="AT201" i="1"/>
  <c r="AT202" i="1"/>
  <c r="AT203" i="1"/>
  <c r="AT204" i="1"/>
  <c r="AT205" i="1"/>
  <c r="AT206" i="1"/>
  <c r="AT207" i="1"/>
  <c r="AT208" i="1"/>
  <c r="AT209" i="1"/>
  <c r="AT210" i="1"/>
  <c r="AT211" i="1"/>
  <c r="AT213" i="1"/>
  <c r="AT214" i="1"/>
  <c r="AT215" i="1"/>
  <c r="AT216" i="1"/>
  <c r="AT217" i="1"/>
  <c r="AT218" i="1"/>
  <c r="AT219" i="1"/>
  <c r="AT220" i="1"/>
  <c r="AT221" i="1"/>
  <c r="AT222" i="1"/>
  <c r="AT223" i="1"/>
  <c r="AT224" i="1"/>
  <c r="AT225" i="1"/>
  <c r="AT226" i="1"/>
  <c r="AT227" i="1"/>
  <c r="AT228" i="1"/>
  <c r="AT229" i="1"/>
  <c r="AT230" i="1"/>
  <c r="AT231" i="1"/>
  <c r="AT232" i="1"/>
  <c r="AT233" i="1"/>
  <c r="AT234" i="1"/>
  <c r="AT235" i="1"/>
  <c r="AT236" i="1"/>
  <c r="AT237" i="1"/>
  <c r="AT238" i="1"/>
  <c r="AT239" i="1"/>
  <c r="AT240" i="1"/>
  <c r="AT241" i="1"/>
  <c r="AT242" i="1"/>
  <c r="AT243" i="1"/>
  <c r="AT244" i="1"/>
  <c r="AT245" i="1"/>
  <c r="AT246" i="1"/>
  <c r="AT247" i="1"/>
  <c r="AT248" i="1"/>
  <c r="AT249" i="1"/>
  <c r="AT250" i="1"/>
  <c r="AT251" i="1"/>
  <c r="AT252" i="1"/>
  <c r="AT253" i="1"/>
  <c r="AT254" i="1"/>
  <c r="AT255" i="1"/>
  <c r="AT256" i="1"/>
  <c r="AT257" i="1"/>
  <c r="AT258" i="1"/>
  <c r="AT259" i="1"/>
  <c r="AT260" i="1"/>
  <c r="AT261" i="1"/>
  <c r="AT262" i="1"/>
  <c r="AT263" i="1"/>
  <c r="AT264" i="1"/>
  <c r="AT265" i="1"/>
  <c r="AT266" i="1"/>
  <c r="AT267" i="1"/>
  <c r="AT268" i="1"/>
  <c r="AT269" i="1"/>
  <c r="AT270" i="1"/>
  <c r="AT271" i="1"/>
  <c r="AT272" i="1"/>
  <c r="AT273" i="1"/>
  <c r="AT274" i="1"/>
  <c r="AT275" i="1"/>
  <c r="AT276" i="1"/>
  <c r="AT277" i="1"/>
  <c r="AT278" i="1"/>
  <c r="AT279" i="1"/>
  <c r="AT280" i="1"/>
  <c r="AT281" i="1"/>
  <c r="AT282" i="1"/>
  <c r="AT283" i="1"/>
  <c r="AT284" i="1"/>
  <c r="AT285" i="1"/>
  <c r="AT286" i="1"/>
  <c r="AT287" i="1"/>
  <c r="AT288" i="1"/>
  <c r="AT289" i="1"/>
  <c r="AT290" i="1"/>
  <c r="AT291" i="1"/>
  <c r="AT292" i="1"/>
  <c r="AT293" i="1"/>
  <c r="AT294" i="1"/>
  <c r="AT295" i="1"/>
  <c r="AT296" i="1"/>
  <c r="AT297" i="1"/>
  <c r="AT298" i="1"/>
  <c r="AT299" i="1"/>
  <c r="AT300" i="1"/>
  <c r="AT301" i="1"/>
  <c r="AT302" i="1"/>
  <c r="AT303" i="1"/>
  <c r="AT304" i="1"/>
  <c r="AT305" i="1"/>
  <c r="AT306" i="1"/>
  <c r="AT307" i="1"/>
  <c r="AT308" i="1"/>
  <c r="AT309" i="1"/>
  <c r="AT310" i="1"/>
  <c r="AT311" i="1"/>
  <c r="AT312" i="1"/>
  <c r="AT313" i="1"/>
  <c r="AT314" i="1"/>
  <c r="AT315" i="1"/>
  <c r="AT316" i="1"/>
  <c r="AT317" i="1"/>
  <c r="AT318" i="1"/>
  <c r="AT319" i="1"/>
  <c r="AT320" i="1"/>
  <c r="AT321" i="1"/>
  <c r="AT322" i="1"/>
  <c r="AT323" i="1"/>
  <c r="AT324" i="1"/>
  <c r="AT325" i="1"/>
  <c r="AT326" i="1"/>
  <c r="AT327" i="1"/>
  <c r="AT328" i="1"/>
  <c r="AT329" i="1"/>
  <c r="AT330" i="1"/>
  <c r="AT331" i="1"/>
  <c r="AT332" i="1"/>
  <c r="AT333" i="1"/>
  <c r="AT334" i="1"/>
  <c r="AT335" i="1"/>
  <c r="AT336" i="1"/>
  <c r="AT337" i="1"/>
  <c r="AT338" i="1"/>
  <c r="AT339" i="1"/>
  <c r="AT340" i="1"/>
  <c r="AT341" i="1"/>
  <c r="AT342" i="1"/>
  <c r="AT343" i="1"/>
  <c r="AT344" i="1"/>
  <c r="AT345" i="1"/>
  <c r="AT346" i="1"/>
  <c r="AT347" i="1"/>
  <c r="AT348" i="1"/>
  <c r="AT349" i="1"/>
  <c r="AT350" i="1"/>
  <c r="AT351" i="1"/>
  <c r="AT352" i="1"/>
  <c r="AT353" i="1"/>
  <c r="AT354" i="1"/>
  <c r="AT355" i="1"/>
  <c r="AT356" i="1"/>
  <c r="AT357" i="1"/>
  <c r="AT358" i="1"/>
  <c r="AT359" i="1"/>
  <c r="AT360" i="1"/>
  <c r="AT361" i="1"/>
  <c r="AT362" i="1"/>
  <c r="AT363" i="1"/>
  <c r="AT364" i="1"/>
  <c r="AT365" i="1"/>
  <c r="AT366" i="1"/>
  <c r="AT367" i="1"/>
  <c r="AT368" i="1"/>
  <c r="AT369" i="1"/>
  <c r="AT370" i="1"/>
  <c r="AT371" i="1"/>
  <c r="AT372" i="1"/>
  <c r="AT373" i="1"/>
  <c r="AT374" i="1"/>
  <c r="AT375" i="1"/>
  <c r="AT376" i="1"/>
  <c r="AT377" i="1"/>
  <c r="AT378" i="1"/>
  <c r="AT379" i="1"/>
  <c r="AT380" i="1"/>
  <c r="AT381" i="1"/>
  <c r="AT382" i="1"/>
  <c r="AT383" i="1"/>
  <c r="AT384" i="1"/>
  <c r="AT385" i="1"/>
  <c r="AT386" i="1"/>
  <c r="AT387" i="1"/>
  <c r="AT388" i="1"/>
  <c r="AT389" i="1"/>
  <c r="AT390" i="1"/>
  <c r="AT391" i="1"/>
  <c r="AT392" i="1"/>
  <c r="AT393" i="1"/>
  <c r="AT394" i="1"/>
  <c r="AT395" i="1"/>
  <c r="AT396" i="1"/>
  <c r="AT397" i="1"/>
  <c r="AT398" i="1"/>
  <c r="AT399" i="1"/>
  <c r="AT400" i="1"/>
  <c r="AT401" i="1"/>
  <c r="AT402" i="1"/>
  <c r="AT403" i="1"/>
  <c r="AT404" i="1"/>
  <c r="AT405" i="1"/>
  <c r="AT406" i="1"/>
  <c r="AT407" i="1"/>
  <c r="AT408" i="1"/>
  <c r="AT409" i="1"/>
  <c r="AT410" i="1"/>
  <c r="AT411" i="1"/>
  <c r="AT412" i="1"/>
  <c r="AT413" i="1"/>
  <c r="AT414" i="1"/>
  <c r="AT415" i="1"/>
  <c r="AT416" i="1"/>
  <c r="AT417" i="1"/>
  <c r="AT418" i="1"/>
  <c r="AT419" i="1"/>
  <c r="AT420" i="1"/>
  <c r="AT421" i="1"/>
  <c r="AT422" i="1"/>
  <c r="AT423" i="1"/>
  <c r="AT424" i="1"/>
  <c r="AT425" i="1"/>
  <c r="AT426" i="1"/>
  <c r="AT427" i="1"/>
  <c r="AT428" i="1"/>
  <c r="AT429" i="1"/>
  <c r="AT430" i="1"/>
  <c r="AT431" i="1"/>
  <c r="AT432" i="1"/>
  <c r="AT433" i="1"/>
  <c r="AT434" i="1"/>
  <c r="AT435" i="1"/>
  <c r="AT436" i="1"/>
  <c r="AT437" i="1"/>
  <c r="AT438" i="1"/>
  <c r="AT439" i="1"/>
  <c r="AT440" i="1"/>
  <c r="AT441" i="1"/>
  <c r="AT442" i="1"/>
  <c r="AT443" i="1"/>
  <c r="AT444" i="1"/>
  <c r="AT445" i="1"/>
  <c r="AT446" i="1"/>
  <c r="AT447" i="1"/>
  <c r="AT448" i="1"/>
  <c r="AT449" i="1"/>
  <c r="AT450" i="1"/>
  <c r="AT451" i="1"/>
  <c r="AT452" i="1"/>
  <c r="AT453" i="1"/>
  <c r="AT454" i="1"/>
  <c r="AT455" i="1"/>
  <c r="AT456" i="1"/>
  <c r="AT457" i="1"/>
  <c r="AT458" i="1"/>
  <c r="AT459" i="1"/>
  <c r="AT460" i="1"/>
  <c r="AT461" i="1"/>
  <c r="AT462" i="1"/>
  <c r="AT463" i="1"/>
  <c r="AT464" i="1"/>
  <c r="AT465" i="1"/>
  <c r="AT466" i="1"/>
  <c r="AT467" i="1"/>
  <c r="AT468" i="1"/>
  <c r="AT469" i="1"/>
  <c r="AT470" i="1"/>
  <c r="AT471" i="1"/>
  <c r="AT472" i="1"/>
  <c r="AT473" i="1"/>
  <c r="AT474" i="1"/>
  <c r="AT475" i="1"/>
  <c r="AT476" i="1"/>
  <c r="AT477" i="1"/>
  <c r="AT478" i="1"/>
  <c r="AT479" i="1"/>
  <c r="AT480" i="1"/>
  <c r="AT481" i="1"/>
  <c r="AT482" i="1"/>
  <c r="AT483" i="1"/>
  <c r="AT484" i="1"/>
  <c r="AT485" i="1"/>
  <c r="AT486" i="1"/>
  <c r="AT487" i="1"/>
  <c r="AT488" i="1"/>
  <c r="AT489" i="1"/>
  <c r="AT490" i="1"/>
  <c r="AT491" i="1"/>
  <c r="AT492" i="1"/>
  <c r="AT493" i="1"/>
  <c r="AT494" i="1"/>
  <c r="AT495" i="1"/>
  <c r="AT496" i="1"/>
  <c r="AT497" i="1"/>
  <c r="AT498" i="1"/>
  <c r="AT499" i="1"/>
  <c r="AT500" i="1"/>
  <c r="AT501" i="1"/>
  <c r="AT502" i="1"/>
  <c r="AT503" i="1"/>
  <c r="AT504" i="1"/>
  <c r="AT505" i="1"/>
  <c r="AT506" i="1"/>
  <c r="AT507" i="1"/>
  <c r="AT508" i="1"/>
  <c r="AT509" i="1"/>
  <c r="AT510" i="1"/>
  <c r="AT511" i="1"/>
  <c r="AT512" i="1"/>
  <c r="AT513" i="1"/>
  <c r="AT514" i="1"/>
  <c r="AT515" i="1"/>
  <c r="AT516" i="1"/>
  <c r="AT517" i="1"/>
  <c r="AT518" i="1"/>
  <c r="AT519" i="1"/>
  <c r="AT520" i="1"/>
  <c r="AT521" i="1"/>
  <c r="AT522" i="1"/>
  <c r="AT523" i="1"/>
  <c r="AT524" i="1"/>
  <c r="AT525" i="1"/>
  <c r="AT526" i="1"/>
  <c r="AT527" i="1"/>
  <c r="AT528" i="1"/>
  <c r="AT529" i="1"/>
  <c r="AT530" i="1"/>
  <c r="AT531" i="1"/>
  <c r="AT532" i="1"/>
  <c r="AT533" i="1"/>
  <c r="AT534" i="1"/>
  <c r="AT535" i="1"/>
  <c r="AT536" i="1"/>
  <c r="AT537" i="1"/>
  <c r="AT538" i="1"/>
  <c r="AT539" i="1"/>
  <c r="AT540" i="1"/>
  <c r="AT541" i="1"/>
  <c r="AT542" i="1"/>
  <c r="AT543" i="1"/>
  <c r="AT544" i="1"/>
  <c r="AT545" i="1"/>
  <c r="AT546" i="1"/>
  <c r="AT547" i="1"/>
  <c r="AT548" i="1"/>
  <c r="AT549" i="1"/>
  <c r="AT550" i="1"/>
  <c r="AT551" i="1"/>
  <c r="AT552" i="1"/>
  <c r="AT553" i="1"/>
  <c r="AT554" i="1"/>
  <c r="AT555" i="1"/>
  <c r="AT556" i="1"/>
  <c r="AT557" i="1"/>
  <c r="AT558" i="1"/>
  <c r="AT559" i="1"/>
  <c r="AT560" i="1"/>
  <c r="AT561" i="1"/>
  <c r="AT562" i="1"/>
  <c r="AT563" i="1"/>
  <c r="AT564" i="1"/>
  <c r="AT565" i="1"/>
  <c r="AT566" i="1"/>
  <c r="AT567" i="1"/>
  <c r="AT568" i="1"/>
  <c r="AT569" i="1"/>
  <c r="AT570" i="1"/>
  <c r="AT571" i="1"/>
  <c r="AT572" i="1"/>
  <c r="AT573" i="1"/>
  <c r="AT574" i="1"/>
  <c r="AT575" i="1"/>
  <c r="AT576" i="1"/>
  <c r="AT577" i="1"/>
  <c r="AT578" i="1"/>
  <c r="AT579" i="1"/>
  <c r="AT580" i="1"/>
  <c r="AT581" i="1"/>
  <c r="AT582" i="1"/>
  <c r="AT583" i="1"/>
  <c r="AT584" i="1"/>
  <c r="AT585" i="1"/>
  <c r="AT586" i="1"/>
  <c r="AT587" i="1"/>
  <c r="AT588" i="1"/>
  <c r="AT589" i="1"/>
  <c r="AT590" i="1"/>
  <c r="AT591" i="1"/>
  <c r="AT592" i="1"/>
  <c r="AT593" i="1"/>
  <c r="AT594" i="1"/>
  <c r="AT595" i="1"/>
  <c r="AT596" i="1"/>
  <c r="AT597" i="1"/>
  <c r="AT598" i="1"/>
  <c r="AT599" i="1"/>
  <c r="AT600" i="1"/>
  <c r="AT601" i="1"/>
  <c r="AT602" i="1"/>
  <c r="AT603" i="1"/>
  <c r="AT604" i="1"/>
  <c r="AT605" i="1"/>
  <c r="AT606" i="1"/>
  <c r="AT607" i="1"/>
  <c r="AT608" i="1"/>
  <c r="AT609" i="1"/>
  <c r="AT610" i="1"/>
  <c r="AT611" i="1"/>
  <c r="AT612" i="1"/>
  <c r="AT613" i="1"/>
  <c r="AT614" i="1"/>
  <c r="AT615" i="1"/>
  <c r="AT616" i="1"/>
  <c r="AT617" i="1"/>
  <c r="AT618" i="1"/>
  <c r="AT619" i="1"/>
  <c r="AT620" i="1"/>
  <c r="AT621" i="1"/>
  <c r="AT622" i="1"/>
  <c r="AT623" i="1"/>
  <c r="AT624" i="1"/>
  <c r="AT626" i="1"/>
  <c r="AT628" i="1"/>
  <c r="AT629" i="1"/>
  <c r="AT630" i="1"/>
  <c r="AT212" i="1"/>
  <c r="AT631" i="1"/>
  <c r="AT632" i="1"/>
  <c r="AT634" i="1"/>
  <c r="AT635" i="1"/>
  <c r="AT636" i="1"/>
  <c r="AT637" i="1"/>
  <c r="AT638" i="1"/>
  <c r="AT639" i="1"/>
  <c r="AT641" i="1"/>
  <c r="AT645" i="1"/>
  <c r="AT643" i="1"/>
  <c r="AT642" i="1"/>
  <c r="AT644" i="1"/>
  <c r="AT640" i="1"/>
  <c r="AT650" i="1"/>
  <c r="AT649" i="1"/>
  <c r="AT648" i="1"/>
  <c r="AT646" i="1"/>
  <c r="AT647" i="1"/>
  <c r="AT652" i="1"/>
  <c r="AT651" i="1"/>
  <c r="AT657" i="1"/>
  <c r="AT654" i="1"/>
  <c r="AT653" i="1"/>
  <c r="AT655" i="1"/>
  <c r="AT656" i="1"/>
  <c r="AT633" i="1"/>
  <c r="AT625" i="1"/>
  <c r="AT627" i="1"/>
  <c r="AT658" i="1"/>
  <c r="AT660" i="1"/>
  <c r="AT661" i="1"/>
  <c r="AT662" i="1"/>
  <c r="AT663" i="1"/>
  <c r="AT664" i="1"/>
  <c r="AT665" i="1"/>
  <c r="AT666" i="1"/>
  <c r="AT667" i="1"/>
  <c r="AT659" i="1"/>
  <c r="AT673" i="1"/>
  <c r="AT675" i="1"/>
  <c r="AT671" i="1"/>
  <c r="AT672" i="1"/>
  <c r="AT668" i="1"/>
  <c r="AT669" i="1"/>
  <c r="AT670" i="1"/>
  <c r="AT674" i="1"/>
  <c r="AT676" i="1"/>
  <c r="AT682" i="1"/>
  <c r="AT677" i="1"/>
  <c r="AT678" i="1"/>
  <c r="AT679" i="1"/>
  <c r="AT681" i="1"/>
  <c r="AT680" i="1"/>
  <c r="AT683" i="1"/>
  <c r="AT684" i="1"/>
  <c r="AT687" i="1"/>
  <c r="AT686" i="1"/>
  <c r="AT688" i="1"/>
  <c r="AT685" i="1"/>
  <c r="AT689" i="1"/>
  <c r="AQ133" i="1"/>
  <c r="V683" i="1"/>
  <c r="AD683" i="1"/>
  <c r="AE683" i="1"/>
  <c r="AJ683" i="1" s="1"/>
  <c r="AH683" i="1"/>
  <c r="AQ683" i="1"/>
  <c r="BE683" i="1"/>
  <c r="BF683" i="1" s="1"/>
  <c r="V684" i="1"/>
  <c r="AD684" i="1"/>
  <c r="AE684" i="1"/>
  <c r="AJ684" i="1" s="1"/>
  <c r="AH684" i="1"/>
  <c r="AQ684" i="1"/>
  <c r="BE684" i="1"/>
  <c r="V687" i="1"/>
  <c r="AD687" i="1"/>
  <c r="AE687" i="1"/>
  <c r="AJ687" i="1" s="1"/>
  <c r="AH687" i="1"/>
  <c r="AQ687" i="1"/>
  <c r="BE687" i="1"/>
  <c r="V686" i="1"/>
  <c r="AD686" i="1"/>
  <c r="AE686" i="1"/>
  <c r="AJ686" i="1" s="1"/>
  <c r="AH686" i="1"/>
  <c r="AQ686" i="1"/>
  <c r="BE686" i="1"/>
  <c r="BF686" i="1" s="1"/>
  <c r="V688" i="1"/>
  <c r="AD688" i="1"/>
  <c r="AE688" i="1"/>
  <c r="AJ688" i="1" s="1"/>
  <c r="AH688" i="1"/>
  <c r="AQ688" i="1"/>
  <c r="BE688" i="1"/>
  <c r="V685" i="1"/>
  <c r="AD685" i="1"/>
  <c r="AE685" i="1"/>
  <c r="AJ685" i="1" s="1"/>
  <c r="AH685" i="1"/>
  <c r="AQ685" i="1"/>
  <c r="BE685" i="1"/>
  <c r="BF685" i="1" s="1"/>
  <c r="V689" i="1"/>
  <c r="AD689" i="1"/>
  <c r="AE689" i="1"/>
  <c r="AJ689" i="1" s="1"/>
  <c r="AH689" i="1"/>
  <c r="AQ689" i="1"/>
  <c r="BE689" i="1"/>
  <c r="BF689" i="1" s="1"/>
  <c r="V690" i="1"/>
  <c r="CH685" i="1" l="1"/>
  <c r="CI685" i="1" s="1"/>
  <c r="CH684" i="1"/>
  <c r="CI684" i="1" s="1"/>
  <c r="CH686" i="1"/>
  <c r="CI686" i="1" s="1"/>
  <c r="CH687" i="1"/>
  <c r="CI687" i="1" s="1"/>
  <c r="CH689" i="1"/>
  <c r="CI689" i="1" s="1"/>
  <c r="CH688" i="1"/>
  <c r="CI688" i="1" s="1"/>
  <c r="CH683" i="1"/>
  <c r="CI683" i="1" s="1"/>
  <c r="AI689" i="1"/>
  <c r="AI684" i="1"/>
  <c r="AI688" i="1"/>
  <c r="AI683" i="1"/>
  <c r="AI685" i="1"/>
  <c r="AI686" i="1"/>
  <c r="AI687" i="1"/>
  <c r="AR689" i="1"/>
  <c r="AF689" i="1"/>
  <c r="AR688" i="1"/>
  <c r="AF684" i="1"/>
  <c r="AR685" i="1"/>
  <c r="AR687" i="1"/>
  <c r="AF688" i="1"/>
  <c r="AF686" i="1"/>
  <c r="AR684" i="1"/>
  <c r="AR686" i="1"/>
  <c r="AR683" i="1"/>
  <c r="AG686" i="1"/>
  <c r="AG685" i="1"/>
  <c r="AG689" i="1"/>
  <c r="AF685" i="1"/>
  <c r="AG688" i="1"/>
  <c r="AG687" i="1"/>
  <c r="AF687" i="1"/>
  <c r="AG683" i="1"/>
  <c r="AG684" i="1"/>
  <c r="AF683" i="1"/>
  <c r="C66" i="4" l="1"/>
  <c r="AQ4" i="1" l="1"/>
  <c r="AQ5" i="1"/>
  <c r="AQ6" i="1"/>
  <c r="AQ7" i="1"/>
  <c r="AQ8" i="1"/>
  <c r="AQ9" i="1"/>
  <c r="AQ10" i="1"/>
  <c r="AQ11" i="1"/>
  <c r="AQ12" i="1"/>
  <c r="AQ13" i="1"/>
  <c r="AQ14" i="1"/>
  <c r="AQ15" i="1"/>
  <c r="AQ16" i="1"/>
  <c r="AQ17" i="1"/>
  <c r="AQ18" i="1"/>
  <c r="AQ19" i="1"/>
  <c r="AQ20" i="1"/>
  <c r="AQ21" i="1"/>
  <c r="AQ22" i="1"/>
  <c r="AQ23" i="1"/>
  <c r="AQ24" i="1"/>
  <c r="AQ25" i="1"/>
  <c r="AQ26" i="1"/>
  <c r="AQ27" i="1"/>
  <c r="AQ28" i="1"/>
  <c r="AQ29" i="1"/>
  <c r="AQ30" i="1"/>
  <c r="AQ31" i="1"/>
  <c r="AQ32" i="1"/>
  <c r="AQ33" i="1"/>
  <c r="AQ34" i="1"/>
  <c r="AQ35" i="1"/>
  <c r="AQ36" i="1"/>
  <c r="AQ37" i="1"/>
  <c r="AQ38" i="1"/>
  <c r="AQ39" i="1"/>
  <c r="AQ40" i="1"/>
  <c r="AQ41" i="1"/>
  <c r="AQ42" i="1"/>
  <c r="AQ43" i="1"/>
  <c r="AQ44" i="1"/>
  <c r="AQ45" i="1"/>
  <c r="AQ46" i="1"/>
  <c r="AQ47" i="1"/>
  <c r="AQ48" i="1"/>
  <c r="AQ49" i="1"/>
  <c r="AQ50" i="1"/>
  <c r="AQ51" i="1"/>
  <c r="AQ52" i="1"/>
  <c r="AQ53" i="1"/>
  <c r="AQ54" i="1"/>
  <c r="AQ55" i="1"/>
  <c r="AQ56" i="1"/>
  <c r="AQ57" i="1"/>
  <c r="AQ58" i="1"/>
  <c r="AQ59" i="1"/>
  <c r="AQ60" i="1"/>
  <c r="AQ61" i="1"/>
  <c r="AQ62" i="1"/>
  <c r="AQ63" i="1"/>
  <c r="AQ64" i="1"/>
  <c r="AQ65" i="1"/>
  <c r="AQ66" i="1"/>
  <c r="AQ67" i="1"/>
  <c r="AQ68" i="1"/>
  <c r="AQ69" i="1"/>
  <c r="AQ70" i="1"/>
  <c r="AQ71" i="1"/>
  <c r="AQ72" i="1"/>
  <c r="AR72" i="1" s="1"/>
  <c r="AQ73" i="1"/>
  <c r="AR73" i="1" s="1"/>
  <c r="AQ74" i="1"/>
  <c r="AR74" i="1" s="1"/>
  <c r="AQ75" i="1"/>
  <c r="AR75" i="1" s="1"/>
  <c r="AQ76" i="1"/>
  <c r="AR76" i="1" s="1"/>
  <c r="AQ77" i="1"/>
  <c r="AQ78" i="1"/>
  <c r="AQ79" i="1"/>
  <c r="AQ80" i="1"/>
  <c r="AQ81" i="1"/>
  <c r="AQ82" i="1"/>
  <c r="AQ83" i="1"/>
  <c r="AQ84" i="1"/>
  <c r="AQ85" i="1"/>
  <c r="AQ86" i="1"/>
  <c r="AQ87" i="1"/>
  <c r="AQ88" i="1"/>
  <c r="AQ89" i="1"/>
  <c r="AQ90" i="1"/>
  <c r="AQ91" i="1"/>
  <c r="AQ92" i="1"/>
  <c r="AQ93" i="1"/>
  <c r="AQ94" i="1"/>
  <c r="AQ95" i="1"/>
  <c r="AQ96" i="1"/>
  <c r="AQ97" i="1"/>
  <c r="AQ98" i="1"/>
  <c r="AQ99" i="1"/>
  <c r="AQ100" i="1"/>
  <c r="AQ101" i="1"/>
  <c r="AQ102" i="1"/>
  <c r="AQ103" i="1"/>
  <c r="AQ104" i="1"/>
  <c r="AQ105" i="1"/>
  <c r="AQ106" i="1"/>
  <c r="AQ107" i="1"/>
  <c r="AQ108" i="1"/>
  <c r="AQ109" i="1"/>
  <c r="AQ110" i="1"/>
  <c r="AQ111" i="1"/>
  <c r="AQ112" i="1"/>
  <c r="AQ113" i="1"/>
  <c r="AQ114" i="1"/>
  <c r="AQ115" i="1"/>
  <c r="AQ116" i="1"/>
  <c r="AQ117" i="1"/>
  <c r="AQ118" i="1"/>
  <c r="AQ119" i="1"/>
  <c r="AQ120" i="1"/>
  <c r="AQ121" i="1"/>
  <c r="AQ122" i="1"/>
  <c r="AQ123" i="1"/>
  <c r="AQ124" i="1"/>
  <c r="AQ125" i="1"/>
  <c r="AQ126" i="1"/>
  <c r="AQ127" i="1"/>
  <c r="AQ128" i="1"/>
  <c r="AQ129" i="1"/>
  <c r="AQ130" i="1"/>
  <c r="AQ131" i="1"/>
  <c r="AQ132" i="1"/>
  <c r="AQ134" i="1"/>
  <c r="AQ135" i="1"/>
  <c r="AQ136" i="1"/>
  <c r="AQ137" i="1"/>
  <c r="AQ138" i="1"/>
  <c r="AQ139" i="1"/>
  <c r="AQ140" i="1"/>
  <c r="AQ141" i="1"/>
  <c r="AQ142" i="1"/>
  <c r="AQ143" i="1"/>
  <c r="AQ144" i="1"/>
  <c r="AQ145" i="1"/>
  <c r="AQ146" i="1"/>
  <c r="AQ147" i="1"/>
  <c r="AQ148" i="1"/>
  <c r="AQ149" i="1"/>
  <c r="AQ150" i="1"/>
  <c r="AQ151" i="1"/>
  <c r="AQ152" i="1"/>
  <c r="AQ153" i="1"/>
  <c r="AQ154" i="1"/>
  <c r="AQ155" i="1"/>
  <c r="AQ156" i="1"/>
  <c r="AQ157" i="1"/>
  <c r="AQ158" i="1"/>
  <c r="AQ159" i="1"/>
  <c r="AQ160" i="1"/>
  <c r="AQ161" i="1"/>
  <c r="AQ162" i="1"/>
  <c r="AQ163" i="1"/>
  <c r="AQ164" i="1"/>
  <c r="AQ165" i="1"/>
  <c r="AQ166" i="1"/>
  <c r="AQ167" i="1"/>
  <c r="AQ168" i="1"/>
  <c r="AQ169" i="1"/>
  <c r="AQ170" i="1"/>
  <c r="AQ171" i="1"/>
  <c r="AQ172" i="1"/>
  <c r="AQ173" i="1"/>
  <c r="AQ174" i="1"/>
  <c r="AQ175" i="1"/>
  <c r="AQ176" i="1"/>
  <c r="AQ177" i="1"/>
  <c r="AQ178" i="1"/>
  <c r="AQ179" i="1"/>
  <c r="AQ180" i="1"/>
  <c r="AQ181" i="1"/>
  <c r="AQ182" i="1"/>
  <c r="AQ183" i="1"/>
  <c r="AQ184" i="1"/>
  <c r="AQ185" i="1"/>
  <c r="AQ186" i="1"/>
  <c r="AQ187" i="1"/>
  <c r="AQ188" i="1"/>
  <c r="AQ189" i="1"/>
  <c r="AQ190" i="1"/>
  <c r="AQ191" i="1"/>
  <c r="AQ192" i="1"/>
  <c r="AQ193" i="1"/>
  <c r="AQ194" i="1"/>
  <c r="AQ195" i="1"/>
  <c r="AQ196" i="1"/>
  <c r="AQ197" i="1"/>
  <c r="AQ198" i="1"/>
  <c r="AQ199" i="1"/>
  <c r="AQ200" i="1"/>
  <c r="AQ201" i="1"/>
  <c r="AQ202" i="1"/>
  <c r="AQ203" i="1"/>
  <c r="AQ204" i="1"/>
  <c r="AQ205" i="1"/>
  <c r="AQ206" i="1"/>
  <c r="AQ207" i="1"/>
  <c r="AQ208" i="1"/>
  <c r="AQ209" i="1"/>
  <c r="AQ210" i="1"/>
  <c r="AQ211" i="1"/>
  <c r="AQ213" i="1"/>
  <c r="AQ214" i="1"/>
  <c r="AQ215" i="1"/>
  <c r="AQ216" i="1"/>
  <c r="AQ217" i="1"/>
  <c r="AQ218" i="1"/>
  <c r="AQ219" i="1"/>
  <c r="AQ220" i="1"/>
  <c r="AQ221" i="1"/>
  <c r="AQ222" i="1"/>
  <c r="AQ223" i="1"/>
  <c r="AQ224" i="1"/>
  <c r="AQ225" i="1"/>
  <c r="AQ226" i="1"/>
  <c r="AQ227" i="1"/>
  <c r="AQ228" i="1"/>
  <c r="AQ229" i="1"/>
  <c r="AQ230" i="1"/>
  <c r="AQ231" i="1"/>
  <c r="AQ232" i="1"/>
  <c r="AQ233" i="1"/>
  <c r="AQ234" i="1"/>
  <c r="AQ235" i="1"/>
  <c r="AQ236" i="1"/>
  <c r="AQ237" i="1"/>
  <c r="AQ238" i="1"/>
  <c r="AQ239" i="1"/>
  <c r="AQ240" i="1"/>
  <c r="AQ241" i="1"/>
  <c r="AQ242" i="1"/>
  <c r="AQ243" i="1"/>
  <c r="AQ244" i="1"/>
  <c r="AQ245" i="1"/>
  <c r="AQ246" i="1"/>
  <c r="AQ247" i="1"/>
  <c r="AQ248" i="1"/>
  <c r="AQ249" i="1"/>
  <c r="AQ250" i="1"/>
  <c r="AQ251" i="1"/>
  <c r="AQ252" i="1"/>
  <c r="AQ253" i="1"/>
  <c r="AQ254" i="1"/>
  <c r="AQ255" i="1"/>
  <c r="AQ256" i="1"/>
  <c r="AQ257" i="1"/>
  <c r="AQ258" i="1"/>
  <c r="AQ259" i="1"/>
  <c r="AQ260" i="1"/>
  <c r="AQ261" i="1"/>
  <c r="AQ262" i="1"/>
  <c r="AQ263" i="1"/>
  <c r="AQ264" i="1"/>
  <c r="AQ265" i="1"/>
  <c r="AQ266" i="1"/>
  <c r="AQ267" i="1"/>
  <c r="AQ268" i="1"/>
  <c r="AQ269" i="1"/>
  <c r="AQ270" i="1"/>
  <c r="AQ271" i="1"/>
  <c r="AQ272" i="1"/>
  <c r="AQ273" i="1"/>
  <c r="AQ274" i="1"/>
  <c r="AQ275" i="1"/>
  <c r="AQ276" i="1"/>
  <c r="AQ277" i="1"/>
  <c r="AQ278" i="1"/>
  <c r="AQ279" i="1"/>
  <c r="AQ280" i="1"/>
  <c r="AQ281" i="1"/>
  <c r="AQ282" i="1"/>
  <c r="AQ283" i="1"/>
  <c r="AQ284" i="1"/>
  <c r="AQ285" i="1"/>
  <c r="AQ286" i="1"/>
  <c r="AQ287" i="1"/>
  <c r="AQ288" i="1"/>
  <c r="AQ289" i="1"/>
  <c r="AQ290" i="1"/>
  <c r="AQ291" i="1"/>
  <c r="AQ292" i="1"/>
  <c r="AQ293" i="1"/>
  <c r="AQ294" i="1"/>
  <c r="AQ295" i="1"/>
  <c r="AQ296" i="1"/>
  <c r="AQ297" i="1"/>
  <c r="AQ298" i="1"/>
  <c r="AQ299" i="1"/>
  <c r="AQ300" i="1"/>
  <c r="AQ301" i="1"/>
  <c r="AQ302" i="1"/>
  <c r="AQ303" i="1"/>
  <c r="AQ304" i="1"/>
  <c r="AQ305" i="1"/>
  <c r="AQ306" i="1"/>
  <c r="AQ307" i="1"/>
  <c r="AQ308" i="1"/>
  <c r="AQ309" i="1"/>
  <c r="AQ310" i="1"/>
  <c r="AQ311" i="1"/>
  <c r="AQ312" i="1"/>
  <c r="AQ313" i="1"/>
  <c r="AQ314" i="1"/>
  <c r="AQ315" i="1"/>
  <c r="AQ316" i="1"/>
  <c r="AQ317" i="1"/>
  <c r="AQ318" i="1"/>
  <c r="AQ319" i="1"/>
  <c r="AQ320" i="1"/>
  <c r="AQ321" i="1"/>
  <c r="AQ322" i="1"/>
  <c r="AQ323" i="1"/>
  <c r="AQ324" i="1"/>
  <c r="AQ325" i="1"/>
  <c r="AQ326" i="1"/>
  <c r="AQ327" i="1"/>
  <c r="AQ328" i="1"/>
  <c r="AQ329" i="1"/>
  <c r="AQ330" i="1"/>
  <c r="AQ331" i="1"/>
  <c r="AQ332" i="1"/>
  <c r="AQ333" i="1"/>
  <c r="AQ334" i="1"/>
  <c r="AQ335" i="1"/>
  <c r="AQ336" i="1"/>
  <c r="AQ337" i="1"/>
  <c r="AQ338" i="1"/>
  <c r="AQ339" i="1"/>
  <c r="AQ340" i="1"/>
  <c r="AQ341" i="1"/>
  <c r="AQ342" i="1"/>
  <c r="AQ343" i="1"/>
  <c r="AQ344" i="1"/>
  <c r="AQ345" i="1"/>
  <c r="AQ346" i="1"/>
  <c r="AQ347" i="1"/>
  <c r="AQ348" i="1"/>
  <c r="AQ349" i="1"/>
  <c r="AQ350" i="1"/>
  <c r="AQ351" i="1"/>
  <c r="AQ352" i="1"/>
  <c r="AQ353" i="1"/>
  <c r="AQ354" i="1"/>
  <c r="AQ355" i="1"/>
  <c r="AQ356" i="1"/>
  <c r="AQ357" i="1"/>
  <c r="AQ358" i="1"/>
  <c r="AQ359" i="1"/>
  <c r="AQ360" i="1"/>
  <c r="AQ361" i="1"/>
  <c r="AQ362" i="1"/>
  <c r="AQ363" i="1"/>
  <c r="AQ364" i="1"/>
  <c r="AQ365" i="1"/>
  <c r="AQ366" i="1"/>
  <c r="AQ367" i="1"/>
  <c r="AQ368" i="1"/>
  <c r="AQ369" i="1"/>
  <c r="AQ370" i="1"/>
  <c r="AQ371" i="1"/>
  <c r="AQ372" i="1"/>
  <c r="AQ373" i="1"/>
  <c r="AQ374" i="1"/>
  <c r="AQ375" i="1"/>
  <c r="AQ376" i="1"/>
  <c r="AQ377" i="1"/>
  <c r="AQ378" i="1"/>
  <c r="AQ379" i="1"/>
  <c r="AQ380" i="1"/>
  <c r="AQ381" i="1"/>
  <c r="AQ382" i="1"/>
  <c r="AQ383" i="1"/>
  <c r="AQ384" i="1"/>
  <c r="AQ385" i="1"/>
  <c r="AQ386" i="1"/>
  <c r="AQ387" i="1"/>
  <c r="AQ388" i="1"/>
  <c r="AQ389" i="1"/>
  <c r="AQ390" i="1"/>
  <c r="AQ391" i="1"/>
  <c r="AQ392" i="1"/>
  <c r="AQ393" i="1"/>
  <c r="AQ394" i="1"/>
  <c r="AQ395" i="1"/>
  <c r="AQ396" i="1"/>
  <c r="AQ397" i="1"/>
  <c r="AQ398" i="1"/>
  <c r="AQ399" i="1"/>
  <c r="AQ400" i="1"/>
  <c r="AQ401" i="1"/>
  <c r="AQ402" i="1"/>
  <c r="AQ403" i="1"/>
  <c r="AQ404" i="1"/>
  <c r="AQ405" i="1"/>
  <c r="AQ406" i="1"/>
  <c r="AQ407" i="1"/>
  <c r="AQ408" i="1"/>
  <c r="AQ409" i="1"/>
  <c r="AQ410" i="1"/>
  <c r="AQ411" i="1"/>
  <c r="AQ412" i="1"/>
  <c r="AQ413" i="1"/>
  <c r="AQ414" i="1"/>
  <c r="AQ415" i="1"/>
  <c r="AQ416" i="1"/>
  <c r="AQ417" i="1"/>
  <c r="AQ418" i="1"/>
  <c r="AQ419" i="1"/>
  <c r="AQ420" i="1"/>
  <c r="AQ421" i="1"/>
  <c r="AQ422" i="1"/>
  <c r="AQ423" i="1"/>
  <c r="AQ424" i="1"/>
  <c r="AQ425" i="1"/>
  <c r="AQ426" i="1"/>
  <c r="AQ427" i="1"/>
  <c r="AQ428" i="1"/>
  <c r="AQ429" i="1"/>
  <c r="AQ430" i="1"/>
  <c r="AQ431" i="1"/>
  <c r="AQ432" i="1"/>
  <c r="AQ433" i="1"/>
  <c r="AQ434" i="1"/>
  <c r="AQ435" i="1"/>
  <c r="AQ436" i="1"/>
  <c r="AQ437" i="1"/>
  <c r="AQ438" i="1"/>
  <c r="AQ439" i="1"/>
  <c r="AQ440" i="1"/>
  <c r="AQ441" i="1"/>
  <c r="AQ442" i="1"/>
  <c r="AQ443" i="1"/>
  <c r="AQ444" i="1"/>
  <c r="AQ445" i="1"/>
  <c r="AQ446" i="1"/>
  <c r="AQ447" i="1"/>
  <c r="AQ448" i="1"/>
  <c r="AQ449" i="1"/>
  <c r="AQ450" i="1"/>
  <c r="AQ451" i="1"/>
  <c r="AQ452" i="1"/>
  <c r="AQ453" i="1"/>
  <c r="AQ454" i="1"/>
  <c r="AQ455" i="1"/>
  <c r="AQ456" i="1"/>
  <c r="AQ457" i="1"/>
  <c r="AQ458" i="1"/>
  <c r="AQ459" i="1"/>
  <c r="AQ460" i="1"/>
  <c r="AQ461" i="1"/>
  <c r="AQ462" i="1"/>
  <c r="AQ463" i="1"/>
  <c r="AQ464" i="1"/>
  <c r="AQ465" i="1"/>
  <c r="AQ466" i="1"/>
  <c r="AQ467" i="1"/>
  <c r="AQ468" i="1"/>
  <c r="AQ469" i="1"/>
  <c r="AQ470" i="1"/>
  <c r="AQ471" i="1"/>
  <c r="AQ472" i="1"/>
  <c r="AQ473" i="1"/>
  <c r="AQ474" i="1"/>
  <c r="AQ475" i="1"/>
  <c r="AQ476" i="1"/>
  <c r="AQ477" i="1"/>
  <c r="AQ478" i="1"/>
  <c r="AQ479" i="1"/>
  <c r="AQ480" i="1"/>
  <c r="AQ481" i="1"/>
  <c r="AQ482" i="1"/>
  <c r="AQ483" i="1"/>
  <c r="AQ484" i="1"/>
  <c r="AQ485" i="1"/>
  <c r="AQ486" i="1"/>
  <c r="AQ487" i="1"/>
  <c r="AQ488" i="1"/>
  <c r="AQ489" i="1"/>
  <c r="AQ490" i="1"/>
  <c r="AQ491" i="1"/>
  <c r="AQ492" i="1"/>
  <c r="AQ493" i="1"/>
  <c r="AQ494" i="1"/>
  <c r="AQ495" i="1"/>
  <c r="AQ496" i="1"/>
  <c r="AQ497" i="1"/>
  <c r="AQ498" i="1"/>
  <c r="AQ499" i="1"/>
  <c r="AQ500" i="1"/>
  <c r="AQ501" i="1"/>
  <c r="AQ502" i="1"/>
  <c r="AQ503" i="1"/>
  <c r="AQ504" i="1"/>
  <c r="AQ505" i="1"/>
  <c r="AQ506" i="1"/>
  <c r="AQ507" i="1"/>
  <c r="AQ508" i="1"/>
  <c r="AQ509" i="1"/>
  <c r="AQ510" i="1"/>
  <c r="AQ511" i="1"/>
  <c r="AR511" i="1" s="1"/>
  <c r="AQ512" i="1"/>
  <c r="AQ513" i="1"/>
  <c r="AQ514" i="1"/>
  <c r="AQ515" i="1"/>
  <c r="AQ516" i="1"/>
  <c r="AQ517" i="1"/>
  <c r="AQ518" i="1"/>
  <c r="AQ519" i="1"/>
  <c r="AQ520" i="1"/>
  <c r="AQ521" i="1"/>
  <c r="AQ522" i="1"/>
  <c r="AQ523" i="1"/>
  <c r="AQ524" i="1"/>
  <c r="AQ525" i="1"/>
  <c r="AQ526" i="1"/>
  <c r="AQ527" i="1"/>
  <c r="AQ528" i="1"/>
  <c r="AQ529" i="1"/>
  <c r="AQ530" i="1"/>
  <c r="AQ531" i="1"/>
  <c r="AQ532" i="1"/>
  <c r="AQ533" i="1"/>
  <c r="AQ534" i="1"/>
  <c r="AQ535" i="1"/>
  <c r="AQ536" i="1"/>
  <c r="AQ537" i="1"/>
  <c r="AQ538" i="1"/>
  <c r="AQ539" i="1"/>
  <c r="AQ540" i="1"/>
  <c r="AQ541" i="1"/>
  <c r="AQ542" i="1"/>
  <c r="AQ543" i="1"/>
  <c r="AQ544" i="1"/>
  <c r="AQ545" i="1"/>
  <c r="AQ546" i="1"/>
  <c r="AQ547" i="1"/>
  <c r="AQ548" i="1"/>
  <c r="AQ549" i="1"/>
  <c r="AQ550" i="1"/>
  <c r="AQ551" i="1"/>
  <c r="AQ552" i="1"/>
  <c r="AQ553" i="1"/>
  <c r="AQ554" i="1"/>
  <c r="AQ555" i="1"/>
  <c r="AQ556" i="1"/>
  <c r="AQ557" i="1"/>
  <c r="AQ558" i="1"/>
  <c r="AQ559" i="1"/>
  <c r="AQ560" i="1"/>
  <c r="AQ561" i="1"/>
  <c r="AQ562" i="1"/>
  <c r="AQ563" i="1"/>
  <c r="AQ564" i="1"/>
  <c r="AQ565" i="1"/>
  <c r="AQ566" i="1"/>
  <c r="AQ567" i="1"/>
  <c r="AQ568" i="1"/>
  <c r="AQ569" i="1"/>
  <c r="AQ570" i="1"/>
  <c r="AQ571" i="1"/>
  <c r="AQ572" i="1"/>
  <c r="AQ573" i="1"/>
  <c r="AQ574" i="1"/>
  <c r="AQ575" i="1"/>
  <c r="AQ576" i="1"/>
  <c r="AQ577" i="1"/>
  <c r="AQ578" i="1"/>
  <c r="AQ579" i="1"/>
  <c r="AQ580" i="1"/>
  <c r="AQ581" i="1"/>
  <c r="AQ582" i="1"/>
  <c r="AQ583" i="1"/>
  <c r="AQ584" i="1"/>
  <c r="AQ585" i="1"/>
  <c r="AQ586" i="1"/>
  <c r="AQ587" i="1"/>
  <c r="AQ588" i="1"/>
  <c r="AQ589" i="1"/>
  <c r="AQ590" i="1"/>
  <c r="AQ591" i="1"/>
  <c r="AQ592" i="1"/>
  <c r="AQ593" i="1"/>
  <c r="AQ594" i="1"/>
  <c r="AQ595" i="1"/>
  <c r="AQ596" i="1"/>
  <c r="AQ597" i="1"/>
  <c r="AQ598" i="1"/>
  <c r="AQ599" i="1"/>
  <c r="AQ600" i="1"/>
  <c r="AQ601" i="1"/>
  <c r="AQ602" i="1"/>
  <c r="AQ603" i="1"/>
  <c r="AQ604" i="1"/>
  <c r="AQ605" i="1"/>
  <c r="AQ606" i="1"/>
  <c r="AQ607" i="1"/>
  <c r="AQ608" i="1"/>
  <c r="AQ609" i="1"/>
  <c r="AQ610" i="1"/>
  <c r="AQ611" i="1"/>
  <c r="AQ612" i="1"/>
  <c r="AQ613" i="1"/>
  <c r="AQ614" i="1"/>
  <c r="AQ615" i="1"/>
  <c r="AQ616" i="1"/>
  <c r="AQ617" i="1"/>
  <c r="AQ618" i="1"/>
  <c r="AQ619" i="1"/>
  <c r="AQ620" i="1"/>
  <c r="AQ621" i="1"/>
  <c r="AQ622" i="1"/>
  <c r="AQ623" i="1"/>
  <c r="AQ624" i="1"/>
  <c r="AQ626" i="1"/>
  <c r="AQ628" i="1"/>
  <c r="AQ629" i="1"/>
  <c r="AQ630" i="1"/>
  <c r="AQ212" i="1"/>
  <c r="AQ631" i="1"/>
  <c r="AQ632" i="1"/>
  <c r="AQ634" i="1"/>
  <c r="AQ635" i="1"/>
  <c r="AQ636" i="1"/>
  <c r="AQ637" i="1"/>
  <c r="AQ638" i="1"/>
  <c r="AQ639" i="1"/>
  <c r="AQ641" i="1"/>
  <c r="AQ645" i="1"/>
  <c r="AQ643" i="1"/>
  <c r="AQ642" i="1"/>
  <c r="AQ644" i="1"/>
  <c r="AQ640" i="1"/>
  <c r="AQ650" i="1"/>
  <c r="AQ649" i="1"/>
  <c r="AQ648" i="1"/>
  <c r="AQ646" i="1"/>
  <c r="AQ647" i="1"/>
  <c r="AQ652" i="1"/>
  <c r="AQ651" i="1"/>
  <c r="AQ657" i="1"/>
  <c r="AQ654" i="1"/>
  <c r="AQ653" i="1"/>
  <c r="AQ655" i="1"/>
  <c r="AQ656" i="1"/>
  <c r="AQ633" i="1"/>
  <c r="AQ625" i="1"/>
  <c r="AQ627" i="1"/>
  <c r="AQ658" i="1"/>
  <c r="AQ660" i="1"/>
  <c r="AQ661" i="1"/>
  <c r="AQ662" i="1"/>
  <c r="AQ663" i="1"/>
  <c r="AQ664" i="1"/>
  <c r="AQ665" i="1"/>
  <c r="AQ666" i="1"/>
  <c r="AQ667" i="1"/>
  <c r="AQ659" i="1"/>
  <c r="AQ673" i="1"/>
  <c r="AQ675" i="1"/>
  <c r="AQ671" i="1"/>
  <c r="AQ672" i="1"/>
  <c r="AQ668" i="1"/>
  <c r="AQ669" i="1"/>
  <c r="AQ670" i="1"/>
  <c r="AQ674" i="1"/>
  <c r="AQ676" i="1"/>
  <c r="AQ682" i="1"/>
  <c r="AQ677" i="1"/>
  <c r="AQ678" i="1"/>
  <c r="AQ679" i="1"/>
  <c r="AQ681" i="1"/>
  <c r="AQ680" i="1"/>
  <c r="AQ3" i="1"/>
  <c r="F15" i="4" l="1"/>
  <c r="H15" i="4"/>
  <c r="I15" i="4"/>
  <c r="J15" i="4"/>
  <c r="K15" i="4"/>
  <c r="L15" i="4"/>
  <c r="M15" i="4"/>
  <c r="Q18" i="4"/>
  <c r="F14" i="4"/>
  <c r="P85" i="5" l="1"/>
  <c r="P86" i="5"/>
  <c r="Q86" i="5" s="1"/>
  <c r="P87" i="5"/>
  <c r="Q87" i="5" s="1"/>
  <c r="P88" i="5"/>
  <c r="Q88" i="5" s="1"/>
  <c r="P89" i="5"/>
  <c r="Q89" i="5" s="1"/>
  <c r="F85" i="5"/>
  <c r="G85" i="5" s="1"/>
  <c r="F86" i="5"/>
  <c r="G86" i="5" s="1"/>
  <c r="F87" i="5"/>
  <c r="G87" i="5" s="1"/>
  <c r="F88" i="5"/>
  <c r="G88" i="5" s="1"/>
  <c r="F89" i="5"/>
  <c r="G89" i="5" s="1"/>
  <c r="C92" i="5"/>
  <c r="P90" i="5" l="1"/>
  <c r="Q90" i="5" s="1"/>
  <c r="Q85" i="5"/>
  <c r="F92" i="5"/>
  <c r="G92" i="5" s="1"/>
  <c r="H93" i="5" s="1"/>
  <c r="U214" i="1"/>
  <c r="V674" i="1"/>
  <c r="V676" i="1"/>
  <c r="V682" i="1"/>
  <c r="V677" i="1"/>
  <c r="V678" i="1"/>
  <c r="V679" i="1"/>
  <c r="V681" i="1"/>
  <c r="V680" i="1"/>
  <c r="AD670" i="1"/>
  <c r="AE670" i="1"/>
  <c r="AH670" i="1"/>
  <c r="BE670" i="1"/>
  <c r="BF670" i="1" s="1"/>
  <c r="AD674" i="1"/>
  <c r="AE674" i="1"/>
  <c r="AH674" i="1"/>
  <c r="BE674" i="1"/>
  <c r="AD676" i="1"/>
  <c r="AE676" i="1"/>
  <c r="AH676" i="1"/>
  <c r="AR676" i="1"/>
  <c r="BE676" i="1"/>
  <c r="BF676" i="1" s="1"/>
  <c r="AD682" i="1"/>
  <c r="AE682" i="1"/>
  <c r="AH682" i="1"/>
  <c r="BE682" i="1"/>
  <c r="AD677" i="1"/>
  <c r="AE677" i="1"/>
  <c r="AH677" i="1"/>
  <c r="BE677" i="1"/>
  <c r="BF677" i="1" s="1"/>
  <c r="AD678" i="1"/>
  <c r="AE678" i="1"/>
  <c r="AH678" i="1"/>
  <c r="AR678" i="1"/>
  <c r="BE678" i="1"/>
  <c r="AD679" i="1"/>
  <c r="AE679" i="1"/>
  <c r="AH679" i="1"/>
  <c r="BE679" i="1"/>
  <c r="BF679" i="1" s="1"/>
  <c r="AD681" i="1"/>
  <c r="AE681" i="1"/>
  <c r="AH681" i="1"/>
  <c r="AR681" i="1"/>
  <c r="BE681" i="1"/>
  <c r="AD680" i="1"/>
  <c r="AE680" i="1"/>
  <c r="AH680" i="1"/>
  <c r="BE680" i="1"/>
  <c r="CH678" i="1" l="1"/>
  <c r="CI678" i="1" s="1"/>
  <c r="CH676" i="1"/>
  <c r="CI676" i="1" s="1"/>
  <c r="CH674" i="1"/>
  <c r="CI674" i="1" s="1"/>
  <c r="CH670" i="1"/>
  <c r="CI670" i="1" s="1"/>
  <c r="CH680" i="1"/>
  <c r="CI680" i="1" s="1"/>
  <c r="CH681" i="1"/>
  <c r="CI681" i="1" s="1"/>
  <c r="CH679" i="1"/>
  <c r="CI679" i="1" s="1"/>
  <c r="CH677" i="1"/>
  <c r="CI677" i="1" s="1"/>
  <c r="CH682" i="1"/>
  <c r="CI682" i="1" s="1"/>
  <c r="AI681" i="1"/>
  <c r="AI678" i="1"/>
  <c r="AI677" i="1"/>
  <c r="AI682" i="1"/>
  <c r="AI676" i="1"/>
  <c r="AI674" i="1"/>
  <c r="AI670" i="1"/>
  <c r="AI680" i="1"/>
  <c r="AI679" i="1"/>
  <c r="AF674" i="1"/>
  <c r="AF670" i="1"/>
  <c r="AJ676" i="1"/>
  <c r="AG670" i="1"/>
  <c r="AF677" i="1"/>
  <c r="AJ682" i="1"/>
  <c r="AF680" i="1"/>
  <c r="AR680" i="1"/>
  <c r="AJ680" i="1"/>
  <c r="AF681" i="1"/>
  <c r="AF679" i="1"/>
  <c r="AG677" i="1"/>
  <c r="AJ677" i="1"/>
  <c r="AF676" i="1"/>
  <c r="AG676" i="1"/>
  <c r="AR677" i="1"/>
  <c r="AR682" i="1"/>
  <c r="AJ674" i="1"/>
  <c r="AJ678" i="1"/>
  <c r="AF682" i="1"/>
  <c r="AG674" i="1"/>
  <c r="AG681" i="1"/>
  <c r="AG680" i="1"/>
  <c r="AF678" i="1"/>
  <c r="AR679" i="1"/>
  <c r="AR670" i="1"/>
  <c r="AJ679" i="1"/>
  <c r="AJ681" i="1"/>
  <c r="AG682" i="1"/>
  <c r="AG678" i="1"/>
  <c r="AG679" i="1"/>
  <c r="AR674" i="1"/>
  <c r="AJ670" i="1"/>
  <c r="AD673" i="1" l="1"/>
  <c r="AE673" i="1"/>
  <c r="AH673" i="1"/>
  <c r="AR673" i="1"/>
  <c r="BE673" i="1"/>
  <c r="BF673" i="1" s="1"/>
  <c r="AD675" i="1"/>
  <c r="AE675" i="1"/>
  <c r="AH675" i="1"/>
  <c r="BE675" i="1"/>
  <c r="BF675" i="1" s="1"/>
  <c r="AD671" i="1"/>
  <c r="AE671" i="1"/>
  <c r="AH671" i="1"/>
  <c r="BE671" i="1"/>
  <c r="AD672" i="1"/>
  <c r="AE672" i="1"/>
  <c r="AH672" i="1"/>
  <c r="BE672" i="1"/>
  <c r="AD668" i="1"/>
  <c r="AE668" i="1"/>
  <c r="AH668" i="1"/>
  <c r="BE668" i="1"/>
  <c r="BF668" i="1" s="1"/>
  <c r="AD669" i="1"/>
  <c r="AE669" i="1"/>
  <c r="AH669" i="1"/>
  <c r="BE669" i="1"/>
  <c r="BF669" i="1" s="1"/>
  <c r="V675" i="1"/>
  <c r="V671" i="1"/>
  <c r="V672" i="1"/>
  <c r="V668" i="1"/>
  <c r="V669" i="1"/>
  <c r="V670" i="1"/>
  <c r="V673" i="1"/>
  <c r="V658" i="1"/>
  <c r="V660" i="1"/>
  <c r="V661" i="1"/>
  <c r="V662" i="1"/>
  <c r="V663" i="1"/>
  <c r="V664" i="1"/>
  <c r="V665" i="1"/>
  <c r="V666" i="1"/>
  <c r="V667" i="1"/>
  <c r="V659" i="1"/>
  <c r="AD627" i="1"/>
  <c r="AE627" i="1"/>
  <c r="AH627" i="1"/>
  <c r="BE627" i="1"/>
  <c r="AD658" i="1"/>
  <c r="AE658" i="1"/>
  <c r="AH658" i="1"/>
  <c r="BE658" i="1"/>
  <c r="BF658" i="1" s="1"/>
  <c r="AD660" i="1"/>
  <c r="AE660" i="1"/>
  <c r="AH660" i="1"/>
  <c r="BE660" i="1"/>
  <c r="BF660" i="1" s="1"/>
  <c r="AD661" i="1"/>
  <c r="AE661" i="1"/>
  <c r="AH661" i="1"/>
  <c r="BE661" i="1"/>
  <c r="BF661" i="1" s="1"/>
  <c r="AD662" i="1"/>
  <c r="AE662" i="1"/>
  <c r="AH662" i="1"/>
  <c r="BE662" i="1"/>
  <c r="AD663" i="1"/>
  <c r="AE663" i="1"/>
  <c r="AH663" i="1"/>
  <c r="BE663" i="1"/>
  <c r="BF663" i="1" s="1"/>
  <c r="AD664" i="1"/>
  <c r="AE664" i="1"/>
  <c r="AH664" i="1"/>
  <c r="BE664" i="1"/>
  <c r="AD665" i="1"/>
  <c r="AE665" i="1"/>
  <c r="AH665" i="1"/>
  <c r="BE665" i="1"/>
  <c r="BF665" i="1" s="1"/>
  <c r="AD666" i="1"/>
  <c r="AE666" i="1"/>
  <c r="AH666" i="1"/>
  <c r="BE666" i="1"/>
  <c r="BF666" i="1" s="1"/>
  <c r="AD667" i="1"/>
  <c r="AE667" i="1"/>
  <c r="AH667" i="1"/>
  <c r="BE667" i="1"/>
  <c r="AD659" i="1"/>
  <c r="AE659" i="1"/>
  <c r="AH659" i="1"/>
  <c r="BE659" i="1"/>
  <c r="BF659" i="1" s="1"/>
  <c r="V214" i="1"/>
  <c r="CM652" i="1"/>
  <c r="CL652" i="1"/>
  <c r="CM651" i="1"/>
  <c r="CL651" i="1"/>
  <c r="CM657" i="1"/>
  <c r="CL657" i="1"/>
  <c r="CM654" i="1"/>
  <c r="CL654" i="1"/>
  <c r="CM653" i="1"/>
  <c r="CL653" i="1"/>
  <c r="CM655" i="1"/>
  <c r="CL655" i="1"/>
  <c r="CM656" i="1"/>
  <c r="CL656" i="1"/>
  <c r="CM633" i="1"/>
  <c r="CL633" i="1"/>
  <c r="CM625" i="1"/>
  <c r="CL625" i="1"/>
  <c r="CM627" i="1"/>
  <c r="CL627" i="1"/>
  <c r="CH668" i="1" l="1"/>
  <c r="CI668" i="1" s="1"/>
  <c r="CH672" i="1"/>
  <c r="CI672" i="1" s="1"/>
  <c r="CH671" i="1"/>
  <c r="CI671" i="1" s="1"/>
  <c r="CH675" i="1"/>
  <c r="CI675" i="1" s="1"/>
  <c r="CH669" i="1"/>
  <c r="CI669" i="1" s="1"/>
  <c r="CH673" i="1"/>
  <c r="CI673" i="1" s="1"/>
  <c r="CH659" i="1"/>
  <c r="CI659" i="1" s="1"/>
  <c r="CH667" i="1"/>
  <c r="CI667" i="1" s="1"/>
  <c r="CH666" i="1"/>
  <c r="CI666" i="1" s="1"/>
  <c r="CH665" i="1"/>
  <c r="CI665" i="1" s="1"/>
  <c r="CH664" i="1"/>
  <c r="CI664" i="1" s="1"/>
  <c r="CH663" i="1"/>
  <c r="CI663" i="1" s="1"/>
  <c r="CH662" i="1"/>
  <c r="CI662" i="1" s="1"/>
  <c r="CH661" i="1"/>
  <c r="CI661" i="1" s="1"/>
  <c r="CH660" i="1"/>
  <c r="CI660" i="1" s="1"/>
  <c r="CH658" i="1"/>
  <c r="CI658" i="1" s="1"/>
  <c r="CH627" i="1"/>
  <c r="CI627" i="1" s="1"/>
  <c r="AI659" i="1"/>
  <c r="AI667" i="1"/>
  <c r="AI666" i="1"/>
  <c r="AI665" i="1"/>
  <c r="AI664" i="1"/>
  <c r="AI663" i="1"/>
  <c r="AI662" i="1"/>
  <c r="AI661" i="1"/>
  <c r="AI660" i="1"/>
  <c r="AI658" i="1"/>
  <c r="AI627" i="1"/>
  <c r="AI669" i="1"/>
  <c r="AI668" i="1"/>
  <c r="AI672" i="1"/>
  <c r="AI671" i="1"/>
  <c r="AI675" i="1"/>
  <c r="AI673" i="1"/>
  <c r="AJ668" i="1"/>
  <c r="AJ671" i="1"/>
  <c r="AJ672" i="1"/>
  <c r="AR668" i="1"/>
  <c r="AJ675" i="1"/>
  <c r="AF672" i="1"/>
  <c r="AF669" i="1"/>
  <c r="AJ669" i="1"/>
  <c r="AF668" i="1"/>
  <c r="AF671" i="1"/>
  <c r="AF675" i="1"/>
  <c r="AF673" i="1"/>
  <c r="AJ673" i="1"/>
  <c r="AR669" i="1"/>
  <c r="AR675" i="1"/>
  <c r="AR672" i="1"/>
  <c r="AG669" i="1"/>
  <c r="AG672" i="1"/>
  <c r="AG675" i="1"/>
  <c r="AG668" i="1"/>
  <c r="AG671" i="1"/>
  <c r="AG673" i="1"/>
  <c r="AJ659" i="1"/>
  <c r="AF667" i="1"/>
  <c r="AF658" i="1"/>
  <c r="AR659" i="1"/>
  <c r="AJ666" i="1"/>
  <c r="AG659" i="1"/>
  <c r="AJ665" i="1"/>
  <c r="AF662" i="1"/>
  <c r="AJ663" i="1"/>
  <c r="AF665" i="1"/>
  <c r="AF666" i="1"/>
  <c r="AJ627" i="1"/>
  <c r="AJ660" i="1"/>
  <c r="AG665" i="1"/>
  <c r="AG664" i="1"/>
  <c r="AG667" i="1"/>
  <c r="AF663" i="1"/>
  <c r="AG662" i="1"/>
  <c r="AG658" i="1"/>
  <c r="AJ664" i="1"/>
  <c r="AG627" i="1"/>
  <c r="AR660" i="1"/>
  <c r="AG660" i="1"/>
  <c r="AF661" i="1"/>
  <c r="AJ662" i="1"/>
  <c r="AR662" i="1"/>
  <c r="AR666" i="1"/>
  <c r="AR627" i="1"/>
  <c r="AR664" i="1"/>
  <c r="AJ661" i="1"/>
  <c r="AG663" i="1"/>
  <c r="AF659" i="1"/>
  <c r="AJ667" i="1"/>
  <c r="AG666" i="1"/>
  <c r="AF660" i="1"/>
  <c r="AJ658" i="1"/>
  <c r="AG661" i="1"/>
  <c r="AF627" i="1"/>
  <c r="AF664" i="1"/>
  <c r="AR665" i="1"/>
  <c r="AR667" i="1"/>
  <c r="AR663" i="1"/>
  <c r="AR661" i="1"/>
  <c r="AR658" i="1"/>
  <c r="AR671" i="1" l="1"/>
  <c r="AE11" i="7"/>
  <c r="AE10" i="7"/>
  <c r="AE12" i="7"/>
  <c r="AF12" i="7"/>
  <c r="AE13" i="7"/>
  <c r="AF13" i="7"/>
  <c r="AE14" i="7"/>
  <c r="AF14" i="7"/>
  <c r="AE15" i="7"/>
  <c r="AF15" i="7"/>
  <c r="AE16" i="7"/>
  <c r="AF16" i="7"/>
  <c r="AE17" i="7"/>
  <c r="AF17" i="7"/>
  <c r="AE18" i="7"/>
  <c r="AF18" i="7"/>
  <c r="AE19" i="7"/>
  <c r="AF19" i="7"/>
  <c r="AE20" i="7"/>
  <c r="AF20" i="7"/>
  <c r="AE22" i="7"/>
  <c r="AF22" i="7"/>
  <c r="O3" i="7"/>
  <c r="V625" i="1"/>
  <c r="AD625" i="1"/>
  <c r="AE625" i="1"/>
  <c r="BE625" i="1"/>
  <c r="V627" i="1"/>
  <c r="CH625" i="1" l="1"/>
  <c r="CI625" i="1" s="1"/>
  <c r="AI625" i="1"/>
  <c r="AJ625" i="1"/>
  <c r="AR625" i="1"/>
  <c r="AG625" i="1"/>
  <c r="AH625" i="1"/>
  <c r="AF625" i="1"/>
  <c r="V633" i="1"/>
  <c r="V656" i="1"/>
  <c r="V655" i="1"/>
  <c r="V653" i="1"/>
  <c r="V654" i="1"/>
  <c r="V657" i="1"/>
  <c r="V651" i="1"/>
  <c r="V652" i="1"/>
  <c r="BE633" i="1" l="1"/>
  <c r="AH633" i="1"/>
  <c r="AE633" i="1"/>
  <c r="AD633" i="1"/>
  <c r="BE656" i="1"/>
  <c r="BF656" i="1" s="1"/>
  <c r="AH656" i="1"/>
  <c r="AE656" i="1"/>
  <c r="AD656" i="1"/>
  <c r="BE655" i="1"/>
  <c r="BF655" i="1" s="1"/>
  <c r="AR655" i="1"/>
  <c r="AH655" i="1"/>
  <c r="AE655" i="1"/>
  <c r="AD655" i="1"/>
  <c r="BE653" i="1"/>
  <c r="BF653" i="1" s="1"/>
  <c r="AH653" i="1"/>
  <c r="AE653" i="1"/>
  <c r="AD653" i="1"/>
  <c r="BE654" i="1"/>
  <c r="AR654" i="1"/>
  <c r="AH654" i="1"/>
  <c r="AE654" i="1"/>
  <c r="AD654" i="1"/>
  <c r="BE657" i="1"/>
  <c r="BF657" i="1" s="1"/>
  <c r="AH657" i="1"/>
  <c r="AE657" i="1"/>
  <c r="AD657" i="1"/>
  <c r="BE651" i="1"/>
  <c r="AH651" i="1"/>
  <c r="AE651" i="1"/>
  <c r="AD651" i="1"/>
  <c r="BE652" i="1"/>
  <c r="BF652" i="1" s="1"/>
  <c r="AH652" i="1"/>
  <c r="AE652" i="1"/>
  <c r="AD652" i="1"/>
  <c r="BE647" i="1"/>
  <c r="BF647" i="1" s="1"/>
  <c r="AR647" i="1"/>
  <c r="AH647" i="1"/>
  <c r="AE647" i="1"/>
  <c r="AD647" i="1"/>
  <c r="F76" i="5"/>
  <c r="G76" i="5" s="1"/>
  <c r="W20" i="7"/>
  <c r="X20" i="7"/>
  <c r="V372" i="1"/>
  <c r="V379" i="1"/>
  <c r="V647" i="1"/>
  <c r="V646" i="1"/>
  <c r="V648" i="1"/>
  <c r="V649" i="1"/>
  <c r="V650" i="1"/>
  <c r="CH655" i="1" l="1"/>
  <c r="CI655" i="1" s="1"/>
  <c r="CH656" i="1"/>
  <c r="CI656" i="1" s="1"/>
  <c r="CH633" i="1"/>
  <c r="CI633" i="1" s="1"/>
  <c r="CH652" i="1"/>
  <c r="CI652" i="1" s="1"/>
  <c r="CH651" i="1"/>
  <c r="CI651" i="1" s="1"/>
  <c r="CH657" i="1"/>
  <c r="CI657" i="1" s="1"/>
  <c r="CH654" i="1"/>
  <c r="CI654" i="1" s="1"/>
  <c r="CH647" i="1"/>
  <c r="CI647" i="1" s="1"/>
  <c r="CH653" i="1"/>
  <c r="CI653" i="1" s="1"/>
  <c r="AI647" i="1"/>
  <c r="AI652" i="1"/>
  <c r="AI657" i="1"/>
  <c r="AI654" i="1"/>
  <c r="AI651" i="1"/>
  <c r="AI653" i="1"/>
  <c r="AI655" i="1"/>
  <c r="AI656" i="1"/>
  <c r="AI633" i="1"/>
  <c r="AG655" i="1"/>
  <c r="AJ647" i="1"/>
  <c r="AJ651" i="1"/>
  <c r="AJ652" i="1"/>
  <c r="AJ633" i="1"/>
  <c r="AF655" i="1"/>
  <c r="AJ655" i="1"/>
  <c r="AJ653" i="1"/>
  <c r="AG654" i="1"/>
  <c r="AJ654" i="1"/>
  <c r="AR657" i="1"/>
  <c r="AR656" i="1"/>
  <c r="AF657" i="1"/>
  <c r="AR653" i="1"/>
  <c r="AF656" i="1"/>
  <c r="AF647" i="1"/>
  <c r="AF654" i="1"/>
  <c r="AF633" i="1"/>
  <c r="AG633" i="1"/>
  <c r="AG647" i="1"/>
  <c r="AG652" i="1"/>
  <c r="AG653" i="1"/>
  <c r="AJ657" i="1"/>
  <c r="AJ656" i="1"/>
  <c r="AF651" i="1"/>
  <c r="AG651" i="1"/>
  <c r="AR652" i="1"/>
  <c r="AF652" i="1"/>
  <c r="AG657" i="1"/>
  <c r="AR633" i="1"/>
  <c r="AF653" i="1"/>
  <c r="AG656" i="1"/>
  <c r="D9" i="5"/>
  <c r="CK3" i="1"/>
  <c r="AR651" i="1" l="1"/>
  <c r="AD650" i="1"/>
  <c r="AE650" i="1"/>
  <c r="AH650" i="1"/>
  <c r="AD649" i="1"/>
  <c r="AE649" i="1"/>
  <c r="AH649" i="1"/>
  <c r="AD648" i="1"/>
  <c r="AE648" i="1"/>
  <c r="AH648" i="1"/>
  <c r="AD646" i="1"/>
  <c r="AE646" i="1"/>
  <c r="AH646" i="1"/>
  <c r="BE650" i="1"/>
  <c r="BF650" i="1" s="1"/>
  <c r="CM650" i="1"/>
  <c r="CL650" i="1"/>
  <c r="BE649" i="1"/>
  <c r="CM649" i="1"/>
  <c r="CL649" i="1"/>
  <c r="BE648" i="1"/>
  <c r="BF648" i="1" s="1"/>
  <c r="CM648" i="1"/>
  <c r="CL648" i="1"/>
  <c r="BE646" i="1"/>
  <c r="BF646" i="1" s="1"/>
  <c r="CM646" i="1"/>
  <c r="CL646" i="1"/>
  <c r="CM647" i="1"/>
  <c r="CL647" i="1"/>
  <c r="AD639" i="1"/>
  <c r="F92" i="4"/>
  <c r="D92" i="4"/>
  <c r="C92" i="4"/>
  <c r="F91" i="4"/>
  <c r="D91" i="4"/>
  <c r="C91" i="4"/>
  <c r="F90" i="4"/>
  <c r="D90" i="4"/>
  <c r="C90" i="4"/>
  <c r="F89" i="4"/>
  <c r="D89" i="4"/>
  <c r="C89" i="4"/>
  <c r="F88" i="4"/>
  <c r="D88" i="4"/>
  <c r="C88" i="4"/>
  <c r="F87" i="4"/>
  <c r="D87" i="4"/>
  <c r="C87" i="4"/>
  <c r="F86" i="4"/>
  <c r="D86" i="4"/>
  <c r="C86" i="4"/>
  <c r="F85" i="4"/>
  <c r="D85" i="4"/>
  <c r="C85" i="4"/>
  <c r="F84" i="4"/>
  <c r="D84" i="4"/>
  <c r="C84" i="4"/>
  <c r="F83" i="4"/>
  <c r="D83" i="4"/>
  <c r="C83" i="4"/>
  <c r="F82" i="4"/>
  <c r="D82" i="4"/>
  <c r="C82" i="4"/>
  <c r="D73" i="4"/>
  <c r="C73" i="4"/>
  <c r="D72" i="4"/>
  <c r="C72" i="4"/>
  <c r="F81" i="4"/>
  <c r="D81" i="4"/>
  <c r="C81" i="4"/>
  <c r="D71" i="4"/>
  <c r="C71" i="4"/>
  <c r="D70" i="4"/>
  <c r="C70" i="4"/>
  <c r="D69" i="4"/>
  <c r="C69" i="4"/>
  <c r="D68" i="4"/>
  <c r="C68" i="4"/>
  <c r="AH51" i="4"/>
  <c r="AG51" i="4"/>
  <c r="AH50" i="4"/>
  <c r="AG50" i="4"/>
  <c r="AH49" i="4"/>
  <c r="AG49" i="4"/>
  <c r="AH48" i="4"/>
  <c r="AG48" i="4"/>
  <c r="AH47" i="4"/>
  <c r="AG47" i="4"/>
  <c r="AH46" i="4"/>
  <c r="AG46" i="4"/>
  <c r="AH45" i="4"/>
  <c r="AG45" i="4"/>
  <c r="AI40" i="4"/>
  <c r="AH40" i="4"/>
  <c r="AG40" i="4"/>
  <c r="AI39" i="4"/>
  <c r="AH39" i="4"/>
  <c r="AG39" i="4"/>
  <c r="AI38" i="4"/>
  <c r="AH38" i="4"/>
  <c r="AG38" i="4"/>
  <c r="AI37" i="4"/>
  <c r="AH37" i="4"/>
  <c r="AG37" i="4"/>
  <c r="M16" i="4"/>
  <c r="L16" i="4"/>
  <c r="K16" i="4"/>
  <c r="J16" i="4"/>
  <c r="I16" i="4"/>
  <c r="G16" i="4"/>
  <c r="F16" i="4"/>
  <c r="E16" i="4"/>
  <c r="D16" i="4"/>
  <c r="C16" i="4"/>
  <c r="AH15" i="4"/>
  <c r="AD15" i="4"/>
  <c r="AC15" i="4"/>
  <c r="AH14" i="4"/>
  <c r="AD14" i="4"/>
  <c r="AC14" i="4"/>
  <c r="AD13" i="4"/>
  <c r="AC13" i="4"/>
  <c r="AD12" i="4"/>
  <c r="AC12" i="4"/>
  <c r="AD11" i="4"/>
  <c r="AC11" i="4"/>
  <c r="Q17" i="4"/>
  <c r="Y16" i="4"/>
  <c r="Q16" i="4"/>
  <c r="Q15" i="4"/>
  <c r="Q14" i="4"/>
  <c r="Q13" i="4"/>
  <c r="Q12" i="4"/>
  <c r="Q11" i="4"/>
  <c r="V41" i="4"/>
  <c r="U41" i="4"/>
  <c r="S41" i="4"/>
  <c r="Q41" i="4"/>
  <c r="V40" i="4"/>
  <c r="U40" i="4"/>
  <c r="S40" i="4"/>
  <c r="Q40" i="4"/>
  <c r="V39" i="4"/>
  <c r="U39" i="4"/>
  <c r="S39" i="4"/>
  <c r="Q39" i="4"/>
  <c r="V38" i="4"/>
  <c r="U38" i="4"/>
  <c r="S38" i="4"/>
  <c r="Q38" i="4"/>
  <c r="V37" i="4"/>
  <c r="U37" i="4"/>
  <c r="S37" i="4"/>
  <c r="Q37" i="4"/>
  <c r="Y56" i="4"/>
  <c r="W56" i="4"/>
  <c r="U56" i="4"/>
  <c r="R56" i="4"/>
  <c r="Q56" i="4"/>
  <c r="Y55" i="4"/>
  <c r="W55" i="4"/>
  <c r="U55" i="4"/>
  <c r="R55" i="4"/>
  <c r="Q55" i="4"/>
  <c r="Y54" i="4"/>
  <c r="W54" i="4"/>
  <c r="U54" i="4"/>
  <c r="R54" i="4"/>
  <c r="Q54" i="4"/>
  <c r="Y53" i="4"/>
  <c r="W53" i="4"/>
  <c r="U53" i="4"/>
  <c r="R53" i="4"/>
  <c r="Q53" i="4"/>
  <c r="W52" i="4"/>
  <c r="U52" i="4"/>
  <c r="R52" i="4"/>
  <c r="Q52" i="4"/>
  <c r="Y51" i="4"/>
  <c r="W51" i="4"/>
  <c r="U51" i="4"/>
  <c r="R51" i="4"/>
  <c r="Q51" i="4"/>
  <c r="Y50" i="4"/>
  <c r="W50" i="4"/>
  <c r="U50" i="4"/>
  <c r="R50" i="4"/>
  <c r="Q50" i="4"/>
  <c r="Y49" i="4"/>
  <c r="W49" i="4"/>
  <c r="U49" i="4"/>
  <c r="M14" i="4"/>
  <c r="L14" i="4"/>
  <c r="K14" i="4"/>
  <c r="J14" i="4"/>
  <c r="I14" i="4"/>
  <c r="H14" i="4"/>
  <c r="G14" i="4"/>
  <c r="E14" i="4"/>
  <c r="D14" i="4"/>
  <c r="C14" i="4"/>
  <c r="B14" i="4"/>
  <c r="AF8" i="7"/>
  <c r="AE8" i="7"/>
  <c r="AF6" i="7"/>
  <c r="AE6" i="7"/>
  <c r="AX22" i="7"/>
  <c r="AW22" i="7"/>
  <c r="AX21" i="7"/>
  <c r="AW21" i="7"/>
  <c r="AX20" i="7"/>
  <c r="AW20" i="7"/>
  <c r="AX19" i="7"/>
  <c r="AW19" i="7"/>
  <c r="AX18" i="7"/>
  <c r="AW18" i="7"/>
  <c r="AX17" i="7"/>
  <c r="AW17" i="7"/>
  <c r="AX16" i="7"/>
  <c r="AW16" i="7"/>
  <c r="AX15" i="7"/>
  <c r="AW15" i="7"/>
  <c r="AX14" i="7"/>
  <c r="AW14" i="7"/>
  <c r="AX13" i="7"/>
  <c r="AW13" i="7"/>
  <c r="AX12" i="7"/>
  <c r="AW12" i="7"/>
  <c r="AX11" i="7"/>
  <c r="AW11" i="7"/>
  <c r="AX10" i="7"/>
  <c r="AW10" i="7"/>
  <c r="AX9" i="7"/>
  <c r="AW9" i="7"/>
  <c r="AX8" i="7"/>
  <c r="AW8" i="7"/>
  <c r="AX7" i="7"/>
  <c r="AW7" i="7"/>
  <c r="AX6" i="7"/>
  <c r="AW6" i="7"/>
  <c r="AX5" i="7"/>
  <c r="AW5" i="7"/>
  <c r="AO38" i="7"/>
  <c r="AN38" i="7"/>
  <c r="AO37" i="7"/>
  <c r="AN37" i="7"/>
  <c r="AO36" i="7"/>
  <c r="AN36" i="7"/>
  <c r="AO35" i="7"/>
  <c r="AN35" i="7"/>
  <c r="AO34" i="7"/>
  <c r="AN34" i="7"/>
  <c r="AO33" i="7"/>
  <c r="AN33" i="7"/>
  <c r="AO32" i="7"/>
  <c r="AN32" i="7"/>
  <c r="AO31" i="7"/>
  <c r="AN31" i="7"/>
  <c r="AO30" i="7"/>
  <c r="AN30" i="7"/>
  <c r="AO29" i="7"/>
  <c r="AN29" i="7"/>
  <c r="AO28" i="7"/>
  <c r="AN28" i="7"/>
  <c r="AO27" i="7"/>
  <c r="AN27" i="7"/>
  <c r="AO26" i="7"/>
  <c r="AN26" i="7"/>
  <c r="AO25" i="7"/>
  <c r="AN25" i="7"/>
  <c r="AO24" i="7"/>
  <c r="AN24" i="7"/>
  <c r="AO23" i="7"/>
  <c r="AN23" i="7"/>
  <c r="AO22" i="7"/>
  <c r="AN22" i="7"/>
  <c r="AO21" i="7"/>
  <c r="AN21" i="7"/>
  <c r="AO20" i="7"/>
  <c r="AN20" i="7"/>
  <c r="AO19" i="7"/>
  <c r="AN19" i="7"/>
  <c r="AO18" i="7"/>
  <c r="AN18" i="7"/>
  <c r="AO17" i="7"/>
  <c r="AN17" i="7"/>
  <c r="AO16" i="7"/>
  <c r="AN16" i="7"/>
  <c r="AO15" i="7"/>
  <c r="AN15" i="7"/>
  <c r="AO14" i="7"/>
  <c r="AN14" i="7"/>
  <c r="AO13" i="7"/>
  <c r="AN13" i="7"/>
  <c r="AO12" i="7"/>
  <c r="AN12" i="7"/>
  <c r="AO11" i="7"/>
  <c r="AN11" i="7"/>
  <c r="AO10" i="7"/>
  <c r="AN10" i="7"/>
  <c r="AO9" i="7"/>
  <c r="AN9" i="7"/>
  <c r="AO8" i="7"/>
  <c r="AN8" i="7"/>
  <c r="AO7" i="7"/>
  <c r="AN7" i="7"/>
  <c r="AO6" i="7"/>
  <c r="AN6" i="7"/>
  <c r="AO5" i="7"/>
  <c r="AN5" i="7"/>
  <c r="X19" i="7"/>
  <c r="W19" i="7"/>
  <c r="X18" i="7"/>
  <c r="W18" i="7"/>
  <c r="X17" i="7"/>
  <c r="W17" i="7"/>
  <c r="X16" i="7"/>
  <c r="W16" i="7"/>
  <c r="X15" i="7"/>
  <c r="W15" i="7"/>
  <c r="X14" i="7"/>
  <c r="W14" i="7"/>
  <c r="X13" i="7"/>
  <c r="W13" i="7"/>
  <c r="X9" i="7"/>
  <c r="W9" i="7"/>
  <c r="X8" i="7"/>
  <c r="W8" i="7"/>
  <c r="X7" i="7"/>
  <c r="W7" i="7"/>
  <c r="X6" i="7"/>
  <c r="W6" i="7"/>
  <c r="X5" i="7"/>
  <c r="W5" i="7"/>
  <c r="AD641" i="1"/>
  <c r="AE641" i="1"/>
  <c r="AH641" i="1"/>
  <c r="BE641" i="1"/>
  <c r="BY641" i="1"/>
  <c r="BZ641" i="1"/>
  <c r="CM641" i="1"/>
  <c r="CL641" i="1"/>
  <c r="AD645" i="1"/>
  <c r="AE645" i="1"/>
  <c r="AH645" i="1"/>
  <c r="BE645" i="1"/>
  <c r="BF645" i="1" s="1"/>
  <c r="CM645" i="1"/>
  <c r="CL645" i="1"/>
  <c r="AD643" i="1"/>
  <c r="AE643" i="1"/>
  <c r="AH643" i="1"/>
  <c r="BE643" i="1"/>
  <c r="BF643" i="1" s="1"/>
  <c r="BY643" i="1"/>
  <c r="BZ643" i="1"/>
  <c r="CM643" i="1"/>
  <c r="CL643" i="1"/>
  <c r="AD642" i="1"/>
  <c r="AE642" i="1"/>
  <c r="AH642" i="1"/>
  <c r="BE642" i="1"/>
  <c r="BF642" i="1" s="1"/>
  <c r="CM642" i="1"/>
  <c r="CL642" i="1"/>
  <c r="AD644" i="1"/>
  <c r="AE644" i="1"/>
  <c r="AH644" i="1"/>
  <c r="BE644" i="1"/>
  <c r="BF644" i="1" s="1"/>
  <c r="CM644" i="1"/>
  <c r="CL644" i="1"/>
  <c r="AD640" i="1"/>
  <c r="AE640" i="1"/>
  <c r="AH640" i="1"/>
  <c r="BE640" i="1"/>
  <c r="BF640" i="1" s="1"/>
  <c r="BY640" i="1"/>
  <c r="CM640" i="1"/>
  <c r="CL640" i="1"/>
  <c r="V641" i="1"/>
  <c r="V645" i="1"/>
  <c r="V643" i="1"/>
  <c r="V642" i="1"/>
  <c r="V644" i="1"/>
  <c r="V640" i="1"/>
  <c r="AG53" i="4" l="1"/>
  <c r="Q19" i="4"/>
  <c r="Q42" i="4"/>
  <c r="R42" i="4"/>
  <c r="S42" i="4"/>
  <c r="U42" i="4"/>
  <c r="V42" i="4"/>
  <c r="AH53" i="4"/>
  <c r="CH646" i="1"/>
  <c r="CI646" i="1" s="1"/>
  <c r="CH648" i="1"/>
  <c r="CI648" i="1" s="1"/>
  <c r="CH645" i="1"/>
  <c r="CI645" i="1" s="1"/>
  <c r="CH650" i="1"/>
  <c r="CI650" i="1" s="1"/>
  <c r="CH640" i="1"/>
  <c r="CI640" i="1" s="1"/>
  <c r="CH641" i="1"/>
  <c r="CI641" i="1" s="1"/>
  <c r="CH643" i="1"/>
  <c r="CI643" i="1" s="1"/>
  <c r="CH644" i="1"/>
  <c r="CI644" i="1" s="1"/>
  <c r="CH649" i="1"/>
  <c r="CI649" i="1" s="1"/>
  <c r="CH642" i="1"/>
  <c r="CI642" i="1" s="1"/>
  <c r="AI646" i="1"/>
  <c r="AI644" i="1"/>
  <c r="AI643" i="1"/>
  <c r="AI650" i="1"/>
  <c r="AI649" i="1"/>
  <c r="AI645" i="1"/>
  <c r="AI642" i="1"/>
  <c r="AI648" i="1"/>
  <c r="AI640" i="1"/>
  <c r="AI641" i="1"/>
  <c r="R19" i="4"/>
  <c r="AF3" i="7"/>
  <c r="AG649" i="1"/>
  <c r="AJ650" i="1"/>
  <c r="AJ646" i="1"/>
  <c r="AF648" i="1"/>
  <c r="AF649" i="1"/>
  <c r="AF650" i="1"/>
  <c r="AF646" i="1"/>
  <c r="AG648" i="1"/>
  <c r="AR650" i="1"/>
  <c r="AR646" i="1"/>
  <c r="AR648" i="1"/>
  <c r="AR649" i="1"/>
  <c r="AJ648" i="1"/>
  <c r="AG650" i="1"/>
  <c r="AG646" i="1"/>
  <c r="AJ649" i="1"/>
  <c r="AF640" i="1"/>
  <c r="AJ640" i="1"/>
  <c r="AJ644" i="1"/>
  <c r="AG642" i="1"/>
  <c r="AF642" i="1"/>
  <c r="AJ642" i="1"/>
  <c r="AJ643" i="1"/>
  <c r="AG645" i="1"/>
  <c r="AJ645" i="1"/>
  <c r="AF645" i="1"/>
  <c r="AJ641" i="1"/>
  <c r="AR644" i="1"/>
  <c r="AR640" i="1"/>
  <c r="AR645" i="1"/>
  <c r="AR641" i="1"/>
  <c r="AR643" i="1"/>
  <c r="AR642" i="1"/>
  <c r="AG644" i="1"/>
  <c r="AG643" i="1"/>
  <c r="AG641" i="1"/>
  <c r="AF644" i="1"/>
  <c r="AF643" i="1"/>
  <c r="AF641" i="1"/>
  <c r="AG640" i="1"/>
  <c r="E40" i="7" l="1"/>
  <c r="B1" i="6"/>
  <c r="CS72" i="1"/>
  <c r="CP72" i="1"/>
  <c r="CM72" i="1"/>
  <c r="CL72" i="1"/>
  <c r="V72" i="1"/>
  <c r="V3" i="1"/>
  <c r="AD3" i="1"/>
  <c r="AE3" i="1"/>
  <c r="AH3" i="1"/>
  <c r="AK3" i="1"/>
  <c r="AL3" i="1"/>
  <c r="AR3" i="1"/>
  <c r="BE3" i="1"/>
  <c r="BF3" i="1" s="1"/>
  <c r="CM3" i="1"/>
  <c r="CL3" i="1"/>
  <c r="CP3" i="1"/>
  <c r="CS3" i="1"/>
  <c r="CX3" i="1"/>
  <c r="DC3" i="1"/>
  <c r="BZ523" i="1"/>
  <c r="BZ539" i="1"/>
  <c r="BZ545" i="1"/>
  <c r="BZ549" i="1"/>
  <c r="BZ534" i="1"/>
  <c r="BZ541" i="1"/>
  <c r="BZ553" i="1"/>
  <c r="BZ546" i="1"/>
  <c r="BZ554" i="1"/>
  <c r="BZ543" i="1"/>
  <c r="BZ544" i="1"/>
  <c r="BZ551" i="1"/>
  <c r="BZ548" i="1"/>
  <c r="BZ542" i="1"/>
  <c r="BZ540" i="1"/>
  <c r="BZ555" i="1"/>
  <c r="BZ537" i="1"/>
  <c r="BZ552" i="1"/>
  <c r="BZ550" i="1"/>
  <c r="BZ536" i="1"/>
  <c r="BZ547" i="1"/>
  <c r="BZ538" i="1"/>
  <c r="BZ556" i="1"/>
  <c r="BZ565" i="1"/>
  <c r="BZ566" i="1"/>
  <c r="BZ563" i="1"/>
  <c r="BZ567" i="1"/>
  <c r="BZ564" i="1"/>
  <c r="BZ560" i="1"/>
  <c r="BZ561" i="1"/>
  <c r="BZ562" i="1"/>
  <c r="BZ557" i="1"/>
  <c r="BZ559" i="1"/>
  <c r="BZ558" i="1"/>
  <c r="BZ569" i="1"/>
  <c r="BZ570" i="1"/>
  <c r="BZ571" i="1"/>
  <c r="BZ572" i="1"/>
  <c r="BZ568" i="1"/>
  <c r="BZ575" i="1"/>
  <c r="BZ581" i="1"/>
  <c r="BZ582" i="1"/>
  <c r="BZ583" i="1"/>
  <c r="BZ577" i="1"/>
  <c r="BZ584" i="1"/>
  <c r="BZ573" i="1"/>
  <c r="BZ574" i="1"/>
  <c r="BZ585" i="1"/>
  <c r="BZ587" i="1"/>
  <c r="BZ578" i="1"/>
  <c r="BZ576" i="1"/>
  <c r="BZ586" i="1"/>
  <c r="BZ580" i="1"/>
  <c r="BZ579" i="1"/>
  <c r="BZ593" i="1"/>
  <c r="BZ590" i="1"/>
  <c r="BZ589" i="1"/>
  <c r="BZ595" i="1"/>
  <c r="BZ588" i="1"/>
  <c r="BZ594" i="1"/>
  <c r="BZ591" i="1"/>
  <c r="BZ596" i="1"/>
  <c r="BZ598" i="1"/>
  <c r="BZ597" i="1"/>
  <c r="BZ600" i="1"/>
  <c r="BZ605" i="1"/>
  <c r="BZ599" i="1"/>
  <c r="BZ603" i="1"/>
  <c r="BZ604" i="1"/>
  <c r="BZ602" i="1"/>
  <c r="BZ601" i="1"/>
  <c r="BZ610" i="1"/>
  <c r="BZ608" i="1"/>
  <c r="BZ607" i="1"/>
  <c r="BZ614" i="1"/>
  <c r="BZ613" i="1"/>
  <c r="BZ611" i="1"/>
  <c r="BZ612" i="1"/>
  <c r="BZ619" i="1"/>
  <c r="BZ622" i="1"/>
  <c r="BZ620" i="1"/>
  <c r="BZ621" i="1"/>
  <c r="BZ631" i="1"/>
  <c r="BZ630" i="1"/>
  <c r="BZ629" i="1"/>
  <c r="BZ635" i="1"/>
  <c r="BZ637" i="1"/>
  <c r="BZ636" i="1"/>
  <c r="BZ528" i="1"/>
  <c r="BY549" i="1"/>
  <c r="BY541" i="1"/>
  <c r="BY546" i="1"/>
  <c r="BY554" i="1"/>
  <c r="BY543" i="1"/>
  <c r="BY548" i="1"/>
  <c r="BY542" i="1"/>
  <c r="BY540" i="1"/>
  <c r="BY555" i="1"/>
  <c r="BY537" i="1"/>
  <c r="BY552" i="1"/>
  <c r="BY536" i="1"/>
  <c r="BY547" i="1"/>
  <c r="BY556" i="1"/>
  <c r="BY565" i="1"/>
  <c r="BY566" i="1"/>
  <c r="BY563" i="1"/>
  <c r="BY564" i="1"/>
  <c r="BY561" i="1"/>
  <c r="BY562" i="1"/>
  <c r="BY557" i="1"/>
  <c r="BY559" i="1"/>
  <c r="BY558" i="1"/>
  <c r="BY569" i="1"/>
  <c r="BY570" i="1"/>
  <c r="BY571" i="1"/>
  <c r="BY572" i="1"/>
  <c r="BY568" i="1"/>
  <c r="BY575" i="1"/>
  <c r="BY581" i="1"/>
  <c r="BY582" i="1"/>
  <c r="BY583" i="1"/>
  <c r="BY577" i="1"/>
  <c r="BY584" i="1"/>
  <c r="BY573" i="1"/>
  <c r="BY574" i="1"/>
  <c r="BY585" i="1"/>
  <c r="BY587" i="1"/>
  <c r="BY578" i="1"/>
  <c r="BY576" i="1"/>
  <c r="BY586" i="1"/>
  <c r="BY580" i="1"/>
  <c r="BY579" i="1"/>
  <c r="BY593" i="1"/>
  <c r="BY590" i="1"/>
  <c r="BY589" i="1"/>
  <c r="BY588" i="1"/>
  <c r="BY594" i="1"/>
  <c r="BY591" i="1"/>
  <c r="BY596" i="1"/>
  <c r="BY598" i="1"/>
  <c r="BY597" i="1"/>
  <c r="BY600" i="1"/>
  <c r="BY605" i="1"/>
  <c r="BY603" i="1"/>
  <c r="BY604" i="1"/>
  <c r="BY602" i="1"/>
  <c r="BY601" i="1"/>
  <c r="BY610" i="1"/>
  <c r="BY616" i="1"/>
  <c r="BY608" i="1"/>
  <c r="BY607" i="1"/>
  <c r="BY614" i="1"/>
  <c r="BY613" i="1"/>
  <c r="BY611" i="1"/>
  <c r="BY612" i="1"/>
  <c r="BY619" i="1"/>
  <c r="BY622" i="1"/>
  <c r="BY620" i="1"/>
  <c r="BY621" i="1"/>
  <c r="BY631" i="1"/>
  <c r="BY630" i="1"/>
  <c r="BY629" i="1"/>
  <c r="BY635" i="1"/>
  <c r="BY637" i="1"/>
  <c r="BY636" i="1"/>
  <c r="BY545" i="1"/>
  <c r="BY523" i="1"/>
  <c r="BY528" i="1"/>
  <c r="CH3" i="1" l="1"/>
  <c r="CI3" i="1" s="1"/>
  <c r="CE3" i="1"/>
  <c r="CB72" i="1"/>
  <c r="E43" i="7"/>
  <c r="E42" i="7"/>
  <c r="E41" i="7"/>
  <c r="E44" i="7"/>
  <c r="AM3" i="1"/>
  <c r="AO3" i="1" s="1"/>
  <c r="AF3" i="1" s="1"/>
  <c r="AJ3" i="1"/>
  <c r="AI3" i="1"/>
  <c r="AN3" i="1"/>
  <c r="AG3" i="1" s="1"/>
  <c r="V635" i="1"/>
  <c r="V639" i="1"/>
  <c r="V637" i="1"/>
  <c r="V638" i="1"/>
  <c r="V636" i="1"/>
  <c r="AD635" i="1"/>
  <c r="AE635" i="1"/>
  <c r="AH635" i="1"/>
  <c r="BE635" i="1"/>
  <c r="CM635" i="1"/>
  <c r="CL635" i="1"/>
  <c r="AE639" i="1"/>
  <c r="AH639" i="1"/>
  <c r="BE639" i="1"/>
  <c r="BF639" i="1" s="1"/>
  <c r="CM639" i="1"/>
  <c r="CL639" i="1"/>
  <c r="AD637" i="1"/>
  <c r="AE637" i="1"/>
  <c r="AH637" i="1"/>
  <c r="BE637" i="1"/>
  <c r="CM637" i="1"/>
  <c r="CL637" i="1"/>
  <c r="AD638" i="1"/>
  <c r="AE638" i="1"/>
  <c r="AH638" i="1"/>
  <c r="BE638" i="1"/>
  <c r="BF638" i="1" s="1"/>
  <c r="CM638" i="1"/>
  <c r="CL638" i="1"/>
  <c r="AD636" i="1"/>
  <c r="AE636" i="1"/>
  <c r="AH636" i="1"/>
  <c r="BE636" i="1"/>
  <c r="BF636" i="1" s="1"/>
  <c r="CM636" i="1"/>
  <c r="CL636" i="1"/>
  <c r="CH636" i="1" l="1"/>
  <c r="CI636" i="1" s="1"/>
  <c r="CH635" i="1"/>
  <c r="CI635" i="1" s="1"/>
  <c r="CH639" i="1"/>
  <c r="CI639" i="1" s="1"/>
  <c r="CH638" i="1"/>
  <c r="CI638" i="1" s="1"/>
  <c r="CH637" i="1"/>
  <c r="CI637" i="1" s="1"/>
  <c r="AI636" i="1"/>
  <c r="AI639" i="1"/>
  <c r="AI635" i="1"/>
  <c r="AI638" i="1"/>
  <c r="AI637" i="1"/>
  <c r="AJ639" i="1"/>
  <c r="AF639" i="1"/>
  <c r="AG637" i="1"/>
  <c r="AF636" i="1"/>
  <c r="AJ636" i="1"/>
  <c r="AJ635" i="1"/>
  <c r="AG636" i="1"/>
  <c r="AF637" i="1"/>
  <c r="AG639" i="1"/>
  <c r="AR637" i="1"/>
  <c r="AR638" i="1"/>
  <c r="AJ638" i="1"/>
  <c r="AG638" i="1"/>
  <c r="AJ637" i="1"/>
  <c r="AG635" i="1"/>
  <c r="AF638" i="1"/>
  <c r="AF635" i="1"/>
  <c r="AR636" i="1" l="1"/>
  <c r="AR635" i="1"/>
  <c r="AR639" i="1"/>
  <c r="V630" i="1" l="1"/>
  <c r="V629" i="1"/>
  <c r="V628" i="1"/>
  <c r="V634" i="1"/>
  <c r="AD632" i="1"/>
  <c r="AE632" i="1"/>
  <c r="AH632" i="1"/>
  <c r="BE632" i="1"/>
  <c r="BF632" i="1" s="1"/>
  <c r="CM632" i="1"/>
  <c r="CL632" i="1"/>
  <c r="AD630" i="1"/>
  <c r="AE630" i="1"/>
  <c r="AH630" i="1"/>
  <c r="BE630" i="1"/>
  <c r="CM630" i="1"/>
  <c r="CL630" i="1"/>
  <c r="AD629" i="1"/>
  <c r="AE629" i="1"/>
  <c r="AH629" i="1"/>
  <c r="BE629" i="1"/>
  <c r="BF629" i="1" s="1"/>
  <c r="CM629" i="1"/>
  <c r="CL629" i="1"/>
  <c r="AD628" i="1"/>
  <c r="AE628" i="1"/>
  <c r="AH628" i="1"/>
  <c r="BE628" i="1"/>
  <c r="BF628" i="1" s="1"/>
  <c r="CM628" i="1"/>
  <c r="CL628" i="1"/>
  <c r="AD634" i="1"/>
  <c r="AE634" i="1"/>
  <c r="AH634" i="1"/>
  <c r="BE634" i="1"/>
  <c r="BF634" i="1" s="1"/>
  <c r="CM634" i="1"/>
  <c r="CL634" i="1"/>
  <c r="BE519" i="1"/>
  <c r="BE524" i="1"/>
  <c r="BE527" i="1"/>
  <c r="BF527" i="1" s="1"/>
  <c r="BE530" i="1"/>
  <c r="BF530" i="1" s="1"/>
  <c r="BE529" i="1"/>
  <c r="BF529" i="1" s="1"/>
  <c r="BE525" i="1"/>
  <c r="BF525" i="1" s="1"/>
  <c r="BE531" i="1"/>
  <c r="BF531" i="1" s="1"/>
  <c r="BE528" i="1"/>
  <c r="BF528" i="1" s="1"/>
  <c r="BE523" i="1"/>
  <c r="BF523" i="1" s="1"/>
  <c r="BE539" i="1"/>
  <c r="BF539" i="1" s="1"/>
  <c r="BE545" i="1"/>
  <c r="BF545" i="1" s="1"/>
  <c r="BE549" i="1"/>
  <c r="BF549" i="1" s="1"/>
  <c r="BE534" i="1"/>
  <c r="BF534" i="1" s="1"/>
  <c r="BE541" i="1"/>
  <c r="BF541" i="1" s="1"/>
  <c r="BE553" i="1"/>
  <c r="BE546" i="1"/>
  <c r="BF546" i="1" s="1"/>
  <c r="BE535" i="1"/>
  <c r="BE554" i="1"/>
  <c r="BF554" i="1" s="1"/>
  <c r="BE543" i="1"/>
  <c r="BF543" i="1" s="1"/>
  <c r="BE544" i="1"/>
  <c r="BF544" i="1" s="1"/>
  <c r="BE551" i="1"/>
  <c r="BE548" i="1"/>
  <c r="BF548" i="1" s="1"/>
  <c r="BE542" i="1"/>
  <c r="BE540" i="1"/>
  <c r="BE555" i="1"/>
  <c r="BE537" i="1"/>
  <c r="BF537" i="1" s="1"/>
  <c r="BE552" i="1"/>
  <c r="BF552" i="1" s="1"/>
  <c r="BE550" i="1"/>
  <c r="BF550" i="1" s="1"/>
  <c r="BE536" i="1"/>
  <c r="BE547" i="1"/>
  <c r="BF547" i="1" s="1"/>
  <c r="BE538" i="1"/>
  <c r="BE556" i="1"/>
  <c r="BF556" i="1" s="1"/>
  <c r="BE565" i="1"/>
  <c r="BF565" i="1" s="1"/>
  <c r="BE566" i="1"/>
  <c r="BF566" i="1" s="1"/>
  <c r="BE563" i="1"/>
  <c r="BF563" i="1" s="1"/>
  <c r="BE567" i="1"/>
  <c r="BE564" i="1"/>
  <c r="BF564" i="1" s="1"/>
  <c r="BE560" i="1"/>
  <c r="BF560" i="1" s="1"/>
  <c r="BE561" i="1"/>
  <c r="BF561" i="1" s="1"/>
  <c r="BE562" i="1"/>
  <c r="BF562" i="1" s="1"/>
  <c r="BE557" i="1"/>
  <c r="BF557" i="1" s="1"/>
  <c r="BE559" i="1"/>
  <c r="BF559" i="1" s="1"/>
  <c r="BE558" i="1"/>
  <c r="BF558" i="1" s="1"/>
  <c r="BE569" i="1"/>
  <c r="BF569" i="1" s="1"/>
  <c r="BE570" i="1"/>
  <c r="BF570" i="1" s="1"/>
  <c r="BE571" i="1"/>
  <c r="BF571" i="1" s="1"/>
  <c r="BE572" i="1"/>
  <c r="BF572" i="1" s="1"/>
  <c r="BE568" i="1"/>
  <c r="BF568" i="1" s="1"/>
  <c r="BE575" i="1"/>
  <c r="BF575" i="1" s="1"/>
  <c r="BE581" i="1"/>
  <c r="BF581" i="1" s="1"/>
  <c r="BE582" i="1"/>
  <c r="BF582" i="1" s="1"/>
  <c r="BE583" i="1"/>
  <c r="BE577" i="1"/>
  <c r="BF577" i="1" s="1"/>
  <c r="BE584" i="1"/>
  <c r="BE573" i="1"/>
  <c r="BF573" i="1" s="1"/>
  <c r="BE574" i="1"/>
  <c r="BF574" i="1" s="1"/>
  <c r="BE585" i="1"/>
  <c r="BF585" i="1" s="1"/>
  <c r="BE587" i="1"/>
  <c r="BF587" i="1" s="1"/>
  <c r="BE578" i="1"/>
  <c r="BF578" i="1" s="1"/>
  <c r="BE576" i="1"/>
  <c r="BE586" i="1"/>
  <c r="BF586" i="1" s="1"/>
  <c r="BE580" i="1"/>
  <c r="BF580" i="1" s="1"/>
  <c r="BE579" i="1"/>
  <c r="BE593" i="1"/>
  <c r="BE590" i="1"/>
  <c r="BF590" i="1" s="1"/>
  <c r="BE592" i="1"/>
  <c r="BF592" i="1" s="1"/>
  <c r="BE589" i="1"/>
  <c r="BE595" i="1"/>
  <c r="BE588" i="1"/>
  <c r="BF588" i="1" s="1"/>
  <c r="BE594" i="1"/>
  <c r="BF594" i="1" s="1"/>
  <c r="BE591" i="1"/>
  <c r="BF591" i="1" s="1"/>
  <c r="BE596" i="1"/>
  <c r="BF596" i="1" s="1"/>
  <c r="BE598" i="1"/>
  <c r="BF598" i="1" s="1"/>
  <c r="BE597" i="1"/>
  <c r="BF597" i="1" s="1"/>
  <c r="BE600" i="1"/>
  <c r="BF600" i="1" s="1"/>
  <c r="BE605" i="1"/>
  <c r="BF605" i="1" s="1"/>
  <c r="BE599" i="1"/>
  <c r="BE603" i="1"/>
  <c r="BF603" i="1" s="1"/>
  <c r="BE604" i="1"/>
  <c r="BF604" i="1" s="1"/>
  <c r="BE602" i="1"/>
  <c r="BF602" i="1" s="1"/>
  <c r="BE606" i="1"/>
  <c r="BF606" i="1" s="1"/>
  <c r="BE601" i="1"/>
  <c r="BF601" i="1" s="1"/>
  <c r="BE610" i="1"/>
  <c r="BF610" i="1" s="1"/>
  <c r="BE609" i="1"/>
  <c r="BF609" i="1" s="1"/>
  <c r="BE616" i="1"/>
  <c r="BF616" i="1" s="1"/>
  <c r="BE615" i="1"/>
  <c r="BE608" i="1"/>
  <c r="BE607" i="1"/>
  <c r="BF607" i="1" s="1"/>
  <c r="BE618" i="1"/>
  <c r="BE614" i="1"/>
  <c r="BE613" i="1"/>
  <c r="BE611" i="1"/>
  <c r="BF611" i="1" s="1"/>
  <c r="BE617" i="1"/>
  <c r="BF617" i="1" s="1"/>
  <c r="BE612" i="1"/>
  <c r="BE619" i="1"/>
  <c r="BF619" i="1" s="1"/>
  <c r="BE622" i="1"/>
  <c r="BF622" i="1" s="1"/>
  <c r="BE620" i="1"/>
  <c r="BF620" i="1" s="1"/>
  <c r="BE621" i="1"/>
  <c r="BF621" i="1" s="1"/>
  <c r="BE624" i="1"/>
  <c r="BF624" i="1" s="1"/>
  <c r="BE623" i="1"/>
  <c r="BF623" i="1" s="1"/>
  <c r="BE626" i="1"/>
  <c r="BE631" i="1"/>
  <c r="BF631" i="1" s="1"/>
  <c r="CL575" i="1"/>
  <c r="CM575" i="1"/>
  <c r="AR575" i="1"/>
  <c r="AH575" i="1"/>
  <c r="AE575" i="1"/>
  <c r="AD575" i="1"/>
  <c r="CL568" i="1"/>
  <c r="CM568" i="1"/>
  <c r="AH568" i="1"/>
  <c r="AE568" i="1"/>
  <c r="AD568" i="1"/>
  <c r="CL572" i="1"/>
  <c r="CM572" i="1"/>
  <c r="AH572" i="1"/>
  <c r="AE572" i="1"/>
  <c r="AD572" i="1"/>
  <c r="CL571" i="1"/>
  <c r="CM571" i="1"/>
  <c r="AH571" i="1"/>
  <c r="AE571" i="1"/>
  <c r="AD571" i="1"/>
  <c r="CL570" i="1"/>
  <c r="CM570" i="1"/>
  <c r="AH570" i="1"/>
  <c r="AE570" i="1"/>
  <c r="AD570" i="1"/>
  <c r="CL569" i="1"/>
  <c r="CM569" i="1"/>
  <c r="AH569" i="1"/>
  <c r="AE569" i="1"/>
  <c r="AD569" i="1"/>
  <c r="CL558" i="1"/>
  <c r="CM558" i="1"/>
  <c r="AH558" i="1"/>
  <c r="AE558" i="1"/>
  <c r="AD558" i="1"/>
  <c r="CL559" i="1"/>
  <c r="CM559" i="1"/>
  <c r="AH559" i="1"/>
  <c r="AE559" i="1"/>
  <c r="AD559" i="1"/>
  <c r="CL557" i="1"/>
  <c r="CM557" i="1"/>
  <c r="AH557" i="1"/>
  <c r="AE557" i="1"/>
  <c r="AD557" i="1"/>
  <c r="CL562" i="1"/>
  <c r="CM562" i="1"/>
  <c r="AH562" i="1"/>
  <c r="AE562" i="1"/>
  <c r="AD562" i="1"/>
  <c r="CL561" i="1"/>
  <c r="CM561" i="1"/>
  <c r="AH561" i="1"/>
  <c r="AE561" i="1"/>
  <c r="AD561" i="1"/>
  <c r="CL560" i="1"/>
  <c r="CM560" i="1"/>
  <c r="AH560" i="1"/>
  <c r="AE560" i="1"/>
  <c r="AD560" i="1"/>
  <c r="CL564" i="1"/>
  <c r="CM564" i="1"/>
  <c r="AH564" i="1"/>
  <c r="AE564" i="1"/>
  <c r="AD564" i="1"/>
  <c r="CL567" i="1"/>
  <c r="CM567" i="1"/>
  <c r="AH567" i="1"/>
  <c r="AE567" i="1"/>
  <c r="AD567" i="1"/>
  <c r="CL563" i="1"/>
  <c r="CM563" i="1"/>
  <c r="AH563" i="1"/>
  <c r="AE563" i="1"/>
  <c r="AD563" i="1"/>
  <c r="CL566" i="1"/>
  <c r="CM566" i="1"/>
  <c r="AH566" i="1"/>
  <c r="AE566" i="1"/>
  <c r="AD566" i="1"/>
  <c r="CL565" i="1"/>
  <c r="CM565" i="1"/>
  <c r="AH565" i="1"/>
  <c r="AE565" i="1"/>
  <c r="AD565" i="1"/>
  <c r="CL556" i="1"/>
  <c r="CM556" i="1"/>
  <c r="AH556" i="1"/>
  <c r="AE556" i="1"/>
  <c r="AD556" i="1"/>
  <c r="CL538" i="1"/>
  <c r="CM538" i="1"/>
  <c r="AH538" i="1"/>
  <c r="AE538" i="1"/>
  <c r="AD538" i="1"/>
  <c r="CL547" i="1"/>
  <c r="CM547" i="1"/>
  <c r="AH547" i="1"/>
  <c r="AE547" i="1"/>
  <c r="AD547" i="1"/>
  <c r="CL536" i="1"/>
  <c r="CM536" i="1"/>
  <c r="AH536" i="1"/>
  <c r="AE536" i="1"/>
  <c r="AD536" i="1"/>
  <c r="CL550" i="1"/>
  <c r="CM550" i="1"/>
  <c r="AH550" i="1"/>
  <c r="AE550" i="1"/>
  <c r="AD550" i="1"/>
  <c r="CL552" i="1"/>
  <c r="CM552" i="1"/>
  <c r="AH552" i="1"/>
  <c r="AE552" i="1"/>
  <c r="AD552" i="1"/>
  <c r="CL537" i="1"/>
  <c r="CM537" i="1"/>
  <c r="AH537" i="1"/>
  <c r="AE537" i="1"/>
  <c r="AD537" i="1"/>
  <c r="CL555" i="1"/>
  <c r="CM555" i="1"/>
  <c r="AH555" i="1"/>
  <c r="AE555" i="1"/>
  <c r="AD555" i="1"/>
  <c r="CL540" i="1"/>
  <c r="CM540" i="1"/>
  <c r="AH540" i="1"/>
  <c r="AE540" i="1"/>
  <c r="AD540" i="1"/>
  <c r="CL542" i="1"/>
  <c r="CM542" i="1"/>
  <c r="AH542" i="1"/>
  <c r="AE542" i="1"/>
  <c r="AD542" i="1"/>
  <c r="CL548" i="1"/>
  <c r="CM548" i="1"/>
  <c r="AH548" i="1"/>
  <c r="AE548" i="1"/>
  <c r="AD548" i="1"/>
  <c r="CL551" i="1"/>
  <c r="CM551" i="1"/>
  <c r="AH551" i="1"/>
  <c r="AE551" i="1"/>
  <c r="AD551" i="1"/>
  <c r="CL544" i="1"/>
  <c r="CM544" i="1"/>
  <c r="AH544" i="1"/>
  <c r="AE544" i="1"/>
  <c r="AD544" i="1"/>
  <c r="CL543" i="1"/>
  <c r="CM543" i="1"/>
  <c r="AH543" i="1"/>
  <c r="AE543" i="1"/>
  <c r="AD543" i="1"/>
  <c r="CL554" i="1"/>
  <c r="CM554" i="1"/>
  <c r="AH554" i="1"/>
  <c r="AE554" i="1"/>
  <c r="AD554" i="1"/>
  <c r="CL535" i="1"/>
  <c r="CM535" i="1"/>
  <c r="AH535" i="1"/>
  <c r="AE535" i="1"/>
  <c r="AD535" i="1"/>
  <c r="CL546" i="1"/>
  <c r="CM546" i="1"/>
  <c r="AH546" i="1"/>
  <c r="AE546" i="1"/>
  <c r="AD546" i="1"/>
  <c r="CL553" i="1"/>
  <c r="CM553" i="1"/>
  <c r="AH553" i="1"/>
  <c r="AE553" i="1"/>
  <c r="AD553" i="1"/>
  <c r="CL541" i="1"/>
  <c r="CM541" i="1"/>
  <c r="AH541" i="1"/>
  <c r="AE541" i="1"/>
  <c r="AD541" i="1"/>
  <c r="CL534" i="1"/>
  <c r="CM534" i="1"/>
  <c r="AH534" i="1"/>
  <c r="AE534" i="1"/>
  <c r="AD534" i="1"/>
  <c r="CL549" i="1"/>
  <c r="CM549" i="1"/>
  <c r="AH549" i="1"/>
  <c r="AE549" i="1"/>
  <c r="AD549" i="1"/>
  <c r="CL545" i="1"/>
  <c r="CM545" i="1"/>
  <c r="AH545" i="1"/>
  <c r="AE545" i="1"/>
  <c r="AD545" i="1"/>
  <c r="AD539" i="1"/>
  <c r="AE539" i="1"/>
  <c r="AH539" i="1"/>
  <c r="CM539" i="1"/>
  <c r="CL539" i="1"/>
  <c r="CL523" i="1"/>
  <c r="CM523" i="1"/>
  <c r="AH523" i="1"/>
  <c r="AE523" i="1"/>
  <c r="AD523" i="1"/>
  <c r="CL631" i="1"/>
  <c r="CM631" i="1"/>
  <c r="AH631" i="1"/>
  <c r="AE631" i="1"/>
  <c r="AD631" i="1"/>
  <c r="CL626" i="1"/>
  <c r="CM626" i="1"/>
  <c r="AH626" i="1"/>
  <c r="AE626" i="1"/>
  <c r="AD626" i="1"/>
  <c r="CL623" i="1"/>
  <c r="CM623" i="1"/>
  <c r="AH623" i="1"/>
  <c r="AE623" i="1"/>
  <c r="AD623" i="1"/>
  <c r="CL624" i="1"/>
  <c r="CM624" i="1"/>
  <c r="AH624" i="1"/>
  <c r="AE624" i="1"/>
  <c r="AD624" i="1"/>
  <c r="CL621" i="1"/>
  <c r="CM621" i="1"/>
  <c r="AH621" i="1"/>
  <c r="AE621" i="1"/>
  <c r="AD621" i="1"/>
  <c r="CL620" i="1"/>
  <c r="CM620" i="1"/>
  <c r="AR620" i="1"/>
  <c r="AH620" i="1"/>
  <c r="AE620" i="1"/>
  <c r="AD620" i="1"/>
  <c r="CL622" i="1"/>
  <c r="CM622" i="1"/>
  <c r="AR622" i="1"/>
  <c r="AH622" i="1"/>
  <c r="AE622" i="1"/>
  <c r="AD622" i="1"/>
  <c r="CL619" i="1"/>
  <c r="CM619" i="1"/>
  <c r="AH619" i="1"/>
  <c r="AE619" i="1"/>
  <c r="AD619" i="1"/>
  <c r="CL612" i="1"/>
  <c r="CM612" i="1"/>
  <c r="AH612" i="1"/>
  <c r="AE612" i="1"/>
  <c r="AD612" i="1"/>
  <c r="CL617" i="1"/>
  <c r="CM617" i="1"/>
  <c r="AR617" i="1"/>
  <c r="AH617" i="1"/>
  <c r="AE617" i="1"/>
  <c r="AD617" i="1"/>
  <c r="CL611" i="1"/>
  <c r="CM611" i="1"/>
  <c r="AH611" i="1"/>
  <c r="AE611" i="1"/>
  <c r="AD611" i="1"/>
  <c r="CL613" i="1"/>
  <c r="CM613" i="1"/>
  <c r="AH613" i="1"/>
  <c r="AE613" i="1"/>
  <c r="AD613" i="1"/>
  <c r="CL614" i="1"/>
  <c r="CM614" i="1"/>
  <c r="AH614" i="1"/>
  <c r="AE614" i="1"/>
  <c r="AD614" i="1"/>
  <c r="CL618" i="1"/>
  <c r="CM618" i="1"/>
  <c r="AH618" i="1"/>
  <c r="AE618" i="1"/>
  <c r="AD618" i="1"/>
  <c r="CL607" i="1"/>
  <c r="CM607" i="1"/>
  <c r="AH607" i="1"/>
  <c r="AE607" i="1"/>
  <c r="AD607" i="1"/>
  <c r="CL608" i="1"/>
  <c r="CM608" i="1"/>
  <c r="AH608" i="1"/>
  <c r="AE608" i="1"/>
  <c r="AD608" i="1"/>
  <c r="CL615" i="1"/>
  <c r="CM615" i="1"/>
  <c r="AH615" i="1"/>
  <c r="AE615" i="1"/>
  <c r="AD615" i="1"/>
  <c r="CL616" i="1"/>
  <c r="CM616" i="1"/>
  <c r="AH616" i="1"/>
  <c r="AE616" i="1"/>
  <c r="AD616" i="1"/>
  <c r="CL609" i="1"/>
  <c r="CM609" i="1"/>
  <c r="AH609" i="1"/>
  <c r="AE609" i="1"/>
  <c r="AD609" i="1"/>
  <c r="CL610" i="1"/>
  <c r="CM610" i="1"/>
  <c r="AH610" i="1"/>
  <c r="AE610" i="1"/>
  <c r="AD610" i="1"/>
  <c r="CL601" i="1"/>
  <c r="CM601" i="1"/>
  <c r="AH601" i="1"/>
  <c r="AE601" i="1"/>
  <c r="AD601" i="1"/>
  <c r="CL606" i="1"/>
  <c r="CM606" i="1"/>
  <c r="AR606" i="1"/>
  <c r="AH606" i="1"/>
  <c r="AE606" i="1"/>
  <c r="AD606" i="1"/>
  <c r="CL602" i="1"/>
  <c r="CM602" i="1"/>
  <c r="AH602" i="1"/>
  <c r="AE602" i="1"/>
  <c r="AD602" i="1"/>
  <c r="CL604" i="1"/>
  <c r="CM604" i="1"/>
  <c r="AH604" i="1"/>
  <c r="AE604" i="1"/>
  <c r="AD604" i="1"/>
  <c r="CL603" i="1"/>
  <c r="CM603" i="1"/>
  <c r="AH603" i="1"/>
  <c r="AE603" i="1"/>
  <c r="AD603" i="1"/>
  <c r="CL599" i="1"/>
  <c r="CM599" i="1"/>
  <c r="AH599" i="1"/>
  <c r="AE599" i="1"/>
  <c r="AD599" i="1"/>
  <c r="CL605" i="1"/>
  <c r="CM605" i="1"/>
  <c r="AR605" i="1"/>
  <c r="AH605" i="1"/>
  <c r="AE605" i="1"/>
  <c r="AD605" i="1"/>
  <c r="CL600" i="1"/>
  <c r="CM600" i="1"/>
  <c r="AH600" i="1"/>
  <c r="AE600" i="1"/>
  <c r="AD600" i="1"/>
  <c r="CL597" i="1"/>
  <c r="CM597" i="1"/>
  <c r="AR597" i="1"/>
  <c r="AH597" i="1"/>
  <c r="AE597" i="1"/>
  <c r="AD597" i="1"/>
  <c r="CL598" i="1"/>
  <c r="CM598" i="1"/>
  <c r="AH598" i="1"/>
  <c r="AE598" i="1"/>
  <c r="AD598" i="1"/>
  <c r="CL596" i="1"/>
  <c r="CM596" i="1"/>
  <c r="AH596" i="1"/>
  <c r="AE596" i="1"/>
  <c r="AD596" i="1"/>
  <c r="CL591" i="1"/>
  <c r="CM591" i="1"/>
  <c r="AH591" i="1"/>
  <c r="AE591" i="1"/>
  <c r="AD591" i="1"/>
  <c r="CL594" i="1"/>
  <c r="CM594" i="1"/>
  <c r="AH594" i="1"/>
  <c r="AE594" i="1"/>
  <c r="AD594" i="1"/>
  <c r="CL588" i="1"/>
  <c r="CM588" i="1"/>
  <c r="AH588" i="1"/>
  <c r="AE588" i="1"/>
  <c r="AD588" i="1"/>
  <c r="CL595" i="1"/>
  <c r="CM595" i="1"/>
  <c r="AH595" i="1"/>
  <c r="AE595" i="1"/>
  <c r="AD595" i="1"/>
  <c r="CL589" i="1"/>
  <c r="CM589" i="1"/>
  <c r="AH589" i="1"/>
  <c r="AE589" i="1"/>
  <c r="AD589" i="1"/>
  <c r="CL592" i="1"/>
  <c r="CM592" i="1"/>
  <c r="AR592" i="1"/>
  <c r="AH592" i="1"/>
  <c r="AE592" i="1"/>
  <c r="AD592" i="1"/>
  <c r="CL590" i="1"/>
  <c r="CM590" i="1"/>
  <c r="AH590" i="1"/>
  <c r="AE590" i="1"/>
  <c r="AD590" i="1"/>
  <c r="CL593" i="1"/>
  <c r="CM593" i="1"/>
  <c r="AH593" i="1"/>
  <c r="AE593" i="1"/>
  <c r="AD593" i="1"/>
  <c r="CL579" i="1"/>
  <c r="CM579" i="1"/>
  <c r="AH579" i="1"/>
  <c r="AE579" i="1"/>
  <c r="AD579" i="1"/>
  <c r="CL580" i="1"/>
  <c r="CM580" i="1"/>
  <c r="AH580" i="1"/>
  <c r="AE580" i="1"/>
  <c r="AD580" i="1"/>
  <c r="CL586" i="1"/>
  <c r="CM586" i="1"/>
  <c r="AR586" i="1"/>
  <c r="AH586" i="1"/>
  <c r="AE586" i="1"/>
  <c r="AD586" i="1"/>
  <c r="CL576" i="1"/>
  <c r="CM576" i="1"/>
  <c r="AH576" i="1"/>
  <c r="AE576" i="1"/>
  <c r="AD576" i="1"/>
  <c r="CL578" i="1"/>
  <c r="CM578" i="1"/>
  <c r="AR578" i="1"/>
  <c r="AH578" i="1"/>
  <c r="AE578" i="1"/>
  <c r="AD578" i="1"/>
  <c r="CL587" i="1"/>
  <c r="CM587" i="1"/>
  <c r="AR587" i="1"/>
  <c r="AH587" i="1"/>
  <c r="AE587" i="1"/>
  <c r="AD587" i="1"/>
  <c r="CL585" i="1"/>
  <c r="CM585" i="1"/>
  <c r="AH585" i="1"/>
  <c r="AE585" i="1"/>
  <c r="AD585" i="1"/>
  <c r="CL574" i="1"/>
  <c r="CM574" i="1"/>
  <c r="AH574" i="1"/>
  <c r="AE574" i="1"/>
  <c r="AD574" i="1"/>
  <c r="CL573" i="1"/>
  <c r="CM573" i="1"/>
  <c r="AH573" i="1"/>
  <c r="AE573" i="1"/>
  <c r="AD573" i="1"/>
  <c r="CL584" i="1"/>
  <c r="CM584" i="1"/>
  <c r="AH584" i="1"/>
  <c r="AE584" i="1"/>
  <c r="AD584" i="1"/>
  <c r="CL577" i="1"/>
  <c r="CM577" i="1"/>
  <c r="AH577" i="1"/>
  <c r="AE577" i="1"/>
  <c r="AD577" i="1"/>
  <c r="CL583" i="1"/>
  <c r="CM583" i="1"/>
  <c r="AH583" i="1"/>
  <c r="AE583" i="1"/>
  <c r="AD583" i="1"/>
  <c r="CL582" i="1"/>
  <c r="CM582" i="1"/>
  <c r="AH582" i="1"/>
  <c r="AE582" i="1"/>
  <c r="AD582" i="1"/>
  <c r="CL581" i="1"/>
  <c r="CM581" i="1"/>
  <c r="AH581" i="1"/>
  <c r="AE581" i="1"/>
  <c r="AD581" i="1"/>
  <c r="CH587" i="1" l="1"/>
  <c r="CI587" i="1" s="1"/>
  <c r="CH579" i="1"/>
  <c r="CI579" i="1" s="1"/>
  <c r="CH610" i="1"/>
  <c r="CI610" i="1" s="1"/>
  <c r="CH613" i="1"/>
  <c r="CI613" i="1" s="1"/>
  <c r="CH620" i="1"/>
  <c r="CI620" i="1" s="1"/>
  <c r="CH544" i="1"/>
  <c r="CI544" i="1" s="1"/>
  <c r="CH582" i="1"/>
  <c r="CI582" i="1" s="1"/>
  <c r="CH542" i="1"/>
  <c r="CI542" i="1" s="1"/>
  <c r="CH562" i="1"/>
  <c r="CI562" i="1" s="1"/>
  <c r="CH571" i="1"/>
  <c r="CI571" i="1" s="1"/>
  <c r="CH628" i="1"/>
  <c r="CI628" i="1" s="1"/>
  <c r="CH584" i="1"/>
  <c r="CI584" i="1" s="1"/>
  <c r="CH592" i="1"/>
  <c r="CI592" i="1" s="1"/>
  <c r="CH598" i="1"/>
  <c r="CI598" i="1" s="1"/>
  <c r="CH604" i="1"/>
  <c r="CI604" i="1" s="1"/>
  <c r="CH555" i="1"/>
  <c r="CI555" i="1" s="1"/>
  <c r="CH538" i="1"/>
  <c r="CI538" i="1" s="1"/>
  <c r="CH564" i="1"/>
  <c r="CI564" i="1" s="1"/>
  <c r="CH559" i="1"/>
  <c r="CI559" i="1" s="1"/>
  <c r="CH575" i="1"/>
  <c r="CI575" i="1" s="1"/>
  <c r="CH594" i="1"/>
  <c r="CI594" i="1" s="1"/>
  <c r="CH543" i="1"/>
  <c r="CI543" i="1" s="1"/>
  <c r="CH539" i="1"/>
  <c r="CI539" i="1" s="1"/>
  <c r="CH563" i="1"/>
  <c r="CI563" i="1" s="1"/>
  <c r="CH583" i="1"/>
  <c r="CI583" i="1" s="1"/>
  <c r="CH591" i="1"/>
  <c r="CI591" i="1" s="1"/>
  <c r="CH599" i="1"/>
  <c r="CI599" i="1" s="1"/>
  <c r="CH609" i="1"/>
  <c r="CI609" i="1" s="1"/>
  <c r="CH611" i="1"/>
  <c r="CI611" i="1" s="1"/>
  <c r="CH535" i="1"/>
  <c r="CI535" i="1" s="1"/>
  <c r="CH540" i="1"/>
  <c r="CI540" i="1" s="1"/>
  <c r="CH536" i="1"/>
  <c r="CI536" i="1" s="1"/>
  <c r="CH567" i="1"/>
  <c r="CI567" i="1" s="1"/>
  <c r="CH634" i="1"/>
  <c r="CI634" i="1" s="1"/>
  <c r="CH574" i="1"/>
  <c r="CI574" i="1" s="1"/>
  <c r="CH586" i="1"/>
  <c r="CI586" i="1" s="1"/>
  <c r="CH589" i="1"/>
  <c r="CI589" i="1" s="1"/>
  <c r="CH606" i="1"/>
  <c r="CI606" i="1" s="1"/>
  <c r="CH607" i="1"/>
  <c r="CI607" i="1" s="1"/>
  <c r="CH619" i="1"/>
  <c r="CI619" i="1" s="1"/>
  <c r="CH626" i="1"/>
  <c r="CI626" i="1" s="1"/>
  <c r="CH541" i="1"/>
  <c r="CI541" i="1" s="1"/>
  <c r="CH537" i="1"/>
  <c r="CI537" i="1" s="1"/>
  <c r="CH560" i="1"/>
  <c r="CI560" i="1" s="1"/>
  <c r="CH585" i="1"/>
  <c r="CI585" i="1" s="1"/>
  <c r="CH595" i="1"/>
  <c r="CI595" i="1" s="1"/>
  <c r="CH600" i="1"/>
  <c r="CI600" i="1" s="1"/>
  <c r="CH622" i="1"/>
  <c r="CI622" i="1" s="1"/>
  <c r="CH551" i="1"/>
  <c r="CI551" i="1" s="1"/>
  <c r="CH552" i="1"/>
  <c r="CI552" i="1" s="1"/>
  <c r="CH565" i="1"/>
  <c r="CI565" i="1" s="1"/>
  <c r="CH593" i="1"/>
  <c r="CI593" i="1" s="1"/>
  <c r="CH545" i="1"/>
  <c r="CI545" i="1" s="1"/>
  <c r="CH572" i="1"/>
  <c r="CI572" i="1" s="1"/>
  <c r="CH629" i="1"/>
  <c r="CI629" i="1" s="1"/>
  <c r="CH577" i="1"/>
  <c r="CI577" i="1" s="1"/>
  <c r="CH578" i="1"/>
  <c r="CI578" i="1" s="1"/>
  <c r="CH590" i="1"/>
  <c r="CI590" i="1" s="1"/>
  <c r="CH596" i="1"/>
  <c r="CI596" i="1" s="1"/>
  <c r="CH603" i="1"/>
  <c r="CI603" i="1" s="1"/>
  <c r="CH616" i="1"/>
  <c r="CI616" i="1" s="1"/>
  <c r="CH617" i="1"/>
  <c r="CI617" i="1" s="1"/>
  <c r="CH621" i="1"/>
  <c r="CI621" i="1" s="1"/>
  <c r="CH549" i="1"/>
  <c r="CI549" i="1" s="1"/>
  <c r="CH554" i="1"/>
  <c r="CI554" i="1" s="1"/>
  <c r="CH547" i="1"/>
  <c r="CI547" i="1" s="1"/>
  <c r="CH557" i="1"/>
  <c r="CI557" i="1" s="1"/>
  <c r="CH568" i="1"/>
  <c r="CI568" i="1" s="1"/>
  <c r="CH615" i="1"/>
  <c r="CI615" i="1" s="1"/>
  <c r="CH624" i="1"/>
  <c r="CI624" i="1" s="1"/>
  <c r="CH573" i="1"/>
  <c r="CI573" i="1" s="1"/>
  <c r="CH576" i="1"/>
  <c r="CI576" i="1" s="1"/>
  <c r="CH597" i="1"/>
  <c r="CI597" i="1" s="1"/>
  <c r="CH602" i="1"/>
  <c r="CI602" i="1" s="1"/>
  <c r="CH608" i="1"/>
  <c r="CI608" i="1" s="1"/>
  <c r="CH612" i="1"/>
  <c r="CI612" i="1" s="1"/>
  <c r="CH623" i="1"/>
  <c r="CI623" i="1" s="1"/>
  <c r="CH534" i="1"/>
  <c r="CI534" i="1" s="1"/>
  <c r="CH556" i="1"/>
  <c r="CI556" i="1" s="1"/>
  <c r="CH558" i="1"/>
  <c r="CI558" i="1" s="1"/>
  <c r="CH630" i="1"/>
  <c r="CI630" i="1" s="1"/>
  <c r="CH569" i="1"/>
  <c r="CI569" i="1" s="1"/>
  <c r="CH618" i="1"/>
  <c r="CI618" i="1" s="1"/>
  <c r="CH631" i="1"/>
  <c r="CI631" i="1" s="1"/>
  <c r="CH553" i="1"/>
  <c r="CI553" i="1" s="1"/>
  <c r="CH581" i="1"/>
  <c r="CI581" i="1" s="1"/>
  <c r="CH580" i="1"/>
  <c r="CI580" i="1" s="1"/>
  <c r="CH588" i="1"/>
  <c r="CI588" i="1" s="1"/>
  <c r="CH605" i="1"/>
  <c r="CI605" i="1" s="1"/>
  <c r="CH601" i="1"/>
  <c r="CI601" i="1" s="1"/>
  <c r="CH614" i="1"/>
  <c r="CI614" i="1" s="1"/>
  <c r="CH523" i="1"/>
  <c r="CI523" i="1" s="1"/>
  <c r="CH546" i="1"/>
  <c r="CI546" i="1" s="1"/>
  <c r="CH548" i="1"/>
  <c r="CI548" i="1" s="1"/>
  <c r="CH550" i="1"/>
  <c r="CI550" i="1" s="1"/>
  <c r="CH566" i="1"/>
  <c r="CI566" i="1" s="1"/>
  <c r="CH561" i="1"/>
  <c r="CI561" i="1" s="1"/>
  <c r="CH570" i="1"/>
  <c r="CI570" i="1" s="1"/>
  <c r="CH632" i="1"/>
  <c r="CI632" i="1" s="1"/>
  <c r="AI585" i="1"/>
  <c r="AI595" i="1"/>
  <c r="AI618" i="1"/>
  <c r="AI631" i="1"/>
  <c r="AI551" i="1"/>
  <c r="AI552" i="1"/>
  <c r="AI581" i="1"/>
  <c r="AI605" i="1"/>
  <c r="AI601" i="1"/>
  <c r="AI614" i="1"/>
  <c r="AI582" i="1"/>
  <c r="AI587" i="1"/>
  <c r="AI579" i="1"/>
  <c r="AI594" i="1"/>
  <c r="AI610" i="1"/>
  <c r="AI613" i="1"/>
  <c r="AI620" i="1"/>
  <c r="AI539" i="1"/>
  <c r="AI542" i="1"/>
  <c r="AI563" i="1"/>
  <c r="AI562" i="1"/>
  <c r="AI571" i="1"/>
  <c r="AI580" i="1"/>
  <c r="AI546" i="1"/>
  <c r="AI548" i="1"/>
  <c r="AI550" i="1"/>
  <c r="AI566" i="1"/>
  <c r="AI561" i="1"/>
  <c r="AI570" i="1"/>
  <c r="AI632" i="1"/>
  <c r="AI583" i="1"/>
  <c r="AI593" i="1"/>
  <c r="AI591" i="1"/>
  <c r="AI599" i="1"/>
  <c r="AI609" i="1"/>
  <c r="AI611" i="1"/>
  <c r="AI545" i="1"/>
  <c r="AI535" i="1"/>
  <c r="AI540" i="1"/>
  <c r="AI536" i="1"/>
  <c r="AI567" i="1"/>
  <c r="AI572" i="1"/>
  <c r="AI629" i="1"/>
  <c r="AI578" i="1"/>
  <c r="AI621" i="1"/>
  <c r="AI549" i="1"/>
  <c r="AI554" i="1"/>
  <c r="AI547" i="1"/>
  <c r="AI557" i="1"/>
  <c r="AI568" i="1"/>
  <c r="AI590" i="1"/>
  <c r="AI624" i="1"/>
  <c r="AI634" i="1"/>
  <c r="AI577" i="1"/>
  <c r="AI603" i="1"/>
  <c r="AI617" i="1"/>
  <c r="AI592" i="1"/>
  <c r="AI615" i="1"/>
  <c r="AI543" i="1"/>
  <c r="AI555" i="1"/>
  <c r="AI559" i="1"/>
  <c r="AI575" i="1"/>
  <c r="AI573" i="1"/>
  <c r="AI576" i="1"/>
  <c r="AI597" i="1"/>
  <c r="AI602" i="1"/>
  <c r="AI608" i="1"/>
  <c r="AI612" i="1"/>
  <c r="AI623" i="1"/>
  <c r="AI534" i="1"/>
  <c r="AI544" i="1"/>
  <c r="AI556" i="1"/>
  <c r="AI558" i="1"/>
  <c r="AI630" i="1"/>
  <c r="AI584" i="1"/>
  <c r="AI598" i="1"/>
  <c r="AI604" i="1"/>
  <c r="AI538" i="1"/>
  <c r="AI564" i="1"/>
  <c r="AI574" i="1"/>
  <c r="AI586" i="1"/>
  <c r="AI589" i="1"/>
  <c r="AI606" i="1"/>
  <c r="AI607" i="1"/>
  <c r="AI619" i="1"/>
  <c r="AI626" i="1"/>
  <c r="AI541" i="1"/>
  <c r="AI537" i="1"/>
  <c r="AI560" i="1"/>
  <c r="AI569" i="1"/>
  <c r="AI616" i="1"/>
  <c r="AI622" i="1"/>
  <c r="AI565" i="1"/>
  <c r="AI628" i="1"/>
  <c r="AI596" i="1"/>
  <c r="AI600" i="1"/>
  <c r="AI553" i="1"/>
  <c r="AI588" i="1"/>
  <c r="AI523" i="1"/>
  <c r="AF619" i="1"/>
  <c r="AG624" i="1"/>
  <c r="AF523" i="1"/>
  <c r="AG568" i="1"/>
  <c r="AJ628" i="1"/>
  <c r="AJ585" i="1"/>
  <c r="AG618" i="1"/>
  <c r="AG617" i="1"/>
  <c r="AJ608" i="1"/>
  <c r="AG604" i="1"/>
  <c r="AJ613" i="1"/>
  <c r="AJ534" i="1"/>
  <c r="AG540" i="1"/>
  <c r="AJ569" i="1"/>
  <c r="AF628" i="1"/>
  <c r="AF581" i="1"/>
  <c r="AG634" i="1"/>
  <c r="AJ604" i="1"/>
  <c r="AJ634" i="1"/>
  <c r="AJ629" i="1"/>
  <c r="AR634" i="1"/>
  <c r="AF630" i="1"/>
  <c r="AJ578" i="1"/>
  <c r="AJ592" i="1"/>
  <c r="AJ606" i="1"/>
  <c r="AG546" i="1"/>
  <c r="AJ622" i="1"/>
  <c r="AJ551" i="1"/>
  <c r="AJ555" i="1"/>
  <c r="AJ576" i="1"/>
  <c r="AJ541" i="1"/>
  <c r="AF560" i="1"/>
  <c r="AF568" i="1"/>
  <c r="AR628" i="1"/>
  <c r="AJ632" i="1"/>
  <c r="AF574" i="1"/>
  <c r="AG589" i="1"/>
  <c r="AJ564" i="1"/>
  <c r="AJ575" i="1"/>
  <c r="AJ547" i="1"/>
  <c r="AJ570" i="1"/>
  <c r="AJ572" i="1"/>
  <c r="AF634" i="1"/>
  <c r="AR629" i="1"/>
  <c r="AG629" i="1"/>
  <c r="AJ630" i="1"/>
  <c r="AG632" i="1"/>
  <c r="AF632" i="1"/>
  <c r="AR632" i="1"/>
  <c r="AR630" i="1"/>
  <c r="AF629" i="1"/>
  <c r="AG630" i="1"/>
  <c r="AG628" i="1"/>
  <c r="AF609" i="1"/>
  <c r="AF608" i="1"/>
  <c r="AJ607" i="1"/>
  <c r="AJ548" i="1"/>
  <c r="AF547" i="1"/>
  <c r="AG560" i="1"/>
  <c r="AJ559" i="1"/>
  <c r="AJ593" i="1"/>
  <c r="AF576" i="1"/>
  <c r="AJ605" i="1"/>
  <c r="AF606" i="1"/>
  <c r="AG613" i="1"/>
  <c r="AJ542" i="1"/>
  <c r="AJ560" i="1"/>
  <c r="AJ558" i="1"/>
  <c r="AJ626" i="1"/>
  <c r="AJ553" i="1"/>
  <c r="AJ586" i="1"/>
  <c r="AF593" i="1"/>
  <c r="AF616" i="1"/>
  <c r="AJ615" i="1"/>
  <c r="AJ617" i="1"/>
  <c r="AJ624" i="1"/>
  <c r="AG626" i="1"/>
  <c r="AJ571" i="1"/>
  <c r="AF573" i="1"/>
  <c r="AF537" i="1"/>
  <c r="AJ536" i="1"/>
  <c r="AF556" i="1"/>
  <c r="AG583" i="1"/>
  <c r="AG573" i="1"/>
  <c r="AF546" i="1"/>
  <c r="AF540" i="1"/>
  <c r="AR590" i="1"/>
  <c r="AR599" i="1"/>
  <c r="AR535" i="1"/>
  <c r="AR565" i="1"/>
  <c r="AR571" i="1"/>
  <c r="AR547" i="1"/>
  <c r="AR541" i="1"/>
  <c r="AR548" i="1"/>
  <c r="AR559" i="1"/>
  <c r="AR564" i="1"/>
  <c r="AJ583" i="1"/>
  <c r="AF584" i="1"/>
  <c r="AJ588" i="1"/>
  <c r="AJ591" i="1"/>
  <c r="AF618" i="1"/>
  <c r="AG620" i="1"/>
  <c r="AF624" i="1"/>
  <c r="AJ523" i="1"/>
  <c r="AJ535" i="1"/>
  <c r="AG554" i="1"/>
  <c r="AJ561" i="1"/>
  <c r="AJ590" i="1"/>
  <c r="AJ589" i="1"/>
  <c r="AF605" i="1"/>
  <c r="AJ599" i="1"/>
  <c r="AJ619" i="1"/>
  <c r="AF620" i="1"/>
  <c r="AJ621" i="1"/>
  <c r="AJ631" i="1"/>
  <c r="AJ549" i="1"/>
  <c r="AG556" i="1"/>
  <c r="AJ565" i="1"/>
  <c r="AG566" i="1"/>
  <c r="AF589" i="1"/>
  <c r="AJ573" i="1"/>
  <c r="AF622" i="1"/>
  <c r="AJ544" i="1"/>
  <c r="AJ538" i="1"/>
  <c r="AF566" i="1"/>
  <c r="AJ562" i="1"/>
  <c r="AF554" i="1"/>
  <c r="AJ577" i="1"/>
  <c r="AJ618" i="1"/>
  <c r="AR555" i="1"/>
  <c r="AJ537" i="1"/>
  <c r="AJ550" i="1"/>
  <c r="AF575" i="1"/>
  <c r="AF585" i="1"/>
  <c r="AJ587" i="1"/>
  <c r="AF604" i="1"/>
  <c r="AG606" i="1"/>
  <c r="AF610" i="1"/>
  <c r="AJ567" i="1"/>
  <c r="AR595" i="1"/>
  <c r="AR616" i="1"/>
  <c r="AR609" i="1"/>
  <c r="AR554" i="1"/>
  <c r="AR596" i="1"/>
  <c r="AR614" i="1"/>
  <c r="AR593" i="1"/>
  <c r="AR602" i="1"/>
  <c r="AR611" i="1"/>
  <c r="AR566" i="1"/>
  <c r="AR573" i="1"/>
  <c r="AG569" i="1"/>
  <c r="AG580" i="1"/>
  <c r="AJ581" i="1"/>
  <c r="AF583" i="1"/>
  <c r="AR577" i="1"/>
  <c r="AR585" i="1"/>
  <c r="AF595" i="1"/>
  <c r="AF596" i="1"/>
  <c r="AR623" i="1"/>
  <c r="AR534" i="1"/>
  <c r="AG559" i="1"/>
  <c r="AF559" i="1"/>
  <c r="AR568" i="1"/>
  <c r="AG549" i="1"/>
  <c r="AF549" i="1"/>
  <c r="AR560" i="1"/>
  <c r="AG553" i="1"/>
  <c r="AR618" i="1"/>
  <c r="AG579" i="1"/>
  <c r="AJ594" i="1"/>
  <c r="AG591" i="1"/>
  <c r="AG598" i="1"/>
  <c r="AJ602" i="1"/>
  <c r="AR612" i="1"/>
  <c r="AF626" i="1"/>
  <c r="AG541" i="1"/>
  <c r="AF541" i="1"/>
  <c r="AG550" i="1"/>
  <c r="AF550" i="1"/>
  <c r="AF569" i="1"/>
  <c r="AG571" i="1"/>
  <c r="AF571" i="1"/>
  <c r="AJ554" i="1"/>
  <c r="AJ566" i="1"/>
  <c r="AR536" i="1"/>
  <c r="AF591" i="1"/>
  <c r="AR581" i="1"/>
  <c r="AR626" i="1"/>
  <c r="AF539" i="1"/>
  <c r="AF598" i="1"/>
  <c r="AJ597" i="1"/>
  <c r="AR615" i="1"/>
  <c r="AF607" i="1"/>
  <c r="AJ611" i="1"/>
  <c r="AR551" i="1"/>
  <c r="AG542" i="1"/>
  <c r="AJ557" i="1"/>
  <c r="AR539" i="1"/>
  <c r="AG572" i="1"/>
  <c r="AR579" i="1"/>
  <c r="AF600" i="1"/>
  <c r="AG600" i="1"/>
  <c r="AJ582" i="1"/>
  <c r="AF580" i="1"/>
  <c r="AJ595" i="1"/>
  <c r="AG599" i="1"/>
  <c r="AF599" i="1"/>
  <c r="AG608" i="1"/>
  <c r="AR607" i="1"/>
  <c r="AJ620" i="1"/>
  <c r="AF623" i="1"/>
  <c r="AG523" i="1"/>
  <c r="AJ539" i="1"/>
  <c r="AR537" i="1"/>
  <c r="AG558" i="1"/>
  <c r="AG538" i="1"/>
  <c r="AR594" i="1"/>
  <c r="AR598" i="1"/>
  <c r="AR621" i="1"/>
  <c r="AG544" i="1"/>
  <c r="AF544" i="1"/>
  <c r="AG548" i="1"/>
  <c r="AF548" i="1"/>
  <c r="AG567" i="1"/>
  <c r="AF567" i="1"/>
  <c r="AG562" i="1"/>
  <c r="AF562" i="1"/>
  <c r="AJ612" i="1"/>
  <c r="AG537" i="1"/>
  <c r="AJ610" i="1"/>
  <c r="AJ609" i="1"/>
  <c r="AJ616" i="1"/>
  <c r="AJ614" i="1"/>
  <c r="AJ545" i="1"/>
  <c r="AJ546" i="1"/>
  <c r="AJ543" i="1"/>
  <c r="AJ540" i="1"/>
  <c r="AJ552" i="1"/>
  <c r="AG547" i="1"/>
  <c r="AJ556" i="1"/>
  <c r="AJ563" i="1"/>
  <c r="AG561" i="1"/>
  <c r="AJ568" i="1"/>
  <c r="AJ584" i="1"/>
  <c r="AJ579" i="1"/>
  <c r="AJ598" i="1"/>
  <c r="AJ580" i="1"/>
  <c r="AJ596" i="1"/>
  <c r="AJ600" i="1"/>
  <c r="AF602" i="1"/>
  <c r="AG616" i="1"/>
  <c r="AF613" i="1"/>
  <c r="AF611" i="1"/>
  <c r="AF617" i="1"/>
  <c r="AJ623" i="1"/>
  <c r="AG545" i="1"/>
  <c r="AG543" i="1"/>
  <c r="AG552" i="1"/>
  <c r="AG563" i="1"/>
  <c r="AG575" i="1"/>
  <c r="AR538" i="1"/>
  <c r="AR542" i="1"/>
  <c r="AR561" i="1"/>
  <c r="AR553" i="1"/>
  <c r="AR563" i="1"/>
  <c r="AR552" i="1"/>
  <c r="AR558" i="1"/>
  <c r="AR543" i="1"/>
  <c r="AR572" i="1"/>
  <c r="AR545" i="1"/>
  <c r="AF534" i="1"/>
  <c r="AF535" i="1"/>
  <c r="AF551" i="1"/>
  <c r="AF555" i="1"/>
  <c r="AF536" i="1"/>
  <c r="AF565" i="1"/>
  <c r="AF564" i="1"/>
  <c r="AF557" i="1"/>
  <c r="AF570" i="1"/>
  <c r="AG534" i="1"/>
  <c r="AG535" i="1"/>
  <c r="AG551" i="1"/>
  <c r="AG555" i="1"/>
  <c r="AG536" i="1"/>
  <c r="AG565" i="1"/>
  <c r="AG564" i="1"/>
  <c r="AG557" i="1"/>
  <c r="AG570" i="1"/>
  <c r="AR549" i="1"/>
  <c r="AR546" i="1"/>
  <c r="AR544" i="1"/>
  <c r="AR540" i="1"/>
  <c r="AR550" i="1"/>
  <c r="AR556" i="1"/>
  <c r="AR567" i="1"/>
  <c r="AR562" i="1"/>
  <c r="AR569" i="1"/>
  <c r="AF545" i="1"/>
  <c r="AF553" i="1"/>
  <c r="AF543" i="1"/>
  <c r="AF542" i="1"/>
  <c r="AF552" i="1"/>
  <c r="AF538" i="1"/>
  <c r="AF563" i="1"/>
  <c r="AF561" i="1"/>
  <c r="AF558" i="1"/>
  <c r="AF572" i="1"/>
  <c r="AG539" i="1"/>
  <c r="AR523" i="1"/>
  <c r="AR574" i="1"/>
  <c r="AR576" i="1"/>
  <c r="AR591" i="1"/>
  <c r="AG612" i="1"/>
  <c r="AF612" i="1"/>
  <c r="AR624" i="1"/>
  <c r="AG577" i="1"/>
  <c r="AR583" i="1"/>
  <c r="AF577" i="1"/>
  <c r="AG603" i="1"/>
  <c r="AF603" i="1"/>
  <c r="AJ574" i="1"/>
  <c r="AG587" i="1"/>
  <c r="AR580" i="1"/>
  <c r="AR603" i="1"/>
  <c r="AF578" i="1"/>
  <c r="AG590" i="1"/>
  <c r="AF590" i="1"/>
  <c r="AR601" i="1"/>
  <c r="AG582" i="1"/>
  <c r="AF582" i="1"/>
  <c r="AR600" i="1"/>
  <c r="AR584" i="1"/>
  <c r="AF587" i="1"/>
  <c r="AG597" i="1"/>
  <c r="AF597" i="1"/>
  <c r="AG581" i="1"/>
  <c r="AG615" i="1"/>
  <c r="AF615" i="1"/>
  <c r="AG578" i="1"/>
  <c r="AG586" i="1"/>
  <c r="AR610" i="1"/>
  <c r="AR613" i="1"/>
  <c r="AG621" i="1"/>
  <c r="AF621" i="1"/>
  <c r="AG574" i="1"/>
  <c r="AG576" i="1"/>
  <c r="AF586" i="1"/>
  <c r="AG592" i="1"/>
  <c r="AF592" i="1"/>
  <c r="AJ601" i="1"/>
  <c r="AG614" i="1"/>
  <c r="AF614" i="1"/>
  <c r="AR619" i="1"/>
  <c r="AR589" i="1"/>
  <c r="AG588" i="1"/>
  <c r="AG594" i="1"/>
  <c r="AF594" i="1"/>
  <c r="AF579" i="1"/>
  <c r="AR604" i="1"/>
  <c r="AG601" i="1"/>
  <c r="AF601" i="1"/>
  <c r="AR608" i="1"/>
  <c r="AG584" i="1"/>
  <c r="AG585" i="1"/>
  <c r="AG593" i="1"/>
  <c r="AF588" i="1"/>
  <c r="AJ603" i="1"/>
  <c r="AG631" i="1"/>
  <c r="AF631" i="1"/>
  <c r="AG610" i="1"/>
  <c r="AG619" i="1"/>
  <c r="AG595" i="1"/>
  <c r="AG596" i="1"/>
  <c r="AG605" i="1"/>
  <c r="AG602" i="1"/>
  <c r="AG609" i="1"/>
  <c r="AG607" i="1"/>
  <c r="AG611" i="1"/>
  <c r="AG622" i="1"/>
  <c r="AG623" i="1"/>
  <c r="AR570" i="1" l="1"/>
  <c r="AR588" i="1"/>
  <c r="AR557" i="1"/>
  <c r="AR631" i="1"/>
  <c r="AR582" i="1"/>
  <c r="V632" i="1" l="1"/>
  <c r="V631" i="1" l="1"/>
  <c r="U120" i="1" l="1"/>
  <c r="X3" i="7" l="1"/>
  <c r="AJ1" i="7" l="1"/>
  <c r="S1" i="7"/>
  <c r="K1" i="7"/>
  <c r="V619" i="1"/>
  <c r="V622" i="1"/>
  <c r="V620" i="1"/>
  <c r="V621" i="1"/>
  <c r="V624" i="1"/>
  <c r="V623" i="1"/>
  <c r="V626" i="1"/>
  <c r="CP619" i="1"/>
  <c r="CS619" i="1"/>
  <c r="CP622" i="1"/>
  <c r="CS622" i="1"/>
  <c r="CP620" i="1"/>
  <c r="CS620" i="1"/>
  <c r="CP621" i="1"/>
  <c r="CS621" i="1"/>
  <c r="CP624" i="1"/>
  <c r="CS624" i="1"/>
  <c r="CP623" i="1"/>
  <c r="CS623" i="1"/>
  <c r="CP626" i="1"/>
  <c r="CS626" i="1"/>
  <c r="O1" i="7" l="1"/>
  <c r="U41" i="1"/>
  <c r="P69" i="5"/>
  <c r="P76" i="5"/>
  <c r="Q76" i="5" s="1"/>
  <c r="F77" i="5"/>
  <c r="G77" i="5" s="1"/>
  <c r="P77" i="5"/>
  <c r="Q77" i="5" s="1"/>
  <c r="F78" i="5"/>
  <c r="G78" i="5" s="1"/>
  <c r="P78" i="5"/>
  <c r="Q78" i="5" s="1"/>
  <c r="F79" i="5"/>
  <c r="G79" i="5" s="1"/>
  <c r="P79" i="5"/>
  <c r="Q79" i="5" s="1"/>
  <c r="AJ2" i="7" s="1"/>
  <c r="F80" i="5"/>
  <c r="G80" i="5" s="1"/>
  <c r="P80" i="5"/>
  <c r="Q80" i="5" s="1"/>
  <c r="B81" i="5"/>
  <c r="C81" i="5"/>
  <c r="D81" i="5"/>
  <c r="E81" i="5"/>
  <c r="AS1" i="7"/>
  <c r="AJ3" i="7" l="1"/>
  <c r="AO1" i="7"/>
  <c r="P81" i="5"/>
  <c r="Q81" i="5" s="1"/>
  <c r="AS2" i="7"/>
  <c r="AX1" i="7" s="1"/>
  <c r="F81" i="5"/>
  <c r="G81" i="5" s="1"/>
  <c r="V610" i="1"/>
  <c r="V609" i="1"/>
  <c r="V616" i="1"/>
  <c r="V615" i="1"/>
  <c r="V608" i="1"/>
  <c r="V607" i="1"/>
  <c r="V618" i="1"/>
  <c r="V614" i="1"/>
  <c r="V613" i="1"/>
  <c r="V611" i="1"/>
  <c r="V617" i="1"/>
  <c r="V612" i="1"/>
  <c r="CS612" i="1"/>
  <c r="CP612" i="1"/>
  <c r="CS617" i="1"/>
  <c r="CP617" i="1"/>
  <c r="CS611" i="1"/>
  <c r="CP611" i="1"/>
  <c r="CS613" i="1"/>
  <c r="CP613" i="1"/>
  <c r="CS614" i="1"/>
  <c r="CP614" i="1"/>
  <c r="CS618" i="1"/>
  <c r="CP618" i="1"/>
  <c r="CS607" i="1"/>
  <c r="CP607" i="1"/>
  <c r="CS608" i="1"/>
  <c r="CP608" i="1"/>
  <c r="CS615" i="1"/>
  <c r="CP615" i="1"/>
  <c r="CS616" i="1"/>
  <c r="CP616" i="1"/>
  <c r="CS609" i="1"/>
  <c r="CP609" i="1"/>
  <c r="CS610" i="1"/>
  <c r="CP610" i="1"/>
  <c r="F31" i="5" l="1"/>
  <c r="F35" i="5" s="1"/>
  <c r="H81" i="5"/>
  <c r="H82" i="5" s="1"/>
  <c r="V602" i="1"/>
  <c r="CP596" i="1" l="1"/>
  <c r="CS596" i="1"/>
  <c r="CP598" i="1"/>
  <c r="CS598" i="1"/>
  <c r="CP597" i="1"/>
  <c r="CS597" i="1"/>
  <c r="CP600" i="1"/>
  <c r="CS600" i="1"/>
  <c r="CP605" i="1"/>
  <c r="CS605" i="1"/>
  <c r="CP599" i="1"/>
  <c r="CS599" i="1"/>
  <c r="CP603" i="1"/>
  <c r="CS603" i="1"/>
  <c r="CP604" i="1"/>
  <c r="CS604" i="1"/>
  <c r="CP602" i="1"/>
  <c r="CS602" i="1"/>
  <c r="CP606" i="1"/>
  <c r="CS606" i="1"/>
  <c r="CP601" i="1"/>
  <c r="CS601" i="1"/>
  <c r="V596" i="1"/>
  <c r="U7" i="7" s="1"/>
  <c r="V7" i="7" s="1"/>
  <c r="V598" i="1"/>
  <c r="U13" i="7" s="1"/>
  <c r="V13" i="7" s="1"/>
  <c r="V597" i="1"/>
  <c r="V600" i="1"/>
  <c r="V605" i="1"/>
  <c r="V599" i="1"/>
  <c r="V603" i="1"/>
  <c r="V604" i="1"/>
  <c r="V606" i="1"/>
  <c r="AL31" i="7" s="1"/>
  <c r="AM31" i="7" s="1"/>
  <c r="V601" i="1"/>
  <c r="Y13" i="4"/>
  <c r="V593" i="1" l="1"/>
  <c r="V590" i="1"/>
  <c r="V592" i="1"/>
  <c r="V589" i="1"/>
  <c r="AL14" i="7" s="1"/>
  <c r="AM14" i="7" s="1"/>
  <c r="V595" i="1"/>
  <c r="V588" i="1"/>
  <c r="V594" i="1"/>
  <c r="V591" i="1"/>
  <c r="CS591" i="1" l="1"/>
  <c r="CP591" i="1"/>
  <c r="CS594" i="1"/>
  <c r="CP594" i="1"/>
  <c r="CS588" i="1"/>
  <c r="CP588" i="1"/>
  <c r="CS595" i="1"/>
  <c r="CP595" i="1"/>
  <c r="CS589" i="1"/>
  <c r="CP589" i="1"/>
  <c r="CS592" i="1"/>
  <c r="CP592" i="1"/>
  <c r="CS590" i="1"/>
  <c r="CP590" i="1"/>
  <c r="CS593" i="1"/>
  <c r="CP593" i="1"/>
  <c r="DC4" i="1" l="1"/>
  <c r="DC5" i="1"/>
  <c r="DC6" i="1"/>
  <c r="DC7" i="1"/>
  <c r="DC8" i="1"/>
  <c r="DC9" i="1"/>
  <c r="DC10" i="1"/>
  <c r="DC11" i="1"/>
  <c r="DC12" i="1"/>
  <c r="DC13" i="1"/>
  <c r="DC14" i="1"/>
  <c r="DC15" i="1"/>
  <c r="DC16" i="1"/>
  <c r="DC17" i="1"/>
  <c r="DC18" i="1"/>
  <c r="DC19" i="1"/>
  <c r="DC20" i="1"/>
  <c r="DC21" i="1"/>
  <c r="DC22" i="1"/>
  <c r="DC23" i="1"/>
  <c r="DC24" i="1"/>
  <c r="DC25" i="1"/>
  <c r="DC26" i="1"/>
  <c r="DC27" i="1"/>
  <c r="DC28" i="1"/>
  <c r="DC29" i="1"/>
  <c r="DC30" i="1"/>
  <c r="DC31" i="1"/>
  <c r="DC32" i="1"/>
  <c r="DC33" i="1"/>
  <c r="DC34" i="1"/>
  <c r="DC35" i="1"/>
  <c r="DC36" i="1"/>
  <c r="DC37" i="1"/>
  <c r="DC38" i="1"/>
  <c r="DC39" i="1"/>
  <c r="DC40" i="1"/>
  <c r="DC41" i="1"/>
  <c r="DC42" i="1"/>
  <c r="DC43" i="1"/>
  <c r="DC44" i="1"/>
  <c r="DC45" i="1"/>
  <c r="DC46" i="1"/>
  <c r="DC47" i="1"/>
  <c r="DC48" i="1"/>
  <c r="DC49" i="1"/>
  <c r="DC50" i="1"/>
  <c r="DC51" i="1"/>
  <c r="DC52" i="1"/>
  <c r="DC53" i="1"/>
  <c r="DC54" i="1"/>
  <c r="DC55" i="1"/>
  <c r="DC56" i="1"/>
  <c r="DC57" i="1"/>
  <c r="DC58" i="1"/>
  <c r="DC59" i="1"/>
  <c r="DC60" i="1"/>
  <c r="DC61" i="1"/>
  <c r="DC62" i="1"/>
  <c r="DC63" i="1"/>
  <c r="DC64" i="1"/>
  <c r="DC65" i="1"/>
  <c r="DC66" i="1"/>
  <c r="DC67" i="1"/>
  <c r="DC68" i="1"/>
  <c r="DC69" i="1"/>
  <c r="DC70" i="1"/>
  <c r="DC71" i="1"/>
  <c r="DC72" i="1"/>
  <c r="DC73" i="1"/>
  <c r="DC74" i="1"/>
  <c r="DC75" i="1"/>
  <c r="DC76" i="1"/>
  <c r="DC77" i="1"/>
  <c r="DC78" i="1"/>
  <c r="DC79" i="1"/>
  <c r="DC80" i="1"/>
  <c r="DC81" i="1"/>
  <c r="DC82" i="1"/>
  <c r="DC83" i="1"/>
  <c r="DC84" i="1"/>
  <c r="DC85" i="1"/>
  <c r="DC86" i="1"/>
  <c r="DC87" i="1"/>
  <c r="DC88" i="1"/>
  <c r="DC89" i="1"/>
  <c r="DC90" i="1"/>
  <c r="DC91" i="1"/>
  <c r="DC92" i="1"/>
  <c r="DC93" i="1"/>
  <c r="DC94" i="1"/>
  <c r="DC95" i="1"/>
  <c r="DC96" i="1"/>
  <c r="DC97" i="1"/>
  <c r="DC98" i="1"/>
  <c r="DC99" i="1"/>
  <c r="DC100" i="1"/>
  <c r="DC101" i="1"/>
  <c r="DC102" i="1"/>
  <c r="DC103" i="1"/>
  <c r="DC104" i="1"/>
  <c r="DC105" i="1"/>
  <c r="DC106" i="1"/>
  <c r="DC107" i="1"/>
  <c r="DC108" i="1"/>
  <c r="DC109" i="1"/>
  <c r="DC110" i="1"/>
  <c r="DC111" i="1"/>
  <c r="DC112" i="1"/>
  <c r="DC113" i="1"/>
  <c r="DC114" i="1"/>
  <c r="DC115" i="1"/>
  <c r="DC116" i="1"/>
  <c r="DC117" i="1"/>
  <c r="DC118" i="1"/>
  <c r="DC119" i="1"/>
  <c r="DC120" i="1"/>
  <c r="DC121" i="1"/>
  <c r="DC122" i="1"/>
  <c r="DC123" i="1"/>
  <c r="DC124" i="1"/>
  <c r="DC125" i="1"/>
  <c r="DC126" i="1"/>
  <c r="DC127" i="1"/>
  <c r="DC128" i="1"/>
  <c r="DC129" i="1"/>
  <c r="DC130" i="1"/>
  <c r="DC131" i="1"/>
  <c r="DC132" i="1"/>
  <c r="DC133" i="1"/>
  <c r="DC134" i="1"/>
  <c r="DC135" i="1"/>
  <c r="DC136" i="1"/>
  <c r="DC137" i="1"/>
  <c r="DC138" i="1"/>
  <c r="DC139" i="1"/>
  <c r="DC140" i="1"/>
  <c r="DC141" i="1"/>
  <c r="DC142" i="1"/>
  <c r="DC143" i="1"/>
  <c r="DC144" i="1"/>
  <c r="DC145" i="1"/>
  <c r="DC146" i="1"/>
  <c r="DC147" i="1"/>
  <c r="DC148" i="1"/>
  <c r="DC149" i="1"/>
  <c r="DC150" i="1"/>
  <c r="DC151" i="1"/>
  <c r="DC152" i="1"/>
  <c r="DC153" i="1"/>
  <c r="DC154" i="1"/>
  <c r="DC155" i="1"/>
  <c r="DC156" i="1"/>
  <c r="DC157" i="1"/>
  <c r="DC158" i="1"/>
  <c r="DC159" i="1"/>
  <c r="DC160" i="1"/>
  <c r="DC161" i="1"/>
  <c r="DC162" i="1"/>
  <c r="DC163" i="1"/>
  <c r="DC164" i="1"/>
  <c r="DC165" i="1"/>
  <c r="DC166" i="1"/>
  <c r="DC167" i="1"/>
  <c r="DC168" i="1"/>
  <c r="DC169" i="1"/>
  <c r="DC170" i="1"/>
  <c r="DC171" i="1"/>
  <c r="DC172" i="1"/>
  <c r="DC173" i="1"/>
  <c r="DC174" i="1"/>
  <c r="DC175" i="1"/>
  <c r="DC176" i="1"/>
  <c r="DC177" i="1"/>
  <c r="DC178" i="1"/>
  <c r="DC179" i="1"/>
  <c r="DC180" i="1"/>
  <c r="DC181" i="1"/>
  <c r="DC182" i="1"/>
  <c r="DC183" i="1"/>
  <c r="DC184" i="1"/>
  <c r="DC185" i="1"/>
  <c r="DC186" i="1"/>
  <c r="DC187" i="1"/>
  <c r="DC188" i="1"/>
  <c r="DC190" i="1"/>
  <c r="DC191" i="1"/>
  <c r="DC192" i="1"/>
  <c r="DC193" i="1"/>
  <c r="DC194" i="1"/>
  <c r="DC195" i="1"/>
  <c r="DC196" i="1"/>
  <c r="DC197" i="1"/>
  <c r="DC198" i="1"/>
  <c r="DC199" i="1"/>
  <c r="DC200" i="1"/>
  <c r="DC201" i="1"/>
  <c r="DC202" i="1"/>
  <c r="DC203" i="1"/>
  <c r="DC204" i="1"/>
  <c r="DC205" i="1"/>
  <c r="DC206" i="1"/>
  <c r="DC207" i="1"/>
  <c r="DC208" i="1"/>
  <c r="DC209" i="1"/>
  <c r="DC210" i="1"/>
  <c r="DC211" i="1"/>
  <c r="DC212" i="1"/>
  <c r="DC213" i="1"/>
  <c r="DC214" i="1"/>
  <c r="DC215" i="1"/>
  <c r="DC216" i="1"/>
  <c r="DC217" i="1"/>
  <c r="DC218" i="1"/>
  <c r="DC219" i="1"/>
  <c r="DC220" i="1"/>
  <c r="DC221" i="1"/>
  <c r="DC222" i="1"/>
  <c r="DC223" i="1"/>
  <c r="DC224" i="1"/>
  <c r="DC225" i="1"/>
  <c r="DC226" i="1"/>
  <c r="DC227" i="1"/>
  <c r="DC228" i="1"/>
  <c r="DC229" i="1"/>
  <c r="DC230" i="1"/>
  <c r="DC231" i="1"/>
  <c r="DC232" i="1"/>
  <c r="DC233" i="1"/>
  <c r="DC234" i="1"/>
  <c r="DC235" i="1"/>
  <c r="DC236" i="1"/>
  <c r="DC237" i="1"/>
  <c r="DC238" i="1"/>
  <c r="DC239" i="1"/>
  <c r="DC240" i="1"/>
  <c r="DC241" i="1"/>
  <c r="DC242" i="1"/>
  <c r="DC243" i="1"/>
  <c r="DC244" i="1"/>
  <c r="DC245" i="1"/>
  <c r="DC246" i="1"/>
  <c r="DC247" i="1"/>
  <c r="DC248" i="1"/>
  <c r="DC249" i="1"/>
  <c r="DC250" i="1"/>
  <c r="DC251" i="1"/>
  <c r="DC252" i="1"/>
  <c r="DC253" i="1"/>
  <c r="DC254" i="1"/>
  <c r="DC255" i="1"/>
  <c r="DC256" i="1"/>
  <c r="DC257" i="1"/>
  <c r="DC258" i="1"/>
  <c r="DC259" i="1"/>
  <c r="DC260" i="1"/>
  <c r="DC261" i="1"/>
  <c r="DC262" i="1"/>
  <c r="DC263" i="1"/>
  <c r="DC264" i="1"/>
  <c r="DC265" i="1"/>
  <c r="DC266" i="1"/>
  <c r="V32" i="1"/>
  <c r="E61" i="4" s="1"/>
  <c r="CP581" i="1"/>
  <c r="CS581" i="1"/>
  <c r="CP582" i="1"/>
  <c r="CS582" i="1"/>
  <c r="CP583" i="1"/>
  <c r="CS583" i="1"/>
  <c r="CP577" i="1"/>
  <c r="CS577" i="1"/>
  <c r="CP584" i="1"/>
  <c r="CS584" i="1"/>
  <c r="CP573" i="1"/>
  <c r="CS573" i="1"/>
  <c r="CP574" i="1"/>
  <c r="CS574" i="1"/>
  <c r="CP585" i="1"/>
  <c r="CS585" i="1"/>
  <c r="CP587" i="1"/>
  <c r="CS587" i="1"/>
  <c r="CP578" i="1"/>
  <c r="CS578" i="1"/>
  <c r="CP576" i="1"/>
  <c r="CS576" i="1"/>
  <c r="CP586" i="1"/>
  <c r="CS586" i="1"/>
  <c r="CP580" i="1"/>
  <c r="CS580" i="1"/>
  <c r="CP579" i="1"/>
  <c r="CS579" i="1"/>
  <c r="V581" i="1"/>
  <c r="AU11" i="7" s="1"/>
  <c r="AV11" i="7" s="1"/>
  <c r="V582" i="1"/>
  <c r="AU12" i="7" s="1"/>
  <c r="AV12" i="7" s="1"/>
  <c r="V583" i="1"/>
  <c r="AU13" i="7" s="1"/>
  <c r="AV13" i="7" s="1"/>
  <c r="V577" i="1"/>
  <c r="V584" i="1"/>
  <c r="V573" i="1"/>
  <c r="AL30" i="7" s="1"/>
  <c r="AM30" i="7" s="1"/>
  <c r="V574" i="1"/>
  <c r="V585" i="1"/>
  <c r="U8" i="7" s="1"/>
  <c r="V8" i="7" s="1"/>
  <c r="V587" i="1"/>
  <c r="U9" i="7" s="1"/>
  <c r="V9" i="7" s="1"/>
  <c r="V578" i="1"/>
  <c r="V576" i="1"/>
  <c r="V586" i="1"/>
  <c r="V580" i="1"/>
  <c r="V579" i="1"/>
  <c r="CS575" i="1"/>
  <c r="CP575" i="1"/>
  <c r="V575" i="1"/>
  <c r="CP569" i="1" l="1"/>
  <c r="CS569" i="1"/>
  <c r="CP570" i="1"/>
  <c r="CS570" i="1"/>
  <c r="CP571" i="1"/>
  <c r="CS571" i="1"/>
  <c r="CP572" i="1"/>
  <c r="CS572" i="1"/>
  <c r="CP568" i="1"/>
  <c r="CS568" i="1"/>
  <c r="V569" i="1"/>
  <c r="V570" i="1"/>
  <c r="V571" i="1"/>
  <c r="AL29" i="7" s="1"/>
  <c r="AM29" i="7" s="1"/>
  <c r="V572" i="1"/>
  <c r="V568" i="1"/>
  <c r="CL15" i="1" l="1"/>
  <c r="CL25" i="1"/>
  <c r="CL68" i="1"/>
  <c r="C15" i="4"/>
  <c r="D15" i="4"/>
  <c r="B15" i="4"/>
  <c r="CK20" i="2"/>
  <c r="CK21" i="2"/>
  <c r="CP556" i="1" l="1"/>
  <c r="CS556" i="1"/>
  <c r="DA556" i="1"/>
  <c r="CP565" i="1"/>
  <c r="CS565" i="1"/>
  <c r="DA565" i="1"/>
  <c r="CP566" i="1"/>
  <c r="CS566" i="1"/>
  <c r="DA566" i="1"/>
  <c r="CP563" i="1"/>
  <c r="CS563" i="1"/>
  <c r="DA563" i="1"/>
  <c r="CP567" i="1"/>
  <c r="CS567" i="1"/>
  <c r="DA567" i="1"/>
  <c r="CP564" i="1"/>
  <c r="CS564" i="1"/>
  <c r="DA564" i="1"/>
  <c r="CP560" i="1"/>
  <c r="CS560" i="1"/>
  <c r="DA560" i="1"/>
  <c r="CP561" i="1"/>
  <c r="CS561" i="1"/>
  <c r="DA561" i="1"/>
  <c r="CP562" i="1"/>
  <c r="CS562" i="1"/>
  <c r="DA562" i="1"/>
  <c r="CP557" i="1"/>
  <c r="CS557" i="1"/>
  <c r="DA557" i="1"/>
  <c r="CP559" i="1"/>
  <c r="CS559" i="1"/>
  <c r="DA559" i="1"/>
  <c r="CP558" i="1"/>
  <c r="CS558" i="1"/>
  <c r="DA558" i="1"/>
  <c r="V556" i="1"/>
  <c r="V565" i="1"/>
  <c r="V566" i="1"/>
  <c r="V563" i="1"/>
  <c r="V567" i="1"/>
  <c r="AL28" i="7" s="1"/>
  <c r="AM28" i="7" s="1"/>
  <c r="V564" i="1"/>
  <c r="AL13" i="7" s="1"/>
  <c r="AM13" i="7" s="1"/>
  <c r="V560" i="1"/>
  <c r="V561" i="1"/>
  <c r="V562" i="1"/>
  <c r="V557" i="1"/>
  <c r="V559" i="1"/>
  <c r="V558" i="1"/>
  <c r="DA298" i="1"/>
  <c r="DA301" i="1"/>
  <c r="DA300" i="1"/>
  <c r="DA304" i="1"/>
  <c r="DA305" i="1"/>
  <c r="DA302" i="1"/>
  <c r="DA303" i="1"/>
  <c r="DA309" i="1"/>
  <c r="DA313" i="1"/>
  <c r="DA307" i="1"/>
  <c r="DA310" i="1"/>
  <c r="DA315" i="1"/>
  <c r="DA316" i="1"/>
  <c r="DA308" i="1"/>
  <c r="DA314" i="1"/>
  <c r="DA311" i="1"/>
  <c r="DA306" i="1"/>
  <c r="DA312" i="1"/>
  <c r="DA319" i="1"/>
  <c r="DA323" i="1"/>
  <c r="DA321" i="1"/>
  <c r="DA322" i="1"/>
  <c r="DA318" i="1"/>
  <c r="DA317" i="1"/>
  <c r="DA320" i="1"/>
  <c r="DA324" i="1"/>
  <c r="DA325" i="1"/>
  <c r="DA326" i="1"/>
  <c r="DA327" i="1"/>
  <c r="DA328" i="1"/>
  <c r="DA329" i="1"/>
  <c r="DA330" i="1"/>
  <c r="DA331" i="1"/>
  <c r="DA335" i="1"/>
  <c r="DA343" i="1"/>
  <c r="DA340" i="1"/>
  <c r="DA333" i="1"/>
  <c r="DA338" i="1"/>
  <c r="DA337" i="1"/>
  <c r="DA336" i="1"/>
  <c r="DA332" i="1"/>
  <c r="DA341" i="1"/>
  <c r="DA342" i="1"/>
  <c r="DA334" i="1"/>
  <c r="DA353" i="1"/>
  <c r="DA346" i="1"/>
  <c r="DA349" i="1"/>
  <c r="DA345" i="1"/>
  <c r="DA347" i="1"/>
  <c r="DA351" i="1"/>
  <c r="DA348" i="1"/>
  <c r="DA339" i="1"/>
  <c r="DA350" i="1"/>
  <c r="DA352" i="1"/>
  <c r="DA354" i="1"/>
  <c r="DA344" i="1"/>
  <c r="DA360" i="1"/>
  <c r="DA355" i="1"/>
  <c r="DA362" i="1"/>
  <c r="DA359" i="1"/>
  <c r="DA356" i="1"/>
  <c r="DA358" i="1"/>
  <c r="DA357" i="1"/>
  <c r="DA361" i="1"/>
  <c r="DA366" i="1"/>
  <c r="DA363" i="1"/>
  <c r="DA368" i="1"/>
  <c r="DA367" i="1"/>
  <c r="DA364" i="1"/>
  <c r="DA365" i="1"/>
  <c r="DA369" i="1"/>
  <c r="DA370" i="1"/>
  <c r="DA373" i="1"/>
  <c r="DA371" i="1"/>
  <c r="DA372" i="1"/>
  <c r="DA374" i="1"/>
  <c r="DA386" i="1"/>
  <c r="DA384" i="1"/>
  <c r="DA389" i="1"/>
  <c r="DA382" i="1"/>
  <c r="DA388" i="1"/>
  <c r="DA375" i="1"/>
  <c r="DA380" i="1"/>
  <c r="DA376" i="1"/>
  <c r="DA385" i="1"/>
  <c r="DA381" i="1"/>
  <c r="DA378" i="1"/>
  <c r="DA377" i="1"/>
  <c r="DA387" i="1"/>
  <c r="DA379" i="1"/>
  <c r="DA383" i="1"/>
  <c r="DA392" i="1"/>
  <c r="DA396" i="1"/>
  <c r="DA397" i="1"/>
  <c r="DA390" i="1"/>
  <c r="DA395" i="1"/>
  <c r="DA394" i="1"/>
  <c r="DA393" i="1"/>
  <c r="DA402" i="1"/>
  <c r="DA403" i="1"/>
  <c r="DA405" i="1"/>
  <c r="DA404" i="1"/>
  <c r="DA398" i="1"/>
  <c r="DA400" i="1"/>
  <c r="DA399" i="1"/>
  <c r="DA401" i="1"/>
  <c r="DA406" i="1"/>
  <c r="DA408" i="1"/>
  <c r="DA415" i="1"/>
  <c r="DA419" i="1"/>
  <c r="DA427" i="1"/>
  <c r="DA428" i="1"/>
  <c r="DA409" i="1"/>
  <c r="DA420" i="1"/>
  <c r="DA413" i="1"/>
  <c r="DA424" i="1"/>
  <c r="DA417" i="1"/>
  <c r="DA418" i="1"/>
  <c r="DA421" i="1"/>
  <c r="DA416" i="1"/>
  <c r="DA407" i="1"/>
  <c r="DA426" i="1"/>
  <c r="DA422" i="1"/>
  <c r="DA412" i="1"/>
  <c r="DA425" i="1"/>
  <c r="DA423" i="1"/>
  <c r="DA414" i="1"/>
  <c r="DA411" i="1"/>
  <c r="DA410" i="1"/>
  <c r="DA391" i="1"/>
  <c r="DA429" i="1"/>
  <c r="DA432" i="1"/>
  <c r="DA444" i="1"/>
  <c r="DA437" i="1"/>
  <c r="DA430" i="1"/>
  <c r="DA435" i="1"/>
  <c r="DA431" i="1"/>
  <c r="DA443" i="1"/>
  <c r="DA438" i="1"/>
  <c r="DA446" i="1"/>
  <c r="DA447" i="1"/>
  <c r="DA440" i="1"/>
  <c r="DA436" i="1"/>
  <c r="DA445" i="1"/>
  <c r="DA441" i="1"/>
  <c r="DA439" i="1"/>
  <c r="DA433" i="1"/>
  <c r="DA442" i="1"/>
  <c r="DA434" i="1"/>
  <c r="DA448" i="1"/>
  <c r="DA449" i="1"/>
  <c r="DA459" i="1"/>
  <c r="DA468" i="1"/>
  <c r="DA460" i="1"/>
  <c r="DA450" i="1"/>
  <c r="DA469" i="1"/>
  <c r="DA463" i="1"/>
  <c r="DA451" i="1"/>
  <c r="DA458" i="1"/>
  <c r="DA455" i="1"/>
  <c r="DA470" i="1"/>
  <c r="DA461" i="1"/>
  <c r="DA452" i="1"/>
  <c r="DA456" i="1"/>
  <c r="DA453" i="1"/>
  <c r="DA457" i="1"/>
  <c r="DA454" i="1"/>
  <c r="DA464" i="1"/>
  <c r="DA465" i="1"/>
  <c r="DA466" i="1"/>
  <c r="DA467" i="1"/>
  <c r="DA477" i="1"/>
  <c r="DA472" i="1"/>
  <c r="DA474" i="1"/>
  <c r="DA475" i="1"/>
  <c r="DA476" i="1"/>
  <c r="DA473" i="1"/>
  <c r="DA471" i="1"/>
  <c r="DA478" i="1"/>
  <c r="DA462" i="1"/>
  <c r="DA481" i="1"/>
  <c r="DA484" i="1"/>
  <c r="DA480" i="1"/>
  <c r="DA485" i="1"/>
  <c r="DA479" i="1"/>
  <c r="DA483" i="1"/>
  <c r="DA482" i="1"/>
  <c r="DA486" i="1"/>
  <c r="DA488" i="1"/>
  <c r="DA487" i="1"/>
  <c r="DA492" i="1"/>
  <c r="DA489" i="1"/>
  <c r="DA490" i="1"/>
  <c r="DA491" i="1"/>
  <c r="DA498" i="1"/>
  <c r="DA497" i="1"/>
  <c r="DA496" i="1"/>
  <c r="DA494" i="1"/>
  <c r="DA495" i="1"/>
  <c r="DA493" i="1"/>
  <c r="DA502" i="1"/>
  <c r="DA507" i="1"/>
  <c r="DA499" i="1"/>
  <c r="DA500" i="1"/>
  <c r="DA506" i="1"/>
  <c r="DA503" i="1"/>
  <c r="DA501" i="1"/>
  <c r="DA504" i="1"/>
  <c r="DA511" i="1"/>
  <c r="DA505" i="1"/>
  <c r="DA508" i="1"/>
  <c r="DA512" i="1"/>
  <c r="DA509" i="1"/>
  <c r="DA513" i="1"/>
  <c r="DA514" i="1"/>
  <c r="DA515" i="1"/>
  <c r="DA516" i="1"/>
  <c r="DA517" i="1"/>
  <c r="DA510" i="1"/>
  <c r="DA518" i="1"/>
  <c r="DA526" i="1"/>
  <c r="DA521" i="1"/>
  <c r="DA522" i="1"/>
  <c r="DA520" i="1"/>
  <c r="DA533" i="1"/>
  <c r="DA532" i="1"/>
  <c r="DA519" i="1"/>
  <c r="DA524" i="1"/>
  <c r="DA527" i="1"/>
  <c r="DA530" i="1"/>
  <c r="DA529" i="1"/>
  <c r="DA525" i="1"/>
  <c r="DA531" i="1"/>
  <c r="DA528" i="1"/>
  <c r="DA523" i="1"/>
  <c r="DA539" i="1"/>
  <c r="DA545" i="1"/>
  <c r="DA549" i="1"/>
  <c r="DA534" i="1"/>
  <c r="DA541" i="1"/>
  <c r="DA553" i="1"/>
  <c r="DA546" i="1"/>
  <c r="DA535" i="1"/>
  <c r="DA554" i="1"/>
  <c r="DA543" i="1"/>
  <c r="DA544" i="1"/>
  <c r="DA551" i="1"/>
  <c r="DA548" i="1"/>
  <c r="DA542" i="1"/>
  <c r="DA540" i="1"/>
  <c r="DA555" i="1"/>
  <c r="DA537" i="1"/>
  <c r="DA552" i="1"/>
  <c r="DA550" i="1"/>
  <c r="DA536" i="1"/>
  <c r="DA547" i="1"/>
  <c r="DA538" i="1"/>
  <c r="DA299" i="1"/>
  <c r="V545" i="1" l="1"/>
  <c r="V549" i="1"/>
  <c r="AU19" i="7" s="1"/>
  <c r="AV19" i="7" s="1"/>
  <c r="V534" i="1"/>
  <c r="V541" i="1"/>
  <c r="V553" i="1"/>
  <c r="V546" i="1"/>
  <c r="V535" i="1"/>
  <c r="V554" i="1"/>
  <c r="V543" i="1"/>
  <c r="V544" i="1"/>
  <c r="V551" i="1"/>
  <c r="V548" i="1"/>
  <c r="V542" i="1"/>
  <c r="AL27" i="7" s="1"/>
  <c r="AM27" i="7" s="1"/>
  <c r="V540" i="1"/>
  <c r="V555" i="1"/>
  <c r="V537" i="1"/>
  <c r="V552" i="1"/>
  <c r="V550" i="1"/>
  <c r="V536" i="1"/>
  <c r="V547" i="1"/>
  <c r="V538" i="1"/>
  <c r="CS538" i="1"/>
  <c r="CP538" i="1"/>
  <c r="CS547" i="1"/>
  <c r="CP547" i="1"/>
  <c r="CS536" i="1"/>
  <c r="CP536" i="1"/>
  <c r="CS550" i="1"/>
  <c r="CP550" i="1"/>
  <c r="CS552" i="1"/>
  <c r="CP552" i="1"/>
  <c r="CS537" i="1"/>
  <c r="CP537" i="1"/>
  <c r="CS555" i="1"/>
  <c r="CP555" i="1"/>
  <c r="CS540" i="1"/>
  <c r="CP540" i="1"/>
  <c r="CS542" i="1"/>
  <c r="CP542" i="1"/>
  <c r="CS548" i="1"/>
  <c r="CP548" i="1"/>
  <c r="CS551" i="1"/>
  <c r="CP551" i="1"/>
  <c r="CS544" i="1"/>
  <c r="CP544" i="1"/>
  <c r="CS543" i="1"/>
  <c r="CP543" i="1"/>
  <c r="CS554" i="1"/>
  <c r="CP554" i="1"/>
  <c r="CS535" i="1"/>
  <c r="CP535" i="1"/>
  <c r="CS546" i="1"/>
  <c r="CP546" i="1"/>
  <c r="CS553" i="1"/>
  <c r="CP553" i="1"/>
  <c r="CS541" i="1"/>
  <c r="CP541" i="1"/>
  <c r="CS534" i="1"/>
  <c r="CP534" i="1"/>
  <c r="CS549" i="1"/>
  <c r="CP549" i="1"/>
  <c r="CS545" i="1"/>
  <c r="CP545" i="1"/>
  <c r="AP21" i="2"/>
  <c r="AQ21" i="2" s="1"/>
  <c r="AL21" i="2"/>
  <c r="AK21" i="2"/>
  <c r="AH21" i="2"/>
  <c r="AE21" i="2"/>
  <c r="AD20" i="2"/>
  <c r="AD21" i="2"/>
  <c r="AC20" i="2"/>
  <c r="AC21" i="2"/>
  <c r="V7" i="2"/>
  <c r="V8" i="2"/>
  <c r="V9" i="2"/>
  <c r="V10" i="2"/>
  <c r="V11" i="2"/>
  <c r="V12" i="2"/>
  <c r="V13" i="2"/>
  <c r="V14" i="2"/>
  <c r="V15" i="2"/>
  <c r="V16" i="2"/>
  <c r="V17" i="2"/>
  <c r="V18" i="2"/>
  <c r="V19" i="2"/>
  <c r="V20" i="2"/>
  <c r="V21" i="2"/>
  <c r="CH21" i="2" l="1"/>
  <c r="AJ21" i="2"/>
  <c r="CB21" i="2"/>
  <c r="CD21" i="2"/>
  <c r="CE21" i="2" s="1"/>
  <c r="AI21" i="2"/>
  <c r="AM21" i="2"/>
  <c r="AO21" i="2" s="1"/>
  <c r="AF21" i="2" s="1"/>
  <c r="AR21" i="2"/>
  <c r="AS21" i="2"/>
  <c r="AT21" i="2" s="1"/>
  <c r="AN21" i="2"/>
  <c r="AG21" i="2" s="1"/>
  <c r="CS539" i="1"/>
  <c r="CP539" i="1"/>
  <c r="V539" i="1"/>
  <c r="V531" i="1"/>
  <c r="AL26" i="7" s="1"/>
  <c r="AM26" i="7" s="1"/>
  <c r="P67" i="5" l="1"/>
  <c r="Q67" i="5" s="1"/>
  <c r="P68" i="5"/>
  <c r="Q68" i="5" s="1"/>
  <c r="Q69" i="5"/>
  <c r="P70" i="5"/>
  <c r="Q70" i="5" s="1"/>
  <c r="P71" i="5"/>
  <c r="Q71" i="5" s="1"/>
  <c r="N22" i="4"/>
  <c r="CI21" i="2"/>
  <c r="F67" i="5"/>
  <c r="G67" i="5" s="1"/>
  <c r="E26" i="5" s="1"/>
  <c r="F68" i="5"/>
  <c r="G68" i="5" s="1"/>
  <c r="E27" i="5" s="1"/>
  <c r="F69" i="5"/>
  <c r="G69" i="5" s="1"/>
  <c r="E28" i="5" s="1"/>
  <c r="F70" i="5"/>
  <c r="G70" i="5" s="1"/>
  <c r="E29" i="5" s="1"/>
  <c r="F71" i="5"/>
  <c r="G71" i="5" s="1"/>
  <c r="E30" i="5" s="1"/>
  <c r="B72" i="5"/>
  <c r="C72" i="5"/>
  <c r="D72" i="5"/>
  <c r="E72" i="5"/>
  <c r="V526" i="1"/>
  <c r="V521" i="1"/>
  <c r="V522" i="1"/>
  <c r="U19" i="7" s="1"/>
  <c r="V19" i="7" s="1"/>
  <c r="V520" i="1"/>
  <c r="V533" i="1"/>
  <c r="V532" i="1"/>
  <c r="V519" i="1"/>
  <c r="V524" i="1"/>
  <c r="V527" i="1"/>
  <c r="AU7" i="7" s="1"/>
  <c r="AV7" i="7" s="1"/>
  <c r="V530" i="1"/>
  <c r="AU14" i="7" s="1"/>
  <c r="AV14" i="7" s="1"/>
  <c r="V529" i="1"/>
  <c r="AU15" i="7" s="1"/>
  <c r="AV15" i="7" s="1"/>
  <c r="V525" i="1"/>
  <c r="AU6" i="7" s="1"/>
  <c r="V528" i="1"/>
  <c r="AL5" i="7" s="1"/>
  <c r="V523" i="1"/>
  <c r="AM5" i="7" l="1"/>
  <c r="AV6" i="7"/>
  <c r="E31" i="5"/>
  <c r="P72" i="5"/>
  <c r="Q72" i="5" s="1"/>
  <c r="E35" i="5"/>
  <c r="F72" i="5"/>
  <c r="G72" i="5" s="1"/>
  <c r="BE498" i="1" l="1"/>
  <c r="BF498" i="1" s="1"/>
  <c r="BE497" i="1"/>
  <c r="BF497" i="1" s="1"/>
  <c r="BE496" i="1"/>
  <c r="BF496" i="1" s="1"/>
  <c r="BE494" i="1"/>
  <c r="BF494" i="1" s="1"/>
  <c r="BE495" i="1"/>
  <c r="BF495" i="1" s="1"/>
  <c r="BE493" i="1"/>
  <c r="BF493" i="1" s="1"/>
  <c r="BE502" i="1"/>
  <c r="BF502" i="1" s="1"/>
  <c r="BE507" i="1"/>
  <c r="BF507" i="1" s="1"/>
  <c r="BE499" i="1"/>
  <c r="BF499" i="1" s="1"/>
  <c r="BE500" i="1"/>
  <c r="BF500" i="1" s="1"/>
  <c r="BE506" i="1"/>
  <c r="BF506" i="1" s="1"/>
  <c r="BE503" i="1"/>
  <c r="BF503" i="1" s="1"/>
  <c r="BE501" i="1"/>
  <c r="BF501" i="1" s="1"/>
  <c r="BE504" i="1"/>
  <c r="BE511" i="1"/>
  <c r="BF511" i="1" s="1"/>
  <c r="BE505" i="1"/>
  <c r="BF505" i="1" s="1"/>
  <c r="BE508" i="1"/>
  <c r="BE512" i="1"/>
  <c r="BE509" i="1"/>
  <c r="BF509" i="1" s="1"/>
  <c r="BE513" i="1"/>
  <c r="BF513" i="1" s="1"/>
  <c r="BE514" i="1"/>
  <c r="BF514" i="1" s="1"/>
  <c r="BE515" i="1"/>
  <c r="BF515" i="1" s="1"/>
  <c r="BE516" i="1"/>
  <c r="BF516" i="1" s="1"/>
  <c r="BE517" i="1"/>
  <c r="BE510" i="1"/>
  <c r="BF510" i="1" s="1"/>
  <c r="BE518" i="1"/>
  <c r="BF518" i="1" s="1"/>
  <c r="BE526" i="1"/>
  <c r="BF526" i="1" s="1"/>
  <c r="BE521" i="1"/>
  <c r="BF521" i="1" s="1"/>
  <c r="BE522" i="1"/>
  <c r="BF522" i="1" s="1"/>
  <c r="BE520" i="1"/>
  <c r="BF520" i="1" s="1"/>
  <c r="BE533" i="1"/>
  <c r="BF533" i="1" s="1"/>
  <c r="BE532" i="1"/>
  <c r="BF532" i="1" s="1"/>
  <c r="CM526" i="1"/>
  <c r="CL526" i="1"/>
  <c r="CP526" i="1"/>
  <c r="CS526" i="1"/>
  <c r="CM521" i="1"/>
  <c r="CL521" i="1"/>
  <c r="CP521" i="1"/>
  <c r="CS521" i="1"/>
  <c r="CM522" i="1"/>
  <c r="CL522" i="1"/>
  <c r="CP522" i="1"/>
  <c r="CS522" i="1"/>
  <c r="CM520" i="1"/>
  <c r="CL520" i="1"/>
  <c r="CP520" i="1"/>
  <c r="CS520" i="1"/>
  <c r="CM533" i="1"/>
  <c r="CL533" i="1"/>
  <c r="CP533" i="1"/>
  <c r="CS533" i="1"/>
  <c r="CM532" i="1"/>
  <c r="CL532" i="1"/>
  <c r="CP532" i="1"/>
  <c r="CS532" i="1"/>
  <c r="CM519" i="1"/>
  <c r="CL519" i="1"/>
  <c r="CP519" i="1"/>
  <c r="CS519" i="1"/>
  <c r="CM524" i="1"/>
  <c r="CL524" i="1"/>
  <c r="CP524" i="1"/>
  <c r="CS524" i="1"/>
  <c r="CM527" i="1"/>
  <c r="CL527" i="1"/>
  <c r="CP527" i="1"/>
  <c r="CS527" i="1"/>
  <c r="CM530" i="1"/>
  <c r="CL530" i="1"/>
  <c r="CP530" i="1"/>
  <c r="CS530" i="1"/>
  <c r="CM529" i="1"/>
  <c r="CL529" i="1"/>
  <c r="CP529" i="1"/>
  <c r="CS529" i="1"/>
  <c r="CM525" i="1"/>
  <c r="CL525" i="1"/>
  <c r="CP525" i="1"/>
  <c r="CS525" i="1"/>
  <c r="CM531" i="1"/>
  <c r="CL531" i="1"/>
  <c r="CP531" i="1"/>
  <c r="CS531" i="1"/>
  <c r="CM528" i="1"/>
  <c r="CL528" i="1"/>
  <c r="CP528" i="1"/>
  <c r="CS528" i="1"/>
  <c r="CP523" i="1"/>
  <c r="CS523" i="1"/>
  <c r="AD526" i="1"/>
  <c r="AE526" i="1"/>
  <c r="AH526" i="1"/>
  <c r="AD521" i="1"/>
  <c r="AE521" i="1"/>
  <c r="AH521" i="1"/>
  <c r="AD522" i="1"/>
  <c r="AE522" i="1"/>
  <c r="AH522" i="1"/>
  <c r="AD520" i="1"/>
  <c r="AE520" i="1"/>
  <c r="AH520" i="1"/>
  <c r="AD533" i="1"/>
  <c r="AE533" i="1"/>
  <c r="AH533" i="1"/>
  <c r="AD532" i="1"/>
  <c r="AE532" i="1"/>
  <c r="AH532" i="1"/>
  <c r="AD519" i="1"/>
  <c r="AE519" i="1"/>
  <c r="AH519" i="1"/>
  <c r="AD524" i="1"/>
  <c r="AE524" i="1"/>
  <c r="AH524" i="1"/>
  <c r="AD527" i="1"/>
  <c r="AE527" i="1"/>
  <c r="AH527" i="1"/>
  <c r="AD530" i="1"/>
  <c r="AE530" i="1"/>
  <c r="AH530" i="1"/>
  <c r="AD529" i="1"/>
  <c r="AE529" i="1"/>
  <c r="AH529" i="1"/>
  <c r="AD525" i="1"/>
  <c r="AE525" i="1"/>
  <c r="AH525" i="1"/>
  <c r="AD531" i="1"/>
  <c r="AE531" i="1"/>
  <c r="AH531" i="1"/>
  <c r="AD528" i="1"/>
  <c r="AE528" i="1"/>
  <c r="AH528" i="1"/>
  <c r="CH524" i="1" l="1"/>
  <c r="CI524" i="1" s="1"/>
  <c r="CH530" i="1"/>
  <c r="CI530" i="1" s="1"/>
  <c r="CH521" i="1"/>
  <c r="CI521" i="1" s="1"/>
  <c r="CH527" i="1"/>
  <c r="CI527" i="1" s="1"/>
  <c r="CH526" i="1"/>
  <c r="CI526" i="1" s="1"/>
  <c r="CH531" i="1"/>
  <c r="CI531" i="1" s="1"/>
  <c r="CH528" i="1"/>
  <c r="CI528" i="1" s="1"/>
  <c r="CH532" i="1"/>
  <c r="CI532" i="1" s="1"/>
  <c r="CH519" i="1"/>
  <c r="CI519" i="1" s="1"/>
  <c r="CH522" i="1"/>
  <c r="CI522" i="1" s="1"/>
  <c r="CH525" i="1"/>
  <c r="CI525" i="1" s="1"/>
  <c r="CH529" i="1"/>
  <c r="CI529" i="1" s="1"/>
  <c r="CH520" i="1"/>
  <c r="CI520" i="1" s="1"/>
  <c r="CH533" i="1"/>
  <c r="CI533" i="1" s="1"/>
  <c r="AI527" i="1"/>
  <c r="AI526" i="1"/>
  <c r="AI525" i="1"/>
  <c r="AI520" i="1"/>
  <c r="AI519" i="1"/>
  <c r="AI528" i="1"/>
  <c r="AI532" i="1"/>
  <c r="AI530" i="1"/>
  <c r="AI521" i="1"/>
  <c r="AI531" i="1"/>
  <c r="AI533" i="1"/>
  <c r="AI524" i="1"/>
  <c r="AI529" i="1"/>
  <c r="AI522" i="1"/>
  <c r="AJ526" i="1"/>
  <c r="AF521" i="1"/>
  <c r="AF525" i="1"/>
  <c r="AF520" i="1"/>
  <c r="AJ524" i="1"/>
  <c r="AF529" i="1"/>
  <c r="AG522" i="1"/>
  <c r="AG521" i="1"/>
  <c r="AF530" i="1"/>
  <c r="AF528" i="1"/>
  <c r="AG528" i="1"/>
  <c r="AF531" i="1"/>
  <c r="AJ531" i="1"/>
  <c r="AR525" i="1"/>
  <c r="AJ525" i="1"/>
  <c r="AG529" i="1"/>
  <c r="AG530" i="1"/>
  <c r="AF527" i="1"/>
  <c r="AJ527" i="1"/>
  <c r="AF524" i="1"/>
  <c r="AF519" i="1"/>
  <c r="AG519" i="1"/>
  <c r="AF532" i="1"/>
  <c r="AG532" i="1"/>
  <c r="AF533" i="1"/>
  <c r="AF526" i="1"/>
  <c r="AJ533" i="1"/>
  <c r="AR520" i="1"/>
  <c r="AJ520" i="1"/>
  <c r="AF522" i="1"/>
  <c r="AR526" i="1"/>
  <c r="AR528" i="1"/>
  <c r="AR519" i="1"/>
  <c r="AR532" i="1"/>
  <c r="AR527" i="1"/>
  <c r="AR531" i="1"/>
  <c r="AR533" i="1"/>
  <c r="AR529" i="1"/>
  <c r="AR530" i="1"/>
  <c r="AR522" i="1"/>
  <c r="AR521" i="1"/>
  <c r="AG531" i="1"/>
  <c r="AJ529" i="1"/>
  <c r="AG527" i="1"/>
  <c r="AJ519" i="1"/>
  <c r="AG533" i="1"/>
  <c r="AJ522" i="1"/>
  <c r="AG526" i="1"/>
  <c r="AJ528" i="1"/>
  <c r="AG525" i="1"/>
  <c r="AJ530" i="1"/>
  <c r="AG524" i="1"/>
  <c r="AJ532" i="1"/>
  <c r="AG520" i="1"/>
  <c r="AJ521" i="1"/>
  <c r="AR524" i="1" l="1"/>
  <c r="V4" i="1" l="1"/>
  <c r="CM508" i="1" l="1"/>
  <c r="CL508" i="1"/>
  <c r="CP508" i="1"/>
  <c r="CS508" i="1"/>
  <c r="CM512" i="1"/>
  <c r="CL512" i="1"/>
  <c r="CP512" i="1"/>
  <c r="CS512" i="1"/>
  <c r="CM509" i="1"/>
  <c r="CL509" i="1"/>
  <c r="CP509" i="1"/>
  <c r="CS509" i="1"/>
  <c r="CM513" i="1"/>
  <c r="CL513" i="1"/>
  <c r="CP513" i="1"/>
  <c r="CS513" i="1"/>
  <c r="CM514" i="1"/>
  <c r="CL514" i="1"/>
  <c r="CP514" i="1"/>
  <c r="CS514" i="1"/>
  <c r="CM515" i="1"/>
  <c r="CL515" i="1"/>
  <c r="CP515" i="1"/>
  <c r="CS515" i="1"/>
  <c r="CM516" i="1"/>
  <c r="CL516" i="1"/>
  <c r="CP516" i="1"/>
  <c r="CS516" i="1"/>
  <c r="CM517" i="1"/>
  <c r="CL517" i="1"/>
  <c r="CP517" i="1"/>
  <c r="CS517" i="1"/>
  <c r="CM510" i="1"/>
  <c r="CL510" i="1"/>
  <c r="CP510" i="1"/>
  <c r="CS510" i="1"/>
  <c r="CM518" i="1"/>
  <c r="CL518" i="1"/>
  <c r="CP518" i="1"/>
  <c r="CS518" i="1"/>
  <c r="AD508" i="1"/>
  <c r="AE508" i="1"/>
  <c r="AH508" i="1"/>
  <c r="AD512" i="1"/>
  <c r="AE512" i="1"/>
  <c r="AH512" i="1"/>
  <c r="AD509" i="1"/>
  <c r="AE509" i="1"/>
  <c r="AH509" i="1"/>
  <c r="AD513" i="1"/>
  <c r="AE513" i="1"/>
  <c r="AH513" i="1"/>
  <c r="AD514" i="1"/>
  <c r="AE514" i="1"/>
  <c r="AH514" i="1"/>
  <c r="AD515" i="1"/>
  <c r="AE515" i="1"/>
  <c r="AH515" i="1"/>
  <c r="AD516" i="1"/>
  <c r="AE516" i="1"/>
  <c r="AH516" i="1"/>
  <c r="AD517" i="1"/>
  <c r="AE517" i="1"/>
  <c r="AH517" i="1"/>
  <c r="AD510" i="1"/>
  <c r="AE510" i="1"/>
  <c r="AH510" i="1"/>
  <c r="AD518" i="1"/>
  <c r="AE518" i="1"/>
  <c r="AH518" i="1"/>
  <c r="V508" i="1"/>
  <c r="AL25" i="7" s="1"/>
  <c r="AM25" i="7" s="1"/>
  <c r="V512" i="1"/>
  <c r="AL38" i="7" s="1"/>
  <c r="AM38" i="7" s="1"/>
  <c r="V509" i="1"/>
  <c r="V513" i="1"/>
  <c r="U17" i="7" s="1"/>
  <c r="V17" i="7" s="1"/>
  <c r="V514" i="1"/>
  <c r="U18" i="7" s="1"/>
  <c r="V18" i="7" s="1"/>
  <c r="V515" i="1"/>
  <c r="V516" i="1"/>
  <c r="AU9" i="7" s="1"/>
  <c r="AV9" i="7" s="1"/>
  <c r="V517" i="1"/>
  <c r="AD20" i="7" s="1"/>
  <c r="V510" i="1"/>
  <c r="V518" i="1"/>
  <c r="A11" i="11"/>
  <c r="CX505" i="1"/>
  <c r="CX511" i="1"/>
  <c r="CX504" i="1"/>
  <c r="CX501" i="1"/>
  <c r="CX503" i="1"/>
  <c r="CX506" i="1"/>
  <c r="CX500" i="1"/>
  <c r="CX499" i="1"/>
  <c r="CX507" i="1"/>
  <c r="CX502" i="1"/>
  <c r="CX493" i="1"/>
  <c r="CX495" i="1"/>
  <c r="CX494" i="1"/>
  <c r="CX496" i="1"/>
  <c r="CX497" i="1"/>
  <c r="CX498" i="1"/>
  <c r="CX491" i="1"/>
  <c r="CX490" i="1"/>
  <c r="CX489" i="1"/>
  <c r="CX492" i="1"/>
  <c r="CX487" i="1"/>
  <c r="CX488" i="1"/>
  <c r="CX486" i="1"/>
  <c r="CX482" i="1"/>
  <c r="CX483" i="1"/>
  <c r="CX479" i="1"/>
  <c r="CX485" i="1"/>
  <c r="CX480" i="1"/>
  <c r="CX484" i="1"/>
  <c r="CX481" i="1"/>
  <c r="CX462" i="1"/>
  <c r="CX478" i="1"/>
  <c r="CX471" i="1"/>
  <c r="CX473" i="1"/>
  <c r="CX476" i="1"/>
  <c r="CX475" i="1"/>
  <c r="CX474" i="1"/>
  <c r="CX472" i="1"/>
  <c r="CX477" i="1"/>
  <c r="CX467" i="1"/>
  <c r="CX466" i="1"/>
  <c r="CX465" i="1"/>
  <c r="CX464" i="1"/>
  <c r="CX454" i="1"/>
  <c r="CX457" i="1"/>
  <c r="CX453" i="1"/>
  <c r="CX456" i="1"/>
  <c r="CX452" i="1"/>
  <c r="CX461" i="1"/>
  <c r="CX470" i="1"/>
  <c r="CX455" i="1"/>
  <c r="CX458" i="1"/>
  <c r="CX451" i="1"/>
  <c r="CX463" i="1"/>
  <c r="CX469" i="1"/>
  <c r="CX450" i="1"/>
  <c r="CX460" i="1"/>
  <c r="CX468" i="1"/>
  <c r="CX459" i="1"/>
  <c r="CX449" i="1"/>
  <c r="CX448" i="1"/>
  <c r="CX434" i="1"/>
  <c r="CX442" i="1"/>
  <c r="CX433" i="1"/>
  <c r="CX439" i="1"/>
  <c r="CX441" i="1"/>
  <c r="CX445" i="1"/>
  <c r="CX436" i="1"/>
  <c r="CX440" i="1"/>
  <c r="CX447" i="1"/>
  <c r="CX446" i="1"/>
  <c r="CX438" i="1"/>
  <c r="CX443" i="1"/>
  <c r="CX431" i="1"/>
  <c r="CX435" i="1"/>
  <c r="CX430" i="1"/>
  <c r="CX437" i="1"/>
  <c r="CX444" i="1"/>
  <c r="CX432" i="1"/>
  <c r="CX429" i="1"/>
  <c r="CX391" i="1"/>
  <c r="CX410" i="1"/>
  <c r="CX411" i="1"/>
  <c r="CX414" i="1"/>
  <c r="CX423" i="1"/>
  <c r="CX425" i="1"/>
  <c r="CX412" i="1"/>
  <c r="CX422" i="1"/>
  <c r="CX426" i="1"/>
  <c r="CX407" i="1"/>
  <c r="CX416" i="1"/>
  <c r="CX421" i="1"/>
  <c r="CX418" i="1"/>
  <c r="CX417" i="1"/>
  <c r="CX424" i="1"/>
  <c r="CX413" i="1"/>
  <c r="CX420" i="1"/>
  <c r="CX409" i="1"/>
  <c r="CX428" i="1"/>
  <c r="CX427" i="1"/>
  <c r="CX419" i="1"/>
  <c r="CX415" i="1"/>
  <c r="CX408" i="1"/>
  <c r="CX406" i="1"/>
  <c r="CX401" i="1"/>
  <c r="CX399" i="1"/>
  <c r="CX400" i="1"/>
  <c r="CX398" i="1"/>
  <c r="CX404" i="1"/>
  <c r="CX405" i="1"/>
  <c r="CX403" i="1"/>
  <c r="CX402" i="1"/>
  <c r="CX393" i="1"/>
  <c r="CX394" i="1"/>
  <c r="CX395" i="1"/>
  <c r="CX390" i="1"/>
  <c r="CX397" i="1"/>
  <c r="CX396" i="1"/>
  <c r="CX392" i="1"/>
  <c r="CX383" i="1"/>
  <c r="CX379" i="1"/>
  <c r="CX387" i="1"/>
  <c r="CX377" i="1"/>
  <c r="CX378" i="1"/>
  <c r="CX381" i="1"/>
  <c r="CX385" i="1"/>
  <c r="CX376" i="1"/>
  <c r="CX380" i="1"/>
  <c r="CX375" i="1"/>
  <c r="CX388" i="1"/>
  <c r="CX382" i="1"/>
  <c r="CX389" i="1"/>
  <c r="CX384" i="1"/>
  <c r="CX386" i="1"/>
  <c r="CX374" i="1"/>
  <c r="CX372" i="1"/>
  <c r="CX371" i="1"/>
  <c r="CX373" i="1"/>
  <c r="CX370" i="1"/>
  <c r="CX369" i="1"/>
  <c r="CX365" i="1"/>
  <c r="CX364" i="1"/>
  <c r="CX367" i="1"/>
  <c r="CX368" i="1"/>
  <c r="CX363" i="1"/>
  <c r="CX366" i="1"/>
  <c r="CX361" i="1"/>
  <c r="CX357" i="1"/>
  <c r="CX358" i="1"/>
  <c r="CX356" i="1"/>
  <c r="CX359" i="1"/>
  <c r="CX362" i="1"/>
  <c r="CX355" i="1"/>
  <c r="CX360" i="1"/>
  <c r="CX344" i="1"/>
  <c r="CX354" i="1"/>
  <c r="CX352" i="1"/>
  <c r="CX350" i="1"/>
  <c r="CX339" i="1"/>
  <c r="CX348" i="1"/>
  <c r="CX351" i="1"/>
  <c r="CX347" i="1"/>
  <c r="CX345" i="1"/>
  <c r="CX349" i="1"/>
  <c r="CX346" i="1"/>
  <c r="CX353" i="1"/>
  <c r="CX334" i="1"/>
  <c r="CX342" i="1"/>
  <c r="CX341" i="1"/>
  <c r="CX332" i="1"/>
  <c r="CX336" i="1"/>
  <c r="CX337" i="1"/>
  <c r="CX338" i="1"/>
  <c r="CX333" i="1"/>
  <c r="CX340" i="1"/>
  <c r="CX343" i="1"/>
  <c r="CX335" i="1"/>
  <c r="CX331" i="1"/>
  <c r="CX330" i="1"/>
  <c r="CX329" i="1"/>
  <c r="CX328" i="1"/>
  <c r="CX327" i="1"/>
  <c r="CX326" i="1"/>
  <c r="CX325" i="1"/>
  <c r="CX324" i="1"/>
  <c r="CX320" i="1"/>
  <c r="CX317" i="1"/>
  <c r="CX318" i="1"/>
  <c r="CX322" i="1"/>
  <c r="CX321" i="1"/>
  <c r="CX323" i="1"/>
  <c r="CX319" i="1"/>
  <c r="CX312" i="1"/>
  <c r="CX306" i="1"/>
  <c r="CX311" i="1"/>
  <c r="CX314" i="1"/>
  <c r="CX308" i="1"/>
  <c r="CX316" i="1"/>
  <c r="CX315" i="1"/>
  <c r="CX310" i="1"/>
  <c r="CX307" i="1"/>
  <c r="CX313" i="1"/>
  <c r="CX309" i="1"/>
  <c r="CX303" i="1"/>
  <c r="CX302" i="1"/>
  <c r="CX305" i="1"/>
  <c r="CX304" i="1"/>
  <c r="CX300" i="1"/>
  <c r="CX301" i="1"/>
  <c r="CX298" i="1"/>
  <c r="CX299" i="1"/>
  <c r="CX297" i="1"/>
  <c r="CX296" i="1"/>
  <c r="CX295" i="1"/>
  <c r="CX293" i="1"/>
  <c r="CX294" i="1"/>
  <c r="CX292" i="1"/>
  <c r="CX291" i="1"/>
  <c r="CX289" i="1"/>
  <c r="CX288" i="1"/>
  <c r="CX290" i="1"/>
  <c r="CX287" i="1"/>
  <c r="CX286" i="1"/>
  <c r="CX279" i="1"/>
  <c r="CX280" i="1"/>
  <c r="CX284" i="1"/>
  <c r="CX283" i="1"/>
  <c r="CX285" i="1"/>
  <c r="CX282" i="1"/>
  <c r="CX281" i="1"/>
  <c r="CX278" i="1"/>
  <c r="CX267" i="1"/>
  <c r="CX273" i="1"/>
  <c r="CX275" i="1"/>
  <c r="CX265" i="1"/>
  <c r="CX266" i="1"/>
  <c r="CX277" i="1"/>
  <c r="CX263" i="1"/>
  <c r="CX268" i="1"/>
  <c r="CX269" i="1"/>
  <c r="CX270" i="1"/>
  <c r="CX274" i="1"/>
  <c r="CX276" i="1"/>
  <c r="CX271" i="1"/>
  <c r="CX272" i="1"/>
  <c r="CX264" i="1"/>
  <c r="CX257" i="1"/>
  <c r="CX262" i="1"/>
  <c r="CX260" i="1"/>
  <c r="CX259" i="1"/>
  <c r="CX261" i="1"/>
  <c r="CX258" i="1"/>
  <c r="CX255" i="1"/>
  <c r="CX253" i="1"/>
  <c r="CX254" i="1"/>
  <c r="CX251" i="1"/>
  <c r="CX252" i="1"/>
  <c r="CX256" i="1"/>
  <c r="CX246" i="1"/>
  <c r="CX250" i="1"/>
  <c r="CX245" i="1"/>
  <c r="CX248" i="1"/>
  <c r="CX244" i="1"/>
  <c r="CX247" i="1"/>
  <c r="CX249" i="1"/>
  <c r="CX243" i="1"/>
  <c r="CX242" i="1"/>
  <c r="CX236" i="1"/>
  <c r="CX237" i="1"/>
  <c r="CX235" i="1"/>
  <c r="CX240" i="1"/>
  <c r="CX239" i="1"/>
  <c r="CX233" i="1"/>
  <c r="CX238" i="1"/>
  <c r="CX241" i="1"/>
  <c r="CX217" i="1"/>
  <c r="CX224" i="1"/>
  <c r="CX225" i="1"/>
  <c r="CX223" i="1"/>
  <c r="CX231" i="1"/>
  <c r="CX218" i="1"/>
  <c r="CX220" i="1"/>
  <c r="CX227" i="1"/>
  <c r="CX216" i="1"/>
  <c r="CX229" i="1"/>
  <c r="CX232" i="1"/>
  <c r="CX230" i="1"/>
  <c r="CX226" i="1"/>
  <c r="CX222" i="1"/>
  <c r="CX234" i="1"/>
  <c r="CX228" i="1"/>
  <c r="CX221" i="1"/>
  <c r="CX219" i="1"/>
  <c r="CX215" i="1"/>
  <c r="CX211" i="1"/>
  <c r="CX209" i="1"/>
  <c r="CX214" i="1"/>
  <c r="CX210" i="1"/>
  <c r="CX212" i="1"/>
  <c r="CX208" i="1"/>
  <c r="CX213" i="1"/>
  <c r="CX207" i="1"/>
  <c r="CX206" i="1"/>
  <c r="CX202" i="1"/>
  <c r="CX204" i="1"/>
  <c r="CX201" i="1"/>
  <c r="CX203" i="1"/>
  <c r="CX205" i="1"/>
  <c r="CX196" i="1"/>
  <c r="CX197" i="1"/>
  <c r="CX198" i="1"/>
  <c r="CX199" i="1"/>
  <c r="CX195" i="1"/>
  <c r="CX194" i="1"/>
  <c r="CX200" i="1"/>
  <c r="CX190" i="1"/>
  <c r="CX192" i="1"/>
  <c r="CX193" i="1"/>
  <c r="CX191" i="1"/>
  <c r="CX187" i="1"/>
  <c r="CX186" i="1"/>
  <c r="CX189" i="1"/>
  <c r="CX188" i="1"/>
  <c r="CX182" i="1"/>
  <c r="CX185" i="1"/>
  <c r="CX184" i="1"/>
  <c r="CX183" i="1"/>
  <c r="CX181" i="1"/>
  <c r="CX179" i="1"/>
  <c r="CX180" i="1"/>
  <c r="CX173" i="1"/>
  <c r="CX178" i="1"/>
  <c r="CX175" i="1"/>
  <c r="CX176" i="1"/>
  <c r="CX174" i="1"/>
  <c r="CX177" i="1"/>
  <c r="CX171" i="1"/>
  <c r="CX172" i="1"/>
  <c r="CX170" i="1"/>
  <c r="CX169" i="1"/>
  <c r="CX168" i="1"/>
  <c r="CX163" i="1"/>
  <c r="CX166" i="1"/>
  <c r="CX167" i="1"/>
  <c r="CX165" i="1"/>
  <c r="CX164" i="1"/>
  <c r="CX161" i="1"/>
  <c r="CX162" i="1"/>
  <c r="CX160" i="1"/>
  <c r="CX159" i="1"/>
  <c r="CX158" i="1"/>
  <c r="CX154" i="1"/>
  <c r="CX157" i="1"/>
  <c r="CX155" i="1"/>
  <c r="CX156" i="1"/>
  <c r="CX153" i="1"/>
  <c r="CX152" i="1"/>
  <c r="CX151" i="1"/>
  <c r="CX149" i="1"/>
  <c r="CX147" i="1"/>
  <c r="CX150" i="1"/>
  <c r="CX148" i="1"/>
  <c r="CX146" i="1"/>
  <c r="CX145" i="1"/>
  <c r="CX143" i="1"/>
  <c r="CX144" i="1"/>
  <c r="CX142" i="1"/>
  <c r="CX139" i="1"/>
  <c r="CX141" i="1"/>
  <c r="CX140" i="1"/>
  <c r="CX138" i="1"/>
  <c r="CX137" i="1"/>
  <c r="CX136" i="1"/>
  <c r="CX134" i="1"/>
  <c r="CX135" i="1"/>
  <c r="CX133" i="1"/>
  <c r="CX132" i="1"/>
  <c r="CX130" i="1"/>
  <c r="CX131" i="1"/>
  <c r="CX128" i="1"/>
  <c r="CX129" i="1"/>
  <c r="CX127" i="1"/>
  <c r="CX126" i="1"/>
  <c r="CX125" i="1"/>
  <c r="CX124" i="1"/>
  <c r="CX123" i="1"/>
  <c r="CX122" i="1"/>
  <c r="CX121" i="1"/>
  <c r="CX120" i="1"/>
  <c r="CX119" i="1"/>
  <c r="CX118" i="1"/>
  <c r="CX117" i="1"/>
  <c r="CX116" i="1"/>
  <c r="CX115" i="1"/>
  <c r="CX114" i="1"/>
  <c r="CX113" i="1"/>
  <c r="CX112" i="1"/>
  <c r="CX111" i="1"/>
  <c r="CX110" i="1"/>
  <c r="CX109" i="1"/>
  <c r="CX108" i="1"/>
  <c r="CX107" i="1"/>
  <c r="CX106" i="1"/>
  <c r="CX105" i="1"/>
  <c r="CX104" i="1"/>
  <c r="CX103" i="1"/>
  <c r="CX102" i="1"/>
  <c r="CX101" i="1"/>
  <c r="CX100" i="1"/>
  <c r="CX99" i="1"/>
  <c r="CX98" i="1"/>
  <c r="CX97" i="1"/>
  <c r="CX96" i="1"/>
  <c r="CX95" i="1"/>
  <c r="CX94" i="1"/>
  <c r="CX93" i="1"/>
  <c r="CX92" i="1"/>
  <c r="CX91" i="1"/>
  <c r="CX90" i="1"/>
  <c r="CX89" i="1"/>
  <c r="CX88" i="1"/>
  <c r="CX87" i="1"/>
  <c r="CX86" i="1"/>
  <c r="CX85" i="1"/>
  <c r="CX84" i="1"/>
  <c r="CX83" i="1"/>
  <c r="CX82" i="1"/>
  <c r="CX81" i="1"/>
  <c r="CX80" i="1"/>
  <c r="CX79" i="1"/>
  <c r="CX78" i="1"/>
  <c r="CX77" i="1"/>
  <c r="CX76" i="1"/>
  <c r="CX75" i="1"/>
  <c r="CX74" i="1"/>
  <c r="CX73" i="1"/>
  <c r="CX71" i="1"/>
  <c r="CX70" i="1"/>
  <c r="CX69" i="1"/>
  <c r="CX68" i="1"/>
  <c r="CX67" i="1"/>
  <c r="CX66" i="1"/>
  <c r="CX65" i="1"/>
  <c r="CX64" i="1"/>
  <c r="CX63" i="1"/>
  <c r="CX62" i="1"/>
  <c r="CX61" i="1"/>
  <c r="CX60" i="1"/>
  <c r="CX59" i="1"/>
  <c r="CX58" i="1"/>
  <c r="CX57" i="1"/>
  <c r="CX56" i="1"/>
  <c r="CX55" i="1"/>
  <c r="CX54" i="1"/>
  <c r="CX53" i="1"/>
  <c r="CX52" i="1"/>
  <c r="CX51" i="1"/>
  <c r="CX50" i="1"/>
  <c r="CX49" i="1"/>
  <c r="CX48" i="1"/>
  <c r="CX47" i="1"/>
  <c r="CX46" i="1"/>
  <c r="CX45" i="1"/>
  <c r="CX44" i="1"/>
  <c r="CX43" i="1"/>
  <c r="CX42" i="1"/>
  <c r="CX41" i="1"/>
  <c r="CX40" i="1"/>
  <c r="CX39" i="1"/>
  <c r="CX38" i="1"/>
  <c r="CX37" i="1"/>
  <c r="CX36" i="1"/>
  <c r="CX35" i="1"/>
  <c r="CX34" i="1"/>
  <c r="CX33" i="1"/>
  <c r="CX32" i="1"/>
  <c r="CX31" i="1"/>
  <c r="CX30" i="1"/>
  <c r="CX29" i="1"/>
  <c r="CX28" i="1"/>
  <c r="CX27" i="1"/>
  <c r="CX26" i="1"/>
  <c r="CX25" i="1"/>
  <c r="CX24" i="1"/>
  <c r="CX23" i="1"/>
  <c r="CX22" i="1"/>
  <c r="CX21" i="1"/>
  <c r="CX20" i="1"/>
  <c r="CX19" i="1"/>
  <c r="CX18" i="1"/>
  <c r="CX17" i="1"/>
  <c r="CX16" i="1"/>
  <c r="CX15" i="1"/>
  <c r="CX14" i="1"/>
  <c r="CX13" i="1"/>
  <c r="CX12" i="1"/>
  <c r="CX11" i="1"/>
  <c r="CX10" i="1"/>
  <c r="CX9" i="1"/>
  <c r="CX8" i="1"/>
  <c r="CX7" i="1"/>
  <c r="CX6" i="1"/>
  <c r="CX5" i="1"/>
  <c r="CX4" i="1"/>
  <c r="CH509" i="1" l="1"/>
  <c r="CI509" i="1" s="1"/>
  <c r="CH517" i="1"/>
  <c r="CI517" i="1" s="1"/>
  <c r="CH513" i="1"/>
  <c r="CI513" i="1" s="1"/>
  <c r="CH514" i="1"/>
  <c r="CI514" i="1" s="1"/>
  <c r="CH515" i="1"/>
  <c r="CI515" i="1" s="1"/>
  <c r="CH510" i="1"/>
  <c r="CI510" i="1" s="1"/>
  <c r="CH508" i="1"/>
  <c r="CI508" i="1" s="1"/>
  <c r="CH516" i="1"/>
  <c r="CI516" i="1" s="1"/>
  <c r="CH518" i="1"/>
  <c r="CI518" i="1" s="1"/>
  <c r="CH512" i="1"/>
  <c r="CI512" i="1" s="1"/>
  <c r="AI514" i="1"/>
  <c r="AI517" i="1"/>
  <c r="AI509" i="1"/>
  <c r="AI515" i="1"/>
  <c r="AI510" i="1"/>
  <c r="AI508" i="1"/>
  <c r="AI513" i="1"/>
  <c r="AI516" i="1"/>
  <c r="AI518" i="1"/>
  <c r="AI512" i="1"/>
  <c r="AX3" i="7"/>
  <c r="AG515" i="1"/>
  <c r="AF517" i="1"/>
  <c r="AF516" i="1"/>
  <c r="AF518" i="1"/>
  <c r="AJ517" i="1"/>
  <c r="AJ510" i="1"/>
  <c r="AJ514" i="1"/>
  <c r="AF510" i="1"/>
  <c r="AF508" i="1"/>
  <c r="AG509" i="1"/>
  <c r="AG512" i="1"/>
  <c r="AR514" i="1"/>
  <c r="AG508" i="1"/>
  <c r="AG516" i="1"/>
  <c r="AF515" i="1"/>
  <c r="AF509" i="1"/>
  <c r="AF514" i="1"/>
  <c r="AJ515" i="1"/>
  <c r="AJ513" i="1"/>
  <c r="AJ508" i="1"/>
  <c r="AR508" i="1"/>
  <c r="AJ509" i="1"/>
  <c r="AG510" i="1"/>
  <c r="AG514" i="1"/>
  <c r="AJ512" i="1"/>
  <c r="AJ518" i="1"/>
  <c r="AJ516" i="1"/>
  <c r="AF513" i="1"/>
  <c r="AG518" i="1"/>
  <c r="AF512" i="1"/>
  <c r="AR509" i="1"/>
  <c r="AR512" i="1"/>
  <c r="AR513" i="1"/>
  <c r="AR518" i="1"/>
  <c r="AR517" i="1"/>
  <c r="AR516" i="1"/>
  <c r="AR515" i="1"/>
  <c r="AG517" i="1"/>
  <c r="AG513" i="1"/>
  <c r="AR510" i="1" l="1"/>
  <c r="CK3" i="2" l="1"/>
  <c r="CK4" i="2"/>
  <c r="CK5" i="2"/>
  <c r="CI6" i="2"/>
  <c r="CK6" i="2"/>
  <c r="CI10" i="2"/>
  <c r="CK7" i="2"/>
  <c r="CI11" i="2"/>
  <c r="CK8" i="2"/>
  <c r="CI12" i="2"/>
  <c r="CK9" i="2"/>
  <c r="CB14" i="2"/>
  <c r="CD14" i="2"/>
  <c r="CI14" i="2"/>
  <c r="CK10" i="2"/>
  <c r="CB16" i="2"/>
  <c r="CD16" i="2"/>
  <c r="CI16" i="2"/>
  <c r="CK11" i="2"/>
  <c r="CB17" i="2"/>
  <c r="CD17" i="2"/>
  <c r="CI17" i="2"/>
  <c r="CK12" i="2"/>
  <c r="CI18" i="2"/>
  <c r="CK13" i="2"/>
  <c r="CI15" i="2"/>
  <c r="CK14" i="2"/>
  <c r="CB19" i="2"/>
  <c r="CD19" i="2"/>
  <c r="CI19" i="2"/>
  <c r="CK15" i="2"/>
  <c r="CB7" i="2"/>
  <c r="CD7" i="2"/>
  <c r="CI7" i="2"/>
  <c r="CK16" i="2"/>
  <c r="CI9" i="2"/>
  <c r="CK17" i="2"/>
  <c r="CB8" i="2"/>
  <c r="CD8" i="2"/>
  <c r="CI8" i="2"/>
  <c r="CK18" i="2"/>
  <c r="CB20" i="2"/>
  <c r="CD20" i="2"/>
  <c r="CI20" i="2"/>
  <c r="AC9" i="2"/>
  <c r="CB9" i="2" s="1"/>
  <c r="AC17" i="4"/>
  <c r="AD17" i="4"/>
  <c r="AE17" i="4"/>
  <c r="AF17" i="4"/>
  <c r="AH17" i="4"/>
  <c r="AH16" i="4"/>
  <c r="AF16" i="4"/>
  <c r="AD15" i="2"/>
  <c r="AD18" i="2"/>
  <c r="AD9" i="2"/>
  <c r="AC15" i="2"/>
  <c r="CB15" i="2" s="1"/>
  <c r="AC18" i="2"/>
  <c r="CB18" i="2" s="1"/>
  <c r="AD16" i="4"/>
  <c r="AC16" i="4"/>
  <c r="CK19" i="2"/>
  <c r="CL19" i="2"/>
  <c r="CI13" i="2"/>
  <c r="BE13" i="2"/>
  <c r="BF13" i="2" s="1"/>
  <c r="AP13" i="2"/>
  <c r="AQ13" i="2" s="1"/>
  <c r="AL13" i="2"/>
  <c r="AK13" i="2"/>
  <c r="AH13" i="2"/>
  <c r="AE13" i="2"/>
  <c r="AD13" i="2"/>
  <c r="AC13" i="2"/>
  <c r="V500" i="1"/>
  <c r="V506" i="1"/>
  <c r="V503" i="1"/>
  <c r="V501" i="1"/>
  <c r="V504" i="1"/>
  <c r="V511" i="1"/>
  <c r="V505" i="1"/>
  <c r="V507" i="1"/>
  <c r="V499" i="1"/>
  <c r="AL24" i="7" s="1"/>
  <c r="AM24" i="7" s="1"/>
  <c r="CL507" i="1"/>
  <c r="CM507" i="1"/>
  <c r="CP507" i="1"/>
  <c r="CS507" i="1"/>
  <c r="CL499" i="1"/>
  <c r="CM499" i="1"/>
  <c r="CP499" i="1"/>
  <c r="CS499" i="1"/>
  <c r="CL500" i="1"/>
  <c r="CM500" i="1"/>
  <c r="CP500" i="1"/>
  <c r="CS500" i="1"/>
  <c r="CL506" i="1"/>
  <c r="CM506" i="1"/>
  <c r="CP506" i="1"/>
  <c r="CS506" i="1"/>
  <c r="CL503" i="1"/>
  <c r="CM503" i="1"/>
  <c r="CP503" i="1"/>
  <c r="CS503" i="1"/>
  <c r="CL501" i="1"/>
  <c r="CM501" i="1"/>
  <c r="CP501" i="1"/>
  <c r="CS501" i="1"/>
  <c r="CL504" i="1"/>
  <c r="CM504" i="1"/>
  <c r="CP504" i="1"/>
  <c r="CS504" i="1"/>
  <c r="CL511" i="1"/>
  <c r="CM511" i="1"/>
  <c r="CP511" i="1"/>
  <c r="CS511" i="1"/>
  <c r="CL505" i="1"/>
  <c r="CM505" i="1"/>
  <c r="CP505" i="1"/>
  <c r="CS505" i="1"/>
  <c r="AD507" i="1"/>
  <c r="AE507" i="1"/>
  <c r="AH507" i="1"/>
  <c r="AD499" i="1"/>
  <c r="AE499" i="1"/>
  <c r="AH499" i="1"/>
  <c r="AD500" i="1"/>
  <c r="AE500" i="1"/>
  <c r="AH500" i="1"/>
  <c r="AD506" i="1"/>
  <c r="AE506" i="1"/>
  <c r="AH506" i="1"/>
  <c r="AD503" i="1"/>
  <c r="AE503" i="1"/>
  <c r="AH503" i="1"/>
  <c r="AD501" i="1"/>
  <c r="AE501" i="1"/>
  <c r="AH501" i="1"/>
  <c r="AD504" i="1"/>
  <c r="AE504" i="1"/>
  <c r="AH504" i="1"/>
  <c r="AD511" i="1"/>
  <c r="AE511" i="1"/>
  <c r="AH511" i="1"/>
  <c r="AD505" i="1"/>
  <c r="AE505" i="1"/>
  <c r="AH505" i="1"/>
  <c r="AR505" i="1"/>
  <c r="CH504" i="1" l="1"/>
  <c r="CI504" i="1" s="1"/>
  <c r="CH507" i="1"/>
  <c r="CI507" i="1" s="1"/>
  <c r="CH506" i="1"/>
  <c r="CI506" i="1" s="1"/>
  <c r="CH501" i="1"/>
  <c r="CI501" i="1" s="1"/>
  <c r="CH500" i="1"/>
  <c r="CI500" i="1" s="1"/>
  <c r="CH499" i="1"/>
  <c r="CI499" i="1" s="1"/>
  <c r="CH503" i="1"/>
  <c r="CI503" i="1" s="1"/>
  <c r="CH505" i="1"/>
  <c r="CI505" i="1" s="1"/>
  <c r="CH511" i="1"/>
  <c r="CI511" i="1" s="1"/>
  <c r="AI504" i="1"/>
  <c r="AI506" i="1"/>
  <c r="AI507" i="1"/>
  <c r="AI503" i="1"/>
  <c r="AI499" i="1"/>
  <c r="AI511" i="1"/>
  <c r="AI501" i="1"/>
  <c r="AI500" i="1"/>
  <c r="AI505" i="1"/>
  <c r="AG17" i="4"/>
  <c r="AC18" i="4"/>
  <c r="I41" i="6"/>
  <c r="K46" i="6"/>
  <c r="I40" i="6"/>
  <c r="J46" i="6"/>
  <c r="M41" i="6"/>
  <c r="L41" i="6"/>
  <c r="L40" i="6"/>
  <c r="M47" i="6"/>
  <c r="L47" i="6"/>
  <c r="I47" i="6"/>
  <c r="K47" i="6"/>
  <c r="K41" i="6"/>
  <c r="L46" i="6"/>
  <c r="I46" i="6"/>
  <c r="J47" i="6"/>
  <c r="J41" i="6"/>
  <c r="K40" i="6"/>
  <c r="M46" i="6"/>
  <c r="M40" i="6"/>
  <c r="J40" i="6"/>
  <c r="CB13" i="2"/>
  <c r="AG16" i="4" s="1"/>
  <c r="CD9" i="2"/>
  <c r="CD15" i="2"/>
  <c r="CD18" i="2"/>
  <c r="AD18" i="4"/>
  <c r="AJ13" i="2"/>
  <c r="AN13" i="2"/>
  <c r="AG13" i="2" s="1"/>
  <c r="CD13" i="2"/>
  <c r="CE13" i="2" s="1"/>
  <c r="AS13" i="2"/>
  <c r="AT13" i="2" s="1"/>
  <c r="AR13" i="2"/>
  <c r="AI13" i="2"/>
  <c r="CH13" i="2"/>
  <c r="AM13" i="2"/>
  <c r="AO13" i="2" s="1"/>
  <c r="AF13" i="2" s="1"/>
  <c r="AF511" i="1"/>
  <c r="AJ500" i="1"/>
  <c r="AJ511" i="1"/>
  <c r="AF507" i="1"/>
  <c r="AJ507" i="1"/>
  <c r="AJ506" i="1"/>
  <c r="AJ503" i="1"/>
  <c r="AG507" i="1"/>
  <c r="AJ505" i="1"/>
  <c r="AJ504" i="1"/>
  <c r="AG505" i="1"/>
  <c r="AG504" i="1"/>
  <c r="AR504" i="1"/>
  <c r="AR500" i="1"/>
  <c r="AF500" i="1"/>
  <c r="AF505" i="1"/>
  <c r="AG511" i="1"/>
  <c r="AF504" i="1"/>
  <c r="AR506" i="1"/>
  <c r="AG506" i="1"/>
  <c r="AR507" i="1"/>
  <c r="AF501" i="1"/>
  <c r="AR501" i="1"/>
  <c r="AG501" i="1"/>
  <c r="AJ501" i="1"/>
  <c r="AG503" i="1"/>
  <c r="AF503" i="1"/>
  <c r="AR503" i="1"/>
  <c r="AF506" i="1"/>
  <c r="AG500" i="1"/>
  <c r="AR499" i="1"/>
  <c r="AG499" i="1"/>
  <c r="AF499" i="1"/>
  <c r="AJ499" i="1"/>
  <c r="K42" i="6" l="1"/>
  <c r="L48" i="6"/>
  <c r="J42" i="6"/>
  <c r="M42" i="6"/>
  <c r="M48" i="6"/>
  <c r="L42" i="6"/>
  <c r="N46" i="6"/>
  <c r="I48" i="6"/>
  <c r="J48" i="6"/>
  <c r="N40" i="6"/>
  <c r="I42" i="6"/>
  <c r="N47" i="6"/>
  <c r="K48" i="6"/>
  <c r="N41" i="6"/>
  <c r="V502" i="1"/>
  <c r="CS502" i="1"/>
  <c r="CP502" i="1"/>
  <c r="AD502" i="1"/>
  <c r="AE502" i="1"/>
  <c r="AH502" i="1"/>
  <c r="CH502" i="1" l="1"/>
  <c r="CI502" i="1" s="1"/>
  <c r="AI502" i="1"/>
  <c r="N42" i="6"/>
  <c r="N48" i="6"/>
  <c r="AJ502" i="1"/>
  <c r="AF502" i="1"/>
  <c r="AR502" i="1"/>
  <c r="AG502" i="1"/>
  <c r="CP497" i="1"/>
  <c r="CS497" i="1"/>
  <c r="CP496" i="1"/>
  <c r="CS496" i="1"/>
  <c r="CP494" i="1"/>
  <c r="CS494" i="1"/>
  <c r="CP495" i="1"/>
  <c r="CS495" i="1"/>
  <c r="CP493" i="1"/>
  <c r="CS493" i="1"/>
  <c r="CM497" i="1"/>
  <c r="CM496" i="1"/>
  <c r="CM494" i="1"/>
  <c r="CM495" i="1"/>
  <c r="CM493" i="1"/>
  <c r="CM502" i="1"/>
  <c r="CL502" i="1"/>
  <c r="V497" i="1"/>
  <c r="V496" i="1"/>
  <c r="V494" i="1"/>
  <c r="V495" i="1"/>
  <c r="V493" i="1"/>
  <c r="U14" i="7" s="1"/>
  <c r="V14" i="7" s="1"/>
  <c r="CL493" i="1"/>
  <c r="CL495" i="1"/>
  <c r="CL494" i="1"/>
  <c r="CL496" i="1"/>
  <c r="CL497" i="1"/>
  <c r="BE481" i="1"/>
  <c r="BF481" i="1" s="1"/>
  <c r="BE484" i="1"/>
  <c r="BF484" i="1" s="1"/>
  <c r="BE480" i="1"/>
  <c r="BF480" i="1" s="1"/>
  <c r="BE485" i="1"/>
  <c r="BF485" i="1" s="1"/>
  <c r="BE479" i="1"/>
  <c r="BF479" i="1" s="1"/>
  <c r="BE483" i="1"/>
  <c r="BE482" i="1"/>
  <c r="BF482" i="1" s="1"/>
  <c r="BE486" i="1"/>
  <c r="BF486" i="1" s="1"/>
  <c r="BE488" i="1"/>
  <c r="BF488" i="1" s="1"/>
  <c r="BE487" i="1"/>
  <c r="BE492" i="1"/>
  <c r="BF492" i="1" s="1"/>
  <c r="BE489" i="1"/>
  <c r="BE490" i="1"/>
  <c r="BE491" i="1"/>
  <c r="BF491" i="1" s="1"/>
  <c r="AD497" i="1"/>
  <c r="AE497" i="1"/>
  <c r="AH497" i="1"/>
  <c r="AD496" i="1"/>
  <c r="AE496" i="1"/>
  <c r="AH496" i="1"/>
  <c r="AD494" i="1"/>
  <c r="AE494" i="1"/>
  <c r="AH494" i="1"/>
  <c r="AR494" i="1"/>
  <c r="AD495" i="1"/>
  <c r="AE495" i="1"/>
  <c r="AH495" i="1"/>
  <c r="AD493" i="1"/>
  <c r="AE493" i="1"/>
  <c r="AH493" i="1"/>
  <c r="CH494" i="1" l="1"/>
  <c r="CI494" i="1" s="1"/>
  <c r="CH495" i="1"/>
  <c r="CI495" i="1" s="1"/>
  <c r="CH497" i="1"/>
  <c r="CI497" i="1" s="1"/>
  <c r="CH493" i="1"/>
  <c r="CI493" i="1" s="1"/>
  <c r="CH496" i="1"/>
  <c r="CI496" i="1" s="1"/>
  <c r="AI494" i="1"/>
  <c r="AI497" i="1"/>
  <c r="AI495" i="1"/>
  <c r="AI493" i="1"/>
  <c r="AI496" i="1"/>
  <c r="AF497" i="1"/>
  <c r="AF495" i="1"/>
  <c r="AG496" i="1"/>
  <c r="AG494" i="1"/>
  <c r="AG493" i="1"/>
  <c r="AJ493" i="1"/>
  <c r="AJ495" i="1"/>
  <c r="AJ497" i="1"/>
  <c r="AR493" i="1"/>
  <c r="AR497" i="1"/>
  <c r="AF493" i="1"/>
  <c r="AF494" i="1"/>
  <c r="AF496" i="1"/>
  <c r="AG497" i="1"/>
  <c r="AJ494" i="1"/>
  <c r="AJ496" i="1"/>
  <c r="AR496" i="1"/>
  <c r="AR495" i="1"/>
  <c r="AG495" i="1"/>
  <c r="CP486" i="1" l="1"/>
  <c r="CS486" i="1"/>
  <c r="CP488" i="1"/>
  <c r="CS488" i="1"/>
  <c r="CP487" i="1"/>
  <c r="CS487" i="1"/>
  <c r="CP492" i="1"/>
  <c r="CS492" i="1"/>
  <c r="CP489" i="1"/>
  <c r="CS489" i="1"/>
  <c r="CP490" i="1"/>
  <c r="CS490" i="1"/>
  <c r="CP491" i="1"/>
  <c r="CS491" i="1"/>
  <c r="CP498" i="1"/>
  <c r="CS498" i="1"/>
  <c r="CM498" i="1"/>
  <c r="CL498" i="1"/>
  <c r="AD498" i="1"/>
  <c r="AE498" i="1"/>
  <c r="AH498" i="1"/>
  <c r="BE452" i="1"/>
  <c r="BF452" i="1" s="1"/>
  <c r="BE456" i="1"/>
  <c r="BF456" i="1" s="1"/>
  <c r="BE453" i="1"/>
  <c r="BF453" i="1" s="1"/>
  <c r="BE457" i="1"/>
  <c r="BF457" i="1" s="1"/>
  <c r="BE454" i="1"/>
  <c r="BF454" i="1" s="1"/>
  <c r="BE464" i="1"/>
  <c r="BE465" i="1"/>
  <c r="V308" i="1"/>
  <c r="V314" i="1"/>
  <c r="V311" i="1"/>
  <c r="V306" i="1"/>
  <c r="V312" i="1"/>
  <c r="V319" i="1"/>
  <c r="V323" i="1"/>
  <c r="V321" i="1"/>
  <c r="V322" i="1"/>
  <c r="V318" i="1"/>
  <c r="V317" i="1"/>
  <c r="AL15" i="7" s="1"/>
  <c r="AM15" i="7" s="1"/>
  <c r="V320" i="1"/>
  <c r="V324" i="1"/>
  <c r="V325" i="1"/>
  <c r="V326" i="1"/>
  <c r="AU22" i="7" s="1"/>
  <c r="AV22" i="7" s="1"/>
  <c r="V327" i="1"/>
  <c r="V328" i="1"/>
  <c r="V329" i="1"/>
  <c r="V330" i="1"/>
  <c r="V331" i="1"/>
  <c r="V335" i="1"/>
  <c r="V343" i="1"/>
  <c r="V340" i="1"/>
  <c r="V333" i="1"/>
  <c r="V338" i="1"/>
  <c r="V337" i="1"/>
  <c r="V336" i="1"/>
  <c r="AL8" i="7" s="1"/>
  <c r="AM8" i="7" s="1"/>
  <c r="V332" i="1"/>
  <c r="V341" i="1"/>
  <c r="V342" i="1"/>
  <c r="V334" i="1"/>
  <c r="V353" i="1"/>
  <c r="V346" i="1"/>
  <c r="V349" i="1"/>
  <c r="V345" i="1"/>
  <c r="V347" i="1"/>
  <c r="V351" i="1"/>
  <c r="V348" i="1"/>
  <c r="V339" i="1"/>
  <c r="V350" i="1"/>
  <c r="V352" i="1"/>
  <c r="V354" i="1"/>
  <c r="V344" i="1"/>
  <c r="V360" i="1"/>
  <c r="V355" i="1"/>
  <c r="AD8" i="7" s="1"/>
  <c r="V362" i="1"/>
  <c r="V359" i="1"/>
  <c r="V356" i="1"/>
  <c r="V358" i="1"/>
  <c r="V357" i="1"/>
  <c r="V361" i="1"/>
  <c r="V366" i="1"/>
  <c r="V363" i="1"/>
  <c r="V368" i="1"/>
  <c r="V367" i="1"/>
  <c r="V364" i="1"/>
  <c r="V365" i="1"/>
  <c r="V369" i="1"/>
  <c r="V370" i="1"/>
  <c r="V373" i="1"/>
  <c r="V371" i="1"/>
  <c r="V374" i="1"/>
  <c r="V386" i="1"/>
  <c r="V384" i="1"/>
  <c r="V389" i="1"/>
  <c r="V382" i="1"/>
  <c r="V388" i="1"/>
  <c r="V375" i="1"/>
  <c r="AL12" i="7" s="1"/>
  <c r="AM12" i="7" s="1"/>
  <c r="V380" i="1"/>
  <c r="V376" i="1"/>
  <c r="V385" i="1"/>
  <c r="V381" i="1"/>
  <c r="V378" i="1"/>
  <c r="V377" i="1"/>
  <c r="U6" i="7" s="1"/>
  <c r="V6" i="7" s="1"/>
  <c r="V387" i="1"/>
  <c r="V383" i="1"/>
  <c r="V392" i="1"/>
  <c r="V396" i="1"/>
  <c r="V397" i="1"/>
  <c r="V390" i="1"/>
  <c r="V395" i="1"/>
  <c r="V394" i="1"/>
  <c r="V393" i="1"/>
  <c r="V402" i="1"/>
  <c r="AL6" i="7" s="1"/>
  <c r="V403" i="1"/>
  <c r="AL36" i="7" s="1"/>
  <c r="AM36" i="7" s="1"/>
  <c r="V405" i="1"/>
  <c r="V404" i="1"/>
  <c r="V398" i="1"/>
  <c r="V400" i="1"/>
  <c r="V399" i="1"/>
  <c r="V401" i="1"/>
  <c r="V406" i="1"/>
  <c r="V408" i="1"/>
  <c r="V415" i="1"/>
  <c r="V419" i="1"/>
  <c r="V427" i="1"/>
  <c r="V428" i="1"/>
  <c r="AU10" i="7" s="1"/>
  <c r="AV10" i="7" s="1"/>
  <c r="V409" i="1"/>
  <c r="V420" i="1"/>
  <c r="V413" i="1"/>
  <c r="V424" i="1"/>
  <c r="V417" i="1"/>
  <c r="V418" i="1"/>
  <c r="V421" i="1"/>
  <c r="AL20" i="7" s="1"/>
  <c r="AM20" i="7" s="1"/>
  <c r="V416" i="1"/>
  <c r="V407" i="1"/>
  <c r="V426" i="1"/>
  <c r="V422" i="1"/>
  <c r="V412" i="1"/>
  <c r="AD12" i="7" s="1"/>
  <c r="V425" i="1"/>
  <c r="AU8" i="7" s="1"/>
  <c r="V423" i="1"/>
  <c r="V414" i="1"/>
  <c r="V411" i="1"/>
  <c r="V410" i="1"/>
  <c r="V429" i="1"/>
  <c r="AL21" i="7" s="1"/>
  <c r="AM21" i="7" s="1"/>
  <c r="V432" i="1"/>
  <c r="V444" i="1"/>
  <c r="V437" i="1"/>
  <c r="V430" i="1"/>
  <c r="V435" i="1"/>
  <c r="V431" i="1"/>
  <c r="V443" i="1"/>
  <c r="V438" i="1"/>
  <c r="V446" i="1"/>
  <c r="V447" i="1"/>
  <c r="V440" i="1"/>
  <c r="V436" i="1"/>
  <c r="V445" i="1"/>
  <c r="V441" i="1"/>
  <c r="V439" i="1"/>
  <c r="V433" i="1"/>
  <c r="V442" i="1"/>
  <c r="V434" i="1"/>
  <c r="V448" i="1"/>
  <c r="V449" i="1"/>
  <c r="V459" i="1"/>
  <c r="V468" i="1"/>
  <c r="V460" i="1"/>
  <c r="V450" i="1"/>
  <c r="V469" i="1"/>
  <c r="AD13" i="7" s="1"/>
  <c r="V463" i="1"/>
  <c r="AD14" i="7" s="1"/>
  <c r="V451" i="1"/>
  <c r="V458" i="1"/>
  <c r="V455" i="1"/>
  <c r="V470" i="1"/>
  <c r="U5" i="7" s="1"/>
  <c r="V461" i="1"/>
  <c r="V452" i="1"/>
  <c r="V456" i="1"/>
  <c r="V453" i="1"/>
  <c r="V457" i="1"/>
  <c r="AU18" i="7" s="1"/>
  <c r="AV18" i="7" s="1"/>
  <c r="V454" i="1"/>
  <c r="AL7" i="7" s="1"/>
  <c r="AM7" i="7" s="1"/>
  <c r="V464" i="1"/>
  <c r="V465" i="1"/>
  <c r="V466" i="1"/>
  <c r="AL22" i="7" s="1"/>
  <c r="AM22" i="7" s="1"/>
  <c r="V467" i="1"/>
  <c r="AL37" i="7" s="1"/>
  <c r="AM37" i="7" s="1"/>
  <c r="V477" i="1"/>
  <c r="V472" i="1"/>
  <c r="AL23" i="7" s="1"/>
  <c r="AM23" i="7" s="1"/>
  <c r="V474" i="1"/>
  <c r="V475" i="1"/>
  <c r="V476" i="1"/>
  <c r="AD15" i="7" s="1"/>
  <c r="V473" i="1"/>
  <c r="AD16" i="7" s="1"/>
  <c r="V471" i="1"/>
  <c r="V478" i="1"/>
  <c r="V462" i="1"/>
  <c r="V481" i="1"/>
  <c r="V484" i="1"/>
  <c r="AD17" i="7" s="1"/>
  <c r="V480" i="1"/>
  <c r="AD18" i="7" s="1"/>
  <c r="V485" i="1"/>
  <c r="V479" i="1"/>
  <c r="V483" i="1"/>
  <c r="V482" i="1"/>
  <c r="V486" i="1"/>
  <c r="V488" i="1"/>
  <c r="V487" i="1"/>
  <c r="AD19" i="7" s="1"/>
  <c r="V492" i="1"/>
  <c r="V489" i="1"/>
  <c r="V490" i="1"/>
  <c r="V491" i="1"/>
  <c r="V498" i="1"/>
  <c r="AM6" i="7" l="1"/>
  <c r="V5" i="7"/>
  <c r="E34" i="7"/>
  <c r="AV8" i="7"/>
  <c r="CH498" i="1"/>
  <c r="CI498" i="1" s="1"/>
  <c r="AI498" i="1"/>
  <c r="AR498" i="1"/>
  <c r="AJ498" i="1"/>
  <c r="AG498" i="1"/>
  <c r="AF498" i="1"/>
  <c r="CM486" i="1" l="1"/>
  <c r="CL486" i="1"/>
  <c r="CM488" i="1"/>
  <c r="CL488" i="1"/>
  <c r="CM487" i="1"/>
  <c r="CL487" i="1"/>
  <c r="CM492" i="1"/>
  <c r="CL492" i="1"/>
  <c r="CM489" i="1"/>
  <c r="CL489" i="1"/>
  <c r="CM490" i="1"/>
  <c r="CL490" i="1"/>
  <c r="CM491" i="1"/>
  <c r="CL491" i="1"/>
  <c r="AI64" i="4" l="1"/>
  <c r="Z56" i="4"/>
  <c r="AA56" i="4"/>
  <c r="AD486" i="1" l="1"/>
  <c r="AE486" i="1"/>
  <c r="AH486" i="1"/>
  <c r="AD488" i="1"/>
  <c r="AE488" i="1"/>
  <c r="AH488" i="1"/>
  <c r="AD487" i="1"/>
  <c r="AE487" i="1"/>
  <c r="AH487" i="1"/>
  <c r="AD492" i="1"/>
  <c r="AE492" i="1"/>
  <c r="AH492" i="1"/>
  <c r="AD489" i="1"/>
  <c r="AE489" i="1"/>
  <c r="AH489" i="1"/>
  <c r="AD490" i="1"/>
  <c r="AE490" i="1"/>
  <c r="AH490" i="1"/>
  <c r="AD491" i="1"/>
  <c r="AE491" i="1"/>
  <c r="AH491" i="1"/>
  <c r="CS4" i="1"/>
  <c r="CS5" i="1"/>
  <c r="CS6" i="1"/>
  <c r="CS7" i="1"/>
  <c r="CS8" i="1"/>
  <c r="CS9" i="1"/>
  <c r="CS10" i="1"/>
  <c r="CS11" i="1"/>
  <c r="CS12" i="1"/>
  <c r="CS13" i="1"/>
  <c r="CS14" i="1"/>
  <c r="CS15" i="1"/>
  <c r="CS16" i="1"/>
  <c r="CS17" i="1"/>
  <c r="CS18" i="1"/>
  <c r="CS19" i="1"/>
  <c r="CS20" i="1"/>
  <c r="CS21" i="1"/>
  <c r="CS22" i="1"/>
  <c r="CS23" i="1"/>
  <c r="CS24" i="1"/>
  <c r="CS25" i="1"/>
  <c r="CS26" i="1"/>
  <c r="CS27" i="1"/>
  <c r="CS28" i="1"/>
  <c r="CS29" i="1"/>
  <c r="CS30" i="1"/>
  <c r="CS31" i="1"/>
  <c r="CS32" i="1"/>
  <c r="CS33" i="1"/>
  <c r="CS34" i="1"/>
  <c r="CS35" i="1"/>
  <c r="CS36" i="1"/>
  <c r="CS37" i="1"/>
  <c r="CS38" i="1"/>
  <c r="CS39" i="1"/>
  <c r="CS40" i="1"/>
  <c r="CS41" i="1"/>
  <c r="CS42" i="1"/>
  <c r="CS43" i="1"/>
  <c r="CS44" i="1"/>
  <c r="CS45" i="1"/>
  <c r="CS46" i="1"/>
  <c r="CS47" i="1"/>
  <c r="CS48" i="1"/>
  <c r="CS49" i="1"/>
  <c r="CS50" i="1"/>
  <c r="CS51" i="1"/>
  <c r="CS52" i="1"/>
  <c r="CS53" i="1"/>
  <c r="CS54" i="1"/>
  <c r="CS55" i="1"/>
  <c r="CS56" i="1"/>
  <c r="CS57" i="1"/>
  <c r="CS58" i="1"/>
  <c r="CS59" i="1"/>
  <c r="CS60" i="1"/>
  <c r="CS61" i="1"/>
  <c r="CS62" i="1"/>
  <c r="CS63" i="1"/>
  <c r="CS64" i="1"/>
  <c r="CS65" i="1"/>
  <c r="CS66" i="1"/>
  <c r="CS67" i="1"/>
  <c r="CS68" i="1"/>
  <c r="CS69" i="1"/>
  <c r="CS70" i="1"/>
  <c r="CS71" i="1"/>
  <c r="CS73" i="1"/>
  <c r="CS74" i="1"/>
  <c r="CS75" i="1"/>
  <c r="CS76" i="1"/>
  <c r="CS77" i="1"/>
  <c r="CS78" i="1"/>
  <c r="CS79" i="1"/>
  <c r="CS80" i="1"/>
  <c r="CS81" i="1"/>
  <c r="CS82" i="1"/>
  <c r="CS83" i="1"/>
  <c r="CS84" i="1"/>
  <c r="CS85" i="1"/>
  <c r="CS86" i="1"/>
  <c r="CS87" i="1"/>
  <c r="CS88" i="1"/>
  <c r="CS89" i="1"/>
  <c r="CS90" i="1"/>
  <c r="CS91" i="1"/>
  <c r="CS92" i="1"/>
  <c r="CS93" i="1"/>
  <c r="CS94" i="1"/>
  <c r="CS95" i="1"/>
  <c r="CS96" i="1"/>
  <c r="CS97" i="1"/>
  <c r="CS98" i="1"/>
  <c r="CS99" i="1"/>
  <c r="CS100" i="1"/>
  <c r="CS101" i="1"/>
  <c r="CS102" i="1"/>
  <c r="CS103" i="1"/>
  <c r="CS104" i="1"/>
  <c r="CS105" i="1"/>
  <c r="CS106" i="1"/>
  <c r="CS107" i="1"/>
  <c r="CS108" i="1"/>
  <c r="CS109" i="1"/>
  <c r="CS110" i="1"/>
  <c r="CS111" i="1"/>
  <c r="CS112" i="1"/>
  <c r="CS113" i="1"/>
  <c r="CS114" i="1"/>
  <c r="CS115" i="1"/>
  <c r="CS116" i="1"/>
  <c r="CS117" i="1"/>
  <c r="CS118" i="1"/>
  <c r="CS119" i="1"/>
  <c r="CS120" i="1"/>
  <c r="CS121" i="1"/>
  <c r="CS122" i="1"/>
  <c r="CS123" i="1"/>
  <c r="CS124" i="1"/>
  <c r="CS125" i="1"/>
  <c r="CS126" i="1"/>
  <c r="CS127" i="1"/>
  <c r="CS129" i="1"/>
  <c r="CS128" i="1"/>
  <c r="CS131" i="1"/>
  <c r="CS130" i="1"/>
  <c r="CS132" i="1"/>
  <c r="CS133" i="1"/>
  <c r="CS135" i="1"/>
  <c r="CS134" i="1"/>
  <c r="CS136" i="1"/>
  <c r="CS137" i="1"/>
  <c r="CS138" i="1"/>
  <c r="CS140" i="1"/>
  <c r="CS141" i="1"/>
  <c r="CS139" i="1"/>
  <c r="CS142" i="1"/>
  <c r="CS144" i="1"/>
  <c r="CS143" i="1"/>
  <c r="CS145" i="1"/>
  <c r="CS146" i="1"/>
  <c r="CS148" i="1"/>
  <c r="CS150" i="1"/>
  <c r="CS147" i="1"/>
  <c r="CS149" i="1"/>
  <c r="CS151" i="1"/>
  <c r="CS152" i="1"/>
  <c r="CS153" i="1"/>
  <c r="CS156" i="1"/>
  <c r="CS155" i="1"/>
  <c r="CS157" i="1"/>
  <c r="CS154" i="1"/>
  <c r="CS158" i="1"/>
  <c r="CS159" i="1"/>
  <c r="CS160" i="1"/>
  <c r="CS162" i="1"/>
  <c r="CS161" i="1"/>
  <c r="CS164" i="1"/>
  <c r="CS165" i="1"/>
  <c r="CS167" i="1"/>
  <c r="CS166" i="1"/>
  <c r="CS163" i="1"/>
  <c r="CS168" i="1"/>
  <c r="CS169" i="1"/>
  <c r="CS170" i="1"/>
  <c r="CS172" i="1"/>
  <c r="CS171" i="1"/>
  <c r="CS177" i="1"/>
  <c r="CS174" i="1"/>
  <c r="CS176" i="1"/>
  <c r="CS175" i="1"/>
  <c r="CS178" i="1"/>
  <c r="CS173" i="1"/>
  <c r="CS180" i="1"/>
  <c r="CS179" i="1"/>
  <c r="CS181" i="1"/>
  <c r="CS183" i="1"/>
  <c r="CS184" i="1"/>
  <c r="CS185" i="1"/>
  <c r="CS182" i="1"/>
  <c r="CS188" i="1"/>
  <c r="CS189" i="1"/>
  <c r="CS186" i="1"/>
  <c r="CS187" i="1"/>
  <c r="CS191" i="1"/>
  <c r="CS193" i="1"/>
  <c r="CS192" i="1"/>
  <c r="CS190" i="1"/>
  <c r="CS200" i="1"/>
  <c r="CS194" i="1"/>
  <c r="CS195" i="1"/>
  <c r="CS199" i="1"/>
  <c r="CS198" i="1"/>
  <c r="CS197" i="1"/>
  <c r="CS196" i="1"/>
  <c r="CS205" i="1"/>
  <c r="CS203" i="1"/>
  <c r="CS201" i="1"/>
  <c r="CS204" i="1"/>
  <c r="CS202" i="1"/>
  <c r="CS206" i="1"/>
  <c r="CS207" i="1"/>
  <c r="CS213" i="1"/>
  <c r="CS208" i="1"/>
  <c r="CS212" i="1"/>
  <c r="CS210" i="1"/>
  <c r="CS214" i="1"/>
  <c r="CS209" i="1"/>
  <c r="CS211" i="1"/>
  <c r="CS215" i="1"/>
  <c r="CS219" i="1"/>
  <c r="CS221" i="1"/>
  <c r="CS228" i="1"/>
  <c r="CS234" i="1"/>
  <c r="CS222" i="1"/>
  <c r="CS226" i="1"/>
  <c r="CS230" i="1"/>
  <c r="CS232" i="1"/>
  <c r="CS229" i="1"/>
  <c r="CS216" i="1"/>
  <c r="CS227" i="1"/>
  <c r="CS220" i="1"/>
  <c r="CS218" i="1"/>
  <c r="CS231" i="1"/>
  <c r="CS223" i="1"/>
  <c r="CS225" i="1"/>
  <c r="CS224" i="1"/>
  <c r="CS217" i="1"/>
  <c r="CS241" i="1"/>
  <c r="CS238" i="1"/>
  <c r="CS233" i="1"/>
  <c r="CS239" i="1"/>
  <c r="CS240" i="1"/>
  <c r="CS235" i="1"/>
  <c r="CS237" i="1"/>
  <c r="CS236" i="1"/>
  <c r="CS242" i="1"/>
  <c r="CS243" i="1"/>
  <c r="CS249" i="1"/>
  <c r="CS247" i="1"/>
  <c r="CS244" i="1"/>
  <c r="CS248" i="1"/>
  <c r="CS245" i="1"/>
  <c r="CS250" i="1"/>
  <c r="CS246" i="1"/>
  <c r="CS256" i="1"/>
  <c r="CS252" i="1"/>
  <c r="CS251" i="1"/>
  <c r="CS254" i="1"/>
  <c r="CS253" i="1"/>
  <c r="CS255" i="1"/>
  <c r="CS258" i="1"/>
  <c r="CS261" i="1"/>
  <c r="CS259" i="1"/>
  <c r="CS260" i="1"/>
  <c r="CS262" i="1"/>
  <c r="CS257" i="1"/>
  <c r="CS264" i="1"/>
  <c r="CS272" i="1"/>
  <c r="CS271" i="1"/>
  <c r="CS276" i="1"/>
  <c r="CS274" i="1"/>
  <c r="CS270" i="1"/>
  <c r="CS269" i="1"/>
  <c r="CS268" i="1"/>
  <c r="CS263" i="1"/>
  <c r="CS277" i="1"/>
  <c r="CS266" i="1"/>
  <c r="CS265" i="1"/>
  <c r="CS275" i="1"/>
  <c r="CS273" i="1"/>
  <c r="CS267" i="1"/>
  <c r="CS278" i="1"/>
  <c r="CS281" i="1"/>
  <c r="CS282" i="1"/>
  <c r="CS285" i="1"/>
  <c r="CS283" i="1"/>
  <c r="CS284" i="1"/>
  <c r="CS280" i="1"/>
  <c r="CS279" i="1"/>
  <c r="CS286" i="1"/>
  <c r="CS287" i="1"/>
  <c r="CS290" i="1"/>
  <c r="CS288" i="1"/>
  <c r="CS289" i="1"/>
  <c r="CS291" i="1"/>
  <c r="CS292" i="1"/>
  <c r="CS294" i="1"/>
  <c r="CS293" i="1"/>
  <c r="CS295" i="1"/>
  <c r="CS296" i="1"/>
  <c r="CS297" i="1"/>
  <c r="CS299" i="1"/>
  <c r="CS298" i="1"/>
  <c r="CS301" i="1"/>
  <c r="CS300" i="1"/>
  <c r="CS304" i="1"/>
  <c r="CS305" i="1"/>
  <c r="CS302" i="1"/>
  <c r="CS303" i="1"/>
  <c r="CS309" i="1"/>
  <c r="CS313" i="1"/>
  <c r="CS307" i="1"/>
  <c r="CS310" i="1"/>
  <c r="CS315" i="1"/>
  <c r="CS316" i="1"/>
  <c r="CS308" i="1"/>
  <c r="CS314" i="1"/>
  <c r="CS311" i="1"/>
  <c r="CS306" i="1"/>
  <c r="CS312" i="1"/>
  <c r="CS319" i="1"/>
  <c r="CS323" i="1"/>
  <c r="CS321" i="1"/>
  <c r="CS322" i="1"/>
  <c r="CS318" i="1"/>
  <c r="CS317" i="1"/>
  <c r="CS320" i="1"/>
  <c r="CS324" i="1"/>
  <c r="CS325" i="1"/>
  <c r="CS326" i="1"/>
  <c r="CS327" i="1"/>
  <c r="CS328" i="1"/>
  <c r="CS329" i="1"/>
  <c r="CS330" i="1"/>
  <c r="CS331" i="1"/>
  <c r="CS335" i="1"/>
  <c r="CS343" i="1"/>
  <c r="CS340" i="1"/>
  <c r="CS333" i="1"/>
  <c r="CS338" i="1"/>
  <c r="CS337" i="1"/>
  <c r="CS336" i="1"/>
  <c r="CS332" i="1"/>
  <c r="CS341" i="1"/>
  <c r="CS342" i="1"/>
  <c r="CS334" i="1"/>
  <c r="CS353" i="1"/>
  <c r="CS346" i="1"/>
  <c r="CS349" i="1"/>
  <c r="CS345" i="1"/>
  <c r="CS347" i="1"/>
  <c r="CS351" i="1"/>
  <c r="CS348" i="1"/>
  <c r="CS339" i="1"/>
  <c r="CS350" i="1"/>
  <c r="CS352" i="1"/>
  <c r="CS354" i="1"/>
  <c r="CS344" i="1"/>
  <c r="CS360" i="1"/>
  <c r="CS355" i="1"/>
  <c r="CS362" i="1"/>
  <c r="CS359" i="1"/>
  <c r="CS356" i="1"/>
  <c r="CS358" i="1"/>
  <c r="CS357" i="1"/>
  <c r="CS361" i="1"/>
  <c r="CS366" i="1"/>
  <c r="CS363" i="1"/>
  <c r="CS368" i="1"/>
  <c r="CS367" i="1"/>
  <c r="CS364" i="1"/>
  <c r="CS365" i="1"/>
  <c r="CS369" i="1"/>
  <c r="CS370" i="1"/>
  <c r="CS373" i="1"/>
  <c r="CS371" i="1"/>
  <c r="CS372" i="1"/>
  <c r="CS374" i="1"/>
  <c r="CS386" i="1"/>
  <c r="CS384" i="1"/>
  <c r="CS389" i="1"/>
  <c r="CS382" i="1"/>
  <c r="CS388" i="1"/>
  <c r="CS375" i="1"/>
  <c r="CS380" i="1"/>
  <c r="CS376" i="1"/>
  <c r="CS385" i="1"/>
  <c r="CS381" i="1"/>
  <c r="CS378" i="1"/>
  <c r="CS377" i="1"/>
  <c r="CS387" i="1"/>
  <c r="CS379" i="1"/>
  <c r="CS383" i="1"/>
  <c r="CS392" i="1"/>
  <c r="CS396" i="1"/>
  <c r="CS397" i="1"/>
  <c r="CS390" i="1"/>
  <c r="CS395" i="1"/>
  <c r="CS394" i="1"/>
  <c r="CS393" i="1"/>
  <c r="CS402" i="1"/>
  <c r="CS403" i="1"/>
  <c r="CS405" i="1"/>
  <c r="CS404" i="1"/>
  <c r="CS398" i="1"/>
  <c r="CS400" i="1"/>
  <c r="CS399" i="1"/>
  <c r="CS401" i="1"/>
  <c r="CS406" i="1"/>
  <c r="CS408" i="1"/>
  <c r="CS415" i="1"/>
  <c r="CS419" i="1"/>
  <c r="CS427" i="1"/>
  <c r="CS428" i="1"/>
  <c r="CS409" i="1"/>
  <c r="CS420" i="1"/>
  <c r="CS413" i="1"/>
  <c r="CS424" i="1"/>
  <c r="CS417" i="1"/>
  <c r="CS418" i="1"/>
  <c r="CS421" i="1"/>
  <c r="CS416" i="1"/>
  <c r="CS407" i="1"/>
  <c r="CS426" i="1"/>
  <c r="CS422" i="1"/>
  <c r="CS412" i="1"/>
  <c r="CS425" i="1"/>
  <c r="CS423" i="1"/>
  <c r="CS414" i="1"/>
  <c r="CS411" i="1"/>
  <c r="CS410" i="1"/>
  <c r="CS391" i="1"/>
  <c r="CS429" i="1"/>
  <c r="CS432" i="1"/>
  <c r="CS444" i="1"/>
  <c r="CS437" i="1"/>
  <c r="CS430" i="1"/>
  <c r="CS435" i="1"/>
  <c r="CS431" i="1"/>
  <c r="CS443" i="1"/>
  <c r="CS438" i="1"/>
  <c r="CS446" i="1"/>
  <c r="CS447" i="1"/>
  <c r="CS440" i="1"/>
  <c r="CS436" i="1"/>
  <c r="CS445" i="1"/>
  <c r="CS441" i="1"/>
  <c r="CS439" i="1"/>
  <c r="CS433" i="1"/>
  <c r="CS442" i="1"/>
  <c r="CS434" i="1"/>
  <c r="CS448" i="1"/>
  <c r="CS449" i="1"/>
  <c r="CS459" i="1"/>
  <c r="CS468" i="1"/>
  <c r="CS460" i="1"/>
  <c r="CS450" i="1"/>
  <c r="CS469" i="1"/>
  <c r="CS463" i="1"/>
  <c r="CS451" i="1"/>
  <c r="CS458" i="1"/>
  <c r="CS455" i="1"/>
  <c r="CS470" i="1"/>
  <c r="CS461" i="1"/>
  <c r="CS452" i="1"/>
  <c r="CS456" i="1"/>
  <c r="CS453" i="1"/>
  <c r="CS457" i="1"/>
  <c r="CS454" i="1"/>
  <c r="CS464" i="1"/>
  <c r="CS465" i="1"/>
  <c r="CS466" i="1"/>
  <c r="CS467" i="1"/>
  <c r="CS477" i="1"/>
  <c r="CS472" i="1"/>
  <c r="CS474" i="1"/>
  <c r="CS475" i="1"/>
  <c r="CS476" i="1"/>
  <c r="CS473" i="1"/>
  <c r="CS471" i="1"/>
  <c r="CS478" i="1"/>
  <c r="CS462" i="1"/>
  <c r="CS481" i="1"/>
  <c r="CS484" i="1"/>
  <c r="CS480" i="1"/>
  <c r="CS485" i="1"/>
  <c r="CS479" i="1"/>
  <c r="CS483" i="1"/>
  <c r="CS482" i="1"/>
  <c r="CP4" i="1"/>
  <c r="CP5" i="1"/>
  <c r="CP6" i="1"/>
  <c r="CP7" i="1"/>
  <c r="CP8" i="1"/>
  <c r="CP9" i="1"/>
  <c r="CP10" i="1"/>
  <c r="CP11" i="1"/>
  <c r="CP12" i="1"/>
  <c r="CP13" i="1"/>
  <c r="CP14" i="1"/>
  <c r="CP15" i="1"/>
  <c r="CP16" i="1"/>
  <c r="CP17" i="1"/>
  <c r="CP18" i="1"/>
  <c r="CP19" i="1"/>
  <c r="CP20" i="1"/>
  <c r="CP21" i="1"/>
  <c r="CP22" i="1"/>
  <c r="CP23" i="1"/>
  <c r="CP24" i="1"/>
  <c r="CP25" i="1"/>
  <c r="CP26" i="1"/>
  <c r="CP27" i="1"/>
  <c r="CP28" i="1"/>
  <c r="CP29" i="1"/>
  <c r="CP30" i="1"/>
  <c r="CP31" i="1"/>
  <c r="CP32" i="1"/>
  <c r="CP33" i="1"/>
  <c r="CP34" i="1"/>
  <c r="CP35" i="1"/>
  <c r="CP36" i="1"/>
  <c r="CP37" i="1"/>
  <c r="CP38" i="1"/>
  <c r="CP39" i="1"/>
  <c r="CP40" i="1"/>
  <c r="CP41" i="1"/>
  <c r="CP42" i="1"/>
  <c r="CP43" i="1"/>
  <c r="CP44" i="1"/>
  <c r="CP45" i="1"/>
  <c r="CP46" i="1"/>
  <c r="CP47" i="1"/>
  <c r="CP48" i="1"/>
  <c r="CP49" i="1"/>
  <c r="CP50" i="1"/>
  <c r="CP51" i="1"/>
  <c r="CP52" i="1"/>
  <c r="CP53" i="1"/>
  <c r="CP54" i="1"/>
  <c r="CP55" i="1"/>
  <c r="CP56" i="1"/>
  <c r="CP57" i="1"/>
  <c r="CP58" i="1"/>
  <c r="CP59" i="1"/>
  <c r="CP60" i="1"/>
  <c r="CP61" i="1"/>
  <c r="CP62" i="1"/>
  <c r="CP63" i="1"/>
  <c r="CP64" i="1"/>
  <c r="CP65" i="1"/>
  <c r="CP66" i="1"/>
  <c r="CP67" i="1"/>
  <c r="CP68" i="1"/>
  <c r="CP69" i="1"/>
  <c r="CP70" i="1"/>
  <c r="CP71" i="1"/>
  <c r="CP73" i="1"/>
  <c r="CP74" i="1"/>
  <c r="CP75" i="1"/>
  <c r="CP76" i="1"/>
  <c r="CP77" i="1"/>
  <c r="CP78" i="1"/>
  <c r="CP79" i="1"/>
  <c r="CP80" i="1"/>
  <c r="CP81" i="1"/>
  <c r="CP82" i="1"/>
  <c r="CP83" i="1"/>
  <c r="CP84" i="1"/>
  <c r="CP85" i="1"/>
  <c r="CP86" i="1"/>
  <c r="CP87" i="1"/>
  <c r="CP88" i="1"/>
  <c r="CP89" i="1"/>
  <c r="CP90" i="1"/>
  <c r="CP91" i="1"/>
  <c r="CP92" i="1"/>
  <c r="CP93" i="1"/>
  <c r="CP94" i="1"/>
  <c r="CP95" i="1"/>
  <c r="CP96" i="1"/>
  <c r="CP97" i="1"/>
  <c r="CP98" i="1"/>
  <c r="CP99" i="1"/>
  <c r="CP100" i="1"/>
  <c r="CP101" i="1"/>
  <c r="CP102" i="1"/>
  <c r="CP103" i="1"/>
  <c r="CP104" i="1"/>
  <c r="CP105" i="1"/>
  <c r="CP106" i="1"/>
  <c r="CP107" i="1"/>
  <c r="CP108" i="1"/>
  <c r="CP109" i="1"/>
  <c r="CP110" i="1"/>
  <c r="CP111" i="1"/>
  <c r="CP112" i="1"/>
  <c r="CP113" i="1"/>
  <c r="CP114" i="1"/>
  <c r="CP115" i="1"/>
  <c r="CP116" i="1"/>
  <c r="CP117" i="1"/>
  <c r="CP118" i="1"/>
  <c r="CP119" i="1"/>
  <c r="CP120" i="1"/>
  <c r="CP121" i="1"/>
  <c r="CP122" i="1"/>
  <c r="CP123" i="1"/>
  <c r="CP124" i="1"/>
  <c r="CP125" i="1"/>
  <c r="CP126" i="1"/>
  <c r="CP127" i="1"/>
  <c r="CP129" i="1"/>
  <c r="CP128" i="1"/>
  <c r="CP131" i="1"/>
  <c r="CP130" i="1"/>
  <c r="CP132" i="1"/>
  <c r="CP133" i="1"/>
  <c r="CP135" i="1"/>
  <c r="CP134" i="1"/>
  <c r="CP136" i="1"/>
  <c r="CP137" i="1"/>
  <c r="CP138" i="1"/>
  <c r="CP140" i="1"/>
  <c r="CP141" i="1"/>
  <c r="CP139" i="1"/>
  <c r="CP142" i="1"/>
  <c r="CP144" i="1"/>
  <c r="CP143" i="1"/>
  <c r="CP145" i="1"/>
  <c r="CP146" i="1"/>
  <c r="CP148" i="1"/>
  <c r="CP150" i="1"/>
  <c r="CP147" i="1"/>
  <c r="CP149" i="1"/>
  <c r="CP151" i="1"/>
  <c r="CP152" i="1"/>
  <c r="CP153" i="1"/>
  <c r="CP156" i="1"/>
  <c r="CP155" i="1"/>
  <c r="CP157" i="1"/>
  <c r="CP154" i="1"/>
  <c r="CP158" i="1"/>
  <c r="CP159" i="1"/>
  <c r="CP160" i="1"/>
  <c r="CP162" i="1"/>
  <c r="CP161" i="1"/>
  <c r="CP164" i="1"/>
  <c r="CP165" i="1"/>
  <c r="CP167" i="1"/>
  <c r="CP166" i="1"/>
  <c r="CP163" i="1"/>
  <c r="CP168" i="1"/>
  <c r="CP169" i="1"/>
  <c r="CP170" i="1"/>
  <c r="CP172" i="1"/>
  <c r="CP171" i="1"/>
  <c r="CP177" i="1"/>
  <c r="CP174" i="1"/>
  <c r="CP176" i="1"/>
  <c r="CP175" i="1"/>
  <c r="CP178" i="1"/>
  <c r="CP173" i="1"/>
  <c r="CP180" i="1"/>
  <c r="CP181" i="1"/>
  <c r="CP183" i="1"/>
  <c r="CP184" i="1"/>
  <c r="CP185" i="1"/>
  <c r="CP182" i="1"/>
  <c r="CP188" i="1"/>
  <c r="CP189" i="1"/>
  <c r="CP186" i="1"/>
  <c r="CP187" i="1"/>
  <c r="CP191" i="1"/>
  <c r="CP193" i="1"/>
  <c r="CP192" i="1"/>
  <c r="CP190" i="1"/>
  <c r="CP200" i="1"/>
  <c r="CP194" i="1"/>
  <c r="CP195" i="1"/>
  <c r="CP199" i="1"/>
  <c r="CP198" i="1"/>
  <c r="CP197" i="1"/>
  <c r="CP196" i="1"/>
  <c r="CP205" i="1"/>
  <c r="CP203" i="1"/>
  <c r="CP201" i="1"/>
  <c r="CP204" i="1"/>
  <c r="CP202" i="1"/>
  <c r="CP206" i="1"/>
  <c r="CP207" i="1"/>
  <c r="CP213" i="1"/>
  <c r="CP208" i="1"/>
  <c r="CP212" i="1"/>
  <c r="CP210" i="1"/>
  <c r="CP214" i="1"/>
  <c r="CP209" i="1"/>
  <c r="CP211" i="1"/>
  <c r="CP215" i="1"/>
  <c r="CP219" i="1"/>
  <c r="CP221" i="1"/>
  <c r="CP228" i="1"/>
  <c r="CP234" i="1"/>
  <c r="CP226" i="1"/>
  <c r="CP230" i="1"/>
  <c r="CP232" i="1"/>
  <c r="CP229" i="1"/>
  <c r="CP216" i="1"/>
  <c r="CP227" i="1"/>
  <c r="CP220" i="1"/>
  <c r="CP218" i="1"/>
  <c r="CP231" i="1"/>
  <c r="CP223" i="1"/>
  <c r="CP225" i="1"/>
  <c r="CP224" i="1"/>
  <c r="CP217" i="1"/>
  <c r="CP241" i="1"/>
  <c r="CP238" i="1"/>
  <c r="CP233" i="1"/>
  <c r="CP239" i="1"/>
  <c r="CP240" i="1"/>
  <c r="CP235" i="1"/>
  <c r="CP237" i="1"/>
  <c r="CP236" i="1"/>
  <c r="CP242" i="1"/>
  <c r="CP243" i="1"/>
  <c r="CP249" i="1"/>
  <c r="CP247" i="1"/>
  <c r="CP244" i="1"/>
  <c r="CP248" i="1"/>
  <c r="CP245" i="1"/>
  <c r="CP250" i="1"/>
  <c r="CP246" i="1"/>
  <c r="CP252" i="1"/>
  <c r="CP251" i="1"/>
  <c r="CP254" i="1"/>
  <c r="CP253" i="1"/>
  <c r="CP255" i="1"/>
  <c r="CP258" i="1"/>
  <c r="CP261" i="1"/>
  <c r="CP259" i="1"/>
  <c r="CP260" i="1"/>
  <c r="CP262" i="1"/>
  <c r="CP257" i="1"/>
  <c r="CP264" i="1"/>
  <c r="CP272" i="1"/>
  <c r="CP271" i="1"/>
  <c r="CP276" i="1"/>
  <c r="CP274" i="1"/>
  <c r="CP270" i="1"/>
  <c r="CP269" i="1"/>
  <c r="CP268" i="1"/>
  <c r="CP263" i="1"/>
  <c r="CP277" i="1"/>
  <c r="CP266" i="1"/>
  <c r="CP265" i="1"/>
  <c r="CP275" i="1"/>
  <c r="CP273" i="1"/>
  <c r="CP267" i="1"/>
  <c r="CP278" i="1"/>
  <c r="CP281" i="1"/>
  <c r="CP282" i="1"/>
  <c r="CP285" i="1"/>
  <c r="CP283" i="1"/>
  <c r="CP284" i="1"/>
  <c r="CP280" i="1"/>
  <c r="CP279" i="1"/>
  <c r="CP286" i="1"/>
  <c r="CP287" i="1"/>
  <c r="CP290" i="1"/>
  <c r="CP288" i="1"/>
  <c r="CP289" i="1"/>
  <c r="CP291" i="1"/>
  <c r="CP292" i="1"/>
  <c r="CP294" i="1"/>
  <c r="CP293" i="1"/>
  <c r="CP295" i="1"/>
  <c r="CP296" i="1"/>
  <c r="CP297" i="1"/>
  <c r="CP299" i="1"/>
  <c r="CP298" i="1"/>
  <c r="CP301" i="1"/>
  <c r="CP300" i="1"/>
  <c r="CP304" i="1"/>
  <c r="CP305" i="1"/>
  <c r="CP302" i="1"/>
  <c r="CP303" i="1"/>
  <c r="CP309" i="1"/>
  <c r="CP313" i="1"/>
  <c r="CP307" i="1"/>
  <c r="CP310" i="1"/>
  <c r="CP315" i="1"/>
  <c r="CP316" i="1"/>
  <c r="CP308" i="1"/>
  <c r="CP314" i="1"/>
  <c r="CP311" i="1"/>
  <c r="CP306" i="1"/>
  <c r="CP312" i="1"/>
  <c r="CP319" i="1"/>
  <c r="CP323" i="1"/>
  <c r="CP321" i="1"/>
  <c r="CP322" i="1"/>
  <c r="CP318" i="1"/>
  <c r="CP317" i="1"/>
  <c r="CP320" i="1"/>
  <c r="CP324" i="1"/>
  <c r="CP325" i="1"/>
  <c r="CP326" i="1"/>
  <c r="CP327" i="1"/>
  <c r="CP328" i="1"/>
  <c r="CP329" i="1"/>
  <c r="CP330" i="1"/>
  <c r="CP331" i="1"/>
  <c r="CP335" i="1"/>
  <c r="CP343" i="1"/>
  <c r="CP340" i="1"/>
  <c r="CP333" i="1"/>
  <c r="CP338" i="1"/>
  <c r="CP337" i="1"/>
  <c r="CP336" i="1"/>
  <c r="CP332" i="1"/>
  <c r="CP341" i="1"/>
  <c r="CP342" i="1"/>
  <c r="CP334" i="1"/>
  <c r="CP353" i="1"/>
  <c r="CP346" i="1"/>
  <c r="CP349" i="1"/>
  <c r="CP345" i="1"/>
  <c r="CP347" i="1"/>
  <c r="CP351" i="1"/>
  <c r="CP348" i="1"/>
  <c r="CP339" i="1"/>
  <c r="CP350" i="1"/>
  <c r="CP352" i="1"/>
  <c r="CP354" i="1"/>
  <c r="CP344" i="1"/>
  <c r="CP360" i="1"/>
  <c r="CP355" i="1"/>
  <c r="CP362" i="1"/>
  <c r="CP359" i="1"/>
  <c r="CP356" i="1"/>
  <c r="CP358" i="1"/>
  <c r="CP357" i="1"/>
  <c r="CP361" i="1"/>
  <c r="CP366" i="1"/>
  <c r="CP363" i="1"/>
  <c r="CP368" i="1"/>
  <c r="CP367" i="1"/>
  <c r="CP364" i="1"/>
  <c r="CP365" i="1"/>
  <c r="CP369" i="1"/>
  <c r="CP370" i="1"/>
  <c r="CP373" i="1"/>
  <c r="CP371" i="1"/>
  <c r="CP372" i="1"/>
  <c r="CP374" i="1"/>
  <c r="CP386" i="1"/>
  <c r="CP384" i="1"/>
  <c r="CP389" i="1"/>
  <c r="CP382" i="1"/>
  <c r="CP388" i="1"/>
  <c r="CP375" i="1"/>
  <c r="CP380" i="1"/>
  <c r="CP376" i="1"/>
  <c r="CP385" i="1"/>
  <c r="CP381" i="1"/>
  <c r="CP378" i="1"/>
  <c r="CP377" i="1"/>
  <c r="CP387" i="1"/>
  <c r="CP379" i="1"/>
  <c r="CP383" i="1"/>
  <c r="CP392" i="1"/>
  <c r="CP396" i="1"/>
  <c r="CP397" i="1"/>
  <c r="CP390" i="1"/>
  <c r="CP395" i="1"/>
  <c r="CP394" i="1"/>
  <c r="CP393" i="1"/>
  <c r="CP402" i="1"/>
  <c r="CP403" i="1"/>
  <c r="CP405" i="1"/>
  <c r="CP404" i="1"/>
  <c r="CP398" i="1"/>
  <c r="CP400" i="1"/>
  <c r="CP399" i="1"/>
  <c r="CP401" i="1"/>
  <c r="CP406" i="1"/>
  <c r="CP408" i="1"/>
  <c r="CP415" i="1"/>
  <c r="CP419" i="1"/>
  <c r="CP427" i="1"/>
  <c r="CP428" i="1"/>
  <c r="CP409" i="1"/>
  <c r="CP420" i="1"/>
  <c r="CP413" i="1"/>
  <c r="CP424" i="1"/>
  <c r="CP417" i="1"/>
  <c r="CP418" i="1"/>
  <c r="CP421" i="1"/>
  <c r="CP416" i="1"/>
  <c r="CP407" i="1"/>
  <c r="CP426" i="1"/>
  <c r="CP422" i="1"/>
  <c r="CP412" i="1"/>
  <c r="CP425" i="1"/>
  <c r="CP423" i="1"/>
  <c r="CP414" i="1"/>
  <c r="CP411" i="1"/>
  <c r="CP410" i="1"/>
  <c r="CP391" i="1"/>
  <c r="CP429" i="1"/>
  <c r="CP432" i="1"/>
  <c r="CP444" i="1"/>
  <c r="CP437" i="1"/>
  <c r="CP430" i="1"/>
  <c r="CP435" i="1"/>
  <c r="CP431" i="1"/>
  <c r="CP443" i="1"/>
  <c r="CP438" i="1"/>
  <c r="CP446" i="1"/>
  <c r="CP447" i="1"/>
  <c r="CP440" i="1"/>
  <c r="CP436" i="1"/>
  <c r="CP445" i="1"/>
  <c r="CP441" i="1"/>
  <c r="CP439" i="1"/>
  <c r="CP433" i="1"/>
  <c r="CP442" i="1"/>
  <c r="CP434" i="1"/>
  <c r="CP448" i="1"/>
  <c r="CP449" i="1"/>
  <c r="CP459" i="1"/>
  <c r="CP468" i="1"/>
  <c r="CP460" i="1"/>
  <c r="CP450" i="1"/>
  <c r="CP469" i="1"/>
  <c r="CP463" i="1"/>
  <c r="CP451" i="1"/>
  <c r="CP458" i="1"/>
  <c r="CP455" i="1"/>
  <c r="CP470" i="1"/>
  <c r="CP461" i="1"/>
  <c r="CP452" i="1"/>
  <c r="CP456" i="1"/>
  <c r="CP453" i="1"/>
  <c r="CP457" i="1"/>
  <c r="CP454" i="1"/>
  <c r="CP464" i="1"/>
  <c r="CP465" i="1"/>
  <c r="CP466" i="1"/>
  <c r="CP467" i="1"/>
  <c r="CP477" i="1"/>
  <c r="CP472" i="1"/>
  <c r="CP474" i="1"/>
  <c r="CP475" i="1"/>
  <c r="CP476" i="1"/>
  <c r="CP473" i="1"/>
  <c r="CP471" i="1"/>
  <c r="CP478" i="1"/>
  <c r="CP462" i="1"/>
  <c r="CP481" i="1"/>
  <c r="CP484" i="1"/>
  <c r="CP480" i="1"/>
  <c r="CP485" i="1"/>
  <c r="CP479" i="1"/>
  <c r="CP483" i="1"/>
  <c r="CP482" i="1"/>
  <c r="AD397" i="1"/>
  <c r="AD382" i="1"/>
  <c r="BF16" i="2"/>
  <c r="BF17" i="2"/>
  <c r="BF19" i="2"/>
  <c r="BF7" i="2"/>
  <c r="BF9" i="2"/>
  <c r="BF8" i="2"/>
  <c r="BF20" i="2"/>
  <c r="K3" i="7"/>
  <c r="CH489" i="1" l="1"/>
  <c r="CI489" i="1" s="1"/>
  <c r="CH487" i="1"/>
  <c r="CI487" i="1" s="1"/>
  <c r="CH486" i="1"/>
  <c r="CI486" i="1" s="1"/>
  <c r="CH488" i="1"/>
  <c r="CI488" i="1" s="1"/>
  <c r="CH490" i="1"/>
  <c r="CI490" i="1" s="1"/>
  <c r="CH492" i="1"/>
  <c r="CI492" i="1" s="1"/>
  <c r="CH491" i="1"/>
  <c r="CI491" i="1" s="1"/>
  <c r="AI487" i="1"/>
  <c r="AI490" i="1"/>
  <c r="AI486" i="1"/>
  <c r="AI492" i="1"/>
  <c r="AI489" i="1"/>
  <c r="AI491" i="1"/>
  <c r="AI488" i="1"/>
  <c r="AJ489" i="1"/>
  <c r="AG490" i="1"/>
  <c r="AF489" i="1"/>
  <c r="AF487" i="1"/>
  <c r="AF492" i="1"/>
  <c r="AJ490" i="1"/>
  <c r="AJ488" i="1"/>
  <c r="AJ486" i="1"/>
  <c r="AF491" i="1"/>
  <c r="AF490" i="1"/>
  <c r="AJ492" i="1"/>
  <c r="AR486" i="1"/>
  <c r="AR489" i="1"/>
  <c r="AR492" i="1"/>
  <c r="AG487" i="1"/>
  <c r="AF486" i="1"/>
  <c r="AJ491" i="1"/>
  <c r="AG488" i="1"/>
  <c r="AF488" i="1"/>
  <c r="AG491" i="1"/>
  <c r="AJ487" i="1"/>
  <c r="AR491" i="1"/>
  <c r="AR488" i="1"/>
  <c r="AR490" i="1"/>
  <c r="AR487" i="1"/>
  <c r="AG489" i="1"/>
  <c r="AG486" i="1"/>
  <c r="AG492" i="1"/>
  <c r="CM96" i="1" l="1"/>
  <c r="CM369" i="1"/>
  <c r="CM370" i="1"/>
  <c r="CM373" i="1"/>
  <c r="CM371" i="1"/>
  <c r="CM372" i="1"/>
  <c r="CM374" i="1"/>
  <c r="CM386" i="1"/>
  <c r="CM384" i="1"/>
  <c r="CM389" i="1"/>
  <c r="CM380" i="1"/>
  <c r="CM385" i="1"/>
  <c r="CM381" i="1"/>
  <c r="CM378" i="1"/>
  <c r="CM383" i="1"/>
  <c r="CM396" i="1"/>
  <c r="CM390" i="1"/>
  <c r="CM404" i="1"/>
  <c r="CM420" i="1"/>
  <c r="CM423" i="1"/>
  <c r="CM414" i="1"/>
  <c r="CM411" i="1"/>
  <c r="CM391" i="1"/>
  <c r="CM432" i="1"/>
  <c r="CM437" i="1"/>
  <c r="CM436" i="1"/>
  <c r="CM441" i="1"/>
  <c r="CM439" i="1"/>
  <c r="CM433" i="1"/>
  <c r="CM434" i="1"/>
  <c r="CM449" i="1"/>
  <c r="CM455" i="1"/>
  <c r="CM461" i="1"/>
  <c r="CL369" i="1"/>
  <c r="CL370" i="1"/>
  <c r="CL373" i="1"/>
  <c r="CL371" i="1"/>
  <c r="CL372" i="1"/>
  <c r="CL374" i="1"/>
  <c r="CL386" i="1"/>
  <c r="CL384" i="1"/>
  <c r="CL389" i="1"/>
  <c r="CL382" i="1"/>
  <c r="CL388" i="1"/>
  <c r="CL375" i="1"/>
  <c r="CL380" i="1"/>
  <c r="CL376" i="1"/>
  <c r="CL385" i="1"/>
  <c r="CL381" i="1"/>
  <c r="CL378" i="1"/>
  <c r="CL377" i="1"/>
  <c r="CL387" i="1"/>
  <c r="CL379" i="1"/>
  <c r="CL383" i="1"/>
  <c r="CL392" i="1"/>
  <c r="CL396" i="1"/>
  <c r="CL397" i="1"/>
  <c r="CL390" i="1"/>
  <c r="CL395" i="1"/>
  <c r="CL394" i="1"/>
  <c r="CL393" i="1"/>
  <c r="CL402" i="1"/>
  <c r="CL403" i="1"/>
  <c r="CL405" i="1"/>
  <c r="CL404" i="1"/>
  <c r="CL398" i="1"/>
  <c r="CL400" i="1"/>
  <c r="CL399" i="1"/>
  <c r="CL401" i="1"/>
  <c r="CL406" i="1"/>
  <c r="CL408" i="1"/>
  <c r="CL415" i="1"/>
  <c r="CL419" i="1"/>
  <c r="CL427" i="1"/>
  <c r="CL428" i="1"/>
  <c r="CL409" i="1"/>
  <c r="CL420" i="1"/>
  <c r="CL413" i="1"/>
  <c r="CL424" i="1"/>
  <c r="CL417" i="1"/>
  <c r="CL418" i="1"/>
  <c r="CL421" i="1"/>
  <c r="CL416" i="1"/>
  <c r="CL407" i="1"/>
  <c r="CL426" i="1"/>
  <c r="CL422" i="1"/>
  <c r="CL412" i="1"/>
  <c r="CL425" i="1"/>
  <c r="CL423" i="1"/>
  <c r="CL414" i="1"/>
  <c r="CL411" i="1"/>
  <c r="CL410" i="1"/>
  <c r="CL391" i="1"/>
  <c r="CL429" i="1"/>
  <c r="CL432" i="1"/>
  <c r="CL444" i="1"/>
  <c r="CL437" i="1"/>
  <c r="CL430" i="1"/>
  <c r="CL435" i="1"/>
  <c r="CL431" i="1"/>
  <c r="CL443" i="1"/>
  <c r="CL438" i="1"/>
  <c r="CL446" i="1"/>
  <c r="CL447" i="1"/>
  <c r="CL440" i="1"/>
  <c r="CL436" i="1"/>
  <c r="CL445" i="1"/>
  <c r="CL441" i="1"/>
  <c r="CL439" i="1"/>
  <c r="CL433" i="1"/>
  <c r="CL442" i="1"/>
  <c r="CL434" i="1"/>
  <c r="CL448" i="1"/>
  <c r="CL449" i="1"/>
  <c r="CL459" i="1"/>
  <c r="CL468" i="1"/>
  <c r="CL460" i="1"/>
  <c r="CL450" i="1"/>
  <c r="CL469" i="1"/>
  <c r="CL463" i="1"/>
  <c r="CL451" i="1"/>
  <c r="CL458" i="1"/>
  <c r="CL455" i="1"/>
  <c r="CL470" i="1"/>
  <c r="CL461" i="1"/>
  <c r="CL452" i="1"/>
  <c r="CL456" i="1"/>
  <c r="CL453" i="1"/>
  <c r="CL457" i="1"/>
  <c r="CL454" i="1"/>
  <c r="CL464" i="1"/>
  <c r="CL465" i="1"/>
  <c r="CL466" i="1"/>
  <c r="CL467" i="1"/>
  <c r="CL477" i="1"/>
  <c r="CL472" i="1"/>
  <c r="CL474" i="1"/>
  <c r="CL475" i="1"/>
  <c r="CL476" i="1"/>
  <c r="CL473" i="1"/>
  <c r="CL471" i="1"/>
  <c r="CL478" i="1"/>
  <c r="CL462" i="1"/>
  <c r="CL481" i="1"/>
  <c r="CL484" i="1"/>
  <c r="CL480" i="1"/>
  <c r="CL485" i="1"/>
  <c r="CL479" i="1"/>
  <c r="CL483" i="1"/>
  <c r="CL482" i="1"/>
  <c r="CM377" i="1" l="1"/>
  <c r="CM442" i="1"/>
  <c r="CM424" i="1"/>
  <c r="CM400" i="1"/>
  <c r="CM456" i="1"/>
  <c r="CM402" i="1"/>
  <c r="CM435" i="1"/>
  <c r="CM382" i="1"/>
  <c r="CM450" i="1"/>
  <c r="CM429" i="1"/>
  <c r="CM468" i="1"/>
  <c r="CM387" i="1"/>
  <c r="CM410" i="1"/>
  <c r="CM394" i="1"/>
  <c r="CM388" i="1"/>
  <c r="S3" i="7"/>
  <c r="P62" i="5"/>
  <c r="Q62" i="5" s="1"/>
  <c r="P61" i="5"/>
  <c r="Q61" i="5" s="1"/>
  <c r="P60" i="5"/>
  <c r="Q60" i="5" s="1"/>
  <c r="P59" i="5"/>
  <c r="Q59" i="5" s="1"/>
  <c r="P58" i="5"/>
  <c r="AH482" i="1"/>
  <c r="AE482" i="1"/>
  <c r="AD482" i="1"/>
  <c r="AH483" i="1"/>
  <c r="AE483" i="1"/>
  <c r="AD483" i="1"/>
  <c r="AH479" i="1"/>
  <c r="AE479" i="1"/>
  <c r="AD479" i="1"/>
  <c r="AH485" i="1"/>
  <c r="AE485" i="1"/>
  <c r="AD485" i="1"/>
  <c r="AH480" i="1"/>
  <c r="AE480" i="1"/>
  <c r="AD480" i="1"/>
  <c r="AH484" i="1"/>
  <c r="AE484" i="1"/>
  <c r="AD484" i="1"/>
  <c r="AH481" i="1"/>
  <c r="AE481" i="1"/>
  <c r="AD481" i="1"/>
  <c r="CH482" i="1" l="1"/>
  <c r="CI482" i="1" s="1"/>
  <c r="CH481" i="1"/>
  <c r="CI481" i="1" s="1"/>
  <c r="CH483" i="1"/>
  <c r="CI483" i="1" s="1"/>
  <c r="CH484" i="1"/>
  <c r="CI484" i="1" s="1"/>
  <c r="CH485" i="1"/>
  <c r="CI485" i="1" s="1"/>
  <c r="CH480" i="1"/>
  <c r="CI480" i="1" s="1"/>
  <c r="CH479" i="1"/>
  <c r="CI479" i="1" s="1"/>
  <c r="AI482" i="1"/>
  <c r="AI484" i="1"/>
  <c r="AI483" i="1"/>
  <c r="AI480" i="1"/>
  <c r="AI485" i="1"/>
  <c r="AI481" i="1"/>
  <c r="AI479" i="1"/>
  <c r="CM457" i="1"/>
  <c r="CM375" i="1"/>
  <c r="CM376" i="1"/>
  <c r="CM401" i="1"/>
  <c r="CM379" i="1"/>
  <c r="CM443" i="1"/>
  <c r="CM418" i="1"/>
  <c r="CM463" i="1"/>
  <c r="CM444" i="1"/>
  <c r="CM405" i="1"/>
  <c r="CM448" i="1"/>
  <c r="AJ484" i="1"/>
  <c r="AJ483" i="1"/>
  <c r="AO3" i="7"/>
  <c r="AG484" i="1"/>
  <c r="P63" i="5"/>
  <c r="Q63" i="5" s="1"/>
  <c r="Q58" i="5"/>
  <c r="AG483" i="1"/>
  <c r="AG481" i="1"/>
  <c r="AJ481" i="1"/>
  <c r="AJ480" i="1"/>
  <c r="AG482" i="1"/>
  <c r="AJ482" i="1"/>
  <c r="AR483" i="1"/>
  <c r="AG479" i="1"/>
  <c r="AJ479" i="1"/>
  <c r="AG485" i="1"/>
  <c r="AG480" i="1"/>
  <c r="AR485" i="1"/>
  <c r="AJ485" i="1"/>
  <c r="AR479" i="1"/>
  <c r="AR481" i="1"/>
  <c r="AR480" i="1"/>
  <c r="AR482" i="1"/>
  <c r="AF484" i="1"/>
  <c r="AF485" i="1"/>
  <c r="AF483" i="1"/>
  <c r="AF482" i="1"/>
  <c r="AF481" i="1"/>
  <c r="AF480" i="1"/>
  <c r="AF479" i="1"/>
  <c r="CM392" i="1" l="1"/>
  <c r="CM430" i="1"/>
  <c r="CM459" i="1"/>
  <c r="CM416" i="1"/>
  <c r="CM408" i="1"/>
  <c r="CM458" i="1"/>
  <c r="CM398" i="1"/>
  <c r="CM446" i="1"/>
  <c r="CM464" i="1"/>
  <c r="AR484" i="1"/>
  <c r="CM397" i="1" l="1"/>
  <c r="CM440" i="1"/>
  <c r="CM445" i="1"/>
  <c r="CM426" i="1"/>
  <c r="CM412" i="1"/>
  <c r="CM419" i="1"/>
  <c r="CM428" i="1"/>
  <c r="CM399" i="1"/>
  <c r="CM470" i="1"/>
  <c r="CM431" i="1"/>
  <c r="CM466" i="1"/>
  <c r="CM460" i="1"/>
  <c r="AD462" i="1"/>
  <c r="AE462" i="1"/>
  <c r="AH462" i="1"/>
  <c r="BE360" i="1"/>
  <c r="BF360" i="1" s="1"/>
  <c r="BE355" i="1"/>
  <c r="BE362" i="1"/>
  <c r="BE359" i="1"/>
  <c r="BF359" i="1" s="1"/>
  <c r="BE356" i="1"/>
  <c r="BF356" i="1" s="1"/>
  <c r="BE358" i="1"/>
  <c r="BF358" i="1" s="1"/>
  <c r="BE357" i="1"/>
  <c r="BF357" i="1" s="1"/>
  <c r="BE361" i="1"/>
  <c r="BF361" i="1" s="1"/>
  <c r="BE366" i="1"/>
  <c r="BF366" i="1" s="1"/>
  <c r="BE363" i="1"/>
  <c r="BE368" i="1"/>
  <c r="BF368" i="1" s="1"/>
  <c r="BE367" i="1"/>
  <c r="BF367" i="1" s="1"/>
  <c r="BE364" i="1"/>
  <c r="BF364" i="1" s="1"/>
  <c r="BE365" i="1"/>
  <c r="BF365" i="1" s="1"/>
  <c r="BE369" i="1"/>
  <c r="BF369" i="1" s="1"/>
  <c r="BE370" i="1"/>
  <c r="BF370" i="1" s="1"/>
  <c r="BE373" i="1"/>
  <c r="BE371" i="1"/>
  <c r="BF371" i="1" s="1"/>
  <c r="BE372" i="1"/>
  <c r="BF372" i="1" s="1"/>
  <c r="BE374" i="1"/>
  <c r="BF374" i="1" s="1"/>
  <c r="BE386" i="1"/>
  <c r="BF386" i="1" s="1"/>
  <c r="BE384" i="1"/>
  <c r="BE389" i="1"/>
  <c r="BF389" i="1" s="1"/>
  <c r="BE382" i="1"/>
  <c r="BF382" i="1" s="1"/>
  <c r="BE388" i="1"/>
  <c r="BF388" i="1" s="1"/>
  <c r="BE375" i="1"/>
  <c r="BF375" i="1" s="1"/>
  <c r="BE380" i="1"/>
  <c r="BF380" i="1" s="1"/>
  <c r="BE376" i="1"/>
  <c r="BE385" i="1"/>
  <c r="BF385" i="1" s="1"/>
  <c r="BE381" i="1"/>
  <c r="BF381" i="1" s="1"/>
  <c r="BE378" i="1"/>
  <c r="BF378" i="1" s="1"/>
  <c r="BE377" i="1"/>
  <c r="BE387" i="1"/>
  <c r="BF387" i="1" s="1"/>
  <c r="BE379" i="1"/>
  <c r="BF379" i="1" s="1"/>
  <c r="BE383" i="1"/>
  <c r="BF383" i="1" s="1"/>
  <c r="BE392" i="1"/>
  <c r="BE396" i="1"/>
  <c r="BF396" i="1" s="1"/>
  <c r="BE397" i="1"/>
  <c r="BF397" i="1" s="1"/>
  <c r="BE390" i="1"/>
  <c r="BF390" i="1" s="1"/>
  <c r="BE395" i="1"/>
  <c r="BF395" i="1" s="1"/>
  <c r="BE394" i="1"/>
  <c r="BF394" i="1" s="1"/>
  <c r="BE393" i="1"/>
  <c r="BE402" i="1"/>
  <c r="BF402" i="1" s="1"/>
  <c r="BE403" i="1"/>
  <c r="BE405" i="1"/>
  <c r="BF405" i="1" s="1"/>
  <c r="BE404" i="1"/>
  <c r="BF404" i="1" s="1"/>
  <c r="BE398" i="1"/>
  <c r="BF398" i="1" s="1"/>
  <c r="BE400" i="1"/>
  <c r="BF400" i="1" s="1"/>
  <c r="BE399" i="1"/>
  <c r="BE401" i="1"/>
  <c r="BE406" i="1"/>
  <c r="BF406" i="1" s="1"/>
  <c r="BE408" i="1"/>
  <c r="BE415" i="1"/>
  <c r="BF415" i="1" s="1"/>
  <c r="BE419" i="1"/>
  <c r="BF419" i="1" s="1"/>
  <c r="BE427" i="1"/>
  <c r="BF427" i="1" s="1"/>
  <c r="BE428" i="1"/>
  <c r="BF428" i="1" s="1"/>
  <c r="BE409" i="1"/>
  <c r="BF409" i="1" s="1"/>
  <c r="BE420" i="1"/>
  <c r="BF420" i="1" s="1"/>
  <c r="BE413" i="1"/>
  <c r="BF413" i="1" s="1"/>
  <c r="BE424" i="1"/>
  <c r="BF424" i="1" s="1"/>
  <c r="BE417" i="1"/>
  <c r="BF417" i="1" s="1"/>
  <c r="BE418" i="1"/>
  <c r="BF418" i="1" s="1"/>
  <c r="BE421" i="1"/>
  <c r="BF421" i="1" s="1"/>
  <c r="BE416" i="1"/>
  <c r="BF416" i="1" s="1"/>
  <c r="BE407" i="1"/>
  <c r="BF407" i="1" s="1"/>
  <c r="BE426" i="1"/>
  <c r="BE422" i="1"/>
  <c r="BF422" i="1" s="1"/>
  <c r="BE412" i="1"/>
  <c r="BE425" i="1"/>
  <c r="BF425" i="1" s="1"/>
  <c r="BE423" i="1"/>
  <c r="BF423" i="1" s="1"/>
  <c r="BE414" i="1"/>
  <c r="BF414" i="1" s="1"/>
  <c r="BE411" i="1"/>
  <c r="BF411" i="1" s="1"/>
  <c r="BE410" i="1"/>
  <c r="BF410" i="1" s="1"/>
  <c r="BE391" i="1"/>
  <c r="BF391" i="1" s="1"/>
  <c r="BE429" i="1"/>
  <c r="BE432" i="1"/>
  <c r="BF432" i="1" s="1"/>
  <c r="BE444" i="1"/>
  <c r="BF444" i="1" s="1"/>
  <c r="BE437" i="1"/>
  <c r="BF437" i="1" s="1"/>
  <c r="BE430" i="1"/>
  <c r="BF430" i="1" s="1"/>
  <c r="BE435" i="1"/>
  <c r="BF435" i="1" s="1"/>
  <c r="BE431" i="1"/>
  <c r="BE443" i="1"/>
  <c r="BE438" i="1"/>
  <c r="BF438" i="1" s="1"/>
  <c r="BF446" i="1"/>
  <c r="BE447" i="1"/>
  <c r="BF447" i="1" s="1"/>
  <c r="BE440" i="1"/>
  <c r="BF440" i="1" s="1"/>
  <c r="BE436" i="1"/>
  <c r="BF436" i="1" s="1"/>
  <c r="BE445" i="1"/>
  <c r="BF445" i="1" s="1"/>
  <c r="BE441" i="1"/>
  <c r="BF441" i="1" s="1"/>
  <c r="BE439" i="1"/>
  <c r="BF439" i="1" s="1"/>
  <c r="BE433" i="1"/>
  <c r="BF433" i="1" s="1"/>
  <c r="BE442" i="1"/>
  <c r="BF442" i="1" s="1"/>
  <c r="BE434" i="1"/>
  <c r="BE448" i="1"/>
  <c r="BF448" i="1" s="1"/>
  <c r="BE449" i="1"/>
  <c r="BE459" i="1"/>
  <c r="BE468" i="1"/>
  <c r="BE460" i="1"/>
  <c r="BE450" i="1"/>
  <c r="BF450" i="1" s="1"/>
  <c r="BE469" i="1"/>
  <c r="BE463" i="1"/>
  <c r="BE451" i="1"/>
  <c r="BF451" i="1" s="1"/>
  <c r="BE458" i="1"/>
  <c r="BF458" i="1" s="1"/>
  <c r="BE455" i="1"/>
  <c r="BF455" i="1" s="1"/>
  <c r="BE470" i="1"/>
  <c r="BF470" i="1" s="1"/>
  <c r="BE461" i="1"/>
  <c r="BF461" i="1" s="1"/>
  <c r="BE466" i="1"/>
  <c r="BF466" i="1" s="1"/>
  <c r="BE467" i="1"/>
  <c r="BF467" i="1" s="1"/>
  <c r="BE477" i="1"/>
  <c r="BF477" i="1" s="1"/>
  <c r="BE472" i="1"/>
  <c r="BF472" i="1" s="1"/>
  <c r="BE474" i="1"/>
  <c r="BF474" i="1" s="1"/>
  <c r="BE475" i="1"/>
  <c r="BF475" i="1" s="1"/>
  <c r="BE476" i="1"/>
  <c r="BF476" i="1" s="1"/>
  <c r="BE473" i="1"/>
  <c r="BE471" i="1"/>
  <c r="BF471" i="1" s="1"/>
  <c r="BE478" i="1"/>
  <c r="BE462" i="1"/>
  <c r="BF462" i="1" s="1"/>
  <c r="BE339" i="1"/>
  <c r="BF339" i="1" s="1"/>
  <c r="BE342" i="1"/>
  <c r="BF342" i="1" s="1"/>
  <c r="BE334" i="1"/>
  <c r="BF334" i="1" s="1"/>
  <c r="BE353" i="1"/>
  <c r="BF353" i="1" s="1"/>
  <c r="BE346" i="1"/>
  <c r="BF346" i="1" s="1"/>
  <c r="BE349" i="1"/>
  <c r="BF349" i="1" s="1"/>
  <c r="BE333" i="1"/>
  <c r="BF333" i="1" s="1"/>
  <c r="BE338" i="1"/>
  <c r="BF338" i="1" s="1"/>
  <c r="BE337" i="1"/>
  <c r="BF337" i="1" s="1"/>
  <c r="BE336" i="1"/>
  <c r="BF336" i="1" s="1"/>
  <c r="BE332" i="1"/>
  <c r="BF332" i="1" s="1"/>
  <c r="BE345" i="1"/>
  <c r="BF345" i="1" s="1"/>
  <c r="BE347" i="1"/>
  <c r="BF347" i="1" s="1"/>
  <c r="BE351" i="1"/>
  <c r="BF351" i="1" s="1"/>
  <c r="BE348" i="1"/>
  <c r="BF348" i="1" s="1"/>
  <c r="BE350" i="1"/>
  <c r="BF350" i="1" s="1"/>
  <c r="BE352" i="1"/>
  <c r="BF352" i="1" s="1"/>
  <c r="CH462" i="1" l="1"/>
  <c r="CI462" i="1" s="1"/>
  <c r="AI462" i="1"/>
  <c r="Q33" i="4"/>
  <c r="Y57" i="4"/>
  <c r="W57" i="4"/>
  <c r="U57" i="4"/>
  <c r="R57" i="4"/>
  <c r="AH65" i="4"/>
  <c r="R33" i="4"/>
  <c r="AG65" i="4"/>
  <c r="CM477" i="1"/>
  <c r="CM447" i="1"/>
  <c r="CM438" i="1"/>
  <c r="CM452" i="1"/>
  <c r="CM451" i="1"/>
  <c r="CM469" i="1"/>
  <c r="CM406" i="1"/>
  <c r="CM395" i="1"/>
  <c r="AF462" i="1"/>
  <c r="AJ462" i="1"/>
  <c r="AG462" i="1"/>
  <c r="AI63" i="4"/>
  <c r="AI57" i="4"/>
  <c r="AI58" i="4"/>
  <c r="AI61" i="4"/>
  <c r="AI60" i="4"/>
  <c r="AI62" i="4"/>
  <c r="AI59" i="4"/>
  <c r="AI65" i="4" l="1"/>
  <c r="CM415" i="1"/>
  <c r="CM474" i="1"/>
  <c r="CM453" i="1"/>
  <c r="CM393" i="1"/>
  <c r="CM403" i="1"/>
  <c r="AR462" i="1"/>
  <c r="AD477" i="1"/>
  <c r="AE477" i="1"/>
  <c r="AH477" i="1"/>
  <c r="AD472" i="1"/>
  <c r="AE472" i="1"/>
  <c r="AH472" i="1"/>
  <c r="AD474" i="1"/>
  <c r="AE474" i="1"/>
  <c r="AH474" i="1"/>
  <c r="AD475" i="1"/>
  <c r="AE475" i="1"/>
  <c r="AH475" i="1"/>
  <c r="AD476" i="1"/>
  <c r="AE476" i="1"/>
  <c r="AH476" i="1"/>
  <c r="AD473" i="1"/>
  <c r="AE473" i="1"/>
  <c r="AH473" i="1"/>
  <c r="AD471" i="1"/>
  <c r="AE471" i="1"/>
  <c r="AH471" i="1"/>
  <c r="AD478" i="1"/>
  <c r="AE478" i="1"/>
  <c r="AH478" i="1"/>
  <c r="CH476" i="1" l="1"/>
  <c r="CI476" i="1" s="1"/>
  <c r="CH471" i="1"/>
  <c r="CI471" i="1" s="1"/>
  <c r="CH474" i="1"/>
  <c r="CI474" i="1" s="1"/>
  <c r="CH478" i="1"/>
  <c r="CI478" i="1" s="1"/>
  <c r="CH477" i="1"/>
  <c r="CI477" i="1" s="1"/>
  <c r="CH473" i="1"/>
  <c r="CI473" i="1" s="1"/>
  <c r="CH475" i="1"/>
  <c r="CI475" i="1" s="1"/>
  <c r="CH472" i="1"/>
  <c r="CI472" i="1" s="1"/>
  <c r="AI476" i="1"/>
  <c r="AI473" i="1"/>
  <c r="AI477" i="1"/>
  <c r="AI475" i="1"/>
  <c r="AI471" i="1"/>
  <c r="AI478" i="1"/>
  <c r="AI474" i="1"/>
  <c r="AI472" i="1"/>
  <c r="CM427" i="1"/>
  <c r="CM476" i="1"/>
  <c r="CM454" i="1"/>
  <c r="AF474" i="1"/>
  <c r="AG471" i="1"/>
  <c r="AJ478" i="1"/>
  <c r="AG474" i="1"/>
  <c r="AG472" i="1"/>
  <c r="AF477" i="1"/>
  <c r="AJ476" i="1"/>
  <c r="AF478" i="1"/>
  <c r="AJ472" i="1"/>
  <c r="AF471" i="1"/>
  <c r="AR478" i="1"/>
  <c r="AJ471" i="1"/>
  <c r="AF473" i="1"/>
  <c r="AJ473" i="1"/>
  <c r="AG473" i="1"/>
  <c r="AF476" i="1"/>
  <c r="AR476" i="1"/>
  <c r="AF475" i="1"/>
  <c r="AR475" i="1"/>
  <c r="AJ475" i="1"/>
  <c r="AJ474" i="1"/>
  <c r="AF472" i="1"/>
  <c r="AR477" i="1"/>
  <c r="AJ477" i="1"/>
  <c r="AR471" i="1"/>
  <c r="AR473" i="1"/>
  <c r="AR474" i="1"/>
  <c r="AR472" i="1"/>
  <c r="AG476" i="1"/>
  <c r="AG477" i="1"/>
  <c r="AG478" i="1"/>
  <c r="AG475" i="1"/>
  <c r="AD448" i="1"/>
  <c r="AE448" i="1"/>
  <c r="AH448" i="1"/>
  <c r="AD449" i="1"/>
  <c r="AE449" i="1"/>
  <c r="AH449" i="1"/>
  <c r="AD459" i="1"/>
  <c r="AE459" i="1"/>
  <c r="AH459" i="1"/>
  <c r="AR459" i="1"/>
  <c r="AD468" i="1"/>
  <c r="AE468" i="1"/>
  <c r="AH468" i="1"/>
  <c r="AD460" i="1"/>
  <c r="AE460" i="1"/>
  <c r="AH460" i="1"/>
  <c r="AD450" i="1"/>
  <c r="AE450" i="1"/>
  <c r="AH450" i="1"/>
  <c r="AD469" i="1"/>
  <c r="AE469" i="1"/>
  <c r="AH469" i="1"/>
  <c r="AD463" i="1"/>
  <c r="AE463" i="1"/>
  <c r="AH463" i="1"/>
  <c r="AD451" i="1"/>
  <c r="AE451" i="1"/>
  <c r="AH451" i="1"/>
  <c r="AD458" i="1"/>
  <c r="AE458" i="1"/>
  <c r="AH458" i="1"/>
  <c r="AD455" i="1"/>
  <c r="AE455" i="1"/>
  <c r="AH455" i="1"/>
  <c r="AD470" i="1"/>
  <c r="AE470" i="1"/>
  <c r="AH470" i="1"/>
  <c r="AD461" i="1"/>
  <c r="AE461" i="1"/>
  <c r="AH461" i="1"/>
  <c r="AD452" i="1"/>
  <c r="AE452" i="1"/>
  <c r="AH452" i="1"/>
  <c r="AD456" i="1"/>
  <c r="AE456" i="1"/>
  <c r="AH456" i="1"/>
  <c r="AR456" i="1"/>
  <c r="AD453" i="1"/>
  <c r="AE453" i="1"/>
  <c r="AH453" i="1"/>
  <c r="AR453" i="1"/>
  <c r="AD457" i="1"/>
  <c r="AE457" i="1"/>
  <c r="AH457" i="1"/>
  <c r="AD454" i="1"/>
  <c r="AE454" i="1"/>
  <c r="AH454" i="1"/>
  <c r="AD464" i="1"/>
  <c r="AE464" i="1"/>
  <c r="AH464" i="1"/>
  <c r="AD465" i="1"/>
  <c r="AE465" i="1"/>
  <c r="AH465" i="1"/>
  <c r="AD466" i="1"/>
  <c r="AE466" i="1"/>
  <c r="AH466" i="1"/>
  <c r="AD467" i="1"/>
  <c r="AE467" i="1"/>
  <c r="AH467" i="1"/>
  <c r="CL4" i="1"/>
  <c r="CL5" i="1"/>
  <c r="CL6" i="1"/>
  <c r="CL7" i="1"/>
  <c r="CL8" i="1"/>
  <c r="CL9" i="1"/>
  <c r="CL10" i="1"/>
  <c r="CL11" i="1"/>
  <c r="CL12" i="1"/>
  <c r="CL13" i="1"/>
  <c r="CL14" i="1"/>
  <c r="CL16" i="1"/>
  <c r="CL17" i="1"/>
  <c r="CL18" i="1"/>
  <c r="CL19" i="1"/>
  <c r="CL20" i="1"/>
  <c r="CL21" i="1"/>
  <c r="CL22" i="1"/>
  <c r="CL23" i="1"/>
  <c r="CL24" i="1"/>
  <c r="CL26" i="1"/>
  <c r="CL27" i="1"/>
  <c r="CL28" i="1"/>
  <c r="CL29" i="1"/>
  <c r="CL30" i="1"/>
  <c r="CL31" i="1"/>
  <c r="CL32" i="1"/>
  <c r="CL33" i="1"/>
  <c r="CL34" i="1"/>
  <c r="CL35" i="1"/>
  <c r="CL36" i="1"/>
  <c r="CL37" i="1"/>
  <c r="CL38" i="1"/>
  <c r="CL39" i="1"/>
  <c r="CL40" i="1"/>
  <c r="CL41" i="1"/>
  <c r="CL42" i="1"/>
  <c r="CL43" i="1"/>
  <c r="CL44" i="1"/>
  <c r="CL45" i="1"/>
  <c r="CL46" i="1"/>
  <c r="CL47" i="1"/>
  <c r="CL48" i="1"/>
  <c r="CL49" i="1"/>
  <c r="CL50" i="1"/>
  <c r="CL51" i="1"/>
  <c r="CL52" i="1"/>
  <c r="CL53" i="1"/>
  <c r="CL54" i="1"/>
  <c r="CL55" i="1"/>
  <c r="CL56" i="1"/>
  <c r="CL57" i="1"/>
  <c r="CL58" i="1"/>
  <c r="CL59" i="1"/>
  <c r="CL60" i="1"/>
  <c r="CL61" i="1"/>
  <c r="CL62" i="1"/>
  <c r="CL63" i="1"/>
  <c r="CL64" i="1"/>
  <c r="CL65" i="1"/>
  <c r="CL66" i="1"/>
  <c r="CL67" i="1"/>
  <c r="CL69" i="1"/>
  <c r="CL70" i="1"/>
  <c r="CL71" i="1"/>
  <c r="CL73" i="1"/>
  <c r="CL74" i="1"/>
  <c r="CL75" i="1"/>
  <c r="CL76" i="1"/>
  <c r="CL77" i="1"/>
  <c r="CL78" i="1"/>
  <c r="CL79" i="1"/>
  <c r="CL80" i="1"/>
  <c r="CL81" i="1"/>
  <c r="CL82" i="1"/>
  <c r="CL83" i="1"/>
  <c r="CL84" i="1"/>
  <c r="CL85" i="1"/>
  <c r="CL86" i="1"/>
  <c r="CL87" i="1"/>
  <c r="CL88" i="1"/>
  <c r="CL89" i="1"/>
  <c r="CL90" i="1"/>
  <c r="CL91" i="1"/>
  <c r="CL92" i="1"/>
  <c r="CL93" i="1"/>
  <c r="CL94" i="1"/>
  <c r="CL95" i="1"/>
  <c r="CL96" i="1"/>
  <c r="CL97" i="1"/>
  <c r="CL98" i="1"/>
  <c r="CL99" i="1"/>
  <c r="CL100" i="1"/>
  <c r="CL101" i="1"/>
  <c r="CL102" i="1"/>
  <c r="CL103" i="1"/>
  <c r="CL104" i="1"/>
  <c r="CL105" i="1"/>
  <c r="CL106" i="1"/>
  <c r="CL107" i="1"/>
  <c r="CL108" i="1"/>
  <c r="CL109" i="1"/>
  <c r="CL110" i="1"/>
  <c r="CL111" i="1"/>
  <c r="CL112" i="1"/>
  <c r="CL113" i="1"/>
  <c r="CL114" i="1"/>
  <c r="CL115" i="1"/>
  <c r="CL116" i="1"/>
  <c r="CL117" i="1"/>
  <c r="CL118" i="1"/>
  <c r="CL119" i="1"/>
  <c r="CL120" i="1"/>
  <c r="CL121" i="1"/>
  <c r="CL122" i="1"/>
  <c r="CL123" i="1"/>
  <c r="CL124" i="1"/>
  <c r="CL125" i="1"/>
  <c r="CL126" i="1"/>
  <c r="CL127" i="1"/>
  <c r="CL129" i="1"/>
  <c r="CL128" i="1"/>
  <c r="CL131" i="1"/>
  <c r="CL130" i="1"/>
  <c r="CL132" i="1"/>
  <c r="CL133" i="1"/>
  <c r="CL135" i="1"/>
  <c r="CL134" i="1"/>
  <c r="CL136" i="1"/>
  <c r="CL137" i="1"/>
  <c r="CL138" i="1"/>
  <c r="CL140" i="1"/>
  <c r="CL141" i="1"/>
  <c r="CL139" i="1"/>
  <c r="CL142" i="1"/>
  <c r="CL144" i="1"/>
  <c r="CL143" i="1"/>
  <c r="CL145" i="1"/>
  <c r="CL146" i="1"/>
  <c r="CL148" i="1"/>
  <c r="CL150" i="1"/>
  <c r="CL147" i="1"/>
  <c r="CL149" i="1"/>
  <c r="CL151" i="1"/>
  <c r="CL152" i="1"/>
  <c r="CL153" i="1"/>
  <c r="CL156" i="1"/>
  <c r="CL155" i="1"/>
  <c r="CL157" i="1"/>
  <c r="CL154" i="1"/>
  <c r="CL158" i="1"/>
  <c r="CL159" i="1"/>
  <c r="CL160" i="1"/>
  <c r="CL162" i="1"/>
  <c r="CL161" i="1"/>
  <c r="CL164" i="1"/>
  <c r="CL165" i="1"/>
  <c r="CL167" i="1"/>
  <c r="CL166" i="1"/>
  <c r="CL163" i="1"/>
  <c r="CL168" i="1"/>
  <c r="CL169" i="1"/>
  <c r="CL170" i="1"/>
  <c r="CL172" i="1"/>
  <c r="CL171" i="1"/>
  <c r="CL177" i="1"/>
  <c r="CL174" i="1"/>
  <c r="CL176" i="1"/>
  <c r="CL175" i="1"/>
  <c r="CL178" i="1"/>
  <c r="CL173" i="1"/>
  <c r="CL180" i="1"/>
  <c r="CL179" i="1"/>
  <c r="CL181" i="1"/>
  <c r="CL183" i="1"/>
  <c r="CL184" i="1"/>
  <c r="CL185" i="1"/>
  <c r="CL182" i="1"/>
  <c r="CL188" i="1"/>
  <c r="CL189" i="1"/>
  <c r="CL186" i="1"/>
  <c r="CL187" i="1"/>
  <c r="CL191" i="1"/>
  <c r="CL193" i="1"/>
  <c r="CL192" i="1"/>
  <c r="CL190" i="1"/>
  <c r="CL200" i="1"/>
  <c r="CL194" i="1"/>
  <c r="CL195" i="1"/>
  <c r="CL199" i="1"/>
  <c r="CL198" i="1"/>
  <c r="CL197" i="1"/>
  <c r="CL196" i="1"/>
  <c r="CL205" i="1"/>
  <c r="CL203" i="1"/>
  <c r="CL201" i="1"/>
  <c r="CL204" i="1"/>
  <c r="CL202" i="1"/>
  <c r="CL206" i="1"/>
  <c r="CL207" i="1"/>
  <c r="CL213" i="1"/>
  <c r="CL208" i="1"/>
  <c r="CL212" i="1"/>
  <c r="CL210" i="1"/>
  <c r="CL214" i="1"/>
  <c r="CL209" i="1"/>
  <c r="CL211" i="1"/>
  <c r="CL215" i="1"/>
  <c r="CL219" i="1"/>
  <c r="CL221" i="1"/>
  <c r="CL228" i="1"/>
  <c r="CL234" i="1"/>
  <c r="CL222" i="1"/>
  <c r="CL226" i="1"/>
  <c r="CL230" i="1"/>
  <c r="CL232" i="1"/>
  <c r="CL229" i="1"/>
  <c r="CL216" i="1"/>
  <c r="CL227" i="1"/>
  <c r="CL220" i="1"/>
  <c r="CL218" i="1"/>
  <c r="CL231" i="1"/>
  <c r="CL223" i="1"/>
  <c r="CL225" i="1"/>
  <c r="CL224" i="1"/>
  <c r="CL217" i="1"/>
  <c r="CL241" i="1"/>
  <c r="CL238" i="1"/>
  <c r="CL233" i="1"/>
  <c r="CL239" i="1"/>
  <c r="CL240" i="1"/>
  <c r="CL235" i="1"/>
  <c r="CL237" i="1"/>
  <c r="CL236" i="1"/>
  <c r="CL242" i="1"/>
  <c r="CL243" i="1"/>
  <c r="CL249" i="1"/>
  <c r="CL247" i="1"/>
  <c r="CL244" i="1"/>
  <c r="CL248" i="1"/>
  <c r="CL245" i="1"/>
  <c r="CL250" i="1"/>
  <c r="CL246" i="1"/>
  <c r="CL256" i="1"/>
  <c r="CL252" i="1"/>
  <c r="CL251" i="1"/>
  <c r="CL254" i="1"/>
  <c r="CL253" i="1"/>
  <c r="CL255" i="1"/>
  <c r="CL258" i="1"/>
  <c r="CL261" i="1"/>
  <c r="CL259" i="1"/>
  <c r="CL260" i="1"/>
  <c r="CL262" i="1"/>
  <c r="CL257" i="1"/>
  <c r="CL264" i="1"/>
  <c r="CL272" i="1"/>
  <c r="CL271" i="1"/>
  <c r="CL276" i="1"/>
  <c r="CL274" i="1"/>
  <c r="CL270" i="1"/>
  <c r="CL269" i="1"/>
  <c r="CL268" i="1"/>
  <c r="CL263" i="1"/>
  <c r="CL277" i="1"/>
  <c r="CL266" i="1"/>
  <c r="CL265" i="1"/>
  <c r="CL275" i="1"/>
  <c r="CL273" i="1"/>
  <c r="CL267" i="1"/>
  <c r="CL278" i="1"/>
  <c r="CL281" i="1"/>
  <c r="CL282" i="1"/>
  <c r="CL285" i="1"/>
  <c r="CL283" i="1"/>
  <c r="CL284" i="1"/>
  <c r="CL280" i="1"/>
  <c r="CL279" i="1"/>
  <c r="CL286" i="1"/>
  <c r="CL287" i="1"/>
  <c r="CL290" i="1"/>
  <c r="CL288" i="1"/>
  <c r="CL289" i="1"/>
  <c r="CL291" i="1"/>
  <c r="CL292" i="1"/>
  <c r="CL294" i="1"/>
  <c r="CL293" i="1"/>
  <c r="CL295" i="1"/>
  <c r="CL296" i="1"/>
  <c r="CL297" i="1"/>
  <c r="CL299" i="1"/>
  <c r="CL298" i="1"/>
  <c r="CL301" i="1"/>
  <c r="CL300" i="1"/>
  <c r="CL304" i="1"/>
  <c r="CL305" i="1"/>
  <c r="CL302" i="1"/>
  <c r="CL303" i="1"/>
  <c r="CL309" i="1"/>
  <c r="CL313" i="1"/>
  <c r="CL307" i="1"/>
  <c r="CL310" i="1"/>
  <c r="CL315" i="1"/>
  <c r="CL316" i="1"/>
  <c r="CL308" i="1"/>
  <c r="CL314" i="1"/>
  <c r="CL311" i="1"/>
  <c r="CL306" i="1"/>
  <c r="CL312" i="1"/>
  <c r="CL319" i="1"/>
  <c r="CL323" i="1"/>
  <c r="CL321" i="1"/>
  <c r="CL322" i="1"/>
  <c r="CL318" i="1"/>
  <c r="CL317" i="1"/>
  <c r="CL320" i="1"/>
  <c r="CL324" i="1"/>
  <c r="CL325" i="1"/>
  <c r="CL326" i="1"/>
  <c r="CL327" i="1"/>
  <c r="CL328" i="1"/>
  <c r="CL329" i="1"/>
  <c r="CL330" i="1"/>
  <c r="CL331" i="1"/>
  <c r="CL335" i="1"/>
  <c r="CL343" i="1"/>
  <c r="CL340" i="1"/>
  <c r="CL333" i="1"/>
  <c r="CL338" i="1"/>
  <c r="CL337" i="1"/>
  <c r="CL336" i="1"/>
  <c r="CL332" i="1"/>
  <c r="CL341" i="1"/>
  <c r="CL342" i="1"/>
  <c r="CL334" i="1"/>
  <c r="CL353" i="1"/>
  <c r="CL346" i="1"/>
  <c r="CL349" i="1"/>
  <c r="CL345" i="1"/>
  <c r="CL347" i="1"/>
  <c r="CL351" i="1"/>
  <c r="CL348" i="1"/>
  <c r="CL339" i="1"/>
  <c r="CL350" i="1"/>
  <c r="CL352" i="1"/>
  <c r="CL354" i="1"/>
  <c r="CL344" i="1"/>
  <c r="CL360" i="1"/>
  <c r="CL355" i="1"/>
  <c r="CL362" i="1"/>
  <c r="CL359" i="1"/>
  <c r="CL356" i="1"/>
  <c r="CL358" i="1"/>
  <c r="CL357" i="1"/>
  <c r="CL361" i="1"/>
  <c r="CL366" i="1"/>
  <c r="CL363" i="1"/>
  <c r="CL368" i="1"/>
  <c r="CL367" i="1"/>
  <c r="CL364" i="1"/>
  <c r="CL365" i="1"/>
  <c r="H31" i="4" l="1"/>
  <c r="I31" i="4"/>
  <c r="F31" i="4"/>
  <c r="G31" i="4"/>
  <c r="E31" i="4"/>
  <c r="C31" i="4"/>
  <c r="D31" i="4"/>
  <c r="B31" i="4"/>
  <c r="CH464" i="1"/>
  <c r="CI464" i="1" s="1"/>
  <c r="CH453" i="1"/>
  <c r="CI453" i="1" s="1"/>
  <c r="CH454" i="1"/>
  <c r="CI454" i="1" s="1"/>
  <c r="CH461" i="1"/>
  <c r="CI461" i="1" s="1"/>
  <c r="CH465" i="1"/>
  <c r="CI465" i="1" s="1"/>
  <c r="CH452" i="1"/>
  <c r="CI452" i="1" s="1"/>
  <c r="CH450" i="1"/>
  <c r="CI450" i="1" s="1"/>
  <c r="CH459" i="1"/>
  <c r="CI459" i="1" s="1"/>
  <c r="CH460" i="1"/>
  <c r="CI460" i="1" s="1"/>
  <c r="CH449" i="1"/>
  <c r="CI449" i="1" s="1"/>
  <c r="CH467" i="1"/>
  <c r="CI467" i="1" s="1"/>
  <c r="CH463" i="1"/>
  <c r="CI463" i="1" s="1"/>
  <c r="CH466" i="1"/>
  <c r="CI466" i="1" s="1"/>
  <c r="CH456" i="1"/>
  <c r="CI456" i="1" s="1"/>
  <c r="CH469" i="1"/>
  <c r="CI469" i="1" s="1"/>
  <c r="CH457" i="1"/>
  <c r="CI457" i="1" s="1"/>
  <c r="CH455" i="1"/>
  <c r="CI455" i="1" s="1"/>
  <c r="CH451" i="1"/>
  <c r="CI451" i="1" s="1"/>
  <c r="CH470" i="1"/>
  <c r="CI470" i="1" s="1"/>
  <c r="CH468" i="1"/>
  <c r="CI468" i="1" s="1"/>
  <c r="CH448" i="1"/>
  <c r="CI448" i="1" s="1"/>
  <c r="CH458" i="1"/>
  <c r="CI458" i="1" s="1"/>
  <c r="AI451" i="1"/>
  <c r="AI454" i="1"/>
  <c r="AI470" i="1"/>
  <c r="AI468" i="1"/>
  <c r="AI448" i="1"/>
  <c r="AI466" i="1"/>
  <c r="AI456" i="1"/>
  <c r="AI469" i="1"/>
  <c r="AI458" i="1"/>
  <c r="AI464" i="1"/>
  <c r="AI453" i="1"/>
  <c r="AI461" i="1"/>
  <c r="AI460" i="1"/>
  <c r="AI449" i="1"/>
  <c r="AI467" i="1"/>
  <c r="AI463" i="1"/>
  <c r="AI457" i="1"/>
  <c r="AI455" i="1"/>
  <c r="AI465" i="1"/>
  <c r="AI452" i="1"/>
  <c r="AI450" i="1"/>
  <c r="AI459" i="1"/>
  <c r="I24" i="6"/>
  <c r="I31" i="6"/>
  <c r="I25" i="6"/>
  <c r="Q31" i="6"/>
  <c r="Q25" i="6"/>
  <c r="Q30" i="6"/>
  <c r="Q24" i="6"/>
  <c r="I30" i="6"/>
  <c r="CM465" i="1"/>
  <c r="CM471" i="1"/>
  <c r="CM409" i="1"/>
  <c r="AF454" i="1"/>
  <c r="AJ461" i="1"/>
  <c r="AJ451" i="1"/>
  <c r="AG449" i="1"/>
  <c r="AF469" i="1"/>
  <c r="AJ466" i="1"/>
  <c r="AJ470" i="1"/>
  <c r="AF455" i="1"/>
  <c r="AF467" i="1"/>
  <c r="AF466" i="1"/>
  <c r="AJ454" i="1"/>
  <c r="AJ468" i="1"/>
  <c r="AG464" i="1"/>
  <c r="AG450" i="1"/>
  <c r="AR457" i="1"/>
  <c r="AF458" i="1"/>
  <c r="AG455" i="1"/>
  <c r="AJ457" i="1"/>
  <c r="AJ453" i="1"/>
  <c r="AJ456" i="1"/>
  <c r="AJ458" i="1"/>
  <c r="AF448" i="1"/>
  <c r="AJ455" i="1"/>
  <c r="AF459" i="1"/>
  <c r="AF449" i="1"/>
  <c r="AG457" i="1"/>
  <c r="AG453" i="1"/>
  <c r="AG452" i="1"/>
  <c r="AG451" i="1"/>
  <c r="AG468" i="1"/>
  <c r="AJ448" i="1"/>
  <c r="AJ463" i="1"/>
  <c r="AG469" i="1"/>
  <c r="AG460" i="1"/>
  <c r="AG466" i="1"/>
  <c r="AG465" i="1"/>
  <c r="AF457" i="1"/>
  <c r="AF452" i="1"/>
  <c r="AF461" i="1"/>
  <c r="AF470" i="1"/>
  <c r="AF451" i="1"/>
  <c r="AR448" i="1"/>
  <c r="AR466" i="1"/>
  <c r="AR464" i="1"/>
  <c r="AR461" i="1"/>
  <c r="AR470" i="1"/>
  <c r="AR455" i="1"/>
  <c r="AJ464" i="1"/>
  <c r="AR463" i="1"/>
  <c r="AF464" i="1"/>
  <c r="AG456" i="1"/>
  <c r="AF463" i="1"/>
  <c r="AF468" i="1"/>
  <c r="AJ467" i="1"/>
  <c r="AF456" i="1"/>
  <c r="AF450" i="1"/>
  <c r="AG458" i="1"/>
  <c r="AG448" i="1"/>
  <c r="AJ452" i="1"/>
  <c r="AG461" i="1"/>
  <c r="AG470" i="1"/>
  <c r="AF465" i="1"/>
  <c r="AF453" i="1"/>
  <c r="AR451" i="1"/>
  <c r="AG463" i="1"/>
  <c r="AR469" i="1"/>
  <c r="AJ469" i="1"/>
  <c r="AJ450" i="1"/>
  <c r="AF460" i="1"/>
  <c r="AR460" i="1"/>
  <c r="AJ460" i="1"/>
  <c r="AG459" i="1"/>
  <c r="AJ459" i="1"/>
  <c r="AJ449" i="1"/>
  <c r="AR450" i="1"/>
  <c r="AR458" i="1"/>
  <c r="AR454" i="1"/>
  <c r="AR449" i="1"/>
  <c r="AR452" i="1"/>
  <c r="AR467" i="1"/>
  <c r="AR465" i="1"/>
  <c r="AG467" i="1"/>
  <c r="AJ465" i="1"/>
  <c r="AG454" i="1"/>
  <c r="X1" i="7"/>
  <c r="AP2" i="7"/>
  <c r="E63" i="5"/>
  <c r="D63" i="5"/>
  <c r="C63" i="5"/>
  <c r="B63" i="5"/>
  <c r="F62" i="5"/>
  <c r="G62" i="5" s="1"/>
  <c r="D30" i="5" s="1"/>
  <c r="F61" i="5"/>
  <c r="G61" i="5" s="1"/>
  <c r="D29" i="5" s="1"/>
  <c r="F60" i="5"/>
  <c r="G60" i="5" s="1"/>
  <c r="D28" i="5" s="1"/>
  <c r="F59" i="5"/>
  <c r="G59" i="5" s="1"/>
  <c r="D27" i="5" s="1"/>
  <c r="F58" i="5"/>
  <c r="G58" i="5" s="1"/>
  <c r="D26" i="5" s="1"/>
  <c r="N31" i="4" l="1"/>
  <c r="AS3" i="7"/>
  <c r="D31" i="5"/>
  <c r="CM413" i="1"/>
  <c r="CM462" i="1"/>
  <c r="CM467" i="1"/>
  <c r="AR468" i="1"/>
  <c r="B5" i="5"/>
  <c r="F63" i="5"/>
  <c r="G63" i="5" s="1"/>
  <c r="AD429" i="1"/>
  <c r="AE429" i="1"/>
  <c r="AH429" i="1"/>
  <c r="AD432" i="1"/>
  <c r="AE432" i="1"/>
  <c r="AH432" i="1"/>
  <c r="AD444" i="1"/>
  <c r="AE444" i="1"/>
  <c r="AH444" i="1"/>
  <c r="AD437" i="1"/>
  <c r="AE437" i="1"/>
  <c r="AH437" i="1"/>
  <c r="AD430" i="1"/>
  <c r="AE430" i="1"/>
  <c r="AH430" i="1"/>
  <c r="AD435" i="1"/>
  <c r="AE435" i="1"/>
  <c r="AH435" i="1"/>
  <c r="AD431" i="1"/>
  <c r="AE431" i="1"/>
  <c r="AH431" i="1"/>
  <c r="AD443" i="1"/>
  <c r="AE443" i="1"/>
  <c r="AH443" i="1"/>
  <c r="AD438" i="1"/>
  <c r="AE438" i="1"/>
  <c r="AH438" i="1"/>
  <c r="AD446" i="1"/>
  <c r="AE446" i="1"/>
  <c r="AH446" i="1"/>
  <c r="AD447" i="1"/>
  <c r="AE447" i="1"/>
  <c r="AH447" i="1"/>
  <c r="AD440" i="1"/>
  <c r="AE440" i="1"/>
  <c r="AH440" i="1"/>
  <c r="AD436" i="1"/>
  <c r="AE436" i="1"/>
  <c r="AH436" i="1"/>
  <c r="AD445" i="1"/>
  <c r="AE445" i="1"/>
  <c r="AH445" i="1"/>
  <c r="AD441" i="1"/>
  <c r="AE441" i="1"/>
  <c r="AH441" i="1"/>
  <c r="AD439" i="1"/>
  <c r="AE439" i="1"/>
  <c r="AH439" i="1"/>
  <c r="AD433" i="1"/>
  <c r="AE433" i="1"/>
  <c r="AH433" i="1"/>
  <c r="AD442" i="1"/>
  <c r="AE442" i="1"/>
  <c r="AH442" i="1"/>
  <c r="AD434" i="1"/>
  <c r="AE434" i="1"/>
  <c r="AH434" i="1"/>
  <c r="CM4" i="1"/>
  <c r="CM5" i="1"/>
  <c r="CM6" i="1"/>
  <c r="CM7" i="1"/>
  <c r="CM8" i="1"/>
  <c r="CM9" i="1"/>
  <c r="CM10" i="1"/>
  <c r="CM11" i="1"/>
  <c r="CM12" i="1"/>
  <c r="CM13" i="1"/>
  <c r="CM14" i="1"/>
  <c r="CM15" i="1"/>
  <c r="CM16" i="1"/>
  <c r="CM17" i="1"/>
  <c r="CM18" i="1"/>
  <c r="CM19" i="1"/>
  <c r="CM20" i="1"/>
  <c r="CM21" i="1"/>
  <c r="CM22" i="1"/>
  <c r="CM23" i="1"/>
  <c r="CM24" i="1"/>
  <c r="CM25" i="1"/>
  <c r="CM26" i="1"/>
  <c r="CM27" i="1"/>
  <c r="CM28" i="1"/>
  <c r="CM29" i="1"/>
  <c r="CM30" i="1"/>
  <c r="CM31" i="1"/>
  <c r="CM32" i="1"/>
  <c r="CM33" i="1"/>
  <c r="CM34" i="1"/>
  <c r="CM35" i="1"/>
  <c r="CM36" i="1"/>
  <c r="CM37" i="1"/>
  <c r="CM38" i="1"/>
  <c r="CM39" i="1"/>
  <c r="CM40" i="1"/>
  <c r="CM41" i="1"/>
  <c r="CM42" i="1"/>
  <c r="CM43" i="1"/>
  <c r="CM44" i="1"/>
  <c r="CM45" i="1"/>
  <c r="CM46" i="1"/>
  <c r="CM47" i="1"/>
  <c r="CM48" i="1"/>
  <c r="CM49" i="1"/>
  <c r="CM50" i="1"/>
  <c r="CM51" i="1"/>
  <c r="CM52" i="1"/>
  <c r="CM53" i="1"/>
  <c r="CM54" i="1"/>
  <c r="CM55" i="1"/>
  <c r="CM56" i="1"/>
  <c r="CM57" i="1"/>
  <c r="CM58" i="1"/>
  <c r="CM59" i="1"/>
  <c r="CM60" i="1"/>
  <c r="CM61" i="1"/>
  <c r="CM62" i="1"/>
  <c r="CM63" i="1"/>
  <c r="CM64" i="1"/>
  <c r="CM65" i="1"/>
  <c r="CM66" i="1"/>
  <c r="CM67" i="1"/>
  <c r="CM68" i="1"/>
  <c r="CM69" i="1"/>
  <c r="CM70" i="1"/>
  <c r="CM71" i="1"/>
  <c r="CM73" i="1"/>
  <c r="CM74" i="1"/>
  <c r="CM75" i="1"/>
  <c r="CM76" i="1"/>
  <c r="CM77" i="1"/>
  <c r="CM78" i="1"/>
  <c r="CM79" i="1"/>
  <c r="CM80" i="1"/>
  <c r="CM81" i="1"/>
  <c r="CM82" i="1"/>
  <c r="CM83" i="1"/>
  <c r="CM84" i="1"/>
  <c r="CM85" i="1"/>
  <c r="CM86" i="1"/>
  <c r="CM87" i="1"/>
  <c r="CM88" i="1"/>
  <c r="CM89" i="1"/>
  <c r="CM90" i="1"/>
  <c r="CM91" i="1"/>
  <c r="CM92" i="1"/>
  <c r="CM93" i="1"/>
  <c r="CM94" i="1"/>
  <c r="CM95" i="1"/>
  <c r="CM97" i="1"/>
  <c r="CM98" i="1"/>
  <c r="CM99" i="1"/>
  <c r="CM100" i="1"/>
  <c r="CM101" i="1"/>
  <c r="CM102" i="1"/>
  <c r="CM103" i="1"/>
  <c r="CM104" i="1"/>
  <c r="CM105" i="1"/>
  <c r="CM106" i="1"/>
  <c r="CM107" i="1"/>
  <c r="CM108" i="1"/>
  <c r="CM109" i="1"/>
  <c r="CM110" i="1"/>
  <c r="CM111" i="1"/>
  <c r="CM112" i="1"/>
  <c r="CM113" i="1"/>
  <c r="CM114" i="1"/>
  <c r="CM115" i="1"/>
  <c r="CM116" i="1"/>
  <c r="CM117" i="1"/>
  <c r="CM118" i="1"/>
  <c r="CM119" i="1"/>
  <c r="CM120" i="1"/>
  <c r="CM121" i="1"/>
  <c r="CM122" i="1"/>
  <c r="CM123" i="1"/>
  <c r="CM124" i="1"/>
  <c r="CM125" i="1"/>
  <c r="CM126" i="1"/>
  <c r="CM127" i="1"/>
  <c r="CM129" i="1"/>
  <c r="CM128" i="1"/>
  <c r="CM131" i="1"/>
  <c r="CM130" i="1"/>
  <c r="CM132" i="1"/>
  <c r="CM133" i="1"/>
  <c r="CM135" i="1"/>
  <c r="CM134" i="1"/>
  <c r="CM136" i="1"/>
  <c r="CM137" i="1"/>
  <c r="CM138" i="1"/>
  <c r="CM140" i="1"/>
  <c r="CM141" i="1"/>
  <c r="CM142" i="1"/>
  <c r="CM144" i="1"/>
  <c r="CM143" i="1"/>
  <c r="CM145" i="1"/>
  <c r="CM146" i="1"/>
  <c r="CM148" i="1"/>
  <c r="CM150" i="1"/>
  <c r="CM147" i="1"/>
  <c r="CM149" i="1"/>
  <c r="CM151" i="1"/>
  <c r="CM152" i="1"/>
  <c r="CM153" i="1"/>
  <c r="CM156" i="1"/>
  <c r="CM155" i="1"/>
  <c r="CM157" i="1"/>
  <c r="CM154" i="1"/>
  <c r="CM158" i="1"/>
  <c r="CM159" i="1"/>
  <c r="CM160" i="1"/>
  <c r="CM162" i="1"/>
  <c r="CM161" i="1"/>
  <c r="CM164" i="1"/>
  <c r="CM165" i="1"/>
  <c r="CM167" i="1"/>
  <c r="CM166" i="1"/>
  <c r="CM163" i="1"/>
  <c r="CM168" i="1"/>
  <c r="CM169" i="1"/>
  <c r="CM170" i="1"/>
  <c r="CM172" i="1"/>
  <c r="CM171" i="1"/>
  <c r="CM177" i="1"/>
  <c r="CM174" i="1"/>
  <c r="CM176" i="1"/>
  <c r="CM175" i="1"/>
  <c r="CM178" i="1"/>
  <c r="CM173" i="1"/>
  <c r="CM180" i="1"/>
  <c r="CM179" i="1"/>
  <c r="CM181" i="1"/>
  <c r="CM183" i="1"/>
  <c r="CM184" i="1"/>
  <c r="CM185" i="1"/>
  <c r="CM182" i="1"/>
  <c r="CM188" i="1"/>
  <c r="CM189" i="1"/>
  <c r="CM186" i="1"/>
  <c r="CM187" i="1"/>
  <c r="CM191" i="1"/>
  <c r="CM193" i="1"/>
  <c r="CM192" i="1"/>
  <c r="CM190" i="1"/>
  <c r="CM200" i="1"/>
  <c r="CM194" i="1"/>
  <c r="CM195" i="1"/>
  <c r="CM199" i="1"/>
  <c r="CM198" i="1"/>
  <c r="CM197" i="1"/>
  <c r="CM196" i="1"/>
  <c r="CM205" i="1"/>
  <c r="CM203" i="1"/>
  <c r="CM201" i="1"/>
  <c r="CM204" i="1"/>
  <c r="CM202" i="1"/>
  <c r="CM206" i="1"/>
  <c r="CM207" i="1"/>
  <c r="CM213" i="1"/>
  <c r="CM208" i="1"/>
  <c r="CM212" i="1"/>
  <c r="CM210" i="1"/>
  <c r="CM214" i="1"/>
  <c r="CM209" i="1"/>
  <c r="CM211" i="1"/>
  <c r="CM215" i="1"/>
  <c r="CM219" i="1"/>
  <c r="CM221" i="1"/>
  <c r="CM228" i="1"/>
  <c r="CM234" i="1"/>
  <c r="CM222" i="1"/>
  <c r="CM226" i="1"/>
  <c r="CM230" i="1"/>
  <c r="CM232" i="1"/>
  <c r="CM229" i="1"/>
  <c r="CM216" i="1"/>
  <c r="CM227" i="1"/>
  <c r="CM220" i="1"/>
  <c r="CM218" i="1"/>
  <c r="CM231" i="1"/>
  <c r="CM223" i="1"/>
  <c r="CM225" i="1"/>
  <c r="CM224" i="1"/>
  <c r="CM217" i="1"/>
  <c r="CM241" i="1"/>
  <c r="CM238" i="1"/>
  <c r="CM233" i="1"/>
  <c r="CM239" i="1"/>
  <c r="CM240" i="1"/>
  <c r="CM235" i="1"/>
  <c r="CM237" i="1"/>
  <c r="CM236" i="1"/>
  <c r="CM242" i="1"/>
  <c r="CM243" i="1"/>
  <c r="CM249" i="1"/>
  <c r="CM247" i="1"/>
  <c r="CM244" i="1"/>
  <c r="CM248" i="1"/>
  <c r="CM245" i="1"/>
  <c r="CM250" i="1"/>
  <c r="CM246" i="1"/>
  <c r="CM256" i="1"/>
  <c r="CM252" i="1"/>
  <c r="CM251" i="1"/>
  <c r="CM254" i="1"/>
  <c r="CM253" i="1"/>
  <c r="CM255" i="1"/>
  <c r="CM258" i="1"/>
  <c r="CM261" i="1"/>
  <c r="CM259" i="1"/>
  <c r="CM260" i="1"/>
  <c r="CM262" i="1"/>
  <c r="CM257" i="1"/>
  <c r="CM264" i="1"/>
  <c r="CM272" i="1"/>
  <c r="CM271" i="1"/>
  <c r="CM276" i="1"/>
  <c r="CM274" i="1"/>
  <c r="CM270" i="1"/>
  <c r="CM269" i="1"/>
  <c r="CM268" i="1"/>
  <c r="CM263" i="1"/>
  <c r="CM277" i="1"/>
  <c r="CM266" i="1"/>
  <c r="CM265" i="1"/>
  <c r="CM275" i="1"/>
  <c r="CM273" i="1"/>
  <c r="CM267" i="1"/>
  <c r="CM278" i="1"/>
  <c r="CM281" i="1"/>
  <c r="CM282" i="1"/>
  <c r="CM285" i="1"/>
  <c r="CM283" i="1"/>
  <c r="CM284" i="1"/>
  <c r="CM280" i="1"/>
  <c r="CM279" i="1"/>
  <c r="CM286" i="1"/>
  <c r="CM287" i="1"/>
  <c r="CM290" i="1"/>
  <c r="CM288" i="1"/>
  <c r="CM289" i="1"/>
  <c r="CM291" i="1"/>
  <c r="CM292" i="1"/>
  <c r="CM294" i="1"/>
  <c r="CM293" i="1"/>
  <c r="CM295" i="1"/>
  <c r="CM296" i="1"/>
  <c r="CM297" i="1"/>
  <c r="CM299" i="1"/>
  <c r="CM298" i="1"/>
  <c r="CM301" i="1"/>
  <c r="CM300" i="1"/>
  <c r="CM304" i="1"/>
  <c r="CM305" i="1"/>
  <c r="CM302" i="1"/>
  <c r="CM303" i="1"/>
  <c r="CM309" i="1"/>
  <c r="CM313" i="1"/>
  <c r="CM307" i="1"/>
  <c r="CM310" i="1"/>
  <c r="CM315" i="1"/>
  <c r="CM316" i="1"/>
  <c r="CM308" i="1"/>
  <c r="CM314" i="1"/>
  <c r="CM311" i="1"/>
  <c r="CM306" i="1"/>
  <c r="CM312" i="1"/>
  <c r="CM319" i="1"/>
  <c r="CM323" i="1"/>
  <c r="CM321" i="1"/>
  <c r="CM322" i="1"/>
  <c r="CM318" i="1"/>
  <c r="CM317" i="1"/>
  <c r="CM320" i="1"/>
  <c r="CM324" i="1"/>
  <c r="CM325" i="1"/>
  <c r="CM326" i="1"/>
  <c r="CM327" i="1"/>
  <c r="CM328" i="1"/>
  <c r="CM329" i="1"/>
  <c r="CM330" i="1"/>
  <c r="CM331" i="1"/>
  <c r="CM335" i="1"/>
  <c r="CM343" i="1"/>
  <c r="CM340" i="1"/>
  <c r="CM333" i="1"/>
  <c r="CM338" i="1"/>
  <c r="CM337" i="1"/>
  <c r="CM336" i="1"/>
  <c r="CM332" i="1"/>
  <c r="CM341" i="1"/>
  <c r="CM342" i="1"/>
  <c r="CM334" i="1"/>
  <c r="CM353" i="1"/>
  <c r="CM346" i="1"/>
  <c r="CM349" i="1"/>
  <c r="CM345" i="1"/>
  <c r="CM347" i="1"/>
  <c r="CM351" i="1"/>
  <c r="CM348" i="1"/>
  <c r="CM339" i="1"/>
  <c r="CM350" i="1"/>
  <c r="CM352" i="1"/>
  <c r="CM354" i="1"/>
  <c r="CM344" i="1"/>
  <c r="CM360" i="1"/>
  <c r="CM355" i="1"/>
  <c r="CM362" i="1"/>
  <c r="CM359" i="1"/>
  <c r="CM356" i="1"/>
  <c r="CM358" i="1"/>
  <c r="CM357" i="1"/>
  <c r="CM361" i="1"/>
  <c r="CM366" i="1"/>
  <c r="CM363" i="1"/>
  <c r="CM368" i="1"/>
  <c r="CM367" i="1"/>
  <c r="CM364" i="1"/>
  <c r="CM365" i="1"/>
  <c r="D35" i="5" l="1"/>
  <c r="CH441" i="1"/>
  <c r="CI441" i="1" s="1"/>
  <c r="CH440" i="1"/>
  <c r="CI440" i="1" s="1"/>
  <c r="CH438" i="1"/>
  <c r="CI438" i="1" s="1"/>
  <c r="CH430" i="1"/>
  <c r="CI430" i="1" s="1"/>
  <c r="CH445" i="1"/>
  <c r="CI445" i="1" s="1"/>
  <c r="CH447" i="1"/>
  <c r="CI447" i="1" s="1"/>
  <c r="CH446" i="1"/>
  <c r="CI446" i="1" s="1"/>
  <c r="CH432" i="1"/>
  <c r="CI432" i="1" s="1"/>
  <c r="CH444" i="1"/>
  <c r="CI444" i="1" s="1"/>
  <c r="CH439" i="1"/>
  <c r="CI439" i="1" s="1"/>
  <c r="CH436" i="1"/>
  <c r="CI436" i="1" s="1"/>
  <c r="CH431" i="1"/>
  <c r="CI431" i="1" s="1"/>
  <c r="CH434" i="1"/>
  <c r="CI434" i="1" s="1"/>
  <c r="CH443" i="1"/>
  <c r="CI443" i="1" s="1"/>
  <c r="CH433" i="1"/>
  <c r="CI433" i="1" s="1"/>
  <c r="CH437" i="1"/>
  <c r="CI437" i="1" s="1"/>
  <c r="CH442" i="1"/>
  <c r="CI442" i="1" s="1"/>
  <c r="CH435" i="1"/>
  <c r="CI435" i="1" s="1"/>
  <c r="CH429" i="1"/>
  <c r="CI429" i="1" s="1"/>
  <c r="AI439" i="1"/>
  <c r="AI436" i="1"/>
  <c r="AI431" i="1"/>
  <c r="AI434" i="1"/>
  <c r="AI444" i="1"/>
  <c r="AI445" i="1"/>
  <c r="AI447" i="1"/>
  <c r="AI443" i="1"/>
  <c r="AI433" i="1"/>
  <c r="AI437" i="1"/>
  <c r="AI446" i="1"/>
  <c r="AI432" i="1"/>
  <c r="AI441" i="1"/>
  <c r="AI440" i="1"/>
  <c r="AI438" i="1"/>
  <c r="AI430" i="1"/>
  <c r="AI442" i="1"/>
  <c r="AI435" i="1"/>
  <c r="AI429" i="1"/>
  <c r="CM472" i="1"/>
  <c r="CM484" i="1"/>
  <c r="CM417" i="1"/>
  <c r="AG447" i="1"/>
  <c r="AF433" i="1"/>
  <c r="AG444" i="1"/>
  <c r="AJ437" i="1"/>
  <c r="AG441" i="1"/>
  <c r="AF445" i="1"/>
  <c r="AF442" i="1"/>
  <c r="AG442" i="1"/>
  <c r="AJ443" i="1"/>
  <c r="AF429" i="1"/>
  <c r="AG431" i="1"/>
  <c r="AF435" i="1"/>
  <c r="AF441" i="1"/>
  <c r="AF447" i="1"/>
  <c r="AJ436" i="1"/>
  <c r="AJ429" i="1"/>
  <c r="AF438" i="1"/>
  <c r="AF431" i="1"/>
  <c r="AJ444" i="1"/>
  <c r="AR433" i="1"/>
  <c r="AJ438" i="1"/>
  <c r="AF434" i="1"/>
  <c r="AF443" i="1"/>
  <c r="AG435" i="1"/>
  <c r="AJ430" i="1"/>
  <c r="AJ433" i="1"/>
  <c r="AF440" i="1"/>
  <c r="AF446" i="1"/>
  <c r="AR429" i="1"/>
  <c r="AG432" i="1"/>
  <c r="AG429" i="1"/>
  <c r="AR439" i="1"/>
  <c r="AJ434" i="1"/>
  <c r="AJ439" i="1"/>
  <c r="AF439" i="1"/>
  <c r="AG434" i="1"/>
  <c r="AJ442" i="1"/>
  <c r="AJ441" i="1"/>
  <c r="AG445" i="1"/>
  <c r="AJ445" i="1"/>
  <c r="AF436" i="1"/>
  <c r="AR436" i="1"/>
  <c r="AR440" i="1"/>
  <c r="AJ440" i="1"/>
  <c r="AJ447" i="1"/>
  <c r="AR443" i="1"/>
  <c r="AG446" i="1"/>
  <c r="AR438" i="1"/>
  <c r="AJ446" i="1"/>
  <c r="AJ431" i="1"/>
  <c r="AJ435" i="1"/>
  <c r="AF430" i="1"/>
  <c r="AR430" i="1"/>
  <c r="AF437" i="1"/>
  <c r="AF444" i="1"/>
  <c r="AF432" i="1"/>
  <c r="AJ432" i="1"/>
  <c r="AR447" i="1"/>
  <c r="AR434" i="1"/>
  <c r="AR432" i="1"/>
  <c r="AR446" i="1"/>
  <c r="AR442" i="1"/>
  <c r="AR431" i="1"/>
  <c r="AR435" i="1"/>
  <c r="AR441" i="1"/>
  <c r="AR445" i="1"/>
  <c r="AR444" i="1"/>
  <c r="AG433" i="1"/>
  <c r="AG436" i="1"/>
  <c r="AG438" i="1"/>
  <c r="AG430" i="1"/>
  <c r="AG439" i="1"/>
  <c r="AG440" i="1"/>
  <c r="AG443" i="1"/>
  <c r="AG437" i="1"/>
  <c r="CM421" i="1" l="1"/>
  <c r="CM483" i="1"/>
  <c r="CM485" i="1"/>
  <c r="CM475" i="1"/>
  <c r="AR437" i="1"/>
  <c r="CM407" i="1" l="1"/>
  <c r="CM473" i="1"/>
  <c r="AE7" i="2"/>
  <c r="AH7" i="2"/>
  <c r="AK7" i="2"/>
  <c r="AL7" i="2"/>
  <c r="AP7" i="2"/>
  <c r="AQ7" i="2" s="1"/>
  <c r="AE9" i="2"/>
  <c r="AH9" i="2"/>
  <c r="AK9" i="2"/>
  <c r="AL9" i="2"/>
  <c r="AP9" i="2"/>
  <c r="AQ9" i="2" s="1"/>
  <c r="AR9" i="2" s="1"/>
  <c r="AE8" i="2"/>
  <c r="AH8" i="2"/>
  <c r="AK8" i="2"/>
  <c r="AL8" i="2"/>
  <c r="AP8" i="2"/>
  <c r="AQ8" i="2" s="1"/>
  <c r="AE20" i="2"/>
  <c r="AH20" i="2"/>
  <c r="AK20" i="2"/>
  <c r="AL20" i="2"/>
  <c r="AP20" i="2"/>
  <c r="AQ20" i="2" s="1"/>
  <c r="L24" i="6" l="1"/>
  <c r="AM7" i="2"/>
  <c r="AO7" i="2" s="1"/>
  <c r="AF7" i="2" s="1"/>
  <c r="CH8" i="2"/>
  <c r="CE8" i="2"/>
  <c r="CH20" i="2"/>
  <c r="CE20" i="2"/>
  <c r="CE7" i="2"/>
  <c r="CH7" i="2"/>
  <c r="CH9" i="2"/>
  <c r="CE9" i="2"/>
  <c r="AR8" i="2"/>
  <c r="AS8" i="2"/>
  <c r="AT8" i="2" s="1"/>
  <c r="AS20" i="2"/>
  <c r="AT20" i="2" s="1"/>
  <c r="AR20" i="2"/>
  <c r="AS7" i="2"/>
  <c r="AT7" i="2" s="1"/>
  <c r="AR7" i="2"/>
  <c r="AN7" i="2"/>
  <c r="AG7" i="2" s="1"/>
  <c r="AN20" i="2"/>
  <c r="AG20" i="2" s="1"/>
  <c r="AM8" i="2"/>
  <c r="AO8" i="2" s="1"/>
  <c r="AF8" i="2" s="1"/>
  <c r="AM20" i="2"/>
  <c r="AO20" i="2" s="1"/>
  <c r="AF20" i="2" s="1"/>
  <c r="CM478" i="1"/>
  <c r="CM425" i="1"/>
  <c r="CM422" i="1"/>
  <c r="AI20" i="2"/>
  <c r="AJ20" i="2"/>
  <c r="AN8" i="2"/>
  <c r="AG8" i="2" s="1"/>
  <c r="AJ8" i="2"/>
  <c r="AM9" i="2"/>
  <c r="AO9" i="2" s="1"/>
  <c r="AF9" i="2" s="1"/>
  <c r="AJ9" i="2"/>
  <c r="AI7" i="2"/>
  <c r="AJ7" i="2"/>
  <c r="AI9" i="2"/>
  <c r="AN9" i="2"/>
  <c r="AG9" i="2" s="1"/>
  <c r="AI8" i="2"/>
  <c r="AS9" i="2"/>
  <c r="AT9" i="2" s="1"/>
  <c r="M30" i="6" l="1"/>
  <c r="K24" i="6"/>
  <c r="M24" i="6"/>
  <c r="K30" i="6"/>
  <c r="L30" i="6"/>
  <c r="J24" i="6"/>
  <c r="J30" i="6"/>
  <c r="CM481" i="1"/>
  <c r="AE19" i="2"/>
  <c r="AH19" i="2"/>
  <c r="AK19" i="2"/>
  <c r="AL19" i="2"/>
  <c r="AP19" i="2"/>
  <c r="AQ19" i="2" s="1"/>
  <c r="AD391" i="1"/>
  <c r="AE391" i="1"/>
  <c r="AH391" i="1"/>
  <c r="AD415" i="1"/>
  <c r="AE415" i="1"/>
  <c r="AH415" i="1"/>
  <c r="AD419" i="1"/>
  <c r="AE419" i="1"/>
  <c r="AH419" i="1"/>
  <c r="AD427" i="1"/>
  <c r="AE427" i="1"/>
  <c r="AH427" i="1"/>
  <c r="AD428" i="1"/>
  <c r="AE428" i="1"/>
  <c r="AH428" i="1"/>
  <c r="AD409" i="1"/>
  <c r="AE409" i="1"/>
  <c r="AH409" i="1"/>
  <c r="AD420" i="1"/>
  <c r="AE420" i="1"/>
  <c r="AH420" i="1"/>
  <c r="AD413" i="1"/>
  <c r="AE413" i="1"/>
  <c r="AH413" i="1"/>
  <c r="AD424" i="1"/>
  <c r="AE424" i="1"/>
  <c r="AH424" i="1"/>
  <c r="AD417" i="1"/>
  <c r="AE417" i="1"/>
  <c r="AH417" i="1"/>
  <c r="AD418" i="1"/>
  <c r="AE418" i="1"/>
  <c r="AH418" i="1"/>
  <c r="AD421" i="1"/>
  <c r="AE421" i="1"/>
  <c r="AH421" i="1"/>
  <c r="AD416" i="1"/>
  <c r="AE416" i="1"/>
  <c r="AH416" i="1"/>
  <c r="AD407" i="1"/>
  <c r="AE407" i="1"/>
  <c r="AH407" i="1"/>
  <c r="AD426" i="1"/>
  <c r="AE426" i="1"/>
  <c r="AH426" i="1"/>
  <c r="AD422" i="1"/>
  <c r="AE422" i="1"/>
  <c r="AH422" i="1"/>
  <c r="AD412" i="1"/>
  <c r="AE412" i="1"/>
  <c r="AH412" i="1"/>
  <c r="AD425" i="1"/>
  <c r="AE425" i="1"/>
  <c r="AH425" i="1"/>
  <c r="AD423" i="1"/>
  <c r="AE423" i="1"/>
  <c r="AH423" i="1"/>
  <c r="AD414" i="1"/>
  <c r="AE414" i="1"/>
  <c r="AH414" i="1"/>
  <c r="AD411" i="1"/>
  <c r="AE411" i="1"/>
  <c r="AH411" i="1"/>
  <c r="Y17" i="4"/>
  <c r="AD410" i="1"/>
  <c r="AE410" i="1"/>
  <c r="AH410" i="1"/>
  <c r="F40" i="5"/>
  <c r="CH426" i="1" l="1"/>
  <c r="CI426" i="1" s="1"/>
  <c r="CH418" i="1"/>
  <c r="CI418" i="1" s="1"/>
  <c r="CH414" i="1"/>
  <c r="CI414" i="1" s="1"/>
  <c r="CH422" i="1"/>
  <c r="CI422" i="1" s="1"/>
  <c r="CH420" i="1"/>
  <c r="CI420" i="1" s="1"/>
  <c r="CH419" i="1"/>
  <c r="CI419" i="1" s="1"/>
  <c r="CH421" i="1"/>
  <c r="CI421" i="1" s="1"/>
  <c r="CH407" i="1"/>
  <c r="CI407" i="1" s="1"/>
  <c r="CH423" i="1"/>
  <c r="CI423" i="1" s="1"/>
  <c r="CH417" i="1"/>
  <c r="CI417" i="1" s="1"/>
  <c r="CH409" i="1"/>
  <c r="CI409" i="1" s="1"/>
  <c r="CH415" i="1"/>
  <c r="CI415" i="1" s="1"/>
  <c r="CH411" i="1"/>
  <c r="CI411" i="1" s="1"/>
  <c r="CH412" i="1"/>
  <c r="CI412" i="1" s="1"/>
  <c r="CH413" i="1"/>
  <c r="CI413" i="1" s="1"/>
  <c r="CH427" i="1"/>
  <c r="CI427" i="1" s="1"/>
  <c r="CH416" i="1"/>
  <c r="CI416" i="1" s="1"/>
  <c r="CH410" i="1"/>
  <c r="CI410" i="1" s="1"/>
  <c r="CH425" i="1"/>
  <c r="CI425" i="1" s="1"/>
  <c r="CH424" i="1"/>
  <c r="CI424" i="1" s="1"/>
  <c r="CH428" i="1"/>
  <c r="CI428" i="1" s="1"/>
  <c r="CH391" i="1"/>
  <c r="CI391" i="1" s="1"/>
  <c r="AI423" i="1"/>
  <c r="AI415" i="1"/>
  <c r="AI426" i="1"/>
  <c r="AI418" i="1"/>
  <c r="AI420" i="1"/>
  <c r="AI419" i="1"/>
  <c r="AI407" i="1"/>
  <c r="AI409" i="1"/>
  <c r="AI422" i="1"/>
  <c r="AI421" i="1"/>
  <c r="AI414" i="1"/>
  <c r="AI413" i="1"/>
  <c r="AI427" i="1"/>
  <c r="AI411" i="1"/>
  <c r="AI412" i="1"/>
  <c r="AI416" i="1"/>
  <c r="AI417" i="1"/>
  <c r="AI410" i="1"/>
  <c r="AI425" i="1"/>
  <c r="AI424" i="1"/>
  <c r="AI428" i="1"/>
  <c r="AI391" i="1"/>
  <c r="CH19" i="2"/>
  <c r="CE19" i="2"/>
  <c r="CM480" i="1"/>
  <c r="AJ19" i="2"/>
  <c r="AN19" i="2"/>
  <c r="AG19" i="2" s="1"/>
  <c r="AM19" i="2"/>
  <c r="AO19" i="2" s="1"/>
  <c r="AF19" i="2" s="1"/>
  <c r="AJ409" i="1"/>
  <c r="AG412" i="1"/>
  <c r="AG427" i="1"/>
  <c r="AJ418" i="1"/>
  <c r="AG418" i="1"/>
  <c r="AJ411" i="1"/>
  <c r="AG411" i="1"/>
  <c r="AG424" i="1"/>
  <c r="AG425" i="1"/>
  <c r="AJ417" i="1"/>
  <c r="AG413" i="1"/>
  <c r="AJ414" i="1"/>
  <c r="AG426" i="1"/>
  <c r="AJ391" i="1"/>
  <c r="AG414" i="1"/>
  <c r="AJ423" i="1"/>
  <c r="AG407" i="1"/>
  <c r="AJ416" i="1"/>
  <c r="AG419" i="1"/>
  <c r="AJ415" i="1"/>
  <c r="AR412" i="1"/>
  <c r="AJ425" i="1"/>
  <c r="AJ426" i="1"/>
  <c r="AJ421" i="1"/>
  <c r="AG417" i="1"/>
  <c r="AJ410" i="1"/>
  <c r="AJ412" i="1"/>
  <c r="AG409" i="1"/>
  <c r="AJ428" i="1"/>
  <c r="AG415" i="1"/>
  <c r="AR19" i="2"/>
  <c r="AS19" i="2"/>
  <c r="AT19" i="2" s="1"/>
  <c r="AI19" i="2"/>
  <c r="AF391" i="1"/>
  <c r="AR391" i="1"/>
  <c r="AG391" i="1"/>
  <c r="AG410" i="1"/>
  <c r="AG423" i="1"/>
  <c r="AR422" i="1"/>
  <c r="AG422" i="1"/>
  <c r="AJ422" i="1"/>
  <c r="AR426" i="1"/>
  <c r="AR407" i="1"/>
  <c r="AJ407" i="1"/>
  <c r="AG416" i="1"/>
  <c r="AG421" i="1"/>
  <c r="AR417" i="1"/>
  <c r="AR424" i="1"/>
  <c r="AJ424" i="1"/>
  <c r="AR413" i="1"/>
  <c r="AJ413" i="1"/>
  <c r="AG420" i="1"/>
  <c r="AR420" i="1"/>
  <c r="AJ420" i="1"/>
  <c r="AG428" i="1"/>
  <c r="AR427" i="1"/>
  <c r="AJ427" i="1"/>
  <c r="AR419" i="1"/>
  <c r="AJ419" i="1"/>
  <c r="AF410" i="1"/>
  <c r="AF411" i="1"/>
  <c r="AF414" i="1"/>
  <c r="AF423" i="1"/>
  <c r="AF425" i="1"/>
  <c r="AF412" i="1"/>
  <c r="AF422" i="1"/>
  <c r="AF426" i="1"/>
  <c r="AF407" i="1"/>
  <c r="AF416" i="1"/>
  <c r="AF421" i="1"/>
  <c r="AF418" i="1"/>
  <c r="AF417" i="1"/>
  <c r="AF424" i="1"/>
  <c r="AF413" i="1"/>
  <c r="AF420" i="1"/>
  <c r="AF409" i="1"/>
  <c r="AF428" i="1"/>
  <c r="AF427" i="1"/>
  <c r="AF419" i="1"/>
  <c r="AF415" i="1"/>
  <c r="L31" i="6" l="1"/>
  <c r="M25" i="6"/>
  <c r="M31" i="6"/>
  <c r="J25" i="6"/>
  <c r="L25" i="6"/>
  <c r="K31" i="6"/>
  <c r="K25" i="6"/>
  <c r="J31" i="6"/>
  <c r="CM482" i="1"/>
  <c r="CM479" i="1"/>
  <c r="AR416" i="1"/>
  <c r="AR428" i="1"/>
  <c r="AR409" i="1"/>
  <c r="AR418" i="1"/>
  <c r="AR410" i="1"/>
  <c r="AR421" i="1"/>
  <c r="AR425" i="1"/>
  <c r="AR423" i="1"/>
  <c r="AR415" i="1"/>
  <c r="AR414" i="1"/>
  <c r="AR411" i="1"/>
  <c r="D21" i="6" l="1"/>
  <c r="Q6" i="6"/>
  <c r="D41" i="6"/>
  <c r="D24" i="6"/>
  <c r="D22" i="6"/>
  <c r="D42" i="6"/>
  <c r="D40" i="6"/>
  <c r="D23" i="6"/>
  <c r="D39" i="6"/>
  <c r="B22" i="6"/>
  <c r="B42" i="6"/>
  <c r="H7" i="6"/>
  <c r="B41" i="6"/>
  <c r="J4" i="6"/>
  <c r="Q4" i="6"/>
  <c r="B40" i="6"/>
  <c r="P4" i="6"/>
  <c r="T5" i="6"/>
  <c r="M6" i="6"/>
  <c r="Q7" i="6"/>
  <c r="H4" i="6"/>
  <c r="L4" i="6"/>
  <c r="P7" i="6"/>
  <c r="V5" i="6"/>
  <c r="U5" i="6"/>
  <c r="M7" i="6"/>
  <c r="H5" i="6"/>
  <c r="B21" i="6"/>
  <c r="B24" i="6"/>
  <c r="U7" i="6"/>
  <c r="B39" i="6"/>
  <c r="B23" i="6"/>
  <c r="H6" i="6"/>
  <c r="L6" i="6"/>
  <c r="V7" i="6"/>
  <c r="W6" i="6"/>
  <c r="U4" i="6"/>
  <c r="U6" i="6"/>
  <c r="K6" i="6"/>
  <c r="W5" i="6"/>
  <c r="V6" i="6"/>
  <c r="I6" i="6"/>
  <c r="W7" i="6"/>
  <c r="T4" i="6"/>
  <c r="M4" i="6"/>
  <c r="V4" i="6"/>
  <c r="P6" i="6"/>
  <c r="K4" i="6"/>
  <c r="I4" i="6"/>
  <c r="J6" i="6"/>
  <c r="M5" i="6"/>
  <c r="T7" i="6"/>
  <c r="T6" i="6"/>
  <c r="J7" i="6"/>
  <c r="K5" i="6"/>
  <c r="L5" i="6"/>
  <c r="Q5" i="6"/>
  <c r="K7" i="6"/>
  <c r="I5" i="6"/>
  <c r="W4" i="6"/>
  <c r="J5" i="6"/>
  <c r="L7" i="6"/>
  <c r="P5" i="6"/>
  <c r="I7" i="6"/>
  <c r="N4" i="6"/>
  <c r="N5" i="6"/>
  <c r="O7" i="6"/>
  <c r="O4" i="6"/>
  <c r="O6" i="6"/>
  <c r="N6" i="6"/>
  <c r="N7" i="6"/>
  <c r="O5" i="6"/>
  <c r="C23" i="6"/>
  <c r="D6" i="6"/>
  <c r="C41" i="6"/>
  <c r="C7" i="6"/>
  <c r="C42" i="6"/>
  <c r="D7" i="6"/>
  <c r="D5" i="6"/>
  <c r="C5" i="6"/>
  <c r="C24" i="6"/>
  <c r="C40" i="6"/>
  <c r="D4" i="6"/>
  <c r="C22" i="6"/>
  <c r="C39" i="6"/>
  <c r="C6" i="6"/>
  <c r="C21" i="6"/>
  <c r="S6" i="6"/>
  <c r="R5" i="6"/>
  <c r="S4" i="6"/>
  <c r="R6" i="6"/>
  <c r="R4" i="6"/>
  <c r="S7" i="6"/>
  <c r="S5" i="6"/>
  <c r="R7" i="6"/>
  <c r="C4" i="6"/>
  <c r="D43" i="6" l="1"/>
  <c r="Q8" i="6"/>
  <c r="D25" i="6"/>
  <c r="B43" i="6"/>
  <c r="P8" i="6"/>
  <c r="U8" i="6"/>
  <c r="V8" i="6"/>
  <c r="M8" i="6"/>
  <c r="W8" i="6"/>
  <c r="L8" i="6"/>
  <c r="K8" i="6"/>
  <c r="J8" i="6"/>
  <c r="T8" i="6"/>
  <c r="B25" i="6"/>
  <c r="H8" i="6"/>
  <c r="Y4" i="6"/>
  <c r="X4" i="6"/>
  <c r="Y7" i="6"/>
  <c r="X6" i="6"/>
  <c r="Y6" i="6"/>
  <c r="X5" i="6"/>
  <c r="Y5" i="6"/>
  <c r="C8" i="6"/>
  <c r="X7" i="6"/>
  <c r="S24" i="6"/>
  <c r="R24" i="6"/>
  <c r="N24" i="6"/>
  <c r="R30" i="6"/>
  <c r="N30" i="6"/>
  <c r="S30" i="6"/>
  <c r="C43" i="6"/>
  <c r="C25" i="6"/>
  <c r="S8" i="6"/>
  <c r="R8" i="6"/>
  <c r="N8" i="6"/>
  <c r="O8" i="6"/>
  <c r="I8" i="6"/>
  <c r="D8" i="6"/>
  <c r="X8" i="6" l="1"/>
  <c r="Y8" i="6"/>
  <c r="T24" i="6"/>
  <c r="T30" i="6"/>
  <c r="AD408" i="1"/>
  <c r="AE408" i="1"/>
  <c r="AH408" i="1"/>
  <c r="AD392" i="1"/>
  <c r="AE392" i="1"/>
  <c r="AH392" i="1"/>
  <c r="AD396" i="1"/>
  <c r="AE396" i="1"/>
  <c r="AH396" i="1"/>
  <c r="AE397" i="1"/>
  <c r="AH397" i="1"/>
  <c r="AD390" i="1"/>
  <c r="AE390" i="1"/>
  <c r="AH390" i="1"/>
  <c r="AD395" i="1"/>
  <c r="AE395" i="1"/>
  <c r="AH395" i="1"/>
  <c r="AD394" i="1"/>
  <c r="AE394" i="1"/>
  <c r="AH394" i="1"/>
  <c r="AD393" i="1"/>
  <c r="AE393" i="1"/>
  <c r="AH393" i="1"/>
  <c r="AR393" i="1"/>
  <c r="AD402" i="1"/>
  <c r="AE402" i="1"/>
  <c r="AH402" i="1"/>
  <c r="AD403" i="1"/>
  <c r="AE403" i="1"/>
  <c r="AH403" i="1"/>
  <c r="AD405" i="1"/>
  <c r="AE405" i="1"/>
  <c r="AH405" i="1"/>
  <c r="AD404" i="1"/>
  <c r="AE404" i="1"/>
  <c r="AH404" i="1"/>
  <c r="AD398" i="1"/>
  <c r="AE398" i="1"/>
  <c r="AH398" i="1"/>
  <c r="AD400" i="1"/>
  <c r="AE400" i="1"/>
  <c r="AH400" i="1"/>
  <c r="AD399" i="1"/>
  <c r="AE399" i="1"/>
  <c r="AH399" i="1"/>
  <c r="AD401" i="1"/>
  <c r="AE401" i="1"/>
  <c r="AH401" i="1"/>
  <c r="AD406" i="1"/>
  <c r="AE406" i="1"/>
  <c r="AH406" i="1"/>
  <c r="CH390" i="1" l="1"/>
  <c r="CI390" i="1" s="1"/>
  <c r="CH393" i="1"/>
  <c r="CI393" i="1" s="1"/>
  <c r="CH401" i="1"/>
  <c r="CI401" i="1" s="1"/>
  <c r="CH392" i="1"/>
  <c r="CI392" i="1" s="1"/>
  <c r="CH400" i="1"/>
  <c r="CI400" i="1" s="1"/>
  <c r="CH403" i="1"/>
  <c r="CI403" i="1" s="1"/>
  <c r="CH399" i="1"/>
  <c r="CI399" i="1" s="1"/>
  <c r="CH405" i="1"/>
  <c r="CI405" i="1" s="1"/>
  <c r="CH397" i="1"/>
  <c r="CI397" i="1" s="1"/>
  <c r="CH406" i="1"/>
  <c r="CI406" i="1" s="1"/>
  <c r="CH395" i="1"/>
  <c r="CI395" i="1" s="1"/>
  <c r="CH396" i="1"/>
  <c r="CI396" i="1" s="1"/>
  <c r="CH394" i="1"/>
  <c r="CI394" i="1" s="1"/>
  <c r="CH404" i="1"/>
  <c r="CI404" i="1" s="1"/>
  <c r="CH398" i="1"/>
  <c r="CI398" i="1" s="1"/>
  <c r="CH402" i="1"/>
  <c r="CI402" i="1" s="1"/>
  <c r="CH408" i="1"/>
  <c r="CI408" i="1" s="1"/>
  <c r="AI400" i="1"/>
  <c r="AI403" i="1"/>
  <c r="AI392" i="1"/>
  <c r="AI395" i="1"/>
  <c r="AI396" i="1"/>
  <c r="AI399" i="1"/>
  <c r="AI405" i="1"/>
  <c r="AI390" i="1"/>
  <c r="AI394" i="1"/>
  <c r="AI401" i="1"/>
  <c r="AI404" i="1"/>
  <c r="AI393" i="1"/>
  <c r="AI397" i="1"/>
  <c r="AI406" i="1"/>
  <c r="AI398" i="1"/>
  <c r="AI402" i="1"/>
  <c r="AI408" i="1"/>
  <c r="AF400" i="1"/>
  <c r="AG406" i="1"/>
  <c r="AJ408" i="1"/>
  <c r="AR401" i="1"/>
  <c r="AF403" i="1"/>
  <c r="AR408" i="1"/>
  <c r="AG403" i="1"/>
  <c r="AF405" i="1"/>
  <c r="AG402" i="1"/>
  <c r="AG408" i="1"/>
  <c r="AF395" i="1"/>
  <c r="AF393" i="1"/>
  <c r="AG400" i="1"/>
  <c r="AJ404" i="1"/>
  <c r="AJ393" i="1"/>
  <c r="AR404" i="1"/>
  <c r="AF398" i="1"/>
  <c r="AJ392" i="1"/>
  <c r="AF404" i="1"/>
  <c r="AF402" i="1"/>
  <c r="AF394" i="1"/>
  <c r="AG390" i="1"/>
  <c r="AF397" i="1"/>
  <c r="AF408" i="1"/>
  <c r="AG395" i="1"/>
  <c r="AJ401" i="1"/>
  <c r="AF399" i="1"/>
  <c r="AJ394" i="1"/>
  <c r="AJ397" i="1"/>
  <c r="AJ396" i="1"/>
  <c r="AR397" i="1"/>
  <c r="AF390" i="1"/>
  <c r="AR392" i="1"/>
  <c r="AF392" i="1"/>
  <c r="AF396" i="1"/>
  <c r="AJ395" i="1"/>
  <c r="AG392" i="1"/>
  <c r="AF406" i="1"/>
  <c r="AF401" i="1"/>
  <c r="AJ399" i="1"/>
  <c r="AG398" i="1"/>
  <c r="AJ400" i="1"/>
  <c r="AJ403" i="1"/>
  <c r="AJ405" i="1"/>
  <c r="AR390" i="1"/>
  <c r="AR394" i="1"/>
  <c r="AR406" i="1"/>
  <c r="AR405" i="1"/>
  <c r="AR400" i="1"/>
  <c r="AR402" i="1"/>
  <c r="AR396" i="1"/>
  <c r="AR399" i="1"/>
  <c r="AR398" i="1"/>
  <c r="AR403" i="1"/>
  <c r="AR395" i="1"/>
  <c r="AG401" i="1"/>
  <c r="AG404" i="1"/>
  <c r="AG397" i="1"/>
  <c r="AJ406" i="1"/>
  <c r="AG399" i="1"/>
  <c r="AJ398" i="1"/>
  <c r="AG405" i="1"/>
  <c r="AJ402" i="1"/>
  <c r="AG394" i="1"/>
  <c r="AJ390" i="1"/>
  <c r="AG396" i="1"/>
  <c r="AD381" i="1"/>
  <c r="AE381" i="1"/>
  <c r="AH381" i="1"/>
  <c r="AR381" i="1"/>
  <c r="AD378" i="1"/>
  <c r="AE378" i="1"/>
  <c r="AH378" i="1"/>
  <c r="AD377" i="1"/>
  <c r="AE377" i="1"/>
  <c r="AH377" i="1"/>
  <c r="AD386" i="1"/>
  <c r="AE386" i="1"/>
  <c r="AH386" i="1"/>
  <c r="AD384" i="1"/>
  <c r="AE384" i="1"/>
  <c r="AH384" i="1"/>
  <c r="AD389" i="1"/>
  <c r="AE389" i="1"/>
  <c r="AH389" i="1"/>
  <c r="AE382" i="1"/>
  <c r="AH382" i="1"/>
  <c r="AD388" i="1"/>
  <c r="AE388" i="1"/>
  <c r="AH388" i="1"/>
  <c r="AD375" i="1"/>
  <c r="AE375" i="1"/>
  <c r="AH375" i="1"/>
  <c r="AD380" i="1"/>
  <c r="AE380" i="1"/>
  <c r="AH380" i="1"/>
  <c r="AR380" i="1"/>
  <c r="AD376" i="1"/>
  <c r="AE376" i="1"/>
  <c r="AH376" i="1"/>
  <c r="AD385" i="1"/>
  <c r="AE385" i="1"/>
  <c r="AH385" i="1"/>
  <c r="AD387" i="1"/>
  <c r="AE387" i="1"/>
  <c r="AH387" i="1"/>
  <c r="AD379" i="1"/>
  <c r="AE379" i="1"/>
  <c r="AH379" i="1"/>
  <c r="AD383" i="1"/>
  <c r="AE383" i="1"/>
  <c r="AH383" i="1"/>
  <c r="AR383" i="1"/>
  <c r="AD374" i="1"/>
  <c r="AE374" i="1"/>
  <c r="AH374" i="1"/>
  <c r="AG393" i="1" l="1"/>
  <c r="CH388" i="1"/>
  <c r="CI388" i="1" s="1"/>
  <c r="CH383" i="1"/>
  <c r="CI383" i="1" s="1"/>
  <c r="CH375" i="1"/>
  <c r="CI375" i="1" s="1"/>
  <c r="CH381" i="1"/>
  <c r="CI381" i="1" s="1"/>
  <c r="CH379" i="1"/>
  <c r="CI379" i="1" s="1"/>
  <c r="CH380" i="1"/>
  <c r="CI380" i="1" s="1"/>
  <c r="CH376" i="1"/>
  <c r="CI376" i="1" s="1"/>
  <c r="CH377" i="1"/>
  <c r="CI377" i="1" s="1"/>
  <c r="CH385" i="1"/>
  <c r="CI385" i="1" s="1"/>
  <c r="CH386" i="1"/>
  <c r="CI386" i="1" s="1"/>
  <c r="CH374" i="1"/>
  <c r="CI374" i="1" s="1"/>
  <c r="CH382" i="1"/>
  <c r="CI382" i="1" s="1"/>
  <c r="CH387" i="1"/>
  <c r="CI387" i="1" s="1"/>
  <c r="CH384" i="1"/>
  <c r="CI384" i="1" s="1"/>
  <c r="CH389" i="1"/>
  <c r="CI389" i="1" s="1"/>
  <c r="CH378" i="1"/>
  <c r="CI378" i="1" s="1"/>
  <c r="AI374" i="1"/>
  <c r="AI382" i="1"/>
  <c r="AI383" i="1"/>
  <c r="AI385" i="1"/>
  <c r="AI386" i="1"/>
  <c r="AI388" i="1"/>
  <c r="AI384" i="1"/>
  <c r="AI387" i="1"/>
  <c r="AI375" i="1"/>
  <c r="AI381" i="1"/>
  <c r="AI376" i="1"/>
  <c r="AI389" i="1"/>
  <c r="AI378" i="1"/>
  <c r="AI377" i="1"/>
  <c r="AI379" i="1"/>
  <c r="S17" i="4" s="1"/>
  <c r="AI380" i="1"/>
  <c r="X17" i="4"/>
  <c r="AF389" i="1"/>
  <c r="AG380" i="1"/>
  <c r="AG385" i="1"/>
  <c r="AJ374" i="1"/>
  <c r="AF386" i="1"/>
  <c r="AF383" i="1"/>
  <c r="AJ388" i="1"/>
  <c r="AF388" i="1"/>
  <c r="AJ389" i="1"/>
  <c r="AR378" i="1"/>
  <c r="AG389" i="1"/>
  <c r="AF382" i="1"/>
  <c r="AF384" i="1"/>
  <c r="AJ385" i="1"/>
  <c r="AJ376" i="1"/>
  <c r="AF381" i="1"/>
  <c r="AF374" i="1"/>
  <c r="AJ382" i="1"/>
  <c r="AJ378" i="1"/>
  <c r="AJ381" i="1"/>
  <c r="AF385" i="1"/>
  <c r="AF378" i="1"/>
  <c r="AF387" i="1"/>
  <c r="AF376" i="1"/>
  <c r="AJ380" i="1"/>
  <c r="AR389" i="1"/>
  <c r="AF380" i="1"/>
  <c r="AG386" i="1"/>
  <c r="AF375" i="1"/>
  <c r="AJ386" i="1"/>
  <c r="AG374" i="1"/>
  <c r="AG388" i="1"/>
  <c r="AG383" i="1"/>
  <c r="AJ383" i="1"/>
  <c r="AF379" i="1"/>
  <c r="AJ379" i="1"/>
  <c r="AJ387" i="1"/>
  <c r="AG387" i="1"/>
  <c r="AG377" i="1"/>
  <c r="AJ377" i="1"/>
  <c r="AR377" i="1"/>
  <c r="AG381" i="1"/>
  <c r="AG378" i="1"/>
  <c r="AR379" i="1"/>
  <c r="AR375" i="1"/>
  <c r="AR385" i="1"/>
  <c r="AR382" i="1"/>
  <c r="AR386" i="1"/>
  <c r="AR387" i="1"/>
  <c r="AR384" i="1"/>
  <c r="AR376" i="1"/>
  <c r="AR388" i="1"/>
  <c r="AG379" i="1"/>
  <c r="AG375" i="1"/>
  <c r="AG384" i="1"/>
  <c r="AG376" i="1"/>
  <c r="AJ375" i="1"/>
  <c r="AG382" i="1"/>
  <c r="AJ384" i="1"/>
  <c r="AR374" i="1"/>
  <c r="AF377" i="1" l="1"/>
  <c r="V77" i="1" l="1"/>
  <c r="E68" i="4" s="1"/>
  <c r="CB77" i="1"/>
  <c r="AD77" i="1"/>
  <c r="AE77" i="1"/>
  <c r="AH77" i="1"/>
  <c r="CH77" i="1"/>
  <c r="CI77" i="1" s="1"/>
  <c r="AR77" i="1"/>
  <c r="E54" i="5"/>
  <c r="D54" i="5"/>
  <c r="C54" i="5"/>
  <c r="B54" i="5"/>
  <c r="F53" i="5"/>
  <c r="G53" i="5" s="1"/>
  <c r="C30" i="5" s="1"/>
  <c r="F52" i="5"/>
  <c r="G52" i="5" s="1"/>
  <c r="C29" i="5" s="1"/>
  <c r="F51" i="5"/>
  <c r="G51" i="5" s="1"/>
  <c r="C28" i="5" s="1"/>
  <c r="F50" i="5"/>
  <c r="G50" i="5" s="1"/>
  <c r="C27" i="5" s="1"/>
  <c r="F49" i="5"/>
  <c r="AI77" i="1" l="1"/>
  <c r="F54" i="5"/>
  <c r="G54" i="5" s="1"/>
  <c r="AF77" i="1"/>
  <c r="AJ77" i="1"/>
  <c r="AG77" i="1"/>
  <c r="G49" i="5"/>
  <c r="C26" i="5" s="1"/>
  <c r="C31" i="5" l="1"/>
  <c r="C35" i="5" s="1"/>
  <c r="AE16" i="2"/>
  <c r="AH16" i="2"/>
  <c r="AK16" i="2"/>
  <c r="AL16" i="2"/>
  <c r="AP16" i="2"/>
  <c r="AQ16" i="2" s="1"/>
  <c r="AE15" i="2"/>
  <c r="AH15" i="2"/>
  <c r="AK15" i="2"/>
  <c r="AL15" i="2"/>
  <c r="AP15" i="2"/>
  <c r="AQ15" i="2" s="1"/>
  <c r="AR15" i="2" s="1"/>
  <c r="AE14" i="2"/>
  <c r="AH14" i="2"/>
  <c r="AK14" i="2"/>
  <c r="AL14" i="2"/>
  <c r="AP14" i="2"/>
  <c r="AQ14" i="2" s="1"/>
  <c r="AR14" i="2" s="1"/>
  <c r="AE17" i="2"/>
  <c r="AH17" i="2"/>
  <c r="AK17" i="2"/>
  <c r="AL17" i="2"/>
  <c r="AP17" i="2"/>
  <c r="AQ17" i="2" s="1"/>
  <c r="AR17" i="2" s="1"/>
  <c r="AE18" i="2"/>
  <c r="AH18" i="2"/>
  <c r="AK18" i="2"/>
  <c r="AL18" i="2"/>
  <c r="AP18" i="2"/>
  <c r="AQ18" i="2" s="1"/>
  <c r="AR18" i="2" s="1"/>
  <c r="CE16" i="2" l="1"/>
  <c r="CH16" i="2"/>
  <c r="CH17" i="2"/>
  <c r="CE17" i="2"/>
  <c r="CH18" i="2"/>
  <c r="CE18" i="2"/>
  <c r="CH14" i="2"/>
  <c r="CE14" i="2"/>
  <c r="CH15" i="2"/>
  <c r="CE15" i="2"/>
  <c r="AM18" i="2"/>
  <c r="AO18" i="2" s="1"/>
  <c r="AF18" i="2" s="1"/>
  <c r="AJ18" i="2"/>
  <c r="AM17" i="2"/>
  <c r="AO17" i="2" s="1"/>
  <c r="AF17" i="2" s="1"/>
  <c r="AM14" i="2"/>
  <c r="AO14" i="2" s="1"/>
  <c r="AF14" i="2" s="1"/>
  <c r="AN16" i="2"/>
  <c r="AG16" i="2" s="1"/>
  <c r="AS15" i="2"/>
  <c r="AT15" i="2" s="1"/>
  <c r="AJ15" i="2"/>
  <c r="AM16" i="2"/>
  <c r="AO16" i="2" s="1"/>
  <c r="AF16" i="2" s="1"/>
  <c r="AN15" i="2"/>
  <c r="AG15" i="2" s="1"/>
  <c r="AS16" i="2"/>
  <c r="AT16" i="2" s="1"/>
  <c r="AR16" i="2"/>
  <c r="AJ16" i="2"/>
  <c r="AI16" i="2"/>
  <c r="AI17" i="2"/>
  <c r="AN17" i="2"/>
  <c r="AG17" i="2" s="1"/>
  <c r="AS17" i="2"/>
  <c r="AT17" i="2" s="1"/>
  <c r="AS14" i="2"/>
  <c r="AT14" i="2" s="1"/>
  <c r="AN14" i="2"/>
  <c r="AG14" i="2" s="1"/>
  <c r="AM15" i="2"/>
  <c r="AO15" i="2" s="1"/>
  <c r="AF15" i="2" s="1"/>
  <c r="AJ14" i="2"/>
  <c r="AJ17" i="2"/>
  <c r="AI15" i="2"/>
  <c r="AI18" i="2"/>
  <c r="AE16" i="4" s="1"/>
  <c r="AN18" i="2"/>
  <c r="AG18" i="2" s="1"/>
  <c r="AS18" i="2"/>
  <c r="AT18" i="2" s="1"/>
  <c r="AI14" i="2"/>
  <c r="AE40" i="1" l="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3" i="1"/>
  <c r="AE74" i="1"/>
  <c r="AE75" i="1"/>
  <c r="AE76"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9" i="1"/>
  <c r="AE128" i="1"/>
  <c r="AE131" i="1"/>
  <c r="AE130" i="1"/>
  <c r="AE132" i="1"/>
  <c r="AE133" i="1"/>
  <c r="AE135" i="1"/>
  <c r="AE134" i="1"/>
  <c r="AE136" i="1"/>
  <c r="AE137" i="1"/>
  <c r="AE138" i="1"/>
  <c r="AE140" i="1"/>
  <c r="AE141" i="1"/>
  <c r="AE139" i="1"/>
  <c r="AE142" i="1"/>
  <c r="AE144" i="1"/>
  <c r="AE143" i="1"/>
  <c r="AE145" i="1"/>
  <c r="AE146" i="1"/>
  <c r="AE148" i="1"/>
  <c r="AE150" i="1"/>
  <c r="AE147" i="1"/>
  <c r="AE149" i="1"/>
  <c r="AE151" i="1"/>
  <c r="AE152" i="1"/>
  <c r="AE153" i="1"/>
  <c r="AE156" i="1"/>
  <c r="AE155" i="1"/>
  <c r="AE157" i="1"/>
  <c r="AE154" i="1"/>
  <c r="AE158" i="1"/>
  <c r="AE159" i="1"/>
  <c r="AE160" i="1"/>
  <c r="AE162" i="1"/>
  <c r="AE161" i="1"/>
  <c r="AE164" i="1"/>
  <c r="AE165" i="1"/>
  <c r="AE167" i="1"/>
  <c r="AE166" i="1"/>
  <c r="AE163" i="1"/>
  <c r="AE168" i="1"/>
  <c r="AE169" i="1"/>
  <c r="AE170" i="1"/>
  <c r="AE172" i="1"/>
  <c r="AE171" i="1"/>
  <c r="AE177" i="1"/>
  <c r="AE174" i="1"/>
  <c r="AE176" i="1"/>
  <c r="AE175" i="1"/>
  <c r="AE178" i="1"/>
  <c r="AE173" i="1"/>
  <c r="AE180" i="1"/>
  <c r="AE179" i="1"/>
  <c r="AE181" i="1"/>
  <c r="AE183" i="1"/>
  <c r="AE184" i="1"/>
  <c r="AE185" i="1"/>
  <c r="AE182" i="1"/>
  <c r="AE188" i="1"/>
  <c r="AE189" i="1"/>
  <c r="AE186" i="1"/>
  <c r="AE187" i="1"/>
  <c r="AE191" i="1"/>
  <c r="AE193" i="1"/>
  <c r="AE192" i="1"/>
  <c r="AE190" i="1"/>
  <c r="AE200" i="1"/>
  <c r="AE194" i="1"/>
  <c r="AE195" i="1"/>
  <c r="AE199" i="1"/>
  <c r="AE198" i="1"/>
  <c r="AE197" i="1"/>
  <c r="AE196" i="1"/>
  <c r="AE205" i="1"/>
  <c r="AE203" i="1"/>
  <c r="AE201" i="1"/>
  <c r="AE204" i="1"/>
  <c r="AE202" i="1"/>
  <c r="AE206" i="1"/>
  <c r="AE207" i="1"/>
  <c r="AE213" i="1"/>
  <c r="AE208" i="1"/>
  <c r="AE212" i="1"/>
  <c r="AE210" i="1"/>
  <c r="AE214" i="1"/>
  <c r="AE209" i="1"/>
  <c r="AE211" i="1"/>
  <c r="AE215" i="1"/>
  <c r="AE219" i="1"/>
  <c r="AE221" i="1"/>
  <c r="AE228" i="1"/>
  <c r="AE234" i="1"/>
  <c r="AE222" i="1"/>
  <c r="AE226" i="1"/>
  <c r="AE230" i="1"/>
  <c r="AE232" i="1"/>
  <c r="AE229" i="1"/>
  <c r="AE216" i="1"/>
  <c r="AE227" i="1"/>
  <c r="AE220" i="1"/>
  <c r="AE218" i="1"/>
  <c r="AE231" i="1"/>
  <c r="AE223" i="1"/>
  <c r="AE225" i="1"/>
  <c r="AE224" i="1"/>
  <c r="AE217" i="1"/>
  <c r="AE241" i="1"/>
  <c r="AE238" i="1"/>
  <c r="AE233" i="1"/>
  <c r="AE239" i="1"/>
  <c r="AE240" i="1"/>
  <c r="AE235" i="1"/>
  <c r="AE237" i="1"/>
  <c r="AE236" i="1"/>
  <c r="AE242" i="1"/>
  <c r="AE243" i="1"/>
  <c r="AE249" i="1"/>
  <c r="AE247" i="1"/>
  <c r="AE244" i="1"/>
  <c r="AE248" i="1"/>
  <c r="AE245" i="1"/>
  <c r="AE250" i="1"/>
  <c r="AE246" i="1"/>
  <c r="AE256" i="1"/>
  <c r="AE252" i="1"/>
  <c r="AE251" i="1"/>
  <c r="AE254" i="1"/>
  <c r="AE253" i="1"/>
  <c r="AE255" i="1"/>
  <c r="AE258" i="1"/>
  <c r="AE261" i="1"/>
  <c r="AE259" i="1"/>
  <c r="AE260" i="1"/>
  <c r="AE262" i="1"/>
  <c r="AE257" i="1"/>
  <c r="AE264" i="1"/>
  <c r="AE272" i="1"/>
  <c r="AE271" i="1"/>
  <c r="AE276" i="1"/>
  <c r="AE274" i="1"/>
  <c r="AE270" i="1"/>
  <c r="AE269" i="1"/>
  <c r="AE268" i="1"/>
  <c r="AE263" i="1"/>
  <c r="AE277" i="1"/>
  <c r="AE266" i="1"/>
  <c r="AE265" i="1"/>
  <c r="AE275" i="1"/>
  <c r="AE273" i="1"/>
  <c r="AE267" i="1"/>
  <c r="AE278" i="1"/>
  <c r="AE281" i="1"/>
  <c r="AE282" i="1"/>
  <c r="AE285" i="1"/>
  <c r="AE283" i="1"/>
  <c r="AE284" i="1"/>
  <c r="AE280" i="1"/>
  <c r="AE279" i="1"/>
  <c r="AE286" i="1"/>
  <c r="AE287" i="1"/>
  <c r="AE290" i="1"/>
  <c r="AE288" i="1"/>
  <c r="AE289" i="1"/>
  <c r="AE291" i="1"/>
  <c r="AE292" i="1"/>
  <c r="AE294" i="1"/>
  <c r="AE293" i="1"/>
  <c r="AE295" i="1"/>
  <c r="AE296" i="1"/>
  <c r="AE297" i="1"/>
  <c r="AE299" i="1"/>
  <c r="AE298" i="1"/>
  <c r="AE301" i="1"/>
  <c r="AE300" i="1"/>
  <c r="AE304" i="1"/>
  <c r="AE305" i="1"/>
  <c r="AE302" i="1"/>
  <c r="AE303" i="1"/>
  <c r="AE309" i="1"/>
  <c r="AE313" i="1"/>
  <c r="AE307" i="1"/>
  <c r="AE310" i="1"/>
  <c r="AE315" i="1"/>
  <c r="AE316" i="1"/>
  <c r="AE308" i="1"/>
  <c r="AE314" i="1"/>
  <c r="AE311" i="1"/>
  <c r="AE306" i="1"/>
  <c r="AE312" i="1"/>
  <c r="AE319" i="1"/>
  <c r="AE323" i="1"/>
  <c r="AE321" i="1"/>
  <c r="AE322" i="1"/>
  <c r="AE318" i="1"/>
  <c r="AE317" i="1"/>
  <c r="AE320" i="1"/>
  <c r="AE324" i="1"/>
  <c r="AE325" i="1"/>
  <c r="AE326" i="1"/>
  <c r="AE327" i="1"/>
  <c r="AE328" i="1"/>
  <c r="AE329" i="1"/>
  <c r="AE330" i="1"/>
  <c r="AE331" i="1"/>
  <c r="AE335" i="1"/>
  <c r="AE343" i="1"/>
  <c r="AE340" i="1"/>
  <c r="AE333" i="1"/>
  <c r="AE338" i="1"/>
  <c r="AE337" i="1"/>
  <c r="AE336" i="1"/>
  <c r="AE339" i="1"/>
  <c r="AE341" i="1"/>
  <c r="AE342" i="1"/>
  <c r="AE334" i="1"/>
  <c r="AE332" i="1"/>
  <c r="AE346" i="1"/>
  <c r="AE353" i="1"/>
  <c r="AE345" i="1"/>
  <c r="AE347" i="1"/>
  <c r="AE351" i="1"/>
  <c r="AE348" i="1"/>
  <c r="AE349" i="1"/>
  <c r="AE350" i="1"/>
  <c r="AE352" i="1"/>
  <c r="AE354" i="1"/>
  <c r="AE344" i="1"/>
  <c r="AE360" i="1"/>
  <c r="AE355" i="1"/>
  <c r="AE362" i="1"/>
  <c r="AE359" i="1"/>
  <c r="AE356" i="1"/>
  <c r="AE358" i="1"/>
  <c r="AE357" i="1"/>
  <c r="AE361" i="1"/>
  <c r="AE366" i="1"/>
  <c r="AE363" i="1"/>
  <c r="AE368" i="1"/>
  <c r="AE367" i="1"/>
  <c r="AE364" i="1"/>
  <c r="AE365" i="1"/>
  <c r="AE369" i="1"/>
  <c r="AE370" i="1"/>
  <c r="AE373" i="1"/>
  <c r="AE371" i="1"/>
  <c r="AE372" i="1"/>
  <c r="AG301" i="1"/>
  <c r="AD369" i="1"/>
  <c r="AH369" i="1"/>
  <c r="AD370" i="1"/>
  <c r="AH370" i="1"/>
  <c r="AD373" i="1"/>
  <c r="AH373" i="1"/>
  <c r="AD371" i="1"/>
  <c r="AH371" i="1"/>
  <c r="AR371" i="1"/>
  <c r="AD372" i="1"/>
  <c r="AH372" i="1"/>
  <c r="CH373" i="1" l="1"/>
  <c r="CI373" i="1" s="1"/>
  <c r="CH371" i="1"/>
  <c r="CI371" i="1" s="1"/>
  <c r="CH370" i="1"/>
  <c r="CI370" i="1" s="1"/>
  <c r="CH372" i="1"/>
  <c r="CI372" i="1" s="1"/>
  <c r="CH369" i="1"/>
  <c r="CG369" i="1"/>
  <c r="AI373" i="1"/>
  <c r="AI369" i="1"/>
  <c r="AI371" i="1"/>
  <c r="AI372" i="1"/>
  <c r="AI370" i="1"/>
  <c r="AR315" i="1"/>
  <c r="AR328" i="1"/>
  <c r="AR308" i="1"/>
  <c r="AR326" i="1"/>
  <c r="AR313" i="1"/>
  <c r="AR329" i="1"/>
  <c r="AR314" i="1"/>
  <c r="AR323" i="1"/>
  <c r="AR318" i="1"/>
  <c r="AR307" i="1"/>
  <c r="AR325" i="1"/>
  <c r="AR317" i="1"/>
  <c r="AR302" i="1"/>
  <c r="AR303" i="1"/>
  <c r="AR335" i="1"/>
  <c r="AR321" i="1"/>
  <c r="AR301" i="1"/>
  <c r="AF373" i="1"/>
  <c r="AJ373" i="1"/>
  <c r="AG373" i="1"/>
  <c r="AJ369" i="1"/>
  <c r="AR372" i="1"/>
  <c r="AF371" i="1"/>
  <c r="AJ372" i="1"/>
  <c r="AJ370" i="1"/>
  <c r="AR370" i="1"/>
  <c r="AR369" i="1"/>
  <c r="AF369" i="1"/>
  <c r="AJ371" i="1"/>
  <c r="AF372" i="1"/>
  <c r="AG371" i="1"/>
  <c r="AF370" i="1"/>
  <c r="AR373" i="1"/>
  <c r="AG370" i="1"/>
  <c r="AG372" i="1"/>
  <c r="AG369" i="1"/>
  <c r="CI369" i="1" l="1"/>
  <c r="AR279" i="1"/>
  <c r="AH310" i="1"/>
  <c r="AH298" i="1"/>
  <c r="AH295" i="1"/>
  <c r="AD366" i="1"/>
  <c r="AH366" i="1"/>
  <c r="AD363" i="1"/>
  <c r="AH363" i="1"/>
  <c r="AD368" i="1"/>
  <c r="AH368" i="1"/>
  <c r="AD367" i="1"/>
  <c r="AH367" i="1"/>
  <c r="AD364" i="1"/>
  <c r="AH364" i="1"/>
  <c r="AD365" i="1"/>
  <c r="AH365" i="1"/>
  <c r="AD360" i="1"/>
  <c r="AH360" i="1"/>
  <c r="AD355" i="1"/>
  <c r="AH355" i="1"/>
  <c r="AD362" i="1"/>
  <c r="AH362" i="1"/>
  <c r="AD359" i="1"/>
  <c r="AH359" i="1"/>
  <c r="AD356" i="1"/>
  <c r="AH356" i="1"/>
  <c r="AD358" i="1"/>
  <c r="AH358" i="1"/>
  <c r="AD357" i="1"/>
  <c r="AH357" i="1"/>
  <c r="AD361" i="1"/>
  <c r="AH361" i="1"/>
  <c r="CH310" i="1" l="1"/>
  <c r="CI310" i="1" s="1"/>
  <c r="CH295" i="1"/>
  <c r="CI295" i="1" s="1"/>
  <c r="CH361" i="1"/>
  <c r="CI361" i="1" s="1"/>
  <c r="CH368" i="1"/>
  <c r="CI368" i="1" s="1"/>
  <c r="CH358" i="1"/>
  <c r="CI358" i="1" s="1"/>
  <c r="CH367" i="1"/>
  <c r="CI367" i="1" s="1"/>
  <c r="CH366" i="1"/>
  <c r="CI366" i="1" s="1"/>
  <c r="CH359" i="1"/>
  <c r="CI359" i="1" s="1"/>
  <c r="CH363" i="1"/>
  <c r="CI363" i="1" s="1"/>
  <c r="CH298" i="1"/>
  <c r="CI298" i="1" s="1"/>
  <c r="CH365" i="1"/>
  <c r="CI365" i="1" s="1"/>
  <c r="CH362" i="1"/>
  <c r="CI362" i="1" s="1"/>
  <c r="CH360" i="1"/>
  <c r="CI360" i="1" s="1"/>
  <c r="CH357" i="1"/>
  <c r="CI357" i="1" s="1"/>
  <c r="CH364" i="1"/>
  <c r="CI364" i="1" s="1"/>
  <c r="CH355" i="1"/>
  <c r="CI355" i="1" s="1"/>
  <c r="CH356" i="1"/>
  <c r="CI356" i="1" s="1"/>
  <c r="CH279" i="1"/>
  <c r="CI279" i="1" s="1"/>
  <c r="AI360" i="1"/>
  <c r="AI363" i="1"/>
  <c r="AI295" i="1"/>
  <c r="AI366" i="1"/>
  <c r="AI357" i="1"/>
  <c r="AI364" i="1"/>
  <c r="AI355" i="1"/>
  <c r="AI298" i="1"/>
  <c r="AI358" i="1"/>
  <c r="AI359" i="1"/>
  <c r="AI356" i="1"/>
  <c r="AI368" i="1"/>
  <c r="AI365" i="1"/>
  <c r="AI310" i="1"/>
  <c r="AI367" i="1"/>
  <c r="AI361" i="1"/>
  <c r="AI362" i="1"/>
  <c r="AI279" i="1"/>
  <c r="AG15" i="4"/>
  <c r="AF295" i="1"/>
  <c r="AG298" i="1"/>
  <c r="AG310" i="1"/>
  <c r="AG295" i="1"/>
  <c r="AJ298" i="1"/>
  <c r="AG365" i="1"/>
  <c r="AG279" i="1"/>
  <c r="AJ295" i="1"/>
  <c r="AF366" i="1"/>
  <c r="AJ310" i="1"/>
  <c r="AF298" i="1"/>
  <c r="AF310" i="1"/>
  <c r="AR298" i="1"/>
  <c r="AF279" i="1"/>
  <c r="AJ364" i="1"/>
  <c r="AJ367" i="1"/>
  <c r="AG363" i="1"/>
  <c r="AF368" i="1"/>
  <c r="AF365" i="1"/>
  <c r="AJ368" i="1"/>
  <c r="AJ366" i="1"/>
  <c r="AF364" i="1"/>
  <c r="AG368" i="1"/>
  <c r="AF367" i="1"/>
  <c r="AF363" i="1"/>
  <c r="AR367" i="1"/>
  <c r="AR368" i="1"/>
  <c r="AR363" i="1"/>
  <c r="AR365" i="1"/>
  <c r="AR366" i="1"/>
  <c r="AG366" i="1"/>
  <c r="AG364" i="1"/>
  <c r="AJ365" i="1"/>
  <c r="AG367" i="1"/>
  <c r="AJ363" i="1"/>
  <c r="AJ359" i="1"/>
  <c r="AF362" i="1"/>
  <c r="AJ355" i="1"/>
  <c r="AG361" i="1"/>
  <c r="AJ356" i="1"/>
  <c r="AG359" i="1"/>
  <c r="AF360" i="1"/>
  <c r="AF357" i="1"/>
  <c r="AG356" i="1"/>
  <c r="AG355" i="1"/>
  <c r="AG360" i="1"/>
  <c r="AR360" i="1"/>
  <c r="AR355" i="1"/>
  <c r="AF361" i="1"/>
  <c r="AF356" i="1"/>
  <c r="AJ357" i="1"/>
  <c r="AG357" i="1"/>
  <c r="AF355" i="1"/>
  <c r="AJ360" i="1"/>
  <c r="AR361" i="1"/>
  <c r="AJ361" i="1"/>
  <c r="AR357" i="1"/>
  <c r="AR358" i="1"/>
  <c r="AG358" i="1"/>
  <c r="AF358" i="1"/>
  <c r="AJ358" i="1"/>
  <c r="AG362" i="1"/>
  <c r="AF359" i="1"/>
  <c r="AR362" i="1"/>
  <c r="AJ362" i="1"/>
  <c r="B20" i="4"/>
  <c r="B19" i="4"/>
  <c r="C19" i="4" s="1"/>
  <c r="D19" i="4" s="1"/>
  <c r="E19" i="4" s="1"/>
  <c r="F19" i="4" s="1"/>
  <c r="G19" i="4" s="1"/>
  <c r="H19" i="4" s="1"/>
  <c r="I19" i="4" s="1"/>
  <c r="J19" i="4" s="1"/>
  <c r="K19" i="4" s="1"/>
  <c r="L19" i="4" s="1"/>
  <c r="M19" i="4" s="1"/>
  <c r="N11" i="4"/>
  <c r="AD346" i="1"/>
  <c r="AH346" i="1"/>
  <c r="AD353" i="1"/>
  <c r="AH353" i="1"/>
  <c r="AD345" i="1"/>
  <c r="AH345" i="1"/>
  <c r="AD347" i="1"/>
  <c r="AH347" i="1"/>
  <c r="AD351" i="1"/>
  <c r="AH351" i="1"/>
  <c r="AD348" i="1"/>
  <c r="AH348" i="1"/>
  <c r="AD349" i="1"/>
  <c r="AH349" i="1"/>
  <c r="AD350" i="1"/>
  <c r="AH350" i="1"/>
  <c r="AD352" i="1"/>
  <c r="AH352" i="1"/>
  <c r="AD354" i="1"/>
  <c r="AH354" i="1"/>
  <c r="AD344" i="1"/>
  <c r="AH344" i="1"/>
  <c r="CH349" i="1" l="1"/>
  <c r="CI349" i="1" s="1"/>
  <c r="CH350" i="1"/>
  <c r="CI350" i="1" s="1"/>
  <c r="CH351" i="1"/>
  <c r="CI351" i="1" s="1"/>
  <c r="CH346" i="1"/>
  <c r="CI346" i="1" s="1"/>
  <c r="CH352" i="1"/>
  <c r="CI352" i="1" s="1"/>
  <c r="CH348" i="1"/>
  <c r="CI348" i="1" s="1"/>
  <c r="CH354" i="1"/>
  <c r="CI354" i="1" s="1"/>
  <c r="CH347" i="1"/>
  <c r="CI347" i="1" s="1"/>
  <c r="CH344" i="1"/>
  <c r="CI344" i="1" s="1"/>
  <c r="CH353" i="1"/>
  <c r="CI353" i="1" s="1"/>
  <c r="CH345" i="1"/>
  <c r="CI345" i="1" s="1"/>
  <c r="AI354" i="1"/>
  <c r="AI347" i="1"/>
  <c r="AI349" i="1"/>
  <c r="AI350" i="1"/>
  <c r="AI351" i="1"/>
  <c r="AI346" i="1"/>
  <c r="AI344" i="1"/>
  <c r="AI353" i="1"/>
  <c r="AI345" i="1"/>
  <c r="AI352" i="1"/>
  <c r="AI348" i="1"/>
  <c r="C20" i="4"/>
  <c r="D20" i="4" s="1"/>
  <c r="X57" i="4"/>
  <c r="V57" i="4"/>
  <c r="Q57" i="4"/>
  <c r="W37" i="4"/>
  <c r="W40" i="4"/>
  <c r="W39" i="4"/>
  <c r="W38" i="4"/>
  <c r="W41" i="4"/>
  <c r="Z50" i="4"/>
  <c r="Z49" i="4"/>
  <c r="AR310" i="1"/>
  <c r="AR295" i="1"/>
  <c r="AR364" i="1"/>
  <c r="AR359" i="1"/>
  <c r="X41" i="4"/>
  <c r="X38" i="4"/>
  <c r="AR356" i="1"/>
  <c r="X40" i="4"/>
  <c r="X39" i="4"/>
  <c r="AI45" i="4"/>
  <c r="AI51" i="4"/>
  <c r="AJ63" i="4" s="1"/>
  <c r="X37" i="4"/>
  <c r="AA50" i="4"/>
  <c r="Z51" i="4"/>
  <c r="AI47" i="4"/>
  <c r="AJ59" i="4" s="1"/>
  <c r="AA49" i="4"/>
  <c r="AI50" i="4"/>
  <c r="AJ62" i="4" s="1"/>
  <c r="AI46" i="4"/>
  <c r="AJ58" i="4" s="1"/>
  <c r="AA55" i="4"/>
  <c r="AA54" i="4"/>
  <c r="AI49" i="4"/>
  <c r="AJ61" i="4" s="1"/>
  <c r="Z55" i="4"/>
  <c r="AA53" i="4"/>
  <c r="Z54" i="4"/>
  <c r="AA52" i="4"/>
  <c r="AI48" i="4"/>
  <c r="AJ60" i="4" s="1"/>
  <c r="Z53" i="4"/>
  <c r="AA51" i="4"/>
  <c r="AI41" i="4"/>
  <c r="AJ348" i="1"/>
  <c r="AF354" i="1"/>
  <c r="AJ352" i="1"/>
  <c r="AR352" i="1"/>
  <c r="AJ349" i="1"/>
  <c r="AR348" i="1"/>
  <c r="AJ347" i="1"/>
  <c r="AR345" i="1"/>
  <c r="AR344" i="1"/>
  <c r="AR350" i="1"/>
  <c r="AR353" i="1"/>
  <c r="AR347" i="1"/>
  <c r="AR351" i="1"/>
  <c r="AF344" i="1"/>
  <c r="AR349" i="1"/>
  <c r="AJ351" i="1"/>
  <c r="AJ345" i="1"/>
  <c r="AJ354" i="1"/>
  <c r="AF350" i="1"/>
  <c r="AJ353" i="1"/>
  <c r="AJ344" i="1"/>
  <c r="AF349" i="1"/>
  <c r="AR354" i="1"/>
  <c r="AJ350" i="1"/>
  <c r="AF346" i="1"/>
  <c r="AJ346" i="1"/>
  <c r="AR346" i="1"/>
  <c r="AG344" i="1"/>
  <c r="AG354" i="1"/>
  <c r="AG352" i="1"/>
  <c r="AG350" i="1"/>
  <c r="AG349" i="1"/>
  <c r="AG348" i="1"/>
  <c r="AG351" i="1"/>
  <c r="AG347" i="1"/>
  <c r="AG345" i="1"/>
  <c r="AG353" i="1"/>
  <c r="AG346" i="1"/>
  <c r="AF352" i="1"/>
  <c r="AF348" i="1"/>
  <c r="AF351" i="1"/>
  <c r="AF347" i="1"/>
  <c r="AF345" i="1"/>
  <c r="AF353" i="1"/>
  <c r="X42" i="4" l="1"/>
  <c r="W42" i="4"/>
  <c r="AJ57" i="4"/>
  <c r="AI53" i="4"/>
  <c r="AJ65" i="4" s="1"/>
  <c r="AA57" i="4"/>
  <c r="Z57" i="4"/>
  <c r="E20" i="4"/>
  <c r="F20" i="4" l="1"/>
  <c r="G20" i="4" s="1"/>
  <c r="H20" i="4" s="1"/>
  <c r="I20" i="4" s="1"/>
  <c r="J20" i="4" s="1"/>
  <c r="K20" i="4" s="1"/>
  <c r="L20" i="4" s="1"/>
  <c r="M20" i="4" s="1"/>
  <c r="AJ64" i="4"/>
  <c r="BE295" i="1"/>
  <c r="BF295" i="1" s="1"/>
  <c r="BE263" i="1" l="1"/>
  <c r="BF263" i="1" s="1"/>
  <c r="BE188" i="1"/>
  <c r="BF188" i="1" s="1"/>
  <c r="BE198" i="1"/>
  <c r="BF198" i="1" s="1"/>
  <c r="BE150" i="1"/>
  <c r="BE149" i="1"/>
  <c r="BF149" i="1" s="1"/>
  <c r="BE151" i="1"/>
  <c r="BF151" i="1" s="1"/>
  <c r="BE152" i="1"/>
  <c r="BF152" i="1" s="1"/>
  <c r="BE153" i="1"/>
  <c r="BF153" i="1" s="1"/>
  <c r="BE156" i="1"/>
  <c r="BE155" i="1"/>
  <c r="BF155" i="1" s="1"/>
  <c r="BE157" i="1"/>
  <c r="BF157" i="1" s="1"/>
  <c r="BE154" i="1"/>
  <c r="BF154" i="1" s="1"/>
  <c r="BE158" i="1"/>
  <c r="BE159" i="1"/>
  <c r="BF159" i="1" s="1"/>
  <c r="BE160" i="1"/>
  <c r="BE162" i="1"/>
  <c r="BF162" i="1" s="1"/>
  <c r="BE161" i="1"/>
  <c r="BF161" i="1" s="1"/>
  <c r="BE164" i="1"/>
  <c r="BF164" i="1" s="1"/>
  <c r="BE165" i="1"/>
  <c r="BE167" i="1"/>
  <c r="BE166" i="1"/>
  <c r="BF166" i="1" s="1"/>
  <c r="BE163" i="1"/>
  <c r="BE168" i="1"/>
  <c r="BF168" i="1" s="1"/>
  <c r="BE169" i="1"/>
  <c r="BF169" i="1" s="1"/>
  <c r="BE170" i="1"/>
  <c r="BF170" i="1" s="1"/>
  <c r="BE172" i="1"/>
  <c r="BF172" i="1" s="1"/>
  <c r="BE171" i="1"/>
  <c r="BF171" i="1" s="1"/>
  <c r="BE177" i="1"/>
  <c r="BF177" i="1" s="1"/>
  <c r="BE174" i="1"/>
  <c r="BF174" i="1" s="1"/>
  <c r="BE176" i="1"/>
  <c r="BE175" i="1"/>
  <c r="BE178" i="1"/>
  <c r="BF178" i="1" s="1"/>
  <c r="BE173" i="1"/>
  <c r="BF173" i="1" s="1"/>
  <c r="BE180" i="1"/>
  <c r="BF180" i="1" s="1"/>
  <c r="BE179" i="1"/>
  <c r="BF179" i="1" s="1"/>
  <c r="BE181" i="1"/>
  <c r="BF181" i="1" s="1"/>
  <c r="BE183" i="1"/>
  <c r="BF183" i="1" s="1"/>
  <c r="BE184" i="1"/>
  <c r="BE185" i="1"/>
  <c r="BF185" i="1" s="1"/>
  <c r="BE182" i="1"/>
  <c r="BF182" i="1" s="1"/>
  <c r="BE189" i="1"/>
  <c r="BF189" i="1" s="1"/>
  <c r="BE186" i="1"/>
  <c r="BE187" i="1"/>
  <c r="BF187" i="1" s="1"/>
  <c r="BE191" i="1"/>
  <c r="BF191" i="1" s="1"/>
  <c r="BE193" i="1"/>
  <c r="BE192" i="1"/>
  <c r="BE190" i="1"/>
  <c r="BF190" i="1" s="1"/>
  <c r="BE200" i="1"/>
  <c r="BF200" i="1" s="1"/>
  <c r="BE194" i="1"/>
  <c r="BF194" i="1" s="1"/>
  <c r="BE195" i="1"/>
  <c r="BF195" i="1" s="1"/>
  <c r="BE199" i="1"/>
  <c r="BF199" i="1" s="1"/>
  <c r="BE197" i="1"/>
  <c r="BF197" i="1" s="1"/>
  <c r="BE196" i="1"/>
  <c r="BF196" i="1" s="1"/>
  <c r="BE205" i="1"/>
  <c r="BF205" i="1" s="1"/>
  <c r="BE203" i="1"/>
  <c r="BF203" i="1" s="1"/>
  <c r="BE201" i="1"/>
  <c r="BF201" i="1" s="1"/>
  <c r="BE204" i="1"/>
  <c r="BF204" i="1" s="1"/>
  <c r="BE202" i="1"/>
  <c r="BE206" i="1"/>
  <c r="BF206" i="1" s="1"/>
  <c r="BE207" i="1"/>
  <c r="BE213" i="1"/>
  <c r="BF213" i="1" s="1"/>
  <c r="BE208" i="1"/>
  <c r="BE212" i="1"/>
  <c r="BE210" i="1"/>
  <c r="BF210" i="1" s="1"/>
  <c r="BE214" i="1"/>
  <c r="BF214" i="1" s="1"/>
  <c r="BE209" i="1"/>
  <c r="BE211" i="1"/>
  <c r="BF211" i="1" s="1"/>
  <c r="BE215" i="1"/>
  <c r="BF215" i="1" s="1"/>
  <c r="BE219" i="1"/>
  <c r="BF219" i="1" s="1"/>
  <c r="BE221" i="1"/>
  <c r="BF221" i="1" s="1"/>
  <c r="BE228" i="1"/>
  <c r="BF228" i="1" s="1"/>
  <c r="BE234" i="1"/>
  <c r="BF234" i="1" s="1"/>
  <c r="BE222" i="1"/>
  <c r="BF222" i="1" s="1"/>
  <c r="BE226" i="1"/>
  <c r="BF226" i="1" s="1"/>
  <c r="BE230" i="1"/>
  <c r="BF230" i="1" s="1"/>
  <c r="BE232" i="1"/>
  <c r="BF232" i="1" s="1"/>
  <c r="BE229" i="1"/>
  <c r="BF229" i="1" s="1"/>
  <c r="BE216" i="1"/>
  <c r="BF216" i="1" s="1"/>
  <c r="BE227" i="1"/>
  <c r="BF227" i="1" s="1"/>
  <c r="BE220" i="1"/>
  <c r="BF220" i="1" s="1"/>
  <c r="BE218" i="1"/>
  <c r="BF218" i="1" s="1"/>
  <c r="BE231" i="1"/>
  <c r="BF231" i="1" s="1"/>
  <c r="BE223" i="1"/>
  <c r="BE225" i="1"/>
  <c r="BE224" i="1"/>
  <c r="BE217" i="1"/>
  <c r="BF217" i="1" s="1"/>
  <c r="BE241" i="1"/>
  <c r="BF241" i="1" s="1"/>
  <c r="BE238" i="1"/>
  <c r="BF238" i="1" s="1"/>
  <c r="BE233" i="1"/>
  <c r="BF233" i="1" s="1"/>
  <c r="BE239" i="1"/>
  <c r="BF239" i="1" s="1"/>
  <c r="BE240" i="1"/>
  <c r="BF240" i="1" s="1"/>
  <c r="BE235" i="1"/>
  <c r="BE237" i="1"/>
  <c r="BF237" i="1" s="1"/>
  <c r="BE236" i="1"/>
  <c r="BF236" i="1" s="1"/>
  <c r="BE242" i="1"/>
  <c r="BF242" i="1" s="1"/>
  <c r="BE243" i="1"/>
  <c r="BF243" i="1" s="1"/>
  <c r="BE249" i="1"/>
  <c r="BE247" i="1"/>
  <c r="BF247" i="1" s="1"/>
  <c r="BE244" i="1"/>
  <c r="BF244" i="1" s="1"/>
  <c r="BE248" i="1"/>
  <c r="BF248" i="1" s="1"/>
  <c r="BE245" i="1"/>
  <c r="BF245" i="1" s="1"/>
  <c r="BE250" i="1"/>
  <c r="BF250" i="1" s="1"/>
  <c r="BE246" i="1"/>
  <c r="BF246" i="1" s="1"/>
  <c r="BE256" i="1"/>
  <c r="BF256" i="1" s="1"/>
  <c r="BE252" i="1"/>
  <c r="BE251" i="1"/>
  <c r="BE254" i="1"/>
  <c r="BF254" i="1" s="1"/>
  <c r="BE253" i="1"/>
  <c r="BF253" i="1" s="1"/>
  <c r="BE255" i="1"/>
  <c r="BF255" i="1" s="1"/>
  <c r="BE258" i="1"/>
  <c r="BF258" i="1" s="1"/>
  <c r="BE261" i="1"/>
  <c r="BF261" i="1" s="1"/>
  <c r="BE259" i="1"/>
  <c r="BF259" i="1" s="1"/>
  <c r="BE260" i="1"/>
  <c r="BF260" i="1" s="1"/>
  <c r="BE262" i="1"/>
  <c r="BF262" i="1" s="1"/>
  <c r="BE257" i="1"/>
  <c r="BF257" i="1" s="1"/>
  <c r="BE264" i="1"/>
  <c r="BE272" i="1"/>
  <c r="BF272" i="1" s="1"/>
  <c r="BE271" i="1"/>
  <c r="BF271" i="1" s="1"/>
  <c r="BE276" i="1"/>
  <c r="BF276" i="1" s="1"/>
  <c r="BE274" i="1"/>
  <c r="BF274" i="1" s="1"/>
  <c r="BE270" i="1"/>
  <c r="BF270" i="1" s="1"/>
  <c r="BE269" i="1"/>
  <c r="BF269" i="1" s="1"/>
  <c r="BE268" i="1"/>
  <c r="BF268" i="1" s="1"/>
  <c r="BE277" i="1"/>
  <c r="BF277" i="1" s="1"/>
  <c r="BE266" i="1"/>
  <c r="BF266" i="1" s="1"/>
  <c r="BE265" i="1"/>
  <c r="BF265" i="1" s="1"/>
  <c r="BE275" i="1"/>
  <c r="BF275" i="1" s="1"/>
  <c r="BE273" i="1"/>
  <c r="BF273" i="1" s="1"/>
  <c r="BE267" i="1"/>
  <c r="BF267" i="1" s="1"/>
  <c r="BE278" i="1"/>
  <c r="BF278" i="1" s="1"/>
  <c r="BE281" i="1"/>
  <c r="BF281" i="1" s="1"/>
  <c r="BE282" i="1"/>
  <c r="BF282" i="1" s="1"/>
  <c r="BE285" i="1"/>
  <c r="BF285" i="1" s="1"/>
  <c r="BE283" i="1"/>
  <c r="BE284" i="1"/>
  <c r="BF284" i="1" s="1"/>
  <c r="BE280" i="1"/>
  <c r="BE279" i="1"/>
  <c r="BF279" i="1" s="1"/>
  <c r="BE286" i="1"/>
  <c r="BF286" i="1" s="1"/>
  <c r="BE287" i="1"/>
  <c r="BF287" i="1" s="1"/>
  <c r="BE290" i="1"/>
  <c r="BF290" i="1" s="1"/>
  <c r="BE288" i="1"/>
  <c r="BF288" i="1" s="1"/>
  <c r="BE289" i="1"/>
  <c r="BF289" i="1" s="1"/>
  <c r="BE291" i="1"/>
  <c r="BF291" i="1" s="1"/>
  <c r="BE292" i="1"/>
  <c r="BF292" i="1" s="1"/>
  <c r="BE294" i="1"/>
  <c r="BF294" i="1" s="1"/>
  <c r="BE293" i="1"/>
  <c r="BF293" i="1" s="1"/>
  <c r="BE296" i="1"/>
  <c r="BE297" i="1"/>
  <c r="BF297" i="1" s="1"/>
  <c r="BE299" i="1"/>
  <c r="BE298" i="1"/>
  <c r="BF298" i="1" s="1"/>
  <c r="BE301" i="1"/>
  <c r="BF301" i="1" s="1"/>
  <c r="BE300" i="1"/>
  <c r="BF300" i="1" s="1"/>
  <c r="BE304" i="1"/>
  <c r="BE305" i="1"/>
  <c r="BF305" i="1" s="1"/>
  <c r="BE302" i="1"/>
  <c r="BF302" i="1" s="1"/>
  <c r="BE303" i="1"/>
  <c r="BE309" i="1"/>
  <c r="BF309" i="1" s="1"/>
  <c r="BE313" i="1"/>
  <c r="BF313" i="1" s="1"/>
  <c r="BE307" i="1"/>
  <c r="BF307" i="1" s="1"/>
  <c r="BE310" i="1"/>
  <c r="BF310" i="1" s="1"/>
  <c r="BE315" i="1"/>
  <c r="BF315" i="1" s="1"/>
  <c r="BE316" i="1"/>
  <c r="BF316" i="1" s="1"/>
  <c r="BE308" i="1"/>
  <c r="BF308" i="1" s="1"/>
  <c r="BE314" i="1"/>
  <c r="BF314" i="1" s="1"/>
  <c r="BE311" i="1"/>
  <c r="BF311" i="1" s="1"/>
  <c r="BE306" i="1"/>
  <c r="BF306" i="1" s="1"/>
  <c r="BE312" i="1"/>
  <c r="BF312" i="1" s="1"/>
  <c r="BE319" i="1"/>
  <c r="BE323" i="1"/>
  <c r="BF323" i="1" s="1"/>
  <c r="BE321" i="1"/>
  <c r="BF321" i="1" s="1"/>
  <c r="BE322" i="1"/>
  <c r="BF322" i="1" s="1"/>
  <c r="BE318" i="1"/>
  <c r="BF318" i="1" s="1"/>
  <c r="BE317" i="1"/>
  <c r="BF317" i="1" s="1"/>
  <c r="BE320" i="1"/>
  <c r="BF320" i="1" s="1"/>
  <c r="BE324" i="1"/>
  <c r="BF324" i="1" s="1"/>
  <c r="BE325" i="1"/>
  <c r="BF325" i="1" s="1"/>
  <c r="BE326" i="1"/>
  <c r="BF326" i="1" s="1"/>
  <c r="BE327" i="1"/>
  <c r="BE328" i="1"/>
  <c r="BF328" i="1" s="1"/>
  <c r="BE329" i="1"/>
  <c r="BF329" i="1" s="1"/>
  <c r="BE330" i="1"/>
  <c r="BF330" i="1" s="1"/>
  <c r="BE331" i="1"/>
  <c r="BE335" i="1"/>
  <c r="BF335" i="1" s="1"/>
  <c r="BE343" i="1"/>
  <c r="BF343" i="1" s="1"/>
  <c r="BE340" i="1"/>
  <c r="BF340" i="1" s="1"/>
  <c r="BE341" i="1"/>
  <c r="BF341" i="1" s="1"/>
  <c r="BE354" i="1"/>
  <c r="BF354" i="1" s="1"/>
  <c r="BE344" i="1"/>
  <c r="BF344" i="1" s="1"/>
  <c r="AD335" i="1"/>
  <c r="AH335" i="1"/>
  <c r="AD343" i="1"/>
  <c r="AH343" i="1"/>
  <c r="AR343" i="1"/>
  <c r="AD340" i="1"/>
  <c r="AH340" i="1"/>
  <c r="AR340" i="1"/>
  <c r="AD333" i="1"/>
  <c r="AH333" i="1"/>
  <c r="AR333" i="1"/>
  <c r="AD338" i="1"/>
  <c r="AH338" i="1"/>
  <c r="AR338" i="1"/>
  <c r="AD337" i="1"/>
  <c r="AH337" i="1"/>
  <c r="AR337" i="1"/>
  <c r="AD336" i="1"/>
  <c r="AH336" i="1"/>
  <c r="AR336" i="1"/>
  <c r="AD339" i="1"/>
  <c r="AH339" i="1"/>
  <c r="AR339" i="1"/>
  <c r="AD341" i="1"/>
  <c r="AH341" i="1"/>
  <c r="AR341" i="1"/>
  <c r="AD342" i="1"/>
  <c r="AH342" i="1"/>
  <c r="AR342" i="1"/>
  <c r="AD334" i="1"/>
  <c r="AH334" i="1"/>
  <c r="AR334" i="1"/>
  <c r="AD332" i="1"/>
  <c r="AH332" i="1"/>
  <c r="AR332" i="1"/>
  <c r="CH341" i="1" l="1"/>
  <c r="CI341" i="1" s="1"/>
  <c r="CH334" i="1"/>
  <c r="CI334" i="1" s="1"/>
  <c r="CH336" i="1"/>
  <c r="CI336" i="1" s="1"/>
  <c r="CH340" i="1"/>
  <c r="CI340" i="1" s="1"/>
  <c r="CH332" i="1"/>
  <c r="CI332" i="1" s="1"/>
  <c r="CH339" i="1"/>
  <c r="CI339" i="1" s="1"/>
  <c r="CH338" i="1"/>
  <c r="CI338" i="1" s="1"/>
  <c r="CH335" i="1"/>
  <c r="CI335" i="1" s="1"/>
  <c r="CH333" i="1"/>
  <c r="CI333" i="1" s="1"/>
  <c r="CH342" i="1"/>
  <c r="CI342" i="1" s="1"/>
  <c r="CH337" i="1"/>
  <c r="CI337" i="1" s="1"/>
  <c r="CH343" i="1"/>
  <c r="CI343" i="1" s="1"/>
  <c r="AI336" i="1"/>
  <c r="AI332" i="1"/>
  <c r="AI339" i="1"/>
  <c r="AI333" i="1"/>
  <c r="AI335" i="1"/>
  <c r="AI334" i="1"/>
  <c r="AI341" i="1"/>
  <c r="AI338" i="1"/>
  <c r="AI340" i="1"/>
  <c r="AI342" i="1"/>
  <c r="AI337" i="1"/>
  <c r="AI343" i="1"/>
  <c r="AG335" i="1"/>
  <c r="AF335" i="1"/>
  <c r="AG338" i="1"/>
  <c r="AG343" i="1"/>
  <c r="AG333" i="1"/>
  <c r="AG337" i="1"/>
  <c r="AJ343" i="1"/>
  <c r="AG342" i="1"/>
  <c r="AG336" i="1"/>
  <c r="AJ337" i="1"/>
  <c r="AJ333" i="1"/>
  <c r="AJ334" i="1"/>
  <c r="AJ340" i="1"/>
  <c r="AJ335" i="1"/>
  <c r="AG339" i="1"/>
  <c r="AJ336" i="1"/>
  <c r="AJ338" i="1"/>
  <c r="AG332" i="1"/>
  <c r="AJ332" i="1"/>
  <c r="AG334" i="1"/>
  <c r="AJ342" i="1"/>
  <c r="AJ341" i="1"/>
  <c r="AG341" i="1"/>
  <c r="AJ339" i="1"/>
  <c r="AG340" i="1"/>
  <c r="AF332" i="1"/>
  <c r="AF334" i="1"/>
  <c r="AF342" i="1"/>
  <c r="AF341" i="1"/>
  <c r="AF339" i="1"/>
  <c r="AF336" i="1"/>
  <c r="AF337" i="1"/>
  <c r="AF338" i="1"/>
  <c r="AF333" i="1"/>
  <c r="AF340" i="1"/>
  <c r="AF343" i="1"/>
  <c r="C2" i="5"/>
  <c r="D2" i="5"/>
  <c r="E2" i="5"/>
  <c r="F2" i="5"/>
  <c r="G2" i="5"/>
  <c r="H2" i="5"/>
  <c r="I2" i="5"/>
  <c r="J2" i="5"/>
  <c r="K2" i="5"/>
  <c r="L2" i="5"/>
  <c r="M2" i="5"/>
  <c r="B2" i="5"/>
  <c r="E4" i="5" l="1"/>
  <c r="E6" i="5"/>
  <c r="E7" i="5"/>
  <c r="E8" i="5"/>
  <c r="E5" i="5"/>
  <c r="G5" i="5"/>
  <c r="C45" i="5"/>
  <c r="D45" i="5"/>
  <c r="E45" i="5"/>
  <c r="B45" i="5"/>
  <c r="F41" i="5"/>
  <c r="G41" i="5" s="1"/>
  <c r="B27" i="5" s="1"/>
  <c r="C5" i="5" s="1"/>
  <c r="F42" i="5"/>
  <c r="G42" i="5" s="1"/>
  <c r="B28" i="5" s="1"/>
  <c r="C6" i="5" s="1"/>
  <c r="F43" i="5"/>
  <c r="G43" i="5" s="1"/>
  <c r="B29" i="5" s="1"/>
  <c r="C7" i="5" s="1"/>
  <c r="F44" i="5"/>
  <c r="G44" i="5" s="1"/>
  <c r="B30" i="5" s="1"/>
  <c r="C8" i="5" s="1"/>
  <c r="G40" i="5"/>
  <c r="B26" i="5" s="1"/>
  <c r="C4" i="5" s="1"/>
  <c r="B4" i="5"/>
  <c r="G4" i="5" l="1"/>
  <c r="H4" i="5"/>
  <c r="H6" i="5"/>
  <c r="G6" i="5"/>
  <c r="H7" i="5"/>
  <c r="G7" i="5"/>
  <c r="H8" i="5"/>
  <c r="G8" i="5"/>
  <c r="H5" i="5"/>
  <c r="E9" i="5"/>
  <c r="G9" i="5" s="1"/>
  <c r="I4" i="5"/>
  <c r="C9" i="5"/>
  <c r="B21" i="4"/>
  <c r="N13" i="5"/>
  <c r="B8" i="5"/>
  <c r="I8" i="5" s="1"/>
  <c r="N17" i="5"/>
  <c r="B7" i="5"/>
  <c r="N16" i="5"/>
  <c r="B6" i="5"/>
  <c r="I6" i="5" s="1"/>
  <c r="N15" i="5"/>
  <c r="N14" i="5"/>
  <c r="AH41" i="4"/>
  <c r="AG41" i="4"/>
  <c r="B31" i="5"/>
  <c r="F45" i="5"/>
  <c r="G45" i="5" s="1"/>
  <c r="AD326" i="1"/>
  <c r="AH326" i="1"/>
  <c r="AD327" i="1"/>
  <c r="AH327" i="1"/>
  <c r="AD328" i="1"/>
  <c r="AH328" i="1"/>
  <c r="CH328" i="1"/>
  <c r="CI328" i="1" s="1"/>
  <c r="AD329" i="1"/>
  <c r="AH329" i="1"/>
  <c r="AD330" i="1"/>
  <c r="AH330" i="1"/>
  <c r="AD331" i="1"/>
  <c r="AH331" i="1"/>
  <c r="AR331" i="1"/>
  <c r="AH325" i="1"/>
  <c r="AD325" i="1"/>
  <c r="AH324" i="1"/>
  <c r="AD324" i="1"/>
  <c r="CH325" i="1" l="1"/>
  <c r="CI325" i="1" s="1"/>
  <c r="CH327" i="1"/>
  <c r="CI327" i="1" s="1"/>
  <c r="CH331" i="1"/>
  <c r="CI331" i="1" s="1"/>
  <c r="CH326" i="1"/>
  <c r="CI326" i="1" s="1"/>
  <c r="CH329" i="1"/>
  <c r="CI329" i="1" s="1"/>
  <c r="CH330" i="1"/>
  <c r="CI330" i="1" s="1"/>
  <c r="CH324" i="1"/>
  <c r="CI324" i="1" s="1"/>
  <c r="AI326" i="1"/>
  <c r="AI329" i="1"/>
  <c r="AI327" i="1"/>
  <c r="AI331" i="1"/>
  <c r="AI330" i="1"/>
  <c r="AI328" i="1"/>
  <c r="AI325" i="1"/>
  <c r="AI324" i="1"/>
  <c r="B35" i="5"/>
  <c r="C21" i="4"/>
  <c r="C24" i="4" s="1"/>
  <c r="B24" i="4"/>
  <c r="H9" i="5"/>
  <c r="I7" i="5"/>
  <c r="B9" i="5"/>
  <c r="I9" i="5" s="1"/>
  <c r="I5" i="5"/>
  <c r="N21" i="5"/>
  <c r="AG328" i="1"/>
  <c r="AF328" i="1"/>
  <c r="AG325" i="1"/>
  <c r="AF325" i="1"/>
  <c r="AF329" i="1"/>
  <c r="AG329" i="1"/>
  <c r="AG326" i="1"/>
  <c r="AF326" i="1"/>
  <c r="AJ324" i="1"/>
  <c r="AJ331" i="1"/>
  <c r="AJ328" i="1"/>
  <c r="AG324" i="1"/>
  <c r="AJ330" i="1"/>
  <c r="AJ329" i="1"/>
  <c r="AF330" i="1"/>
  <c r="AF331" i="1"/>
  <c r="AJ326" i="1"/>
  <c r="AF327" i="1"/>
  <c r="AJ327" i="1"/>
  <c r="AG331" i="1"/>
  <c r="AG330" i="1"/>
  <c r="AR327" i="1"/>
  <c r="AJ325" i="1"/>
  <c r="AG327" i="1"/>
  <c r="AF324" i="1"/>
  <c r="AR324" i="1"/>
  <c r="T15" i="4" l="1"/>
  <c r="AR330" i="1"/>
  <c r="V316" i="1" l="1"/>
  <c r="V309" i="1"/>
  <c r="V313" i="1"/>
  <c r="V307" i="1"/>
  <c r="V310" i="1"/>
  <c r="V315" i="1"/>
  <c r="AH320" i="1" l="1"/>
  <c r="AD320" i="1"/>
  <c r="AH317" i="1"/>
  <c r="AD317" i="1"/>
  <c r="AH318" i="1"/>
  <c r="AD318" i="1"/>
  <c r="AH322" i="1"/>
  <c r="AD322" i="1"/>
  <c r="CH321" i="1"/>
  <c r="CI321" i="1" s="1"/>
  <c r="AH321" i="1"/>
  <c r="AD321" i="1"/>
  <c r="AH323" i="1"/>
  <c r="AD323" i="1"/>
  <c r="AH319" i="1"/>
  <c r="AD319" i="1"/>
  <c r="AD300" i="1"/>
  <c r="V303" i="1"/>
  <c r="CH320" i="1" l="1"/>
  <c r="CI320" i="1" s="1"/>
  <c r="CH319" i="1"/>
  <c r="CI319" i="1" s="1"/>
  <c r="CH318" i="1"/>
  <c r="CI318" i="1" s="1"/>
  <c r="CH317" i="1"/>
  <c r="CI317" i="1" s="1"/>
  <c r="CH323" i="1"/>
  <c r="CI323" i="1" s="1"/>
  <c r="CH322" i="1"/>
  <c r="CI322" i="1" s="1"/>
  <c r="AI317" i="1"/>
  <c r="AI321" i="1"/>
  <c r="AI318" i="1"/>
  <c r="U13" i="4"/>
  <c r="AI323" i="1"/>
  <c r="AI320" i="1"/>
  <c r="AI319" i="1"/>
  <c r="AI322" i="1"/>
  <c r="S13" i="4"/>
  <c r="AG321" i="1"/>
  <c r="AF321" i="1"/>
  <c r="AG318" i="1"/>
  <c r="AF318" i="1"/>
  <c r="AG323" i="1"/>
  <c r="AF323" i="1"/>
  <c r="AF317" i="1"/>
  <c r="AG317" i="1"/>
  <c r="AF319" i="1"/>
  <c r="AJ317" i="1"/>
  <c r="AG320" i="1"/>
  <c r="AJ319" i="1"/>
  <c r="AJ320" i="1"/>
  <c r="AF320" i="1"/>
  <c r="AJ318" i="1"/>
  <c r="AG322" i="1"/>
  <c r="AJ321" i="1"/>
  <c r="AJ323" i="1"/>
  <c r="AG319" i="1"/>
  <c r="AR319" i="1"/>
  <c r="AR322" i="1"/>
  <c r="AR320" i="1"/>
  <c r="AF322" i="1"/>
  <c r="AJ322" i="1"/>
  <c r="V304" i="1" l="1"/>
  <c r="V305" i="1"/>
  <c r="V302" i="1"/>
  <c r="CH305" i="1" l="1"/>
  <c r="CI305" i="1" s="1"/>
  <c r="AH305" i="1"/>
  <c r="AD305" i="1"/>
  <c r="CB305" i="1"/>
  <c r="AH304" i="1"/>
  <c r="AD304" i="1"/>
  <c r="CB304" i="1"/>
  <c r="CB312" i="1"/>
  <c r="AD312" i="1"/>
  <c r="AH312" i="1"/>
  <c r="AH306" i="1"/>
  <c r="AD306" i="1"/>
  <c r="CB306" i="1"/>
  <c r="AH311" i="1"/>
  <c r="AD311" i="1"/>
  <c r="CB311" i="1"/>
  <c r="AH314" i="1"/>
  <c r="AD314" i="1"/>
  <c r="CB314" i="1"/>
  <c r="AH308" i="1"/>
  <c r="AD308" i="1"/>
  <c r="CB308" i="1"/>
  <c r="AH316" i="1"/>
  <c r="AD316" i="1"/>
  <c r="CB316" i="1"/>
  <c r="AH315" i="1"/>
  <c r="AD315" i="1"/>
  <c r="CB315" i="1"/>
  <c r="AD310" i="1"/>
  <c r="AH313" i="1"/>
  <c r="AD313" i="1"/>
  <c r="CB313" i="1"/>
  <c r="AH309" i="1"/>
  <c r="AD309" i="1"/>
  <c r="CB309" i="1"/>
  <c r="CH303" i="1"/>
  <c r="CI303" i="1" s="1"/>
  <c r="AH303" i="1"/>
  <c r="AD303" i="1"/>
  <c r="CB303" i="1"/>
  <c r="AH302" i="1"/>
  <c r="AD302" i="1"/>
  <c r="CB302" i="1"/>
  <c r="AH275" i="1"/>
  <c r="AH307" i="1"/>
  <c r="AD307" i="1"/>
  <c r="CB307" i="1"/>
  <c r="CB273" i="1"/>
  <c r="CB299" i="1"/>
  <c r="CB297" i="1"/>
  <c r="CB296" i="1"/>
  <c r="CB293" i="1"/>
  <c r="CB294" i="1"/>
  <c r="CB292" i="1"/>
  <c r="CB288" i="1"/>
  <c r="CB290" i="1"/>
  <c r="CB287" i="1"/>
  <c r="CB286" i="1"/>
  <c r="CB280" i="1"/>
  <c r="CB284" i="1"/>
  <c r="CB283" i="1"/>
  <c r="CB285" i="1"/>
  <c r="CB282" i="1"/>
  <c r="CB281" i="1"/>
  <c r="CB278" i="1"/>
  <c r="CB267" i="1"/>
  <c r="CB275" i="1"/>
  <c r="CB265" i="1"/>
  <c r="CB266" i="1"/>
  <c r="CB277" i="1"/>
  <c r="CB263" i="1"/>
  <c r="CB268" i="1"/>
  <c r="CB269" i="1"/>
  <c r="CB270" i="1"/>
  <c r="CB274" i="1"/>
  <c r="CB276" i="1"/>
  <c r="CB271" i="1"/>
  <c r="CB272" i="1"/>
  <c r="CB264" i="1"/>
  <c r="CB257" i="1"/>
  <c r="CB262" i="1"/>
  <c r="CB260" i="1"/>
  <c r="CB259" i="1"/>
  <c r="CB261" i="1"/>
  <c r="Y11" i="4" s="1"/>
  <c r="CB258" i="1"/>
  <c r="CB255" i="1"/>
  <c r="CB253" i="1"/>
  <c r="CB254" i="1"/>
  <c r="CB251" i="1"/>
  <c r="CB252" i="1"/>
  <c r="CB256" i="1"/>
  <c r="CB246" i="1"/>
  <c r="CB250" i="1"/>
  <c r="CB245" i="1"/>
  <c r="CB248" i="1"/>
  <c r="CB244" i="1"/>
  <c r="CB247" i="1"/>
  <c r="CB249" i="1"/>
  <c r="CB243" i="1"/>
  <c r="CB242" i="1"/>
  <c r="CB236" i="1"/>
  <c r="CB237" i="1"/>
  <c r="CB235" i="1"/>
  <c r="CB240" i="1"/>
  <c r="CB239" i="1"/>
  <c r="CB233" i="1"/>
  <c r="CB238" i="1"/>
  <c r="CB241" i="1"/>
  <c r="CB217" i="1"/>
  <c r="CB224" i="1"/>
  <c r="CB225" i="1"/>
  <c r="CB223" i="1"/>
  <c r="CB231" i="1"/>
  <c r="CB218" i="1"/>
  <c r="CB220" i="1"/>
  <c r="CB227" i="1"/>
  <c r="V300" i="1"/>
  <c r="V299" i="1"/>
  <c r="AL35" i="7" s="1"/>
  <c r="AM35" i="7" s="1"/>
  <c r="V298" i="1"/>
  <c r="V301" i="1"/>
  <c r="CH315" i="1" l="1"/>
  <c r="CI315" i="1" s="1"/>
  <c r="CH302" i="1"/>
  <c r="CI302" i="1" s="1"/>
  <c r="CH304" i="1"/>
  <c r="CI304" i="1" s="1"/>
  <c r="CH311" i="1"/>
  <c r="CI311" i="1" s="1"/>
  <c r="CH313" i="1"/>
  <c r="CI313" i="1" s="1"/>
  <c r="CH314" i="1"/>
  <c r="CI314" i="1" s="1"/>
  <c r="CH307" i="1"/>
  <c r="CI307" i="1" s="1"/>
  <c r="CH309" i="1"/>
  <c r="CI309" i="1" s="1"/>
  <c r="CH316" i="1"/>
  <c r="CI316" i="1" s="1"/>
  <c r="CH308" i="1"/>
  <c r="CI308" i="1" s="1"/>
  <c r="CH312" i="1"/>
  <c r="CI312" i="1" s="1"/>
  <c r="CH306" i="1"/>
  <c r="CI306" i="1" s="1"/>
  <c r="AI302" i="1"/>
  <c r="AI304" i="1"/>
  <c r="AI308" i="1"/>
  <c r="AI311" i="1"/>
  <c r="AI312" i="1"/>
  <c r="S16" i="4" s="1"/>
  <c r="AI307" i="1"/>
  <c r="AI309" i="1"/>
  <c r="AI316" i="1"/>
  <c r="AI314" i="1"/>
  <c r="AI313" i="1"/>
  <c r="AI303" i="1"/>
  <c r="AI315" i="1"/>
  <c r="S14" i="4" s="1"/>
  <c r="AI305" i="1"/>
  <c r="AI306" i="1"/>
  <c r="CB279" i="1"/>
  <c r="CB289" i="1"/>
  <c r="CB291" i="1"/>
  <c r="CB295" i="1"/>
  <c r="CB298" i="1"/>
  <c r="CB300" i="1"/>
  <c r="CB301" i="1"/>
  <c r="CB310" i="1"/>
  <c r="Q82" i="4"/>
  <c r="AR312" i="1"/>
  <c r="AG315" i="1"/>
  <c r="AF315" i="1"/>
  <c r="AG313" i="1"/>
  <c r="AF313" i="1"/>
  <c r="AF303" i="1"/>
  <c r="AG303" i="1"/>
  <c r="AG314" i="1"/>
  <c r="AF314" i="1"/>
  <c r="AF302" i="1"/>
  <c r="AG302" i="1"/>
  <c r="AG308" i="1"/>
  <c r="AF308" i="1"/>
  <c r="AG307" i="1"/>
  <c r="AF307" i="1"/>
  <c r="AJ314" i="1"/>
  <c r="AJ305" i="1"/>
  <c r="AF312" i="1"/>
  <c r="AJ302" i="1"/>
  <c r="AJ311" i="1"/>
  <c r="AJ312" i="1"/>
  <c r="AJ309" i="1"/>
  <c r="AJ303" i="1"/>
  <c r="AJ304" i="1"/>
  <c r="AG304" i="1"/>
  <c r="AF304" i="1"/>
  <c r="AR304" i="1"/>
  <c r="AG305" i="1"/>
  <c r="AF305" i="1"/>
  <c r="AR305" i="1"/>
  <c r="AJ306" i="1"/>
  <c r="AJ308" i="1"/>
  <c r="AJ316" i="1"/>
  <c r="AJ315" i="1"/>
  <c r="AJ307" i="1"/>
  <c r="AJ313" i="1"/>
  <c r="AG312" i="1"/>
  <c r="AG309" i="1"/>
  <c r="AF309" i="1"/>
  <c r="AR309" i="1"/>
  <c r="AG316" i="1"/>
  <c r="AF316" i="1"/>
  <c r="AR316" i="1"/>
  <c r="AG311" i="1"/>
  <c r="AF311" i="1"/>
  <c r="AR311" i="1"/>
  <c r="AG306" i="1"/>
  <c r="AF306" i="1"/>
  <c r="V210" i="1"/>
  <c r="V297" i="1"/>
  <c r="V296" i="1"/>
  <c r="V295" i="1"/>
  <c r="V293" i="1"/>
  <c r="V294" i="1"/>
  <c r="U12" i="4" l="1"/>
  <c r="W17" i="4"/>
  <c r="W14" i="4"/>
  <c r="W15" i="4"/>
  <c r="T13" i="4"/>
  <c r="Q71" i="4"/>
  <c r="Q70" i="4"/>
  <c r="S12" i="4"/>
  <c r="AG14" i="4"/>
  <c r="S15" i="4"/>
  <c r="W13" i="4"/>
  <c r="Q72" i="4"/>
  <c r="X16" i="4"/>
  <c r="AR306" i="1"/>
  <c r="V282" i="1"/>
  <c r="V285" i="1"/>
  <c r="V283" i="1"/>
  <c r="V284" i="1"/>
  <c r="AL34" i="7" s="1"/>
  <c r="AM34" i="7" s="1"/>
  <c r="V280" i="1"/>
  <c r="V279" i="1"/>
  <c r="V286" i="1"/>
  <c r="V287" i="1"/>
  <c r="V290" i="1"/>
  <c r="AL11" i="7" s="1"/>
  <c r="AM11" i="7" s="1"/>
  <c r="V288" i="1"/>
  <c r="V289" i="1"/>
  <c r="V291" i="1"/>
  <c r="V292" i="1"/>
  <c r="E78" i="4" l="1"/>
  <c r="AL10" i="7"/>
  <c r="V281" i="1"/>
  <c r="V278" i="1"/>
  <c r="U15" i="7" s="1"/>
  <c r="V15" i="7" s="1"/>
  <c r="V267" i="1"/>
  <c r="V273" i="1"/>
  <c r="V275" i="1"/>
  <c r="V265" i="1"/>
  <c r="V266" i="1"/>
  <c r="V277" i="1"/>
  <c r="E92" i="4" s="1"/>
  <c r="V263" i="1"/>
  <c r="V268" i="1"/>
  <c r="V269" i="1"/>
  <c r="V270" i="1"/>
  <c r="V274" i="1"/>
  <c r="V276" i="1"/>
  <c r="V271" i="1"/>
  <c r="V272" i="1"/>
  <c r="V264" i="1"/>
  <c r="V257" i="1"/>
  <c r="V262" i="1"/>
  <c r="AL33" i="7" s="1"/>
  <c r="AM33" i="7" s="1"/>
  <c r="V260" i="1"/>
  <c r="V259" i="1"/>
  <c r="V261" i="1"/>
  <c r="V258" i="1"/>
  <c r="V255" i="1"/>
  <c r="V253" i="1"/>
  <c r="V254" i="1"/>
  <c r="V251" i="1"/>
  <c r="V252" i="1"/>
  <c r="V256" i="1"/>
  <c r="V246" i="1"/>
  <c r="E91" i="4" s="1"/>
  <c r="V250" i="1"/>
  <c r="V245" i="1"/>
  <c r="V248" i="1"/>
  <c r="V244" i="1"/>
  <c r="V247" i="1"/>
  <c r="V249" i="1"/>
  <c r="AM10" i="7" l="1"/>
  <c r="E36" i="7"/>
  <c r="AH286" i="1"/>
  <c r="AD286" i="1"/>
  <c r="AH279" i="1"/>
  <c r="AD279" i="1"/>
  <c r="AH280" i="1"/>
  <c r="AD280" i="1"/>
  <c r="AR284" i="1"/>
  <c r="AH284" i="1"/>
  <c r="AD284" i="1"/>
  <c r="AH283" i="1"/>
  <c r="AD283" i="1"/>
  <c r="AR285" i="1"/>
  <c r="AH285" i="1"/>
  <c r="AD285" i="1"/>
  <c r="AH282" i="1"/>
  <c r="AD282" i="1"/>
  <c r="AH281" i="1"/>
  <c r="AD281" i="1"/>
  <c r="CH286" i="1" l="1"/>
  <c r="CI286" i="1" s="1"/>
  <c r="CH282" i="1"/>
  <c r="CI282" i="1" s="1"/>
  <c r="CH280" i="1"/>
  <c r="CI280" i="1" s="1"/>
  <c r="CH284" i="1"/>
  <c r="CI284" i="1" s="1"/>
  <c r="CH283" i="1"/>
  <c r="CI283" i="1" s="1"/>
  <c r="CH281" i="1"/>
  <c r="CI281" i="1" s="1"/>
  <c r="CH285" i="1"/>
  <c r="CI285" i="1" s="1"/>
  <c r="AI282" i="1"/>
  <c r="AI283" i="1"/>
  <c r="AI281" i="1"/>
  <c r="AI286" i="1"/>
  <c r="AI280" i="1"/>
  <c r="AI284" i="1"/>
  <c r="AI285" i="1"/>
  <c r="AR281" i="1"/>
  <c r="AJ286" i="1"/>
  <c r="AG281" i="1"/>
  <c r="AF285" i="1"/>
  <c r="AG286" i="1"/>
  <c r="AG282" i="1"/>
  <c r="AJ285" i="1"/>
  <c r="AJ283" i="1"/>
  <c r="AJ280" i="1"/>
  <c r="AF284" i="1"/>
  <c r="AJ282" i="1"/>
  <c r="AF281" i="1"/>
  <c r="AG283" i="1"/>
  <c r="AG280" i="1"/>
  <c r="AJ284" i="1"/>
  <c r="AJ279" i="1"/>
  <c r="AF282" i="1"/>
  <c r="AF283" i="1"/>
  <c r="AF280" i="1"/>
  <c r="AJ281" i="1"/>
  <c r="AG285" i="1"/>
  <c r="AG284" i="1"/>
  <c r="AR283" i="1"/>
  <c r="AR280" i="1"/>
  <c r="AR286" i="1"/>
  <c r="AF286" i="1"/>
  <c r="AR282" i="1" l="1"/>
  <c r="AH278" i="1"/>
  <c r="AD278" i="1"/>
  <c r="AH267" i="1"/>
  <c r="AD267" i="1"/>
  <c r="AH273" i="1"/>
  <c r="AD273" i="1"/>
  <c r="AD275" i="1"/>
  <c r="AH265" i="1"/>
  <c r="AD265" i="1"/>
  <c r="AH266" i="1"/>
  <c r="AD266" i="1"/>
  <c r="AH277" i="1"/>
  <c r="AD277" i="1"/>
  <c r="AH263" i="1"/>
  <c r="AD263" i="1"/>
  <c r="AH268" i="1"/>
  <c r="AD268" i="1"/>
  <c r="AH269" i="1"/>
  <c r="AD269" i="1"/>
  <c r="AH270" i="1"/>
  <c r="AD270" i="1"/>
  <c r="AH274" i="1"/>
  <c r="AD274" i="1"/>
  <c r="AH276" i="1"/>
  <c r="AD276" i="1"/>
  <c r="AH271" i="1"/>
  <c r="AD271" i="1"/>
  <c r="AH272" i="1"/>
  <c r="AD272" i="1"/>
  <c r="AH264" i="1"/>
  <c r="AD264" i="1"/>
  <c r="CH264" i="1" l="1"/>
  <c r="CI264" i="1" s="1"/>
  <c r="CH272" i="1"/>
  <c r="CI272" i="1" s="1"/>
  <c r="CH276" i="1"/>
  <c r="CI276" i="1" s="1"/>
  <c r="CH270" i="1"/>
  <c r="CI270" i="1" s="1"/>
  <c r="CH277" i="1"/>
  <c r="CI277" i="1" s="1"/>
  <c r="CH265" i="1"/>
  <c r="CI265" i="1" s="1"/>
  <c r="CH278" i="1"/>
  <c r="CI278" i="1" s="1"/>
  <c r="CH266" i="1"/>
  <c r="CI266" i="1" s="1"/>
  <c r="CH267" i="1"/>
  <c r="CI267" i="1" s="1"/>
  <c r="CH268" i="1"/>
  <c r="CI268" i="1" s="1"/>
  <c r="CH273" i="1"/>
  <c r="CI273" i="1" s="1"/>
  <c r="CH271" i="1"/>
  <c r="CI271" i="1" s="1"/>
  <c r="CH274" i="1"/>
  <c r="CI274" i="1" s="1"/>
  <c r="CH269" i="1"/>
  <c r="CI269" i="1" s="1"/>
  <c r="CH263" i="1"/>
  <c r="CI263" i="1" s="1"/>
  <c r="CH275" i="1"/>
  <c r="CI275" i="1" s="1"/>
  <c r="AI276" i="1"/>
  <c r="AI270" i="1"/>
  <c r="AI267" i="1"/>
  <c r="AI268" i="1"/>
  <c r="AI273" i="1"/>
  <c r="AI277" i="1"/>
  <c r="AI265" i="1"/>
  <c r="AI278" i="1"/>
  <c r="AI266" i="1"/>
  <c r="AI264" i="1"/>
  <c r="AI271" i="1"/>
  <c r="AI274" i="1"/>
  <c r="AI272" i="1"/>
  <c r="AI269" i="1"/>
  <c r="AI263" i="1"/>
  <c r="AI275" i="1"/>
  <c r="AF271" i="1"/>
  <c r="AJ264" i="1"/>
  <c r="AJ263" i="1"/>
  <c r="AG275" i="1"/>
  <c r="AJ278" i="1"/>
  <c r="AJ270" i="1"/>
  <c r="AG274" i="1"/>
  <c r="AG278" i="1"/>
  <c r="AG266" i="1"/>
  <c r="AJ266" i="1"/>
  <c r="AG268" i="1"/>
  <c r="AG270" i="1"/>
  <c r="AJ276" i="1"/>
  <c r="AG264" i="1"/>
  <c r="AG267" i="1"/>
  <c r="AG277" i="1"/>
  <c r="AG276" i="1"/>
  <c r="AJ275" i="1"/>
  <c r="AJ274" i="1"/>
  <c r="AG265" i="1"/>
  <c r="AJ277" i="1"/>
  <c r="AJ265" i="1"/>
  <c r="AG263" i="1"/>
  <c r="AG272" i="1"/>
  <c r="AF269" i="1"/>
  <c r="AJ268" i="1"/>
  <c r="AF273" i="1"/>
  <c r="AJ267" i="1"/>
  <c r="AG271" i="1"/>
  <c r="AF264" i="1"/>
  <c r="AJ271" i="1"/>
  <c r="AG269" i="1"/>
  <c r="AG273" i="1"/>
  <c r="AJ269" i="1"/>
  <c r="AJ273" i="1"/>
  <c r="AJ272" i="1"/>
  <c r="AF274" i="1"/>
  <c r="AF263" i="1"/>
  <c r="AF265" i="1"/>
  <c r="AF278" i="1"/>
  <c r="AR276" i="1"/>
  <c r="AR268" i="1"/>
  <c r="AR266" i="1"/>
  <c r="AR267" i="1"/>
  <c r="AR272" i="1"/>
  <c r="AR270" i="1"/>
  <c r="AR277" i="1"/>
  <c r="AR275" i="1"/>
  <c r="AF272" i="1"/>
  <c r="AF276" i="1"/>
  <c r="AF270" i="1"/>
  <c r="AF268" i="1"/>
  <c r="AF277" i="1"/>
  <c r="AF266" i="1"/>
  <c r="AF275" i="1"/>
  <c r="AF267" i="1"/>
  <c r="AR265" i="1" l="1"/>
  <c r="AR274" i="1"/>
  <c r="AR271" i="1"/>
  <c r="AR278" i="1"/>
  <c r="AR263" i="1"/>
  <c r="AR264" i="1"/>
  <c r="AR273" i="1"/>
  <c r="AR269" i="1"/>
  <c r="AH257" i="1" l="1"/>
  <c r="AD257" i="1"/>
  <c r="AH262" i="1"/>
  <c r="AD262" i="1"/>
  <c r="AH260" i="1"/>
  <c r="AD260" i="1"/>
  <c r="AH259" i="1"/>
  <c r="AD259" i="1"/>
  <c r="AH261" i="1"/>
  <c r="AD261" i="1"/>
  <c r="AH258" i="1"/>
  <c r="AD258" i="1"/>
  <c r="AR255" i="1"/>
  <c r="AH255" i="1"/>
  <c r="AD255" i="1"/>
  <c r="AH253" i="1"/>
  <c r="AD253" i="1"/>
  <c r="AR254" i="1"/>
  <c r="AH254" i="1"/>
  <c r="AD254" i="1"/>
  <c r="AH251" i="1"/>
  <c r="AD251" i="1"/>
  <c r="AH252" i="1"/>
  <c r="AD252" i="1"/>
  <c r="AH256" i="1"/>
  <c r="AD256" i="1"/>
  <c r="AH246" i="1"/>
  <c r="AD246" i="1"/>
  <c r="CA173" i="1"/>
  <c r="AD249" i="1"/>
  <c r="AH249" i="1"/>
  <c r="AD247" i="1"/>
  <c r="AH247" i="1"/>
  <c r="AD244" i="1"/>
  <c r="AH244" i="1"/>
  <c r="AD248" i="1"/>
  <c r="AH248" i="1"/>
  <c r="AD245" i="1"/>
  <c r="AH245" i="1"/>
  <c r="AD250" i="1"/>
  <c r="AH250" i="1"/>
  <c r="AH243" i="1"/>
  <c r="AD243" i="1"/>
  <c r="AH242" i="1"/>
  <c r="AD242" i="1"/>
  <c r="V243" i="1"/>
  <c r="V242" i="1"/>
  <c r="CH253" i="1" l="1"/>
  <c r="CI253" i="1" s="1"/>
  <c r="CH257" i="1"/>
  <c r="CI257" i="1" s="1"/>
  <c r="CH246" i="1"/>
  <c r="CI246" i="1" s="1"/>
  <c r="CH262" i="1"/>
  <c r="CI262" i="1" s="1"/>
  <c r="CH245" i="1"/>
  <c r="CI245" i="1" s="1"/>
  <c r="CH244" i="1"/>
  <c r="CI244" i="1" s="1"/>
  <c r="CH242" i="1"/>
  <c r="CI242" i="1" s="1"/>
  <c r="CH249" i="1"/>
  <c r="CI249" i="1" s="1"/>
  <c r="CH243" i="1"/>
  <c r="CI243" i="1" s="1"/>
  <c r="CH250" i="1"/>
  <c r="CI250" i="1" s="1"/>
  <c r="CH256" i="1"/>
  <c r="CI256" i="1" s="1"/>
  <c r="CH258" i="1"/>
  <c r="CI258" i="1" s="1"/>
  <c r="CH248" i="1"/>
  <c r="CI248" i="1" s="1"/>
  <c r="CH247" i="1"/>
  <c r="CI247" i="1" s="1"/>
  <c r="CH254" i="1"/>
  <c r="CI254" i="1" s="1"/>
  <c r="CH260" i="1"/>
  <c r="CI260" i="1" s="1"/>
  <c r="CH252" i="1"/>
  <c r="CI252" i="1" s="1"/>
  <c r="CH261" i="1"/>
  <c r="CI261" i="1" s="1"/>
  <c r="CH251" i="1"/>
  <c r="CI251" i="1" s="1"/>
  <c r="CH255" i="1"/>
  <c r="CI255" i="1" s="1"/>
  <c r="CH259" i="1"/>
  <c r="CI259" i="1" s="1"/>
  <c r="AI246" i="1"/>
  <c r="AI262" i="1"/>
  <c r="AI253" i="1"/>
  <c r="AI245" i="1"/>
  <c r="AI244" i="1"/>
  <c r="AI249" i="1"/>
  <c r="AI252" i="1"/>
  <c r="AI261" i="1"/>
  <c r="AI243" i="1"/>
  <c r="AI254" i="1"/>
  <c r="AI260" i="1"/>
  <c r="AI242" i="1"/>
  <c r="AI256" i="1"/>
  <c r="AI258" i="1"/>
  <c r="AI257" i="1"/>
  <c r="CC173" i="1"/>
  <c r="AI250" i="1"/>
  <c r="AI248" i="1"/>
  <c r="AI247" i="1"/>
  <c r="AI251" i="1"/>
  <c r="AI255" i="1"/>
  <c r="AI259" i="1"/>
  <c r="AJ258" i="1"/>
  <c r="AF253" i="1"/>
  <c r="AF259" i="1"/>
  <c r="AJ255" i="1"/>
  <c r="AF258" i="1"/>
  <c r="AF256" i="1"/>
  <c r="AG254" i="1"/>
  <c r="AR246" i="1"/>
  <c r="AR262" i="1"/>
  <c r="AR261" i="1"/>
  <c r="AG256" i="1"/>
  <c r="AG253" i="1"/>
  <c r="AG257" i="1"/>
  <c r="AG259" i="1"/>
  <c r="AJ246" i="1"/>
  <c r="AJ261" i="1"/>
  <c r="AJ262" i="1"/>
  <c r="AG258" i="1"/>
  <c r="AJ256" i="1"/>
  <c r="AJ259" i="1"/>
  <c r="AJ257" i="1"/>
  <c r="AR252" i="1"/>
  <c r="AR260" i="1"/>
  <c r="AG246" i="1"/>
  <c r="AJ252" i="1"/>
  <c r="AG261" i="1"/>
  <c r="AJ260" i="1"/>
  <c r="AF251" i="1"/>
  <c r="AF257" i="1"/>
  <c r="AG252" i="1"/>
  <c r="AG251" i="1"/>
  <c r="AJ254" i="1"/>
  <c r="AG260" i="1"/>
  <c r="AJ251" i="1"/>
  <c r="AG262" i="1"/>
  <c r="AJ253" i="1"/>
  <c r="AG255" i="1"/>
  <c r="AR257" i="1"/>
  <c r="AF246" i="1"/>
  <c r="AF252" i="1"/>
  <c r="AF254" i="1"/>
  <c r="AF255" i="1"/>
  <c r="AF261" i="1"/>
  <c r="AF260" i="1"/>
  <c r="AF262" i="1"/>
  <c r="AR256" i="1"/>
  <c r="AR251" i="1"/>
  <c r="AR253" i="1"/>
  <c r="AR258" i="1"/>
  <c r="AR259" i="1"/>
  <c r="AF247" i="1"/>
  <c r="AG247" i="1"/>
  <c r="AJ250" i="1"/>
  <c r="AJ245" i="1"/>
  <c r="AF248" i="1"/>
  <c r="AR250" i="1"/>
  <c r="AG248" i="1"/>
  <c r="AF250" i="1"/>
  <c r="AJ248" i="1"/>
  <c r="AR245" i="1"/>
  <c r="AJ249" i="1"/>
  <c r="AF249" i="1"/>
  <c r="AR244" i="1"/>
  <c r="AR249" i="1"/>
  <c r="AJ244" i="1"/>
  <c r="AF245" i="1"/>
  <c r="AF244" i="1"/>
  <c r="AJ247" i="1"/>
  <c r="AR247" i="1"/>
  <c r="AR248" i="1"/>
  <c r="AG250" i="1"/>
  <c r="AG245" i="1"/>
  <c r="AG244" i="1"/>
  <c r="AG249" i="1"/>
  <c r="AF242" i="1"/>
  <c r="AF243" i="1"/>
  <c r="AG242" i="1"/>
  <c r="AJ243" i="1"/>
  <c r="AG243" i="1"/>
  <c r="AR243" i="1"/>
  <c r="AR242" i="1"/>
  <c r="AJ242" i="1"/>
  <c r="V236" i="1" l="1"/>
  <c r="V237" i="1"/>
  <c r="V235" i="1"/>
  <c r="V240" i="1"/>
  <c r="V239" i="1"/>
  <c r="V233" i="1"/>
  <c r="V238" i="1"/>
  <c r="V241" i="1"/>
  <c r="AH236" i="1"/>
  <c r="AD236" i="1"/>
  <c r="CH237" i="1"/>
  <c r="CI237" i="1" s="1"/>
  <c r="AH237" i="1"/>
  <c r="AD237" i="1"/>
  <c r="AH235" i="1"/>
  <c r="AD235" i="1"/>
  <c r="AH240" i="1"/>
  <c r="AD240" i="1"/>
  <c r="AH239" i="1"/>
  <c r="AD239" i="1"/>
  <c r="AH233" i="1"/>
  <c r="AD233" i="1"/>
  <c r="CH238" i="1"/>
  <c r="CI238" i="1" s="1"/>
  <c r="AH238" i="1"/>
  <c r="AD238" i="1"/>
  <c r="AH241" i="1"/>
  <c r="AD241" i="1"/>
  <c r="CH217" i="1"/>
  <c r="CI217" i="1" s="1"/>
  <c r="AH217" i="1"/>
  <c r="AD217" i="1"/>
  <c r="CH235" i="1" l="1"/>
  <c r="CI235" i="1" s="1"/>
  <c r="CH236" i="1"/>
  <c r="CI236" i="1" s="1"/>
  <c r="CH240" i="1"/>
  <c r="CI240" i="1" s="1"/>
  <c r="CH233" i="1"/>
  <c r="CI233" i="1" s="1"/>
  <c r="CH239" i="1"/>
  <c r="CI239" i="1" s="1"/>
  <c r="CH241" i="1"/>
  <c r="CI241" i="1" s="1"/>
  <c r="AI237" i="1"/>
  <c r="AI240" i="1"/>
  <c r="AI238" i="1"/>
  <c r="AI239" i="1"/>
  <c r="AI217" i="1"/>
  <c r="AI235" i="1"/>
  <c r="AI236" i="1"/>
  <c r="AI241" i="1"/>
  <c r="AI233" i="1"/>
  <c r="AG238" i="1"/>
  <c r="AF217" i="1"/>
  <c r="AJ236" i="1"/>
  <c r="AG237" i="1"/>
  <c r="AF236" i="1"/>
  <c r="AJ240" i="1"/>
  <c r="AJ241" i="1"/>
  <c r="AG241" i="1"/>
  <c r="AJ238" i="1"/>
  <c r="AJ237" i="1"/>
  <c r="AG236" i="1"/>
  <c r="AR236" i="1"/>
  <c r="AJ235" i="1"/>
  <c r="AG217" i="1"/>
  <c r="AJ239" i="1"/>
  <c r="AF237" i="1"/>
  <c r="AJ217" i="1"/>
  <c r="AG240" i="1"/>
  <c r="AG239" i="1"/>
  <c r="AG233" i="1"/>
  <c r="AF238" i="1"/>
  <c r="AF241" i="1"/>
  <c r="AF235" i="1"/>
  <c r="AG235" i="1"/>
  <c r="AF240" i="1"/>
  <c r="AF239" i="1"/>
  <c r="AR233" i="1"/>
  <c r="AJ233" i="1"/>
  <c r="AF233" i="1"/>
  <c r="AR240" i="1" l="1"/>
  <c r="AR217" i="1"/>
  <c r="AR241" i="1"/>
  <c r="AR237" i="1"/>
  <c r="AR235" i="1"/>
  <c r="AR239" i="1"/>
  <c r="AR238" i="1"/>
  <c r="V217" i="1"/>
  <c r="V224" i="1"/>
  <c r="V225" i="1"/>
  <c r="V223" i="1"/>
  <c r="V231" i="1"/>
  <c r="V218" i="1"/>
  <c r="V220" i="1"/>
  <c r="V227" i="1"/>
  <c r="V216" i="1"/>
  <c r="V229" i="1"/>
  <c r="V232" i="1"/>
  <c r="AL32" i="7" s="1"/>
  <c r="AM32" i="7" s="1"/>
  <c r="V230" i="1"/>
  <c r="V226" i="1"/>
  <c r="V222" i="1"/>
  <c r="V234" i="1"/>
  <c r="V228" i="1"/>
  <c r="V221" i="1"/>
  <c r="V219" i="1"/>
  <c r="E90" i="4" s="1"/>
  <c r="V215" i="1"/>
  <c r="CH224" i="1" l="1"/>
  <c r="CI224" i="1" s="1"/>
  <c r="AH224" i="1"/>
  <c r="AD224" i="1"/>
  <c r="AH225" i="1"/>
  <c r="AD225" i="1"/>
  <c r="CH223" i="1"/>
  <c r="CI223" i="1" s="1"/>
  <c r="AH223" i="1"/>
  <c r="AD223" i="1"/>
  <c r="AR231" i="1"/>
  <c r="AH231" i="1"/>
  <c r="AD231" i="1"/>
  <c r="AR218" i="1"/>
  <c r="AH218" i="1"/>
  <c r="AD218" i="1"/>
  <c r="AH220" i="1"/>
  <c r="AD220" i="1"/>
  <c r="AR227" i="1"/>
  <c r="AH227" i="1"/>
  <c r="AD227" i="1"/>
  <c r="CH216" i="1"/>
  <c r="CI216" i="1" s="1"/>
  <c r="AH216" i="1"/>
  <c r="AD216" i="1"/>
  <c r="CB216" i="1"/>
  <c r="AR229" i="1"/>
  <c r="AH229" i="1"/>
  <c r="AD229" i="1"/>
  <c r="CB229" i="1"/>
  <c r="AH232" i="1"/>
  <c r="AD232" i="1"/>
  <c r="CB232" i="1"/>
  <c r="AR230" i="1"/>
  <c r="AH230" i="1"/>
  <c r="AD230" i="1"/>
  <c r="CB230" i="1"/>
  <c r="AH226" i="1"/>
  <c r="AD226" i="1"/>
  <c r="CB226" i="1"/>
  <c r="AR222" i="1"/>
  <c r="AH222" i="1"/>
  <c r="AD222" i="1"/>
  <c r="CB222" i="1"/>
  <c r="CH234" i="1"/>
  <c r="CI234" i="1" s="1"/>
  <c r="AH234" i="1"/>
  <c r="AD234" i="1"/>
  <c r="CB234" i="1"/>
  <c r="AH228" i="1"/>
  <c r="AD228" i="1"/>
  <c r="CB228" i="1"/>
  <c r="AR221" i="1"/>
  <c r="AH221" i="1"/>
  <c r="AD221" i="1"/>
  <c r="CB221" i="1"/>
  <c r="CH219" i="1"/>
  <c r="CI219" i="1" s="1"/>
  <c r="AH219" i="1"/>
  <c r="AD219" i="1"/>
  <c r="CB219" i="1"/>
  <c r="AR215" i="1"/>
  <c r="AH215" i="1"/>
  <c r="AD215" i="1"/>
  <c r="CB215" i="1"/>
  <c r="AR211" i="1"/>
  <c r="AH211" i="1"/>
  <c r="AD211" i="1"/>
  <c r="CB211" i="1"/>
  <c r="CH228" i="1" l="1"/>
  <c r="CI228" i="1" s="1"/>
  <c r="CH220" i="1"/>
  <c r="CI220" i="1" s="1"/>
  <c r="CH215" i="1"/>
  <c r="CI215" i="1" s="1"/>
  <c r="CH218" i="1"/>
  <c r="CI218" i="1" s="1"/>
  <c r="CH232" i="1"/>
  <c r="CI232" i="1" s="1"/>
  <c r="CH221" i="1"/>
  <c r="CI221" i="1" s="1"/>
  <c r="CH222" i="1"/>
  <c r="CI222" i="1" s="1"/>
  <c r="CH227" i="1"/>
  <c r="CI227" i="1" s="1"/>
  <c r="CH225" i="1"/>
  <c r="CI225" i="1" s="1"/>
  <c r="CH226" i="1"/>
  <c r="CI226" i="1" s="1"/>
  <c r="CH231" i="1"/>
  <c r="CI231" i="1" s="1"/>
  <c r="CH230" i="1"/>
  <c r="CI230" i="1" s="1"/>
  <c r="CH211" i="1"/>
  <c r="CI211" i="1" s="1"/>
  <c r="CH229" i="1"/>
  <c r="CI229" i="1" s="1"/>
  <c r="AI227" i="1"/>
  <c r="AI225" i="1"/>
  <c r="AI232" i="1"/>
  <c r="AI219" i="1"/>
  <c r="AI234" i="1"/>
  <c r="AI218" i="1"/>
  <c r="AI221" i="1"/>
  <c r="AI231" i="1"/>
  <c r="AI230" i="1"/>
  <c r="AI215" i="1"/>
  <c r="AI216" i="1"/>
  <c r="AI223" i="1"/>
  <c r="AI224" i="1"/>
  <c r="AI228" i="1"/>
  <c r="AI226" i="1"/>
  <c r="AI220" i="1"/>
  <c r="AI222" i="1"/>
  <c r="AI211" i="1"/>
  <c r="AI229" i="1"/>
  <c r="AG231" i="1"/>
  <c r="AJ223" i="1"/>
  <c r="AG228" i="1"/>
  <c r="AJ216" i="1"/>
  <c r="AG216" i="1"/>
  <c r="AJ224" i="1"/>
  <c r="AJ211" i="1"/>
  <c r="AF232" i="1"/>
  <c r="AF226" i="1"/>
  <c r="AG223" i="1"/>
  <c r="AG220" i="1"/>
  <c r="AG218" i="1"/>
  <c r="AF225" i="1"/>
  <c r="AG224" i="1"/>
  <c r="AG230" i="1"/>
  <c r="AG229" i="1"/>
  <c r="AG211" i="1"/>
  <c r="AG227" i="1"/>
  <c r="AF224" i="1"/>
  <c r="AG215" i="1"/>
  <c r="AG232" i="1"/>
  <c r="AF220" i="1"/>
  <c r="AF219" i="1"/>
  <c r="AF234" i="1"/>
  <c r="AF229" i="1"/>
  <c r="AF218" i="1"/>
  <c r="AF223" i="1"/>
  <c r="AF221" i="1"/>
  <c r="AG222" i="1"/>
  <c r="AJ231" i="1"/>
  <c r="AG225" i="1"/>
  <c r="AF216" i="1"/>
  <c r="AJ220" i="1"/>
  <c r="AJ227" i="1"/>
  <c r="AJ232" i="1"/>
  <c r="AJ230" i="1"/>
  <c r="AJ226" i="1"/>
  <c r="AG226" i="1"/>
  <c r="AF222" i="1"/>
  <c r="AG234" i="1"/>
  <c r="AJ234" i="1"/>
  <c r="AJ228" i="1"/>
  <c r="AF228" i="1"/>
  <c r="AJ221" i="1"/>
  <c r="AJ219" i="1"/>
  <c r="AG219" i="1"/>
  <c r="AF215" i="1"/>
  <c r="AR220" i="1"/>
  <c r="AR228" i="1"/>
  <c r="AR216" i="1"/>
  <c r="AR226" i="1"/>
  <c r="AR219" i="1"/>
  <c r="AR223" i="1"/>
  <c r="AR225" i="1"/>
  <c r="AR234" i="1"/>
  <c r="AR232" i="1"/>
  <c r="AJ222" i="1"/>
  <c r="AJ229" i="1"/>
  <c r="AJ218" i="1"/>
  <c r="AJ225" i="1"/>
  <c r="AR224" i="1"/>
  <c r="AF211" i="1"/>
  <c r="AF230" i="1"/>
  <c r="AF227" i="1"/>
  <c r="AF231" i="1"/>
  <c r="AJ215" i="1"/>
  <c r="AG221" i="1"/>
  <c r="V211" i="1" l="1"/>
  <c r="V209" i="1"/>
  <c r="AL9" i="7" s="1"/>
  <c r="AM9" i="7" s="1"/>
  <c r="V212" i="1"/>
  <c r="V208" i="1"/>
  <c r="V213" i="1"/>
  <c r="AR209" i="1" l="1"/>
  <c r="AH209" i="1"/>
  <c r="AD209" i="1"/>
  <c r="CB209" i="1"/>
  <c r="AH214" i="1"/>
  <c r="AD214" i="1"/>
  <c r="CB214" i="1"/>
  <c r="AR212" i="1"/>
  <c r="AH212" i="1"/>
  <c r="AD212" i="1"/>
  <c r="CB212" i="1"/>
  <c r="AR208" i="1"/>
  <c r="CH208" i="1"/>
  <c r="CI208" i="1" s="1"/>
  <c r="AH208" i="1"/>
  <c r="AD208" i="1"/>
  <c r="CB208" i="1"/>
  <c r="CH213" i="1"/>
  <c r="CI213" i="1" s="1"/>
  <c r="AH213" i="1"/>
  <c r="AD213" i="1"/>
  <c r="CB213" i="1"/>
  <c r="CH212" i="1" l="1"/>
  <c r="CI212" i="1" s="1"/>
  <c r="CH209" i="1"/>
  <c r="CI209" i="1" s="1"/>
  <c r="CH214" i="1"/>
  <c r="CI214" i="1" s="1"/>
  <c r="AI212" i="1"/>
  <c r="AI208" i="1"/>
  <c r="AI209" i="1"/>
  <c r="AI213" i="1"/>
  <c r="AI214" i="1"/>
  <c r="AG214" i="1"/>
  <c r="AJ208" i="1"/>
  <c r="AF214" i="1"/>
  <c r="AG208" i="1"/>
  <c r="AJ213" i="1"/>
  <c r="AJ212" i="1"/>
  <c r="AG209" i="1"/>
  <c r="AR214" i="1"/>
  <c r="AJ209" i="1"/>
  <c r="AG213" i="1"/>
  <c r="AG212" i="1"/>
  <c r="AJ214" i="1"/>
  <c r="AR213" i="1"/>
  <c r="AF208" i="1"/>
  <c r="AF212" i="1"/>
  <c r="AF209" i="1"/>
  <c r="AF213" i="1"/>
  <c r="W12" i="4" l="1"/>
  <c r="AH207" i="1"/>
  <c r="AD207" i="1"/>
  <c r="CB207" i="1"/>
  <c r="AH206" i="1"/>
  <c r="AD206" i="1"/>
  <c r="CB206" i="1"/>
  <c r="AH202" i="1"/>
  <c r="AD202" i="1"/>
  <c r="CB202" i="1"/>
  <c r="AH204" i="1"/>
  <c r="AD204" i="1"/>
  <c r="CB204" i="1"/>
  <c r="AH201" i="1"/>
  <c r="AD201" i="1"/>
  <c r="CB201" i="1"/>
  <c r="AH203" i="1"/>
  <c r="AD203" i="1"/>
  <c r="CB203" i="1"/>
  <c r="V207" i="1"/>
  <c r="V206" i="1"/>
  <c r="V202" i="1"/>
  <c r="V204" i="1"/>
  <c r="V201" i="1"/>
  <c r="V203" i="1"/>
  <c r="V205" i="1"/>
  <c r="AH205" i="1"/>
  <c r="AD205" i="1"/>
  <c r="CB205" i="1"/>
  <c r="AH196" i="1"/>
  <c r="AD196" i="1"/>
  <c r="CB196" i="1"/>
  <c r="CH205" i="1" l="1"/>
  <c r="CI205" i="1" s="1"/>
  <c r="CH203" i="1"/>
  <c r="CI203" i="1" s="1"/>
  <c r="CH202" i="1"/>
  <c r="CI202" i="1" s="1"/>
  <c r="CH206" i="1"/>
  <c r="CI206" i="1" s="1"/>
  <c r="CH207" i="1"/>
  <c r="CI207" i="1" s="1"/>
  <c r="CH196" i="1"/>
  <c r="CI196" i="1" s="1"/>
  <c r="CH204" i="1"/>
  <c r="CI204" i="1" s="1"/>
  <c r="CH201" i="1"/>
  <c r="CI201" i="1" s="1"/>
  <c r="AI196" i="1"/>
  <c r="AI201" i="1"/>
  <c r="AI202" i="1"/>
  <c r="AI203" i="1"/>
  <c r="AI206" i="1"/>
  <c r="AI207" i="1"/>
  <c r="AI205" i="1"/>
  <c r="AI204" i="1"/>
  <c r="AJ206" i="1"/>
  <c r="AJ207" i="1"/>
  <c r="AJ201" i="1"/>
  <c r="AG196" i="1"/>
  <c r="AF201" i="1"/>
  <c r="AF204" i="1"/>
  <c r="AG205" i="1"/>
  <c r="AG202" i="1"/>
  <c r="AJ202" i="1"/>
  <c r="AF202" i="1"/>
  <c r="AF207" i="1"/>
  <c r="AJ196" i="1"/>
  <c r="AJ203" i="1"/>
  <c r="AG206" i="1"/>
  <c r="AJ204" i="1"/>
  <c r="AF196" i="1"/>
  <c r="AG201" i="1"/>
  <c r="AF203" i="1"/>
  <c r="AG204" i="1"/>
  <c r="AG207" i="1"/>
  <c r="AJ205" i="1"/>
  <c r="AG203" i="1"/>
  <c r="AR203" i="1"/>
  <c r="AR201" i="1"/>
  <c r="AR202" i="1"/>
  <c r="AR204" i="1"/>
  <c r="AR206" i="1"/>
  <c r="AR207" i="1"/>
  <c r="AF206" i="1"/>
  <c r="AF205" i="1"/>
  <c r="AR196" i="1"/>
  <c r="AR205" i="1"/>
  <c r="Y18" i="4" l="1"/>
  <c r="X18" i="4"/>
  <c r="Y12" i="4"/>
  <c r="AH12" i="4"/>
  <c r="V196" i="1"/>
  <c r="V197" i="1"/>
  <c r="V198" i="1"/>
  <c r="V199" i="1"/>
  <c r="V195" i="1"/>
  <c r="V194" i="1"/>
  <c r="V200" i="1"/>
  <c r="AH197" i="1" l="1"/>
  <c r="AD197" i="1"/>
  <c r="CB197" i="1"/>
  <c r="AH198" i="1"/>
  <c r="AD198" i="1"/>
  <c r="CB198" i="1"/>
  <c r="AH199" i="1"/>
  <c r="AD199" i="1"/>
  <c r="CB199" i="1"/>
  <c r="AH195" i="1"/>
  <c r="AD195" i="1"/>
  <c r="CB195" i="1"/>
  <c r="Y14" i="4" s="1"/>
  <c r="AH194" i="1"/>
  <c r="AD194" i="1"/>
  <c r="CB194" i="1"/>
  <c r="CH200" i="1"/>
  <c r="CI200" i="1" s="1"/>
  <c r="AH200" i="1"/>
  <c r="AD200" i="1"/>
  <c r="CB200" i="1"/>
  <c r="CH199" i="1" l="1"/>
  <c r="CI199" i="1" s="1"/>
  <c r="CH194" i="1"/>
  <c r="CI194" i="1" s="1"/>
  <c r="CH197" i="1"/>
  <c r="CI197" i="1" s="1"/>
  <c r="CH198" i="1"/>
  <c r="CI198" i="1" s="1"/>
  <c r="CH195" i="1"/>
  <c r="CI195" i="1" s="1"/>
  <c r="AI198" i="1"/>
  <c r="AI199" i="1"/>
  <c r="AI200" i="1"/>
  <c r="AI195" i="1"/>
  <c r="AI197" i="1"/>
  <c r="AI194" i="1"/>
  <c r="AJ197" i="1"/>
  <c r="AJ198" i="1"/>
  <c r="AJ195" i="1"/>
  <c r="AG195" i="1"/>
  <c r="AF197" i="1"/>
  <c r="AJ200" i="1"/>
  <c r="AJ194" i="1"/>
  <c r="AF194" i="1"/>
  <c r="AG197" i="1"/>
  <c r="AJ199" i="1"/>
  <c r="AF195" i="1"/>
  <c r="AG199" i="1"/>
  <c r="AR197" i="1"/>
  <c r="AG198" i="1"/>
  <c r="AF198" i="1"/>
  <c r="AF199" i="1"/>
  <c r="AR195" i="1"/>
  <c r="AG194" i="1"/>
  <c r="AF200" i="1"/>
  <c r="AG200" i="1"/>
  <c r="AR198" i="1" l="1"/>
  <c r="AR199" i="1"/>
  <c r="AR194" i="1"/>
  <c r="AR200" i="1"/>
  <c r="V144" i="1" l="1"/>
  <c r="V143" i="1"/>
  <c r="V145" i="1"/>
  <c r="V146" i="1"/>
  <c r="V148" i="1"/>
  <c r="V150" i="1"/>
  <c r="V147" i="1"/>
  <c r="V149" i="1"/>
  <c r="V151" i="1"/>
  <c r="V152" i="1"/>
  <c r="V153" i="1"/>
  <c r="E87" i="4" s="1"/>
  <c r="V156" i="1"/>
  <c r="V155" i="1"/>
  <c r="V157" i="1"/>
  <c r="V154" i="1"/>
  <c r="E88" i="4" s="1"/>
  <c r="V158" i="1"/>
  <c r="U20" i="7" s="1"/>
  <c r="V20" i="7" s="1"/>
  <c r="V159" i="1"/>
  <c r="V160" i="1"/>
  <c r="V162" i="1"/>
  <c r="V161" i="1"/>
  <c r="V164" i="1"/>
  <c r="V165" i="1"/>
  <c r="AL19" i="7" s="1"/>
  <c r="AM19" i="7" s="1"/>
  <c r="V167" i="1"/>
  <c r="U16" i="7" s="1"/>
  <c r="V16" i="7" s="1"/>
  <c r="V166" i="1"/>
  <c r="V163" i="1"/>
  <c r="V168" i="1"/>
  <c r="V169" i="1"/>
  <c r="E89" i="4" s="1"/>
  <c r="V170" i="1"/>
  <c r="V172" i="1"/>
  <c r="V171" i="1"/>
  <c r="V177" i="1"/>
  <c r="V174" i="1"/>
  <c r="V176" i="1"/>
  <c r="V175" i="1"/>
  <c r="V178" i="1"/>
  <c r="V173" i="1"/>
  <c r="V180" i="1"/>
  <c r="V179" i="1"/>
  <c r="V181" i="1"/>
  <c r="V183" i="1"/>
  <c r="V184" i="1"/>
  <c r="V185" i="1"/>
  <c r="V182" i="1"/>
  <c r="V188" i="1"/>
  <c r="V189" i="1"/>
  <c r="AU20" i="7" s="1"/>
  <c r="AV20" i="7" s="1"/>
  <c r="V186" i="1"/>
  <c r="AU21" i="7" s="1"/>
  <c r="AV21" i="7" s="1"/>
  <c r="V187" i="1"/>
  <c r="V191" i="1"/>
  <c r="V193" i="1"/>
  <c r="V192" i="1"/>
  <c r="V190" i="1"/>
  <c r="E27" i="7" l="1"/>
  <c r="AH190" i="1"/>
  <c r="AD190" i="1"/>
  <c r="CB190" i="1"/>
  <c r="CH192" i="1"/>
  <c r="CI192" i="1" s="1"/>
  <c r="AH192" i="1"/>
  <c r="AD192" i="1"/>
  <c r="CB192" i="1"/>
  <c r="AH193" i="1"/>
  <c r="AD193" i="1"/>
  <c r="CB193" i="1"/>
  <c r="AR191" i="1"/>
  <c r="CH191" i="1"/>
  <c r="CI191" i="1" s="1"/>
  <c r="AH191" i="1"/>
  <c r="AD191" i="1"/>
  <c r="CB191" i="1"/>
  <c r="CH193" i="1" l="1"/>
  <c r="CI193" i="1" s="1"/>
  <c r="CH190" i="1"/>
  <c r="CI190" i="1" s="1"/>
  <c r="AI191" i="1"/>
  <c r="AI192" i="1"/>
  <c r="AI190" i="1"/>
  <c r="AI193" i="1"/>
  <c r="AJ191" i="1"/>
  <c r="AJ190" i="1"/>
  <c r="AG193" i="1"/>
  <c r="AF190" i="1"/>
  <c r="AG191" i="1"/>
  <c r="AJ192" i="1"/>
  <c r="AF192" i="1"/>
  <c r="AG192" i="1"/>
  <c r="AF191" i="1"/>
  <c r="AG190" i="1"/>
  <c r="AJ193" i="1"/>
  <c r="AF193" i="1"/>
  <c r="AR193" i="1"/>
  <c r="AR192" i="1"/>
  <c r="AR190" i="1" l="1"/>
  <c r="AH187" i="1" l="1"/>
  <c r="AD187" i="1"/>
  <c r="CB187" i="1"/>
  <c r="AH186" i="1"/>
  <c r="AD186" i="1"/>
  <c r="CB186" i="1"/>
  <c r="AH189" i="1"/>
  <c r="AD189" i="1"/>
  <c r="CB189" i="1"/>
  <c r="AR188" i="1"/>
  <c r="AH188" i="1"/>
  <c r="AD188" i="1"/>
  <c r="CB188" i="1"/>
  <c r="AH182" i="1"/>
  <c r="AD182" i="1"/>
  <c r="CB182" i="1"/>
  <c r="AR185" i="1"/>
  <c r="CH185" i="1"/>
  <c r="CI185" i="1" s="1"/>
  <c r="AH185" i="1"/>
  <c r="AD185" i="1"/>
  <c r="CB185" i="1"/>
  <c r="CH187" i="1" l="1"/>
  <c r="CI187" i="1" s="1"/>
  <c r="CH186" i="1"/>
  <c r="CI186" i="1" s="1"/>
  <c r="CH189" i="1"/>
  <c r="CI189" i="1" s="1"/>
  <c r="CH188" i="1"/>
  <c r="CI188" i="1" s="1"/>
  <c r="CH182" i="1"/>
  <c r="CI182" i="1" s="1"/>
  <c r="AI186" i="1"/>
  <c r="AI189" i="1"/>
  <c r="AI185" i="1"/>
  <c r="AI188" i="1"/>
  <c r="AI187" i="1"/>
  <c r="AI182" i="1"/>
  <c r="AG187" i="1"/>
  <c r="AJ186" i="1"/>
  <c r="AF182" i="1"/>
  <c r="AF187" i="1"/>
  <c r="AR186" i="1"/>
  <c r="AG189" i="1"/>
  <c r="AG182" i="1"/>
  <c r="AJ185" i="1"/>
  <c r="AF185" i="1"/>
  <c r="AJ182" i="1"/>
  <c r="AR182" i="1"/>
  <c r="AG185" i="1"/>
  <c r="AR187" i="1"/>
  <c r="AJ187" i="1"/>
  <c r="AF186" i="1"/>
  <c r="AG186" i="1"/>
  <c r="AR189" i="1"/>
  <c r="AJ189" i="1"/>
  <c r="AF189" i="1"/>
  <c r="AF188" i="1"/>
  <c r="AJ188" i="1"/>
  <c r="AG188" i="1"/>
  <c r="N12" i="4" l="1"/>
  <c r="N27" i="4" l="1"/>
  <c r="N14" i="4" l="1"/>
  <c r="AR184" i="1"/>
  <c r="AH184" i="1"/>
  <c r="AD184" i="1"/>
  <c r="CB184" i="1"/>
  <c r="AH183" i="1"/>
  <c r="AD183" i="1"/>
  <c r="CB183" i="1"/>
  <c r="AH181" i="1"/>
  <c r="AD181" i="1"/>
  <c r="CB181" i="1"/>
  <c r="AR179" i="1"/>
  <c r="AH179" i="1"/>
  <c r="AD179" i="1"/>
  <c r="CB179" i="1"/>
  <c r="AH180" i="1"/>
  <c r="AD180" i="1"/>
  <c r="CB180" i="1"/>
  <c r="AH173" i="1"/>
  <c r="AD173" i="1"/>
  <c r="CB173" i="1"/>
  <c r="AR178" i="1"/>
  <c r="AH178" i="1"/>
  <c r="AD178" i="1"/>
  <c r="CB178" i="1"/>
  <c r="AR175" i="1"/>
  <c r="AH175" i="1"/>
  <c r="AD175" i="1"/>
  <c r="CB175" i="1"/>
  <c r="AH176" i="1"/>
  <c r="AD176" i="1"/>
  <c r="CB176" i="1"/>
  <c r="AR174" i="1"/>
  <c r="AH174" i="1"/>
  <c r="AD174" i="1"/>
  <c r="CB174" i="1"/>
  <c r="AH177" i="1"/>
  <c r="AD177" i="1"/>
  <c r="CB177" i="1"/>
  <c r="AH171" i="1"/>
  <c r="AD171" i="1"/>
  <c r="CB171" i="1"/>
  <c r="AH172" i="1"/>
  <c r="AD172" i="1"/>
  <c r="CB172" i="1"/>
  <c r="AH170" i="1"/>
  <c r="AD170" i="1"/>
  <c r="CB170" i="1"/>
  <c r="AR169" i="1"/>
  <c r="AH169" i="1"/>
  <c r="AD169" i="1"/>
  <c r="CB169" i="1"/>
  <c r="AH168" i="1"/>
  <c r="AD168" i="1"/>
  <c r="CB168" i="1"/>
  <c r="AR163" i="1"/>
  <c r="AH163" i="1"/>
  <c r="AD163" i="1"/>
  <c r="CB163" i="1"/>
  <c r="CH166" i="1"/>
  <c r="CI166" i="1" s="1"/>
  <c r="AH166" i="1"/>
  <c r="AD166" i="1"/>
  <c r="CB166" i="1"/>
  <c r="AH167" i="1"/>
  <c r="AD167" i="1"/>
  <c r="CB167" i="1"/>
  <c r="AH165" i="1"/>
  <c r="AD165" i="1"/>
  <c r="CB165" i="1"/>
  <c r="AH164" i="1"/>
  <c r="AD164" i="1"/>
  <c r="CB164" i="1"/>
  <c r="AH161" i="1"/>
  <c r="AD161" i="1"/>
  <c r="CB161" i="1"/>
  <c r="AH162" i="1"/>
  <c r="AD162" i="1"/>
  <c r="CB162" i="1"/>
  <c r="AH160" i="1"/>
  <c r="AD160" i="1"/>
  <c r="CB160" i="1"/>
  <c r="AH159" i="1"/>
  <c r="AD159" i="1"/>
  <c r="CB159" i="1"/>
  <c r="AH158" i="1"/>
  <c r="AD158" i="1"/>
  <c r="CB158" i="1"/>
  <c r="AH154" i="1"/>
  <c r="AD154" i="1"/>
  <c r="CB154" i="1"/>
  <c r="AR157" i="1"/>
  <c r="AH157" i="1"/>
  <c r="AD157" i="1"/>
  <c r="CB157" i="1"/>
  <c r="AH155" i="1"/>
  <c r="AD155" i="1"/>
  <c r="CB155" i="1"/>
  <c r="AH156" i="1"/>
  <c r="AD156" i="1"/>
  <c r="CB156" i="1"/>
  <c r="AH153" i="1"/>
  <c r="AD153" i="1"/>
  <c r="CB153" i="1"/>
  <c r="AH152" i="1"/>
  <c r="AD152" i="1"/>
  <c r="CB152" i="1"/>
  <c r="CH151" i="1"/>
  <c r="CI151" i="1" s="1"/>
  <c r="AH151" i="1"/>
  <c r="AD151" i="1"/>
  <c r="CB151" i="1"/>
  <c r="AH149" i="1"/>
  <c r="AD149" i="1"/>
  <c r="CB149" i="1"/>
  <c r="AH147" i="1"/>
  <c r="AD147" i="1"/>
  <c r="CB147" i="1"/>
  <c r="AH150" i="1"/>
  <c r="AD150" i="1"/>
  <c r="CB150" i="1"/>
  <c r="AH148" i="1"/>
  <c r="AD148" i="1"/>
  <c r="CB148" i="1"/>
  <c r="AH146" i="1"/>
  <c r="AD146" i="1"/>
  <c r="CB146" i="1"/>
  <c r="AH145" i="1"/>
  <c r="AD145" i="1"/>
  <c r="CB145" i="1"/>
  <c r="AR143" i="1"/>
  <c r="AH143" i="1"/>
  <c r="AD143" i="1"/>
  <c r="CB143" i="1"/>
  <c r="AH144" i="1"/>
  <c r="AD144" i="1"/>
  <c r="CB144" i="1"/>
  <c r="AH142" i="1"/>
  <c r="AD142" i="1"/>
  <c r="CB142" i="1"/>
  <c r="AD139" i="1"/>
  <c r="AD141" i="1"/>
  <c r="AD140" i="1"/>
  <c r="AH138" i="1"/>
  <c r="AD138" i="1"/>
  <c r="CB138" i="1"/>
  <c r="AH137" i="1"/>
  <c r="AD137" i="1"/>
  <c r="CB137" i="1"/>
  <c r="AH136" i="1"/>
  <c r="AD136" i="1"/>
  <c r="CB136" i="1"/>
  <c r="AH134" i="1"/>
  <c r="AD134" i="1"/>
  <c r="CB134" i="1"/>
  <c r="AH135" i="1"/>
  <c r="AD135" i="1"/>
  <c r="CB135" i="1"/>
  <c r="AH133" i="1"/>
  <c r="AD133" i="1"/>
  <c r="CB133" i="1"/>
  <c r="AH132" i="1"/>
  <c r="AD132" i="1"/>
  <c r="CB132" i="1"/>
  <c r="AH130" i="1"/>
  <c r="AD130" i="1"/>
  <c r="CB130" i="1"/>
  <c r="AH131" i="1"/>
  <c r="AD131" i="1"/>
  <c r="CB131" i="1"/>
  <c r="AH128" i="1"/>
  <c r="AD128" i="1"/>
  <c r="CB128" i="1"/>
  <c r="AH129" i="1"/>
  <c r="AD129" i="1"/>
  <c r="CB129" i="1"/>
  <c r="AH127" i="1"/>
  <c r="AD127" i="1"/>
  <c r="CB127" i="1"/>
  <c r="AH126" i="1"/>
  <c r="AD126" i="1"/>
  <c r="CB126" i="1"/>
  <c r="AH125" i="1"/>
  <c r="AD125" i="1"/>
  <c r="CB125" i="1"/>
  <c r="AR124" i="1"/>
  <c r="AH124" i="1"/>
  <c r="AD124" i="1"/>
  <c r="CB124" i="1"/>
  <c r="CH123" i="1"/>
  <c r="CI123" i="1" s="1"/>
  <c r="AH123" i="1"/>
  <c r="AD123" i="1"/>
  <c r="CB123" i="1"/>
  <c r="AH122" i="1"/>
  <c r="AD122" i="1"/>
  <c r="CB122" i="1"/>
  <c r="AH121" i="1"/>
  <c r="AD121" i="1"/>
  <c r="CB121" i="1"/>
  <c r="AH120" i="1"/>
  <c r="AD120" i="1"/>
  <c r="CB120" i="1"/>
  <c r="AH119" i="1"/>
  <c r="AD119" i="1"/>
  <c r="AH118" i="1"/>
  <c r="AD118" i="1"/>
  <c r="CB118" i="1"/>
  <c r="AR117" i="1"/>
  <c r="AH117" i="1"/>
  <c r="AD117" i="1"/>
  <c r="CB117" i="1"/>
  <c r="AR116" i="1"/>
  <c r="AH116" i="1"/>
  <c r="AD116" i="1"/>
  <c r="CB116" i="1"/>
  <c r="AH115" i="1"/>
  <c r="AD115" i="1"/>
  <c r="CB115" i="1"/>
  <c r="AH114" i="1"/>
  <c r="AD114" i="1"/>
  <c r="CB114" i="1"/>
  <c r="AH113" i="1"/>
  <c r="AD113" i="1"/>
  <c r="CB113" i="1"/>
  <c r="AH112" i="1"/>
  <c r="AD112" i="1"/>
  <c r="CB112" i="1"/>
  <c r="AH111" i="1"/>
  <c r="AD111" i="1"/>
  <c r="CB111" i="1"/>
  <c r="AH110" i="1"/>
  <c r="AD110" i="1"/>
  <c r="CB110" i="1"/>
  <c r="AH109" i="1"/>
  <c r="AD109" i="1"/>
  <c r="CB109" i="1"/>
  <c r="AH108" i="1"/>
  <c r="AD108" i="1"/>
  <c r="CB108" i="1"/>
  <c r="AH107" i="1"/>
  <c r="AD107" i="1"/>
  <c r="CB107" i="1"/>
  <c r="AH106" i="1"/>
  <c r="AD106" i="1"/>
  <c r="CB106" i="1"/>
  <c r="AH105" i="1"/>
  <c r="AD105" i="1"/>
  <c r="CB105" i="1"/>
  <c r="CH104" i="1"/>
  <c r="CI104" i="1" s="1"/>
  <c r="AH104" i="1"/>
  <c r="AD104" i="1"/>
  <c r="CB104" i="1"/>
  <c r="AH103" i="1"/>
  <c r="AD103" i="1"/>
  <c r="CB103" i="1"/>
  <c r="AH102" i="1"/>
  <c r="AD102" i="1"/>
  <c r="CB102" i="1"/>
  <c r="AH101" i="1"/>
  <c r="AD101" i="1"/>
  <c r="CB101" i="1"/>
  <c r="AH100" i="1"/>
  <c r="AD100" i="1"/>
  <c r="CB100" i="1"/>
  <c r="AH99" i="1"/>
  <c r="AD99" i="1"/>
  <c r="CB99" i="1"/>
  <c r="AR98" i="1"/>
  <c r="AH98" i="1"/>
  <c r="AD98" i="1"/>
  <c r="CB98" i="1"/>
  <c r="AH97" i="1"/>
  <c r="AD97" i="1"/>
  <c r="CB97" i="1"/>
  <c r="AH96" i="1"/>
  <c r="AD96" i="1"/>
  <c r="CB96" i="1"/>
  <c r="AH95" i="1"/>
  <c r="AD95" i="1"/>
  <c r="CB95" i="1"/>
  <c r="AH94" i="1"/>
  <c r="AD94" i="1"/>
  <c r="CB94" i="1"/>
  <c r="AH93" i="1"/>
  <c r="AD93" i="1"/>
  <c r="CB93" i="1"/>
  <c r="AR92" i="1"/>
  <c r="AH92" i="1"/>
  <c r="AD92" i="1"/>
  <c r="CB92" i="1"/>
  <c r="AH91" i="1"/>
  <c r="AD91" i="1"/>
  <c r="CB91" i="1"/>
  <c r="AH90" i="1"/>
  <c r="AD90" i="1"/>
  <c r="CB90" i="1"/>
  <c r="AR89" i="1"/>
  <c r="AH89" i="1"/>
  <c r="AD89" i="1"/>
  <c r="CB89" i="1"/>
  <c r="AH88" i="1"/>
  <c r="AD88" i="1"/>
  <c r="CB88" i="1"/>
  <c r="AH87" i="1"/>
  <c r="AD87" i="1"/>
  <c r="CB87" i="1"/>
  <c r="AH86" i="1"/>
  <c r="AD86" i="1"/>
  <c r="CB86" i="1"/>
  <c r="AH85" i="1"/>
  <c r="AD85" i="1"/>
  <c r="CB85" i="1"/>
  <c r="AR84" i="1"/>
  <c r="CH84" i="1"/>
  <c r="CI84" i="1" s="1"/>
  <c r="AH84" i="1"/>
  <c r="AD84" i="1"/>
  <c r="CB84" i="1"/>
  <c r="AR83" i="1"/>
  <c r="AH83" i="1"/>
  <c r="AD83" i="1"/>
  <c r="CB83" i="1"/>
  <c r="AH82" i="1"/>
  <c r="AD82" i="1"/>
  <c r="CB82" i="1"/>
  <c r="CH81" i="1"/>
  <c r="CI81" i="1" s="1"/>
  <c r="AH81" i="1"/>
  <c r="AD81" i="1"/>
  <c r="CB81" i="1"/>
  <c r="AR80" i="1"/>
  <c r="AH80" i="1"/>
  <c r="AD80" i="1"/>
  <c r="CB80" i="1"/>
  <c r="AH79" i="1"/>
  <c r="AD79" i="1"/>
  <c r="CB79" i="1"/>
  <c r="AH78" i="1"/>
  <c r="AD78" i="1"/>
  <c r="CB78" i="1"/>
  <c r="AH76" i="1"/>
  <c r="AD76" i="1"/>
  <c r="CB76" i="1"/>
  <c r="AH75" i="1"/>
  <c r="AD75" i="1"/>
  <c r="CB75" i="1"/>
  <c r="AH74" i="1"/>
  <c r="AD74" i="1"/>
  <c r="CB74" i="1"/>
  <c r="AH73" i="1"/>
  <c r="AD73" i="1"/>
  <c r="CB73" i="1"/>
  <c r="AR71" i="1"/>
  <c r="AH71" i="1"/>
  <c r="AD71" i="1"/>
  <c r="AR70" i="1"/>
  <c r="AH70" i="1"/>
  <c r="AD70" i="1"/>
  <c r="AH69" i="1"/>
  <c r="AD69" i="1"/>
  <c r="AR68" i="1"/>
  <c r="AH68" i="1"/>
  <c r="AD68" i="1"/>
  <c r="AH67" i="1"/>
  <c r="AD67" i="1"/>
  <c r="AR66" i="1"/>
  <c r="AH66" i="1"/>
  <c r="AD66" i="1"/>
  <c r="AH65" i="1"/>
  <c r="AD65" i="1"/>
  <c r="AH64" i="1"/>
  <c r="AD64" i="1"/>
  <c r="AH63" i="1"/>
  <c r="AD63" i="1"/>
  <c r="AR62" i="1"/>
  <c r="AH62" i="1"/>
  <c r="AD62" i="1"/>
  <c r="AH61" i="1"/>
  <c r="AD61" i="1"/>
  <c r="AH60" i="1"/>
  <c r="AD60" i="1"/>
  <c r="AH59" i="1"/>
  <c r="AD59" i="1"/>
  <c r="AH58" i="1"/>
  <c r="AD58" i="1"/>
  <c r="AH57" i="1"/>
  <c r="AD57" i="1"/>
  <c r="AH56" i="1"/>
  <c r="AD56" i="1"/>
  <c r="AH55" i="1"/>
  <c r="AD55" i="1"/>
  <c r="AH54" i="1"/>
  <c r="AD54" i="1"/>
  <c r="AH53" i="1"/>
  <c r="AD53" i="1"/>
  <c r="AH52" i="1"/>
  <c r="AD52" i="1"/>
  <c r="AH51" i="1"/>
  <c r="AD51" i="1"/>
  <c r="AH50" i="1"/>
  <c r="AD50" i="1"/>
  <c r="AH49" i="1"/>
  <c r="AD49" i="1"/>
  <c r="AH48" i="1"/>
  <c r="AD48" i="1"/>
  <c r="AH47" i="1"/>
  <c r="AD47" i="1"/>
  <c r="AH46" i="1"/>
  <c r="AD46" i="1"/>
  <c r="AH45" i="1"/>
  <c r="AD45" i="1"/>
  <c r="AH44" i="1"/>
  <c r="AD44" i="1"/>
  <c r="AH43" i="1"/>
  <c r="AD43" i="1"/>
  <c r="AH42" i="1"/>
  <c r="AD42" i="1"/>
  <c r="AH41" i="1"/>
  <c r="AD41" i="1"/>
  <c r="AH40" i="1"/>
  <c r="AD40" i="1"/>
  <c r="AH39" i="1"/>
  <c r="AD39" i="1"/>
  <c r="AH38" i="1"/>
  <c r="AD38" i="1"/>
  <c r="AH37" i="1"/>
  <c r="AD37" i="1"/>
  <c r="AH36" i="1"/>
  <c r="AD36" i="1"/>
  <c r="AH35" i="1"/>
  <c r="AD35" i="1"/>
  <c r="AH34" i="1"/>
  <c r="AD34" i="1"/>
  <c r="AH33" i="1"/>
  <c r="AD33" i="1"/>
  <c r="AH32" i="1"/>
  <c r="AD32" i="1"/>
  <c r="AH31" i="1"/>
  <c r="AD31" i="1"/>
  <c r="AH30" i="1"/>
  <c r="AD30" i="1"/>
  <c r="AH29" i="1"/>
  <c r="AD29" i="1"/>
  <c r="AH28" i="1"/>
  <c r="AD28" i="1"/>
  <c r="AH27" i="1"/>
  <c r="AD27" i="1"/>
  <c r="AH26" i="1"/>
  <c r="AD26" i="1"/>
  <c r="AH25" i="1"/>
  <c r="AD25" i="1"/>
  <c r="AH24" i="1"/>
  <c r="AD24" i="1"/>
  <c r="AH23" i="1"/>
  <c r="AD23" i="1"/>
  <c r="AH22" i="1"/>
  <c r="AD22" i="1"/>
  <c r="AH21" i="1"/>
  <c r="AD21" i="1"/>
  <c r="AH20" i="1"/>
  <c r="AD20" i="1"/>
  <c r="AH19" i="1"/>
  <c r="AD19" i="1"/>
  <c r="AH18" i="1"/>
  <c r="AD18" i="1"/>
  <c r="AH17" i="1"/>
  <c r="AD17" i="1"/>
  <c r="AH16" i="1"/>
  <c r="AD16" i="1"/>
  <c r="AR15" i="1"/>
  <c r="AH15" i="1"/>
  <c r="AD15" i="1"/>
  <c r="AH14" i="1"/>
  <c r="AD14" i="1"/>
  <c r="AH13" i="1"/>
  <c r="AD13" i="1"/>
  <c r="AR12" i="1"/>
  <c r="AH12" i="1"/>
  <c r="AD12" i="1"/>
  <c r="CH11" i="1"/>
  <c r="CI11" i="1" s="1"/>
  <c r="AH11" i="1"/>
  <c r="AD11" i="1"/>
  <c r="AH10" i="1"/>
  <c r="AD10" i="1"/>
  <c r="CH9" i="1"/>
  <c r="CI9" i="1" s="1"/>
  <c r="AH9" i="1"/>
  <c r="AD9" i="1"/>
  <c r="AR8" i="1"/>
  <c r="AH8" i="1"/>
  <c r="AD8" i="1"/>
  <c r="AH7" i="1"/>
  <c r="AD7" i="1"/>
  <c r="AH6" i="1"/>
  <c r="AD6" i="1"/>
  <c r="AH5" i="1"/>
  <c r="AD5" i="1"/>
  <c r="AR4" i="1"/>
  <c r="AH4" i="1"/>
  <c r="AD4" i="1"/>
  <c r="CH138" i="1" l="1"/>
  <c r="CI138" i="1" s="1"/>
  <c r="CH143" i="1"/>
  <c r="CI143" i="1" s="1"/>
  <c r="CH118" i="1"/>
  <c r="CI118" i="1" s="1"/>
  <c r="CH169" i="1"/>
  <c r="CI169" i="1" s="1"/>
  <c r="CH41" i="1"/>
  <c r="CI41" i="1" s="1"/>
  <c r="CH47" i="1"/>
  <c r="CI47" i="1" s="1"/>
  <c r="CH49" i="1"/>
  <c r="CI49" i="1" s="1"/>
  <c r="CH136" i="1"/>
  <c r="CI136" i="1" s="1"/>
  <c r="CH128" i="1"/>
  <c r="CI128" i="1" s="1"/>
  <c r="CH167" i="1"/>
  <c r="CI167" i="1" s="1"/>
  <c r="CH168" i="1"/>
  <c r="CI168" i="1" s="1"/>
  <c r="CH172" i="1"/>
  <c r="CI172" i="1" s="1"/>
  <c r="CH178" i="1"/>
  <c r="CI178" i="1" s="1"/>
  <c r="CH179" i="1"/>
  <c r="CI179" i="1" s="1"/>
  <c r="CH184" i="1"/>
  <c r="CI184" i="1" s="1"/>
  <c r="CH180" i="1"/>
  <c r="CI180" i="1" s="1"/>
  <c r="CH183" i="1"/>
  <c r="CI183" i="1" s="1"/>
  <c r="CH82" i="1"/>
  <c r="CI82" i="1" s="1"/>
  <c r="CH124" i="1"/>
  <c r="CI124" i="1" s="1"/>
  <c r="CH134" i="1"/>
  <c r="CI134" i="1" s="1"/>
  <c r="CH152" i="1"/>
  <c r="CI152" i="1" s="1"/>
  <c r="CH70" i="1"/>
  <c r="CI70" i="1" s="1"/>
  <c r="CH98" i="1"/>
  <c r="CI98" i="1" s="1"/>
  <c r="CH101" i="1"/>
  <c r="CI101" i="1" s="1"/>
  <c r="CH16" i="1"/>
  <c r="CI16" i="1" s="1"/>
  <c r="CH26" i="1"/>
  <c r="CI26" i="1" s="1"/>
  <c r="CH28" i="1"/>
  <c r="CI28" i="1" s="1"/>
  <c r="CH32" i="1"/>
  <c r="CI32" i="1" s="1"/>
  <c r="CH54" i="1"/>
  <c r="CI54" i="1" s="1"/>
  <c r="CH56" i="1"/>
  <c r="CI56" i="1" s="1"/>
  <c r="CH60" i="1"/>
  <c r="CI60" i="1" s="1"/>
  <c r="CH62" i="1"/>
  <c r="CI62" i="1" s="1"/>
  <c r="CH71" i="1"/>
  <c r="CI71" i="1" s="1"/>
  <c r="CH75" i="1"/>
  <c r="CI75" i="1" s="1"/>
  <c r="CH6" i="1"/>
  <c r="CI6" i="1" s="1"/>
  <c r="CH94" i="1"/>
  <c r="CI94" i="1" s="1"/>
  <c r="CH96" i="1"/>
  <c r="CI96" i="1" s="1"/>
  <c r="CH161" i="1"/>
  <c r="CI161" i="1" s="1"/>
  <c r="CH120" i="1"/>
  <c r="CI120" i="1" s="1"/>
  <c r="CH67" i="1"/>
  <c r="CI67" i="1" s="1"/>
  <c r="CH97" i="1"/>
  <c r="CI97" i="1" s="1"/>
  <c r="CH100" i="1"/>
  <c r="CI100" i="1" s="1"/>
  <c r="CH119" i="1"/>
  <c r="CI119" i="1" s="1"/>
  <c r="CH147" i="1"/>
  <c r="CI147" i="1" s="1"/>
  <c r="CH74" i="1"/>
  <c r="CI74" i="1" s="1"/>
  <c r="CH150" i="1"/>
  <c r="CI150" i="1" s="1"/>
  <c r="CH95" i="1"/>
  <c r="CI95" i="1" s="1"/>
  <c r="CH99" i="1"/>
  <c r="CI99" i="1" s="1"/>
  <c r="CH12" i="1"/>
  <c r="CI12" i="1" s="1"/>
  <c r="CH44" i="1"/>
  <c r="CI44" i="1" s="1"/>
  <c r="CH18" i="1"/>
  <c r="CI18" i="1" s="1"/>
  <c r="CH35" i="1"/>
  <c r="CI35" i="1" s="1"/>
  <c r="CH63" i="1"/>
  <c r="CI63" i="1" s="1"/>
  <c r="CH76" i="1"/>
  <c r="CI76" i="1" s="1"/>
  <c r="CH80" i="1"/>
  <c r="CI80" i="1" s="1"/>
  <c r="CH83" i="1"/>
  <c r="CI83" i="1" s="1"/>
  <c r="CH51" i="1"/>
  <c r="CI51" i="1" s="1"/>
  <c r="CH64" i="1"/>
  <c r="CI64" i="1" s="1"/>
  <c r="CH37" i="1"/>
  <c r="CI37" i="1" s="1"/>
  <c r="CH50" i="1"/>
  <c r="CI50" i="1" s="1"/>
  <c r="CH65" i="1"/>
  <c r="CI65" i="1" s="1"/>
  <c r="CH87" i="1"/>
  <c r="CI87" i="1" s="1"/>
  <c r="CH111" i="1"/>
  <c r="CI111" i="1" s="1"/>
  <c r="CH114" i="1"/>
  <c r="CI114" i="1" s="1"/>
  <c r="CH121" i="1"/>
  <c r="CI121" i="1" s="1"/>
  <c r="CH125" i="1"/>
  <c r="CI125" i="1" s="1"/>
  <c r="CH133" i="1"/>
  <c r="CI133" i="1" s="1"/>
  <c r="CH142" i="1"/>
  <c r="CI142" i="1" s="1"/>
  <c r="CH20" i="1"/>
  <c r="CI20" i="1" s="1"/>
  <c r="CH145" i="1"/>
  <c r="CI145" i="1" s="1"/>
  <c r="CH25" i="1"/>
  <c r="CI25" i="1" s="1"/>
  <c r="CH27" i="1"/>
  <c r="CI27" i="1" s="1"/>
  <c r="CH22" i="1"/>
  <c r="CI22" i="1" s="1"/>
  <c r="CH90" i="1"/>
  <c r="CI90" i="1" s="1"/>
  <c r="CH105" i="1"/>
  <c r="CI105" i="1" s="1"/>
  <c r="CH108" i="1"/>
  <c r="CI108" i="1" s="1"/>
  <c r="CH8" i="1"/>
  <c r="CI8" i="1" s="1"/>
  <c r="CH17" i="1"/>
  <c r="CI17" i="1" s="1"/>
  <c r="CH19" i="1"/>
  <c r="CI19" i="1" s="1"/>
  <c r="CH36" i="1"/>
  <c r="CI36" i="1" s="1"/>
  <c r="CH10" i="1"/>
  <c r="CI10" i="1" s="1"/>
  <c r="CH40" i="1"/>
  <c r="CI40" i="1" s="1"/>
  <c r="CH42" i="1"/>
  <c r="CI42" i="1" s="1"/>
  <c r="CH106" i="1"/>
  <c r="CI106" i="1" s="1"/>
  <c r="CH109" i="1"/>
  <c r="CI109" i="1" s="1"/>
  <c r="CH5" i="1"/>
  <c r="CI5" i="1" s="1"/>
  <c r="CH7" i="1"/>
  <c r="CI7" i="1" s="1"/>
  <c r="CH46" i="1"/>
  <c r="CI46" i="1" s="1"/>
  <c r="CH48" i="1"/>
  <c r="CI48" i="1" s="1"/>
  <c r="CH21" i="1"/>
  <c r="CI21" i="1" s="1"/>
  <c r="CH55" i="1"/>
  <c r="CI55" i="1" s="1"/>
  <c r="CH78" i="1"/>
  <c r="CI78" i="1" s="1"/>
  <c r="CH88" i="1"/>
  <c r="CI88" i="1" s="1"/>
  <c r="CH103" i="1"/>
  <c r="CI103" i="1" s="1"/>
  <c r="CH59" i="1"/>
  <c r="CI59" i="1" s="1"/>
  <c r="CH24" i="1"/>
  <c r="CI24" i="1" s="1"/>
  <c r="CH53" i="1"/>
  <c r="CI53" i="1" s="1"/>
  <c r="CH61" i="1"/>
  <c r="CI61" i="1" s="1"/>
  <c r="CH157" i="1"/>
  <c r="CI157" i="1" s="1"/>
  <c r="CH159" i="1"/>
  <c r="CI159" i="1" s="1"/>
  <c r="CH52" i="1"/>
  <c r="CI52" i="1" s="1"/>
  <c r="CH23" i="1"/>
  <c r="CI23" i="1" s="1"/>
  <c r="CH112" i="1"/>
  <c r="CI112" i="1" s="1"/>
  <c r="CH126" i="1"/>
  <c r="CI126" i="1" s="1"/>
  <c r="CH135" i="1"/>
  <c r="CI135" i="1" s="1"/>
  <c r="CH144" i="1"/>
  <c r="CI144" i="1" s="1"/>
  <c r="CH146" i="1"/>
  <c r="CI146" i="1" s="1"/>
  <c r="CH160" i="1"/>
  <c r="CI160" i="1" s="1"/>
  <c r="CH164" i="1"/>
  <c r="CI164" i="1" s="1"/>
  <c r="CH173" i="1"/>
  <c r="CI173" i="1" s="1"/>
  <c r="CH181" i="1"/>
  <c r="CI181" i="1" s="1"/>
  <c r="CH129" i="1"/>
  <c r="CI129" i="1" s="1"/>
  <c r="CH39" i="1"/>
  <c r="CI39" i="1" s="1"/>
  <c r="CH127" i="1"/>
  <c r="CI127" i="1" s="1"/>
  <c r="CH148" i="1"/>
  <c r="CI148" i="1" s="1"/>
  <c r="CH162" i="1"/>
  <c r="CI162" i="1" s="1"/>
  <c r="CH165" i="1"/>
  <c r="CI165" i="1" s="1"/>
  <c r="CH170" i="1"/>
  <c r="CI170" i="1" s="1"/>
  <c r="CH4" i="1"/>
  <c r="CI4" i="1" s="1"/>
  <c r="CH43" i="1"/>
  <c r="CI43" i="1" s="1"/>
  <c r="CH45" i="1"/>
  <c r="CI45" i="1" s="1"/>
  <c r="CH86" i="1"/>
  <c r="CI86" i="1" s="1"/>
  <c r="CH110" i="1"/>
  <c r="CI110" i="1" s="1"/>
  <c r="CH113" i="1"/>
  <c r="CI113" i="1" s="1"/>
  <c r="CH116" i="1"/>
  <c r="CI116" i="1" s="1"/>
  <c r="CH132" i="1"/>
  <c r="CI132" i="1" s="1"/>
  <c r="CH13" i="1"/>
  <c r="CI13" i="1" s="1"/>
  <c r="CH15" i="1"/>
  <c r="CI15" i="1" s="1"/>
  <c r="CH34" i="1"/>
  <c r="CI34" i="1" s="1"/>
  <c r="CH107" i="1"/>
  <c r="CI107" i="1" s="1"/>
  <c r="CH137" i="1"/>
  <c r="CI137" i="1" s="1"/>
  <c r="CH171" i="1"/>
  <c r="CI171" i="1" s="1"/>
  <c r="CH176" i="1"/>
  <c r="CI176" i="1" s="1"/>
  <c r="CH38" i="1"/>
  <c r="CI38" i="1" s="1"/>
  <c r="CH66" i="1"/>
  <c r="CI66" i="1" s="1"/>
  <c r="CH85" i="1"/>
  <c r="CI85" i="1" s="1"/>
  <c r="CH115" i="1"/>
  <c r="CI115" i="1" s="1"/>
  <c r="CH68" i="1"/>
  <c r="CI68" i="1" s="1"/>
  <c r="CH91" i="1"/>
  <c r="CI91" i="1" s="1"/>
  <c r="CH122" i="1"/>
  <c r="CI122" i="1" s="1"/>
  <c r="CH130" i="1"/>
  <c r="CI130" i="1" s="1"/>
  <c r="CH156" i="1"/>
  <c r="CI156" i="1" s="1"/>
  <c r="CH154" i="1"/>
  <c r="CI154" i="1" s="1"/>
  <c r="CH174" i="1"/>
  <c r="CI174" i="1" s="1"/>
  <c r="CH29" i="1"/>
  <c r="CI29" i="1" s="1"/>
  <c r="CH57" i="1"/>
  <c r="CI57" i="1" s="1"/>
  <c r="CH14" i="1"/>
  <c r="CI14" i="1" s="1"/>
  <c r="CH31" i="1"/>
  <c r="CI31" i="1" s="1"/>
  <c r="CH33" i="1"/>
  <c r="CI33" i="1" s="1"/>
  <c r="CH93" i="1"/>
  <c r="CI93" i="1" s="1"/>
  <c r="CH117" i="1"/>
  <c r="CI117" i="1" s="1"/>
  <c r="CH131" i="1"/>
  <c r="CI131" i="1" s="1"/>
  <c r="CH149" i="1"/>
  <c r="CI149" i="1" s="1"/>
  <c r="CH153" i="1"/>
  <c r="CI153" i="1" s="1"/>
  <c r="CH163" i="1"/>
  <c r="CI163" i="1" s="1"/>
  <c r="CH177" i="1"/>
  <c r="CI177" i="1" s="1"/>
  <c r="CH175" i="1"/>
  <c r="CI175" i="1" s="1"/>
  <c r="CH73" i="1"/>
  <c r="CI73" i="1" s="1"/>
  <c r="CH102" i="1"/>
  <c r="CI102" i="1" s="1"/>
  <c r="CH30" i="1"/>
  <c r="CI30" i="1" s="1"/>
  <c r="CH58" i="1"/>
  <c r="CI58" i="1" s="1"/>
  <c r="CH69" i="1"/>
  <c r="CI69" i="1" s="1"/>
  <c r="CH79" i="1"/>
  <c r="CI79" i="1" s="1"/>
  <c r="CH89" i="1"/>
  <c r="CI89" i="1" s="1"/>
  <c r="CH92" i="1"/>
  <c r="CI92" i="1" s="1"/>
  <c r="CH155" i="1"/>
  <c r="CI155" i="1" s="1"/>
  <c r="CH158" i="1"/>
  <c r="CI158" i="1" s="1"/>
  <c r="AI17" i="1"/>
  <c r="AI19" i="1"/>
  <c r="AI21" i="1"/>
  <c r="AI23" i="1"/>
  <c r="AI36" i="1"/>
  <c r="AI51" i="1"/>
  <c r="AI10" i="1"/>
  <c r="AI40" i="1"/>
  <c r="AI5" i="1"/>
  <c r="AI16" i="1"/>
  <c r="AI18" i="1"/>
  <c r="AI35" i="1"/>
  <c r="AI37" i="1"/>
  <c r="AI39" i="1"/>
  <c r="AI50" i="1"/>
  <c r="AI4" i="1"/>
  <c r="AI43" i="1"/>
  <c r="AI45" i="1"/>
  <c r="AI8" i="1"/>
  <c r="AI38" i="1"/>
  <c r="AI53" i="1"/>
  <c r="AI64" i="1"/>
  <c r="AI46" i="1"/>
  <c r="AI59" i="1"/>
  <c r="AI63" i="1"/>
  <c r="AI9" i="1"/>
  <c r="AI11" i="1"/>
  <c r="AI26" i="1"/>
  <c r="AI28" i="1"/>
  <c r="AI54" i="1"/>
  <c r="AI67" i="1"/>
  <c r="AI7" i="1"/>
  <c r="AI20" i="1"/>
  <c r="AI66" i="1"/>
  <c r="AI61" i="1"/>
  <c r="AI65" i="1"/>
  <c r="AI42" i="1"/>
  <c r="AI12" i="1"/>
  <c r="AI44" i="1"/>
  <c r="AI70" i="1"/>
  <c r="AI14" i="1"/>
  <c r="AI22" i="1"/>
  <c r="AI119" i="1"/>
  <c r="AI147" i="1"/>
  <c r="AI166" i="1"/>
  <c r="AI25" i="1"/>
  <c r="AI27" i="1"/>
  <c r="AI55" i="1"/>
  <c r="AI68" i="1"/>
  <c r="AI78" i="1"/>
  <c r="AI88" i="1"/>
  <c r="AI91" i="1"/>
  <c r="AI106" i="1"/>
  <c r="AI109" i="1"/>
  <c r="AI126" i="1"/>
  <c r="AI135" i="1"/>
  <c r="AI144" i="1"/>
  <c r="AI146" i="1"/>
  <c r="AI160" i="1"/>
  <c r="AI164" i="1"/>
  <c r="AI173" i="1"/>
  <c r="AI181" i="1"/>
  <c r="AI29" i="1"/>
  <c r="AI57" i="1"/>
  <c r="AI74" i="1"/>
  <c r="AI81" i="1"/>
  <c r="AI84" i="1"/>
  <c r="AI94" i="1"/>
  <c r="AI97" i="1"/>
  <c r="AI100" i="1"/>
  <c r="AI103" i="1"/>
  <c r="AI118" i="1"/>
  <c r="AI122" i="1"/>
  <c r="AI130" i="1"/>
  <c r="AI156" i="1"/>
  <c r="AI154" i="1"/>
  <c r="AI174" i="1"/>
  <c r="AI171" i="1"/>
  <c r="AI31" i="1"/>
  <c r="AI33" i="1"/>
  <c r="AI48" i="1"/>
  <c r="AI111" i="1"/>
  <c r="AI114" i="1"/>
  <c r="AI129" i="1"/>
  <c r="AI136" i="1"/>
  <c r="AI150" i="1"/>
  <c r="AI151" i="1"/>
  <c r="AI161" i="1"/>
  <c r="AI167" i="1"/>
  <c r="AI168" i="1"/>
  <c r="AI172" i="1"/>
  <c r="AI178" i="1"/>
  <c r="AI179" i="1"/>
  <c r="AI184" i="1"/>
  <c r="AI123" i="1"/>
  <c r="AI24" i="1"/>
  <c r="AI52" i="1"/>
  <c r="AI76" i="1"/>
  <c r="AI80" i="1"/>
  <c r="AI83" i="1"/>
  <c r="AI87" i="1"/>
  <c r="AI90" i="1"/>
  <c r="AI93" i="1"/>
  <c r="AI105" i="1"/>
  <c r="AI108" i="1"/>
  <c r="AI117" i="1"/>
  <c r="AI121" i="1"/>
  <c r="AI125" i="1"/>
  <c r="AG133" i="1"/>
  <c r="AI133" i="1"/>
  <c r="AI142" i="1"/>
  <c r="AI145" i="1"/>
  <c r="AI157" i="1"/>
  <c r="AI159" i="1"/>
  <c r="AI85" i="1"/>
  <c r="AI112" i="1"/>
  <c r="AI41" i="1"/>
  <c r="AI56" i="1"/>
  <c r="AI73" i="1"/>
  <c r="AI96" i="1"/>
  <c r="AI99" i="1"/>
  <c r="AI102" i="1"/>
  <c r="AI131" i="1"/>
  <c r="AI149" i="1"/>
  <c r="AI153" i="1"/>
  <c r="AI163" i="1"/>
  <c r="AI177" i="1"/>
  <c r="AI175" i="1"/>
  <c r="AI176" i="1"/>
  <c r="AI30" i="1"/>
  <c r="AI58" i="1"/>
  <c r="AI69" i="1"/>
  <c r="AI79" i="1"/>
  <c r="AI86" i="1"/>
  <c r="AI89" i="1"/>
  <c r="AI92" i="1"/>
  <c r="AI110" i="1"/>
  <c r="AI113" i="1"/>
  <c r="AI116" i="1"/>
  <c r="AI120" i="1"/>
  <c r="AI124" i="1"/>
  <c r="AI127" i="1"/>
  <c r="AI134" i="1"/>
  <c r="AI138" i="1"/>
  <c r="AI143" i="1"/>
  <c r="AI148" i="1"/>
  <c r="AI162" i="1"/>
  <c r="AI165" i="1"/>
  <c r="AI170" i="1"/>
  <c r="AI180" i="1"/>
  <c r="AI183" i="1"/>
  <c r="AI115" i="1"/>
  <c r="AI128" i="1"/>
  <c r="AI137" i="1"/>
  <c r="AI152" i="1"/>
  <c r="AI169" i="1"/>
  <c r="AI6" i="1"/>
  <c r="AI13" i="1"/>
  <c r="AI15" i="1"/>
  <c r="AI32" i="1"/>
  <c r="AI34" i="1"/>
  <c r="AI47" i="1"/>
  <c r="AI49" i="1"/>
  <c r="AI60" i="1"/>
  <c r="AI62" i="1"/>
  <c r="AI71" i="1"/>
  <c r="AI75" i="1"/>
  <c r="AI82" i="1"/>
  <c r="AI95" i="1"/>
  <c r="AI98" i="1"/>
  <c r="AI101" i="1"/>
  <c r="AI104" i="1"/>
  <c r="AI107" i="1"/>
  <c r="AI132" i="1"/>
  <c r="AI155" i="1"/>
  <c r="AI158" i="1"/>
  <c r="CB4" i="1"/>
  <c r="CB5" i="1"/>
  <c r="CB6" i="1"/>
  <c r="CB7" i="1"/>
  <c r="CB8" i="1"/>
  <c r="CB9" i="1"/>
  <c r="CB10" i="1"/>
  <c r="CB11" i="1"/>
  <c r="CB12" i="1"/>
  <c r="CB13" i="1"/>
  <c r="CB14" i="1"/>
  <c r="CB15" i="1"/>
  <c r="CB16" i="1"/>
  <c r="CB17" i="1"/>
  <c r="CB18" i="1"/>
  <c r="CB19" i="1"/>
  <c r="CB20" i="1"/>
  <c r="CB21" i="1"/>
  <c r="CB22" i="1"/>
  <c r="CB23" i="1"/>
  <c r="CB24" i="1"/>
  <c r="CB25" i="1"/>
  <c r="CB26" i="1"/>
  <c r="CB27" i="1"/>
  <c r="CB28" i="1"/>
  <c r="CB29" i="1"/>
  <c r="CB30" i="1"/>
  <c r="CB31" i="1"/>
  <c r="CB32" i="1"/>
  <c r="CB33" i="1"/>
  <c r="CB34" i="1"/>
  <c r="CB35" i="1"/>
  <c r="CB36" i="1"/>
  <c r="CB37" i="1"/>
  <c r="CB38" i="1"/>
  <c r="CB39" i="1"/>
  <c r="CB40" i="1"/>
  <c r="CB41" i="1"/>
  <c r="CB42" i="1"/>
  <c r="CB43" i="1"/>
  <c r="CB44" i="1"/>
  <c r="CB45" i="1"/>
  <c r="CB46" i="1"/>
  <c r="CB47" i="1"/>
  <c r="CB48" i="1"/>
  <c r="CB49" i="1"/>
  <c r="CB50" i="1"/>
  <c r="CB51" i="1"/>
  <c r="CB52" i="1"/>
  <c r="CB53" i="1"/>
  <c r="CB54" i="1"/>
  <c r="CB55" i="1"/>
  <c r="CB56" i="1"/>
  <c r="CB57" i="1"/>
  <c r="CB58" i="1"/>
  <c r="CB59" i="1"/>
  <c r="CB60" i="1"/>
  <c r="CB61" i="1"/>
  <c r="CB62" i="1"/>
  <c r="CB63" i="1"/>
  <c r="CB64" i="1"/>
  <c r="CB65" i="1"/>
  <c r="CB66" i="1"/>
  <c r="CB67" i="1"/>
  <c r="CB68" i="1"/>
  <c r="CB69" i="1"/>
  <c r="CB70" i="1"/>
  <c r="CB71" i="1"/>
  <c r="N19" i="4"/>
  <c r="AF174" i="1"/>
  <c r="AJ93" i="1"/>
  <c r="AJ96" i="1"/>
  <c r="AJ102" i="1"/>
  <c r="AJ107" i="1"/>
  <c r="AJ126" i="1"/>
  <c r="AJ131" i="1"/>
  <c r="AJ136" i="1"/>
  <c r="AJ144" i="1"/>
  <c r="AJ167" i="1"/>
  <c r="AJ173" i="1"/>
  <c r="AF9" i="1"/>
  <c r="AG22" i="1"/>
  <c r="AJ168" i="1"/>
  <c r="AJ176" i="1"/>
  <c r="AJ180" i="1"/>
  <c r="AG102" i="1"/>
  <c r="AJ117" i="1"/>
  <c r="AF122" i="1"/>
  <c r="AJ134" i="1"/>
  <c r="AJ162" i="1"/>
  <c r="AG35" i="1"/>
  <c r="AJ42" i="1"/>
  <c r="AG43" i="1"/>
  <c r="AJ49" i="1"/>
  <c r="AJ57" i="1"/>
  <c r="AJ28" i="1"/>
  <c r="AF170" i="1"/>
  <c r="AF105" i="1"/>
  <c r="AF128" i="1"/>
  <c r="AF133" i="1"/>
  <c r="AJ172" i="1"/>
  <c r="AJ174" i="1"/>
  <c r="N20" i="4"/>
  <c r="AJ54" i="1"/>
  <c r="AJ68" i="1"/>
  <c r="AJ78" i="1"/>
  <c r="AJ86" i="1"/>
  <c r="AJ7" i="1"/>
  <c r="AJ5" i="1"/>
  <c r="AJ41" i="1"/>
  <c r="AG6" i="1"/>
  <c r="AG14" i="1"/>
  <c r="AG27" i="1"/>
  <c r="AJ13" i="1"/>
  <c r="AF5" i="1"/>
  <c r="AF13" i="1"/>
  <c r="AG19" i="1"/>
  <c r="AG157" i="1"/>
  <c r="AJ98" i="1"/>
  <c r="AJ110" i="1"/>
  <c r="AF67" i="1"/>
  <c r="AJ91" i="1"/>
  <c r="AJ105" i="1"/>
  <c r="AJ6" i="1"/>
  <c r="AG8" i="1"/>
  <c r="AJ14" i="1"/>
  <c r="AG15" i="1"/>
  <c r="AG21" i="1"/>
  <c r="AJ56" i="1"/>
  <c r="AJ64" i="1"/>
  <c r="AJ74" i="1"/>
  <c r="AJ32" i="1"/>
  <c r="AJ55" i="1"/>
  <c r="AJ84" i="1"/>
  <c r="AJ8" i="1"/>
  <c r="AG10" i="1"/>
  <c r="AJ15" i="1"/>
  <c r="AG23" i="1"/>
  <c r="AG137" i="1"/>
  <c r="AJ73" i="1"/>
  <c r="AJ82" i="1"/>
  <c r="AJ85" i="1"/>
  <c r="AJ89" i="1"/>
  <c r="AJ101" i="1"/>
  <c r="AJ111" i="1"/>
  <c r="AF126" i="1"/>
  <c r="AF131" i="1"/>
  <c r="AF136" i="1"/>
  <c r="AJ138" i="1"/>
  <c r="AG28" i="1"/>
  <c r="AF57" i="1"/>
  <c r="AG65" i="1"/>
  <c r="AF101" i="1"/>
  <c r="AF111" i="1"/>
  <c r="AJ151" i="1"/>
  <c r="AG120" i="1"/>
  <c r="AJ4" i="1"/>
  <c r="AJ40" i="1"/>
  <c r="AJ11" i="1"/>
  <c r="AJ24" i="1"/>
  <c r="AJ39" i="1"/>
  <c r="AJ45" i="1"/>
  <c r="AJ53" i="1"/>
  <c r="AJ79" i="1"/>
  <c r="AJ83" i="1"/>
  <c r="AG4" i="1"/>
  <c r="AJ17" i="1"/>
  <c r="AG18" i="1"/>
  <c r="AJ60" i="1"/>
  <c r="AG11" i="1"/>
  <c r="AJ16" i="1"/>
  <c r="AG24" i="1"/>
  <c r="AJ35" i="1"/>
  <c r="AJ43" i="1"/>
  <c r="AG45" i="1"/>
  <c r="AJ51" i="1"/>
  <c r="AJ59" i="1"/>
  <c r="AF61" i="1"/>
  <c r="AF75" i="1"/>
  <c r="AG44" i="1"/>
  <c r="AJ50" i="1"/>
  <c r="AJ70" i="1"/>
  <c r="AJ81" i="1"/>
  <c r="AJ88" i="1"/>
  <c r="AJ99" i="1"/>
  <c r="AJ106" i="1"/>
  <c r="AJ116" i="1"/>
  <c r="AJ119" i="1"/>
  <c r="AJ125" i="1"/>
  <c r="AJ95" i="1"/>
  <c r="AG91" i="1"/>
  <c r="AJ94" i="1"/>
  <c r="AG98" i="1"/>
  <c r="AJ114" i="1"/>
  <c r="AJ128" i="1"/>
  <c r="AJ133" i="1"/>
  <c r="AG138" i="1"/>
  <c r="AJ142" i="1"/>
  <c r="AJ163" i="1"/>
  <c r="AJ169" i="1"/>
  <c r="AJ178" i="1"/>
  <c r="AJ181" i="1"/>
  <c r="AJ149" i="1"/>
  <c r="AJ159" i="1"/>
  <c r="AJ97" i="1"/>
  <c r="AF100" i="1"/>
  <c r="AJ113" i="1"/>
  <c r="AJ171" i="1"/>
  <c r="AJ112" i="1"/>
  <c r="AJ118" i="1"/>
  <c r="AF119" i="1"/>
  <c r="AJ141" i="1"/>
  <c r="AF149" i="1"/>
  <c r="AF159" i="1"/>
  <c r="AG7" i="1"/>
  <c r="AF30" i="1"/>
  <c r="AG30" i="1"/>
  <c r="AF39" i="1"/>
  <c r="AG39" i="1"/>
  <c r="AG40" i="1"/>
  <c r="AJ48" i="1"/>
  <c r="AF49" i="1"/>
  <c r="AG49" i="1"/>
  <c r="AJ52" i="1"/>
  <c r="AF53" i="1"/>
  <c r="AG53" i="1"/>
  <c r="AR60" i="1"/>
  <c r="AG63" i="1"/>
  <c r="AF63" i="1"/>
  <c r="AF73" i="1"/>
  <c r="AR82" i="1"/>
  <c r="AF88" i="1"/>
  <c r="AF92" i="1"/>
  <c r="AG96" i="1"/>
  <c r="AG97" i="1"/>
  <c r="AF97" i="1"/>
  <c r="AG100" i="1"/>
  <c r="AF104" i="1"/>
  <c r="AR105" i="1"/>
  <c r="AF108" i="1"/>
  <c r="AG108" i="1"/>
  <c r="AR110" i="1"/>
  <c r="AG112" i="1"/>
  <c r="AF112" i="1"/>
  <c r="AR113" i="1"/>
  <c r="AR126" i="1"/>
  <c r="AR138" i="1"/>
  <c r="AF142" i="1"/>
  <c r="AG142" i="1"/>
  <c r="AR142" i="1"/>
  <c r="AR144" i="1"/>
  <c r="AJ145" i="1"/>
  <c r="AF151" i="1"/>
  <c r="AR153" i="1"/>
  <c r="AR156" i="1"/>
  <c r="AR154" i="1"/>
  <c r="AF158" i="1"/>
  <c r="AF167" i="1"/>
  <c r="AG167" i="1"/>
  <c r="AF168" i="1"/>
  <c r="AJ170" i="1"/>
  <c r="AG172" i="1"/>
  <c r="AR171" i="1"/>
  <c r="AF177" i="1"/>
  <c r="AG177" i="1"/>
  <c r="AJ177" i="1"/>
  <c r="AF178" i="1"/>
  <c r="AG178" i="1"/>
  <c r="AG173" i="1"/>
  <c r="AF173" i="1"/>
  <c r="AG180" i="1"/>
  <c r="AF180" i="1"/>
  <c r="AG12" i="1"/>
  <c r="AG25" i="1"/>
  <c r="AF34" i="1"/>
  <c r="AG34" i="1"/>
  <c r="AF42" i="1"/>
  <c r="AG42" i="1"/>
  <c r="AF59" i="1"/>
  <c r="AG79" i="1"/>
  <c r="AF79" i="1"/>
  <c r="AG81" i="1"/>
  <c r="AF81" i="1"/>
  <c r="AJ10" i="1"/>
  <c r="AJ20" i="1"/>
  <c r="AJ23" i="1"/>
  <c r="AR64" i="1"/>
  <c r="AF7" i="1"/>
  <c r="AG16" i="1"/>
  <c r="AG17" i="1"/>
  <c r="AJ18" i="1"/>
  <c r="AJ27" i="1"/>
  <c r="AR58" i="1"/>
  <c r="AJ19" i="1"/>
  <c r="AJ26" i="1"/>
  <c r="AJ33" i="1"/>
  <c r="AJ34" i="1"/>
  <c r="AJ38" i="1"/>
  <c r="AR78" i="1"/>
  <c r="AJ9" i="1"/>
  <c r="AF8" i="1"/>
  <c r="AJ12" i="1"/>
  <c r="AJ25" i="1"/>
  <c r="AF28" i="1"/>
  <c r="AJ31" i="1"/>
  <c r="AJ37" i="1"/>
  <c r="AJ47" i="1"/>
  <c r="AJ22" i="1"/>
  <c r="AF11" i="1"/>
  <c r="AG29" i="1"/>
  <c r="AJ30" i="1"/>
  <c r="AG51" i="1"/>
  <c r="AG52" i="1"/>
  <c r="AG56" i="1"/>
  <c r="AJ66" i="1"/>
  <c r="AG69" i="1"/>
  <c r="AF69" i="1"/>
  <c r="AG93" i="1"/>
  <c r="AF93" i="1"/>
  <c r="AF116" i="1"/>
  <c r="AJ65" i="1"/>
  <c r="AF85" i="1"/>
  <c r="AR86" i="1"/>
  <c r="AG20" i="1"/>
  <c r="AJ21" i="1"/>
  <c r="AG31" i="1"/>
  <c r="AG32" i="1"/>
  <c r="AG33" i="1"/>
  <c r="AG41" i="1"/>
  <c r="AG55" i="1"/>
  <c r="AG59" i="1"/>
  <c r="AJ61" i="1"/>
  <c r="AJ67" i="1"/>
  <c r="AG73" i="1"/>
  <c r="AJ75" i="1"/>
  <c r="AJ80" i="1"/>
  <c r="AG82" i="1"/>
  <c r="AG90" i="1"/>
  <c r="AF90" i="1"/>
  <c r="AR91" i="1"/>
  <c r="AJ36" i="1"/>
  <c r="AJ46" i="1"/>
  <c r="AJ62" i="1"/>
  <c r="AJ71" i="1"/>
  <c r="AR85" i="1"/>
  <c r="AF24" i="1"/>
  <c r="AJ29" i="1"/>
  <c r="AF45" i="1"/>
  <c r="AJ58" i="1"/>
  <c r="AG61" i="1"/>
  <c r="AG67" i="1"/>
  <c r="AJ69" i="1"/>
  <c r="AG75" i="1"/>
  <c r="AG87" i="1"/>
  <c r="AG36" i="1"/>
  <c r="AG37" i="1"/>
  <c r="AG38" i="1"/>
  <c r="AJ44" i="1"/>
  <c r="AG47" i="1"/>
  <c r="AG48" i="1"/>
  <c r="AG57" i="1"/>
  <c r="AJ63" i="1"/>
  <c r="AF65" i="1"/>
  <c r="AJ76" i="1"/>
  <c r="AR96" i="1"/>
  <c r="AF86" i="1"/>
  <c r="AG88" i="1"/>
  <c r="AJ100" i="1"/>
  <c r="AG86" i="1"/>
  <c r="AJ90" i="1"/>
  <c r="AF96" i="1"/>
  <c r="AJ92" i="1"/>
  <c r="AG103" i="1"/>
  <c r="AR148" i="1"/>
  <c r="AG94" i="1"/>
  <c r="AG95" i="1"/>
  <c r="AG99" i="1"/>
  <c r="AF103" i="1"/>
  <c r="AG104" i="1"/>
  <c r="AG92" i="1"/>
  <c r="AF95" i="1"/>
  <c r="AR99" i="1"/>
  <c r="AJ108" i="1"/>
  <c r="AF125" i="1"/>
  <c r="AG125" i="1"/>
  <c r="AJ150" i="1"/>
  <c r="AJ109" i="1"/>
  <c r="AJ123" i="1"/>
  <c r="AJ139" i="1"/>
  <c r="AJ104" i="1"/>
  <c r="AF106" i="1"/>
  <c r="AG105" i="1"/>
  <c r="AR101" i="1"/>
  <c r="AF102" i="1"/>
  <c r="AG106" i="1"/>
  <c r="AG109" i="1"/>
  <c r="AF109" i="1"/>
  <c r="AR151" i="1"/>
  <c r="AG118" i="1"/>
  <c r="AF118" i="1"/>
  <c r="AR106" i="1"/>
  <c r="AG114" i="1"/>
  <c r="AG115" i="1"/>
  <c r="AF115" i="1"/>
  <c r="AG111" i="1"/>
  <c r="AG116" i="1"/>
  <c r="AG119" i="1"/>
  <c r="AJ120" i="1"/>
  <c r="AJ130" i="1"/>
  <c r="AJ132" i="1"/>
  <c r="AJ161" i="1"/>
  <c r="AR172" i="1"/>
  <c r="AG156" i="1"/>
  <c r="AF156" i="1"/>
  <c r="AJ158" i="1"/>
  <c r="AR160" i="1"/>
  <c r="AJ124" i="1"/>
  <c r="AF130" i="1"/>
  <c r="AJ137" i="1"/>
  <c r="AG155" i="1"/>
  <c r="AF155" i="1"/>
  <c r="AR181" i="1"/>
  <c r="AG117" i="1"/>
  <c r="AF121" i="1"/>
  <c r="AF124" i="1"/>
  <c r="AG128" i="1"/>
  <c r="AG131" i="1"/>
  <c r="AG136" i="1"/>
  <c r="AJ135" i="1"/>
  <c r="AJ148" i="1"/>
  <c r="AJ152" i="1"/>
  <c r="AR162" i="1"/>
  <c r="AR165" i="1"/>
  <c r="AG113" i="1"/>
  <c r="AJ115" i="1"/>
  <c r="AF117" i="1"/>
  <c r="AG124" i="1"/>
  <c r="AJ160" i="1"/>
  <c r="AG166" i="1"/>
  <c r="AF166" i="1"/>
  <c r="AG126" i="1"/>
  <c r="AR141" i="1"/>
  <c r="AJ146" i="1"/>
  <c r="AG158" i="1"/>
  <c r="AG183" i="1"/>
  <c r="AJ166" i="1"/>
  <c r="AF165" i="1"/>
  <c r="AG171" i="1"/>
  <c r="AR177" i="1"/>
  <c r="AJ179" i="1"/>
  <c r="AG151" i="1"/>
  <c r="AF172" i="1"/>
  <c r="AJ157" i="1"/>
  <c r="AJ154" i="1"/>
  <c r="AJ164" i="1"/>
  <c r="AG159" i="1"/>
  <c r="AG162" i="1"/>
  <c r="AJ165" i="1"/>
  <c r="AG170" i="1"/>
  <c r="AG176" i="1"/>
  <c r="AJ175" i="1"/>
  <c r="AG184" i="1"/>
  <c r="AF184" i="1"/>
  <c r="AJ184" i="1"/>
  <c r="AJ183" i="1"/>
  <c r="AF183" i="1"/>
  <c r="AR9" i="1"/>
  <c r="AR10" i="1"/>
  <c r="AR18" i="1"/>
  <c r="AR19" i="1"/>
  <c r="AR20" i="1"/>
  <c r="AR31" i="1"/>
  <c r="AR32" i="1"/>
  <c r="AR33" i="1"/>
  <c r="AR40" i="1"/>
  <c r="AR41" i="1"/>
  <c r="AR54" i="1"/>
  <c r="AR55" i="1"/>
  <c r="AR21" i="1"/>
  <c r="AR22" i="1"/>
  <c r="AR23" i="1"/>
  <c r="AR35" i="1"/>
  <c r="AR43" i="1"/>
  <c r="AR13" i="1"/>
  <c r="AR14" i="1"/>
  <c r="AR25" i="1"/>
  <c r="AR26" i="1"/>
  <c r="AR27" i="1"/>
  <c r="AR36" i="1"/>
  <c r="AR37" i="1"/>
  <c r="AR38" i="1"/>
  <c r="AR46" i="1"/>
  <c r="AR47" i="1"/>
  <c r="AR5" i="1"/>
  <c r="AR6" i="1"/>
  <c r="AR16" i="1"/>
  <c r="AR17" i="1"/>
  <c r="AR29" i="1"/>
  <c r="AR50" i="1"/>
  <c r="AR51" i="1"/>
  <c r="AR59" i="1"/>
  <c r="AR65" i="1"/>
  <c r="AG71" i="1"/>
  <c r="AF71" i="1"/>
  <c r="AF4" i="1"/>
  <c r="AF21" i="1"/>
  <c r="AF31" i="1"/>
  <c r="AF36" i="1"/>
  <c r="AF40" i="1"/>
  <c r="AF46" i="1"/>
  <c r="AF50" i="1"/>
  <c r="AF54" i="1"/>
  <c r="AR57" i="1"/>
  <c r="AF64" i="1"/>
  <c r="AG64" i="1"/>
  <c r="AG80" i="1"/>
  <c r="AF80" i="1"/>
  <c r="AF12" i="1"/>
  <c r="AF15" i="1"/>
  <c r="AF18" i="1"/>
  <c r="AF25" i="1"/>
  <c r="AG46" i="1"/>
  <c r="AG50" i="1"/>
  <c r="AG54" i="1"/>
  <c r="AR56" i="1"/>
  <c r="AF16" i="1"/>
  <c r="AF26" i="1"/>
  <c r="AF32" i="1"/>
  <c r="AF35" i="1"/>
  <c r="AF37" i="1"/>
  <c r="AF41" i="1"/>
  <c r="AF43" i="1"/>
  <c r="AF47" i="1"/>
  <c r="AF51" i="1"/>
  <c r="AF55" i="1"/>
  <c r="AG62" i="1"/>
  <c r="AF62" i="1"/>
  <c r="AR63" i="1"/>
  <c r="AR81" i="1"/>
  <c r="AF19" i="1"/>
  <c r="AF22" i="1"/>
  <c r="AG5" i="1"/>
  <c r="AR7" i="1"/>
  <c r="AG9" i="1"/>
  <c r="AR11" i="1"/>
  <c r="AG13" i="1"/>
  <c r="AR24" i="1"/>
  <c r="AR28" i="1"/>
  <c r="AR30" i="1"/>
  <c r="AR34" i="1"/>
  <c r="AR39" i="1"/>
  <c r="AR42" i="1"/>
  <c r="AR45" i="1"/>
  <c r="AR49" i="1"/>
  <c r="AR53" i="1"/>
  <c r="AR67" i="1"/>
  <c r="AR69" i="1"/>
  <c r="AG83" i="1"/>
  <c r="AF83" i="1"/>
  <c r="AG58" i="1"/>
  <c r="AF58" i="1"/>
  <c r="AF6" i="1"/>
  <c r="AF10" i="1"/>
  <c r="AF14" i="1"/>
  <c r="AF17" i="1"/>
  <c r="AF20" i="1"/>
  <c r="AF23" i="1"/>
  <c r="AF27" i="1"/>
  <c r="AF29" i="1"/>
  <c r="AF33" i="1"/>
  <c r="AF38" i="1"/>
  <c r="AF44" i="1"/>
  <c r="AF48" i="1"/>
  <c r="AF52" i="1"/>
  <c r="AF56" i="1"/>
  <c r="AR61" i="1"/>
  <c r="AF76" i="1"/>
  <c r="AG76" i="1"/>
  <c r="AG78" i="1"/>
  <c r="AF78" i="1"/>
  <c r="AF60" i="1"/>
  <c r="AG60" i="1"/>
  <c r="AG66" i="1"/>
  <c r="AF66" i="1"/>
  <c r="AG68" i="1"/>
  <c r="AF68" i="1"/>
  <c r="AG70" i="1"/>
  <c r="AF70" i="1"/>
  <c r="AF74" i="1"/>
  <c r="AG74" i="1"/>
  <c r="AF82" i="1"/>
  <c r="AG84" i="1"/>
  <c r="AF84" i="1"/>
  <c r="AG85" i="1"/>
  <c r="AR79" i="1"/>
  <c r="AR87" i="1"/>
  <c r="AJ87" i="1"/>
  <c r="AR94" i="1"/>
  <c r="AR97" i="1"/>
  <c r="AR88" i="1"/>
  <c r="AG89" i="1"/>
  <c r="AF89" i="1"/>
  <c r="AR90" i="1"/>
  <c r="AF87" i="1"/>
  <c r="AF91" i="1"/>
  <c r="AR93" i="1"/>
  <c r="AR95" i="1"/>
  <c r="AF94" i="1"/>
  <c r="AR103" i="1"/>
  <c r="AF98" i="1"/>
  <c r="AJ103" i="1"/>
  <c r="AR108" i="1"/>
  <c r="AG101" i="1"/>
  <c r="AR104" i="1"/>
  <c r="AR107" i="1"/>
  <c r="AF99" i="1"/>
  <c r="AR102" i="1"/>
  <c r="AR111" i="1"/>
  <c r="AG110" i="1"/>
  <c r="AF110" i="1"/>
  <c r="AR114" i="1"/>
  <c r="AF107" i="1"/>
  <c r="AG107" i="1"/>
  <c r="AR109" i="1"/>
  <c r="AF113" i="1"/>
  <c r="AG121" i="1"/>
  <c r="AR122" i="1"/>
  <c r="AJ127" i="1"/>
  <c r="AF120" i="1"/>
  <c r="AR123" i="1"/>
  <c r="AR140" i="1"/>
  <c r="AR130" i="1"/>
  <c r="AR132" i="1"/>
  <c r="AR135" i="1"/>
  <c r="AR134" i="1"/>
  <c r="AR112" i="1"/>
  <c r="AR115" i="1"/>
  <c r="AR118" i="1"/>
  <c r="AR121" i="1"/>
  <c r="AJ122" i="1"/>
  <c r="AG127" i="1"/>
  <c r="AF127" i="1"/>
  <c r="AJ129" i="1"/>
  <c r="AR128" i="1"/>
  <c r="AR131" i="1"/>
  <c r="AR133" i="1"/>
  <c r="AR136" i="1"/>
  <c r="AF114" i="1"/>
  <c r="AR127" i="1"/>
  <c r="AR120" i="1"/>
  <c r="AJ121" i="1"/>
  <c r="AG122" i="1"/>
  <c r="AG123" i="1"/>
  <c r="AR125" i="1"/>
  <c r="AF129" i="1"/>
  <c r="AG129" i="1"/>
  <c r="AR119" i="1"/>
  <c r="AF123" i="1"/>
  <c r="AR129" i="1"/>
  <c r="AG130" i="1"/>
  <c r="AF137" i="1"/>
  <c r="AR146" i="1"/>
  <c r="AG152" i="1"/>
  <c r="AG144" i="1"/>
  <c r="AF144" i="1"/>
  <c r="AG145" i="1"/>
  <c r="AG150" i="1"/>
  <c r="AF150" i="1"/>
  <c r="AF132" i="1"/>
  <c r="AF135" i="1"/>
  <c r="AF134" i="1"/>
  <c r="AR137" i="1"/>
  <c r="AJ143" i="1"/>
  <c r="AR149" i="1"/>
  <c r="AR152" i="1"/>
  <c r="AG132" i="1"/>
  <c r="AG135" i="1"/>
  <c r="AG134" i="1"/>
  <c r="AG147" i="1"/>
  <c r="AF147" i="1"/>
  <c r="AF138" i="1"/>
  <c r="AJ140" i="1"/>
  <c r="AG143" i="1"/>
  <c r="AF143" i="1"/>
  <c r="AG146" i="1"/>
  <c r="AF146" i="1"/>
  <c r="AG148" i="1"/>
  <c r="AF148" i="1"/>
  <c r="AJ147" i="1"/>
  <c r="AG149" i="1"/>
  <c r="AF152" i="1"/>
  <c r="AR155" i="1"/>
  <c r="AF157" i="1"/>
  <c r="AR158" i="1"/>
  <c r="AF162" i="1"/>
  <c r="AG164" i="1"/>
  <c r="AF164" i="1"/>
  <c r="AG160" i="1"/>
  <c r="AF160" i="1"/>
  <c r="AJ156" i="1"/>
  <c r="AG154" i="1"/>
  <c r="AF154" i="1"/>
  <c r="AR164" i="1"/>
  <c r="AR166" i="1"/>
  <c r="AR167" i="1"/>
  <c r="AR159" i="1"/>
  <c r="AR161" i="1"/>
  <c r="AF145" i="1"/>
  <c r="AJ153" i="1"/>
  <c r="AG153" i="1"/>
  <c r="AF153" i="1"/>
  <c r="AJ155" i="1"/>
  <c r="AR168" i="1"/>
  <c r="AG165" i="1"/>
  <c r="AF176" i="1"/>
  <c r="AR173" i="1"/>
  <c r="AF161" i="1"/>
  <c r="AF163" i="1"/>
  <c r="AG168" i="1"/>
  <c r="AG181" i="1"/>
  <c r="AF181" i="1"/>
  <c r="AG161" i="1"/>
  <c r="AG163" i="1"/>
  <c r="AF169" i="1"/>
  <c r="AF171" i="1"/>
  <c r="AG174" i="1"/>
  <c r="AR176" i="1"/>
  <c r="AG175" i="1"/>
  <c r="AF175" i="1"/>
  <c r="AG169" i="1"/>
  <c r="AG179" i="1"/>
  <c r="AF179" i="1"/>
  <c r="AR183" i="1"/>
  <c r="AR180" i="1"/>
  <c r="Y15" i="4" l="1"/>
  <c r="AH13" i="4"/>
  <c r="X14" i="4"/>
  <c r="AG13" i="4"/>
  <c r="X15" i="4"/>
  <c r="X12" i="4"/>
  <c r="AG12" i="4"/>
  <c r="X13" i="4"/>
  <c r="Y19" i="4"/>
  <c r="AH11" i="4"/>
  <c r="AK9" i="4"/>
  <c r="AK19" i="4" s="1"/>
  <c r="AR100" i="1"/>
  <c r="AR170" i="1"/>
  <c r="AR150" i="1"/>
  <c r="AR139" i="1"/>
  <c r="AR147" i="1"/>
  <c r="AR52" i="1"/>
  <c r="AR145" i="1"/>
  <c r="AR48" i="1"/>
  <c r="AR44" i="1"/>
  <c r="AK8" i="4" l="1"/>
  <c r="V142" i="1"/>
  <c r="V139" i="1" l="1"/>
  <c r="V141" i="1"/>
  <c r="V140" i="1"/>
  <c r="W139" i="1"/>
  <c r="W141" i="1"/>
  <c r="W140" i="1"/>
  <c r="B76" i="6" s="1"/>
  <c r="V138" i="1"/>
  <c r="AU17" i="7" s="1"/>
  <c r="C33" i="4" l="1"/>
  <c r="K33" i="4"/>
  <c r="F32" i="4"/>
  <c r="H28" i="4"/>
  <c r="E33" i="4"/>
  <c r="M33" i="4"/>
  <c r="H32" i="4"/>
  <c r="J28" i="4"/>
  <c r="M28" i="4"/>
  <c r="F33" i="4"/>
  <c r="B33" i="4"/>
  <c r="I32" i="4"/>
  <c r="C28" i="4"/>
  <c r="K28" i="4"/>
  <c r="G33" i="4"/>
  <c r="J32" i="4"/>
  <c r="D28" i="4"/>
  <c r="L28" i="4"/>
  <c r="E28" i="4"/>
  <c r="G32" i="4"/>
  <c r="H33" i="4"/>
  <c r="C32" i="4"/>
  <c r="K32" i="4"/>
  <c r="D33" i="4"/>
  <c r="I33" i="4"/>
  <c r="D32" i="4"/>
  <c r="L32" i="4"/>
  <c r="F28" i="4"/>
  <c r="I28" i="4"/>
  <c r="J33" i="4"/>
  <c r="E32" i="4"/>
  <c r="M32" i="4"/>
  <c r="G28" i="4"/>
  <c r="L33" i="4"/>
  <c r="AV17" i="7"/>
  <c r="E37" i="7"/>
  <c r="B61" i="6"/>
  <c r="B63" i="6"/>
  <c r="B28" i="4"/>
  <c r="F76" i="6"/>
  <c r="D74" i="6"/>
  <c r="C72" i="6"/>
  <c r="B75" i="6"/>
  <c r="D73" i="6"/>
  <c r="F72" i="6"/>
  <c r="D75" i="6"/>
  <c r="B73" i="6"/>
  <c r="F74" i="6"/>
  <c r="E73" i="6"/>
  <c r="D76" i="6"/>
  <c r="B74" i="6"/>
  <c r="E72" i="6"/>
  <c r="C76" i="6"/>
  <c r="E74" i="6"/>
  <c r="D72" i="6"/>
  <c r="B72" i="6"/>
  <c r="C75" i="6"/>
  <c r="F75" i="6"/>
  <c r="E75" i="6"/>
  <c r="C73" i="6"/>
  <c r="F73" i="6"/>
  <c r="E76" i="6"/>
  <c r="C74" i="6"/>
  <c r="F64" i="6"/>
  <c r="D64" i="6"/>
  <c r="B64" i="6"/>
  <c r="E61" i="6"/>
  <c r="D61" i="6"/>
  <c r="F65" i="6"/>
  <c r="D65" i="6"/>
  <c r="B65" i="6"/>
  <c r="E63" i="6"/>
  <c r="E64" i="6"/>
  <c r="C65" i="6"/>
  <c r="F62" i="6"/>
  <c r="E62" i="6"/>
  <c r="C62" i="6"/>
  <c r="F61" i="6"/>
  <c r="C63" i="6"/>
  <c r="C64" i="6"/>
  <c r="E65" i="6"/>
  <c r="D62" i="6"/>
  <c r="C61" i="6"/>
  <c r="B62" i="6"/>
  <c r="D63" i="6"/>
  <c r="F63" i="6"/>
  <c r="B32" i="4"/>
  <c r="S18" i="4"/>
  <c r="Q68" i="4"/>
  <c r="Q80" i="4"/>
  <c r="CH141" i="1"/>
  <c r="CI141" i="1" s="1"/>
  <c r="V12" i="4"/>
  <c r="V13" i="4"/>
  <c r="V14" i="4"/>
  <c r="V15" i="4"/>
  <c r="V16" i="4"/>
  <c r="V17" i="4"/>
  <c r="V18" i="4"/>
  <c r="V11" i="4"/>
  <c r="T16" i="4"/>
  <c r="T14" i="4"/>
  <c r="CH140" i="1"/>
  <c r="CI140" i="1" s="1"/>
  <c r="U16" i="4"/>
  <c r="T17" i="4"/>
  <c r="T19" i="4"/>
  <c r="U17" i="4"/>
  <c r="T18" i="4"/>
  <c r="V19" i="4"/>
  <c r="U18" i="4"/>
  <c r="U19" i="4"/>
  <c r="U11" i="4"/>
  <c r="T12" i="4"/>
  <c r="T11" i="4"/>
  <c r="U14" i="4"/>
  <c r="U15" i="4"/>
  <c r="CH139" i="1"/>
  <c r="CI139" i="1" s="1"/>
  <c r="AC140" i="1"/>
  <c r="CD140" i="1" s="1"/>
  <c r="AC141" i="1"/>
  <c r="CD141" i="1" s="1"/>
  <c r="AC139" i="1"/>
  <c r="CD139" i="1" s="1"/>
  <c r="Q90" i="4"/>
  <c r="G18" i="4"/>
  <c r="B6" i="4"/>
  <c r="W18" i="4"/>
  <c r="S19" i="4"/>
  <c r="W16" i="4"/>
  <c r="AF13" i="4"/>
  <c r="AE14" i="4"/>
  <c r="Q67" i="4"/>
  <c r="AE13" i="4"/>
  <c r="AF12" i="4"/>
  <c r="S84" i="4"/>
  <c r="S68" i="4"/>
  <c r="R68" i="4"/>
  <c r="R84" i="4"/>
  <c r="R81" i="4"/>
  <c r="S74" i="4"/>
  <c r="Q74" i="4"/>
  <c r="S70" i="4"/>
  <c r="R69" i="4"/>
  <c r="Q86" i="4"/>
  <c r="R73" i="4"/>
  <c r="S93" i="4"/>
  <c r="R83" i="4"/>
  <c r="S72" i="4"/>
  <c r="R67" i="4"/>
  <c r="R95" i="4"/>
  <c r="R94" i="4"/>
  <c r="Q84" i="4"/>
  <c r="S92" i="4"/>
  <c r="S82" i="4"/>
  <c r="R72" i="4"/>
  <c r="S91" i="4"/>
  <c r="S81" i="4"/>
  <c r="R71" i="4"/>
  <c r="T71" i="4" s="1"/>
  <c r="R85" i="4"/>
  <c r="S80" i="4"/>
  <c r="S69" i="4"/>
  <c r="Q95" i="4"/>
  <c r="R92" i="4"/>
  <c r="S86" i="4"/>
  <c r="B7" i="4"/>
  <c r="F18" i="4"/>
  <c r="B16" i="4"/>
  <c r="AF15" i="4"/>
  <c r="M18" i="4"/>
  <c r="E18" i="4"/>
  <c r="AE15" i="4"/>
  <c r="AF14" i="4"/>
  <c r="W11" i="4"/>
  <c r="L18" i="4"/>
  <c r="D18" i="4"/>
  <c r="S85" i="4"/>
  <c r="Q83" i="4"/>
  <c r="R80" i="4"/>
  <c r="S73" i="4"/>
  <c r="W19" i="4"/>
  <c r="K18" i="4"/>
  <c r="C18" i="4"/>
  <c r="S11" i="4"/>
  <c r="J18" i="4"/>
  <c r="B18" i="4"/>
  <c r="R82" i="4"/>
  <c r="S79" i="4"/>
  <c r="Q73" i="4"/>
  <c r="R70" i="4"/>
  <c r="S67" i="4"/>
  <c r="AE12" i="4"/>
  <c r="AF11" i="4"/>
  <c r="I18" i="4"/>
  <c r="H18" i="4"/>
  <c r="R90" i="4"/>
  <c r="R79" i="4"/>
  <c r="AE11" i="4"/>
  <c r="Q79" i="4"/>
  <c r="S97" i="4"/>
  <c r="R97" i="4"/>
  <c r="S94" i="4"/>
  <c r="Q92" i="4"/>
  <c r="R86" i="4"/>
  <c r="S83" i="4"/>
  <c r="Q81" i="4"/>
  <c r="R74" i="4"/>
  <c r="S71" i="4"/>
  <c r="Q69" i="4"/>
  <c r="Q97" i="4"/>
  <c r="S96" i="4"/>
  <c r="Q94" i="4"/>
  <c r="R91" i="4"/>
  <c r="R96" i="4"/>
  <c r="Q91" i="4"/>
  <c r="Q96" i="4"/>
  <c r="R93" i="4"/>
  <c r="S90" i="4"/>
  <c r="Q85" i="4"/>
  <c r="S95" i="4"/>
  <c r="Q93" i="4"/>
  <c r="L26" i="6"/>
  <c r="Q26" i="6"/>
  <c r="L32" i="6"/>
  <c r="K26" i="6"/>
  <c r="K32" i="6"/>
  <c r="CM139" i="1"/>
  <c r="AH139" i="1"/>
  <c r="AG139" i="1"/>
  <c r="AF139" i="1"/>
  <c r="AH140" i="1"/>
  <c r="AG140" i="1"/>
  <c r="AF140" i="1"/>
  <c r="AH141" i="1"/>
  <c r="AG141" i="1"/>
  <c r="AF141" i="1"/>
  <c r="S20" i="4" l="1"/>
  <c r="CE141" i="1"/>
  <c r="CE140" i="1"/>
  <c r="CE139" i="1"/>
  <c r="G63" i="6"/>
  <c r="G65" i="6"/>
  <c r="G73" i="6"/>
  <c r="G76" i="6"/>
  <c r="G62" i="6"/>
  <c r="C78" i="6"/>
  <c r="C67" i="6"/>
  <c r="G61" i="6"/>
  <c r="G74" i="6"/>
  <c r="G75" i="6"/>
  <c r="G64" i="6"/>
  <c r="G72" i="6"/>
  <c r="CB139" i="1"/>
  <c r="N32" i="4"/>
  <c r="AI140" i="1"/>
  <c r="CB140" i="1"/>
  <c r="B23" i="4"/>
  <c r="C23" i="4" s="1"/>
  <c r="U20" i="4"/>
  <c r="AI139" i="1"/>
  <c r="AI141" i="1"/>
  <c r="CB141" i="1"/>
  <c r="D29" i="6"/>
  <c r="D31" i="6"/>
  <c r="D48" i="6"/>
  <c r="J11" i="6"/>
  <c r="D49" i="6"/>
  <c r="D30" i="6"/>
  <c r="D46" i="6"/>
  <c r="D28" i="6"/>
  <c r="D47" i="6"/>
  <c r="K13" i="6"/>
  <c r="K10" i="6"/>
  <c r="J12" i="6"/>
  <c r="J13" i="6"/>
  <c r="K12" i="6"/>
  <c r="J10" i="6"/>
  <c r="K11" i="6"/>
  <c r="H13" i="6"/>
  <c r="H11" i="6"/>
  <c r="H10" i="6"/>
  <c r="I10" i="6"/>
  <c r="I12" i="6"/>
  <c r="H12" i="6"/>
  <c r="I13" i="6"/>
  <c r="T81" i="4"/>
  <c r="B31" i="6"/>
  <c r="I11" i="6"/>
  <c r="O12" i="6"/>
  <c r="B48" i="6"/>
  <c r="B30" i="6"/>
  <c r="B46" i="6"/>
  <c r="B29" i="6"/>
  <c r="B47" i="6"/>
  <c r="B28" i="6"/>
  <c r="B49" i="6"/>
  <c r="S14" i="6"/>
  <c r="V10" i="6"/>
  <c r="Q13" i="6"/>
  <c r="U12" i="6"/>
  <c r="P13" i="6"/>
  <c r="S11" i="6"/>
  <c r="T11" i="6"/>
  <c r="W11" i="6"/>
  <c r="Q11" i="6"/>
  <c r="T13" i="6"/>
  <c r="N13" i="6"/>
  <c r="U13" i="6"/>
  <c r="R11" i="6"/>
  <c r="Q10" i="6"/>
  <c r="U11" i="6"/>
  <c r="O11" i="6"/>
  <c r="N10" i="6"/>
  <c r="T10" i="6"/>
  <c r="W12" i="6"/>
  <c r="O13" i="6"/>
  <c r="T12" i="6"/>
  <c r="N12" i="6"/>
  <c r="W10" i="6"/>
  <c r="V13" i="6"/>
  <c r="S10" i="6"/>
  <c r="R10" i="6"/>
  <c r="P10" i="6"/>
  <c r="N11" i="6"/>
  <c r="V12" i="6"/>
  <c r="R13" i="6"/>
  <c r="S13" i="6"/>
  <c r="V11" i="6"/>
  <c r="S12" i="6"/>
  <c r="R12" i="6"/>
  <c r="Q12" i="6"/>
  <c r="P11" i="6"/>
  <c r="R14" i="6"/>
  <c r="W13" i="6"/>
  <c r="P12" i="6"/>
  <c r="O10" i="6"/>
  <c r="U10" i="6"/>
  <c r="U69" i="4"/>
  <c r="T69" i="4"/>
  <c r="U81" i="4"/>
  <c r="C48" i="6"/>
  <c r="C47" i="6"/>
  <c r="L12" i="6"/>
  <c r="D10" i="6"/>
  <c r="C30" i="6"/>
  <c r="C11" i="6"/>
  <c r="L11" i="6"/>
  <c r="C31" i="6"/>
  <c r="D13" i="6"/>
  <c r="M13" i="6"/>
  <c r="C10" i="6"/>
  <c r="C29" i="6"/>
  <c r="C13" i="6"/>
  <c r="C46" i="6"/>
  <c r="D11" i="6"/>
  <c r="C49" i="6"/>
  <c r="C12" i="6"/>
  <c r="M11" i="6"/>
  <c r="C28" i="6"/>
  <c r="L13" i="6"/>
  <c r="M12" i="6"/>
  <c r="D12" i="6"/>
  <c r="L10" i="6"/>
  <c r="M10" i="6"/>
  <c r="U72" i="4"/>
  <c r="T72" i="4"/>
  <c r="T92" i="4"/>
  <c r="T68" i="4"/>
  <c r="U79" i="4"/>
  <c r="T73" i="4"/>
  <c r="U73" i="4"/>
  <c r="U92" i="4"/>
  <c r="S75" i="4"/>
  <c r="U68" i="4"/>
  <c r="R98" i="4"/>
  <c r="S98" i="4"/>
  <c r="U71" i="4"/>
  <c r="S87" i="4"/>
  <c r="R75" i="4"/>
  <c r="U84" i="4"/>
  <c r="T84" i="4"/>
  <c r="T95" i="4"/>
  <c r="U95" i="4"/>
  <c r="T83" i="4"/>
  <c r="U83" i="4"/>
  <c r="T94" i="4"/>
  <c r="U94" i="4"/>
  <c r="U70" i="4"/>
  <c r="T70" i="4"/>
  <c r="T82" i="4"/>
  <c r="U82" i="4"/>
  <c r="T93" i="4"/>
  <c r="U93" i="4"/>
  <c r="T80" i="4"/>
  <c r="U80" i="4"/>
  <c r="U91" i="4"/>
  <c r="T91" i="4"/>
  <c r="U86" i="4"/>
  <c r="T86" i="4"/>
  <c r="U97" i="4"/>
  <c r="T97" i="4"/>
  <c r="U85" i="4"/>
  <c r="T85" i="4"/>
  <c r="U96" i="4"/>
  <c r="T96" i="4"/>
  <c r="T67" i="4"/>
  <c r="U67" i="4"/>
  <c r="T79" i="4"/>
  <c r="R87" i="4"/>
  <c r="U90" i="4"/>
  <c r="T90" i="4"/>
  <c r="T74" i="4"/>
  <c r="U74" i="4"/>
  <c r="Q87" i="4"/>
  <c r="Q98" i="4"/>
  <c r="Q75" i="4"/>
  <c r="N16" i="4"/>
  <c r="N25" i="4" s="1"/>
  <c r="B57" i="6"/>
  <c r="B56" i="6"/>
  <c r="R25" i="6"/>
  <c r="J26" i="6"/>
  <c r="S25" i="6"/>
  <c r="S26" i="6" s="1"/>
  <c r="M26" i="6"/>
  <c r="I32" i="6"/>
  <c r="N31" i="6"/>
  <c r="N32" i="6" s="1"/>
  <c r="N25" i="6"/>
  <c r="N26" i="6" s="1"/>
  <c r="I26" i="6"/>
  <c r="Q32" i="6"/>
  <c r="R31" i="6"/>
  <c r="R32" i="6" s="1"/>
  <c r="J32" i="6"/>
  <c r="S31" i="6"/>
  <c r="S32" i="6" s="1"/>
  <c r="M32" i="6"/>
  <c r="N18" i="4"/>
  <c r="N28" i="4"/>
  <c r="V137" i="1"/>
  <c r="X11" i="4" l="1"/>
  <c r="B25" i="4"/>
  <c r="D32" i="6"/>
  <c r="D33" i="6" s="1"/>
  <c r="D50" i="6"/>
  <c r="D51" i="6" s="1"/>
  <c r="J14" i="6"/>
  <c r="J15" i="6"/>
  <c r="K14" i="6"/>
  <c r="K15" i="6"/>
  <c r="AG11" i="4"/>
  <c r="X19" i="4"/>
  <c r="U87" i="4"/>
  <c r="U98" i="4"/>
  <c r="S100" i="4"/>
  <c r="T87" i="4"/>
  <c r="R100" i="4"/>
  <c r="T75" i="4"/>
  <c r="U75" i="4"/>
  <c r="T98" i="4"/>
  <c r="Q100" i="4"/>
  <c r="D23" i="4"/>
  <c r="C25" i="4"/>
  <c r="B50" i="6"/>
  <c r="B51" i="6" s="1"/>
  <c r="B32" i="6"/>
  <c r="B33" i="6" s="1"/>
  <c r="X10" i="6"/>
  <c r="X12" i="6"/>
  <c r="Y13" i="6"/>
  <c r="N14" i="6"/>
  <c r="N15" i="6"/>
  <c r="W15" i="6"/>
  <c r="X13" i="6"/>
  <c r="X11" i="6"/>
  <c r="V15" i="6"/>
  <c r="C14" i="6"/>
  <c r="Y10" i="6"/>
  <c r="Y11" i="6"/>
  <c r="Y12" i="6"/>
  <c r="O14" i="6"/>
  <c r="O15" i="6"/>
  <c r="T31" i="6"/>
  <c r="T25" i="6"/>
  <c r="R26" i="6"/>
  <c r="C50" i="6"/>
  <c r="C51" i="6" s="1"/>
  <c r="C32" i="6"/>
  <c r="C33" i="6" s="1"/>
  <c r="S15" i="6"/>
  <c r="P14" i="6"/>
  <c r="P15" i="6"/>
  <c r="R15" i="6"/>
  <c r="U14" i="6"/>
  <c r="U15" i="6"/>
  <c r="Q14" i="6"/>
  <c r="Q15" i="6"/>
  <c r="T14" i="6"/>
  <c r="T15" i="6"/>
  <c r="C15" i="6"/>
  <c r="L14" i="6"/>
  <c r="L15" i="6"/>
  <c r="M14" i="6"/>
  <c r="M15" i="6"/>
  <c r="I14" i="6"/>
  <c r="I15" i="6"/>
  <c r="H14" i="6"/>
  <c r="H15" i="6"/>
  <c r="D14" i="6"/>
  <c r="D15" i="6"/>
  <c r="V136" i="1"/>
  <c r="V134" i="1"/>
  <c r="E86" i="4" s="1"/>
  <c r="V135" i="1"/>
  <c r="AL18" i="7" s="1"/>
  <c r="AM18" i="7" s="1"/>
  <c r="W14" i="6" l="1"/>
  <c r="V14" i="6"/>
  <c r="U100" i="4"/>
  <c r="T100" i="4"/>
  <c r="E23" i="4"/>
  <c r="D25" i="4"/>
  <c r="X15" i="6"/>
  <c r="Y15" i="6"/>
  <c r="X14" i="6"/>
  <c r="Y14" i="6"/>
  <c r="V131" i="1"/>
  <c r="V130" i="1"/>
  <c r="V132" i="1"/>
  <c r="V133" i="1"/>
  <c r="E25" i="4" l="1"/>
  <c r="F23" i="4"/>
  <c r="V128" i="1"/>
  <c r="V129" i="1"/>
  <c r="AD6" i="7" s="1"/>
  <c r="F25" i="4" l="1"/>
  <c r="G23" i="4"/>
  <c r="V127" i="1"/>
  <c r="H23" i="4" l="1"/>
  <c r="H25" i="4" s="1"/>
  <c r="G25" i="4"/>
  <c r="V126" i="1"/>
  <c r="V125" i="1"/>
  <c r="V124" i="1" l="1"/>
  <c r="V123" i="1" l="1"/>
  <c r="V122" i="1" l="1"/>
  <c r="V121" i="1"/>
  <c r="V120" i="1"/>
  <c r="V119" i="1"/>
  <c r="E85" i="4" s="1"/>
  <c r="V117" i="1" l="1"/>
  <c r="V118" i="1"/>
  <c r="V115" i="1"/>
  <c r="V116" i="1" l="1"/>
  <c r="BE12" i="2" l="1"/>
  <c r="BF12" i="2" s="1"/>
  <c r="AP12" i="2"/>
  <c r="AQ12" i="2" s="1"/>
  <c r="AL12" i="2"/>
  <c r="AK12" i="2"/>
  <c r="AH12" i="2"/>
  <c r="AE12" i="2"/>
  <c r="AD12" i="2"/>
  <c r="AC12" i="2"/>
  <c r="V114" i="1"/>
  <c r="CH12" i="2" l="1"/>
  <c r="CB12" i="2"/>
  <c r="CD12" i="2"/>
  <c r="CE12" i="2" s="1"/>
  <c r="AN12" i="2"/>
  <c r="AG12" i="2" s="1"/>
  <c r="AI12" i="2"/>
  <c r="AJ12" i="2"/>
  <c r="AS12" i="2"/>
  <c r="AT12" i="2" s="1"/>
  <c r="AR12" i="2"/>
  <c r="AM12" i="2"/>
  <c r="AO12" i="2" s="1"/>
  <c r="AF12" i="2" s="1"/>
  <c r="V112" i="1" l="1"/>
  <c r="E84" i="4" s="1"/>
  <c r="V113" i="1"/>
  <c r="V111" i="1" l="1"/>
  <c r="V110" i="1"/>
  <c r="E83" i="4" s="1"/>
  <c r="V109" i="1"/>
  <c r="AL17" i="7" s="1"/>
  <c r="AM17" i="7" s="1"/>
  <c r="BE11" i="2" l="1"/>
  <c r="BF11" i="2" s="1"/>
  <c r="AC11" i="2"/>
  <c r="AD11" i="2"/>
  <c r="AE11" i="2"/>
  <c r="AH11" i="2"/>
  <c r="AK11" i="2"/>
  <c r="CH11" i="2" s="1"/>
  <c r="AL11" i="2"/>
  <c r="AP11" i="2"/>
  <c r="AQ11" i="2" s="1"/>
  <c r="CB11" i="2" l="1"/>
  <c r="CD11" i="2"/>
  <c r="CE11" i="2" s="1"/>
  <c r="AM11" i="2"/>
  <c r="AO11" i="2" s="1"/>
  <c r="AF11" i="2" s="1"/>
  <c r="AJ11" i="2"/>
  <c r="AI11" i="2"/>
  <c r="AN11" i="2"/>
  <c r="AG11" i="2" s="1"/>
  <c r="AR11" i="2"/>
  <c r="AS11" i="2"/>
  <c r="AT11" i="2" s="1"/>
  <c r="V71" i="1" l="1"/>
  <c r="V108" i="1"/>
  <c r="V107" i="1"/>
  <c r="E82" i="4" s="1"/>
  <c r="V101" i="1"/>
  <c r="V106" i="1"/>
  <c r="V105" i="1"/>
  <c r="V104" i="1"/>
  <c r="E73" i="4" s="1"/>
  <c r="V103" i="1"/>
  <c r="AU16" i="7" s="1"/>
  <c r="AV16" i="7" s="1"/>
  <c r="V102" i="1"/>
  <c r="BE10" i="2"/>
  <c r="BF10" i="2" s="1"/>
  <c r="AC10" i="2"/>
  <c r="AD10" i="2"/>
  <c r="AE10" i="2"/>
  <c r="AH10" i="2"/>
  <c r="AK10" i="2"/>
  <c r="AL10" i="2"/>
  <c r="AP10" i="2"/>
  <c r="AQ10" i="2" s="1"/>
  <c r="V100" i="1"/>
  <c r="V99" i="1"/>
  <c r="V98" i="1"/>
  <c r="E72" i="4" s="1"/>
  <c r="V97" i="1"/>
  <c r="V96" i="1"/>
  <c r="V95" i="1"/>
  <c r="AU5" i="7" s="1"/>
  <c r="AV5" i="7" s="1"/>
  <c r="V94" i="1"/>
  <c r="V93" i="1"/>
  <c r="V92" i="1"/>
  <c r="BE6" i="2"/>
  <c r="BF6" i="2" s="1"/>
  <c r="AP6" i="2"/>
  <c r="AQ6" i="2" s="1"/>
  <c r="AL6" i="2"/>
  <c r="AK6" i="2"/>
  <c r="AH6" i="2"/>
  <c r="AE6" i="2"/>
  <c r="AD6" i="2"/>
  <c r="AC6" i="2"/>
  <c r="V6" i="2"/>
  <c r="V91" i="1"/>
  <c r="V90" i="1"/>
  <c r="V89" i="1"/>
  <c r="E81" i="4" s="1"/>
  <c r="V88" i="1"/>
  <c r="BE5" i="2"/>
  <c r="BF5" i="2" s="1"/>
  <c r="AP5" i="2"/>
  <c r="AL5" i="2"/>
  <c r="AK5" i="2"/>
  <c r="AH5" i="2"/>
  <c r="AE5" i="2"/>
  <c r="AD5" i="2"/>
  <c r="AC5" i="2"/>
  <c r="V5" i="2"/>
  <c r="V87" i="1"/>
  <c r="V33" i="1"/>
  <c r="E62" i="4" s="1"/>
  <c r="V39" i="1"/>
  <c r="E63" i="4" s="1"/>
  <c r="V8" i="1"/>
  <c r="V42" i="1"/>
  <c r="V27" i="1"/>
  <c r="A2" i="9" s="1" a="1"/>
  <c r="Z96" i="9" s="1"/>
  <c r="V34" i="1"/>
  <c r="V29" i="1"/>
  <c r="V74" i="1"/>
  <c r="E67" i="4" s="1"/>
  <c r="V76" i="1"/>
  <c r="V78" i="1"/>
  <c r="V36" i="1"/>
  <c r="V43" i="1"/>
  <c r="V44" i="1"/>
  <c r="V81" i="1"/>
  <c r="V46" i="1"/>
  <c r="V5" i="1"/>
  <c r="V6" i="1"/>
  <c r="V7" i="1"/>
  <c r="V9" i="1"/>
  <c r="V10" i="1"/>
  <c r="V11" i="1"/>
  <c r="V12" i="1"/>
  <c r="V13" i="1"/>
  <c r="V14" i="1"/>
  <c r="V15" i="1"/>
  <c r="V16" i="1"/>
  <c r="V17" i="1"/>
  <c r="V18" i="1"/>
  <c r="V19" i="1"/>
  <c r="V20" i="1"/>
  <c r="V21" i="1"/>
  <c r="V22" i="1"/>
  <c r="V23" i="1"/>
  <c r="V24" i="1"/>
  <c r="V25" i="1"/>
  <c r="V26" i="1"/>
  <c r="V48" i="1"/>
  <c r="V28" i="1"/>
  <c r="V30" i="1"/>
  <c r="V31" i="1"/>
  <c r="V49" i="1"/>
  <c r="V35" i="1"/>
  <c r="V82" i="1"/>
  <c r="V57" i="1"/>
  <c r="V51" i="1"/>
  <c r="V37" i="1"/>
  <c r="V38" i="1"/>
  <c r="V58" i="1"/>
  <c r="V40" i="1"/>
  <c r="V41" i="1"/>
  <c r="V64" i="1"/>
  <c r="V59" i="1"/>
  <c r="V66" i="1"/>
  <c r="V67" i="1"/>
  <c r="E65" i="4" s="1"/>
  <c r="V45" i="1"/>
  <c r="V47" i="1"/>
  <c r="V69" i="1"/>
  <c r="V50" i="1"/>
  <c r="V52" i="1"/>
  <c r="V53" i="1"/>
  <c r="V54" i="1"/>
  <c r="V55" i="1"/>
  <c r="E64" i="4" s="1"/>
  <c r="V56" i="1"/>
  <c r="V60" i="1"/>
  <c r="V62" i="1"/>
  <c r="V73" i="1"/>
  <c r="AL16" i="7" s="1"/>
  <c r="AM16" i="7" s="1"/>
  <c r="E29" i="7" s="1"/>
  <c r="V61" i="1"/>
  <c r="V63" i="1"/>
  <c r="V65" i="1"/>
  <c r="V68" i="1"/>
  <c r="V79" i="1"/>
  <c r="V70" i="1"/>
  <c r="V80" i="1"/>
  <c r="V85" i="1"/>
  <c r="E71" i="4" s="1"/>
  <c r="V83" i="1"/>
  <c r="E69" i="4" s="1"/>
  <c r="V75" i="1"/>
  <c r="AD22" i="7" s="1"/>
  <c r="V84" i="1"/>
  <c r="E70" i="4" s="1"/>
  <c r="V86" i="1"/>
  <c r="AP4" i="2"/>
  <c r="AL4" i="2"/>
  <c r="AK4" i="2"/>
  <c r="CH4" i="2" s="1"/>
  <c r="AH4" i="2"/>
  <c r="AE4" i="2"/>
  <c r="AD4" i="2"/>
  <c r="AC4" i="2"/>
  <c r="AP3" i="2"/>
  <c r="AL3" i="2"/>
  <c r="AK3" i="2"/>
  <c r="AH3" i="2"/>
  <c r="AE3" i="2"/>
  <c r="AD3" i="2"/>
  <c r="AC3" i="2"/>
  <c r="V4" i="2"/>
  <c r="V3" i="2"/>
  <c r="Z94" i="9" l="1"/>
  <c r="Z88" i="9"/>
  <c r="Z95" i="9"/>
  <c r="Z89" i="9"/>
  <c r="Z93" i="9"/>
  <c r="Z91" i="9"/>
  <c r="Z92" i="9"/>
  <c r="E30" i="7"/>
  <c r="Z44" i="9"/>
  <c r="Z90" i="9"/>
  <c r="Z80" i="9"/>
  <c r="Z76" i="9"/>
  <c r="Z72" i="9"/>
  <c r="Z47" i="9"/>
  <c r="Z86" i="9"/>
  <c r="Z87" i="9"/>
  <c r="AB10" i="9"/>
  <c r="Z81" i="9"/>
  <c r="Z82" i="9"/>
  <c r="Z83" i="9"/>
  <c r="Z84" i="9"/>
  <c r="Z85" i="9"/>
  <c r="Z65" i="9"/>
  <c r="Z75" i="9"/>
  <c r="Z78" i="9"/>
  <c r="Z77" i="9"/>
  <c r="Z79" i="9"/>
  <c r="AB79" i="9"/>
  <c r="AB69" i="9"/>
  <c r="AA79" i="9"/>
  <c r="AA69" i="9"/>
  <c r="AB78" i="9"/>
  <c r="AB66" i="9"/>
  <c r="AA78" i="9"/>
  <c r="AA66" i="9"/>
  <c r="AB74" i="9"/>
  <c r="AB46" i="9"/>
  <c r="AA74" i="9"/>
  <c r="AA46" i="9"/>
  <c r="AA70" i="9"/>
  <c r="AB70" i="9"/>
  <c r="A2" i="9"/>
  <c r="Z74" i="9"/>
  <c r="Z68" i="9"/>
  <c r="AB7" i="9"/>
  <c r="AB15" i="9"/>
  <c r="AB23" i="9"/>
  <c r="AA34" i="9"/>
  <c r="AB47" i="9"/>
  <c r="Z61" i="9"/>
  <c r="AA68" i="9"/>
  <c r="Z71" i="9"/>
  <c r="AA5" i="9"/>
  <c r="Z8" i="9"/>
  <c r="AA13" i="9"/>
  <c r="Z16" i="9"/>
  <c r="AB18" i="9"/>
  <c r="AA21" i="9"/>
  <c r="Z24" i="9"/>
  <c r="AB26" i="9"/>
  <c r="AA29" i="9"/>
  <c r="Z32" i="9"/>
  <c r="AB34" i="9"/>
  <c r="AA37" i="9"/>
  <c r="Z40" i="9"/>
  <c r="AB42" i="9"/>
  <c r="AA45" i="9"/>
  <c r="Z48" i="9"/>
  <c r="AB50" i="9"/>
  <c r="AA53" i="9"/>
  <c r="Z56" i="9"/>
  <c r="AB58" i="9"/>
  <c r="AA61" i="9"/>
  <c r="Z64" i="9"/>
  <c r="AB68" i="9"/>
  <c r="AA71" i="9"/>
  <c r="AA75" i="9"/>
  <c r="Z3" i="9"/>
  <c r="AB5" i="9"/>
  <c r="AA8" i="9"/>
  <c r="Z11" i="9"/>
  <c r="AB13" i="9"/>
  <c r="AA16" i="9"/>
  <c r="Z19" i="9"/>
  <c r="AB21" i="9"/>
  <c r="AA24" i="9"/>
  <c r="Z27" i="9"/>
  <c r="AB29" i="9"/>
  <c r="AA32" i="9"/>
  <c r="Z35" i="9"/>
  <c r="AB37" i="9"/>
  <c r="AA40" i="9"/>
  <c r="Z43" i="9"/>
  <c r="AB45" i="9"/>
  <c r="AA48" i="9"/>
  <c r="Z51" i="9"/>
  <c r="AB53" i="9"/>
  <c r="AA56" i="9"/>
  <c r="Z59" i="9"/>
  <c r="AB61" i="9"/>
  <c r="AA64" i="9"/>
  <c r="AB2" i="9"/>
  <c r="AB49" i="9"/>
  <c r="Z55" i="9"/>
  <c r="AB57" i="9"/>
  <c r="Z63" i="9"/>
  <c r="AB20" i="9"/>
  <c r="AB36" i="9"/>
  <c r="AB44" i="9"/>
  <c r="Z50" i="9"/>
  <c r="AA55" i="9"/>
  <c r="AA63" i="9"/>
  <c r="Z21" i="9"/>
  <c r="AB39" i="9"/>
  <c r="Z53" i="9"/>
  <c r="Z69" i="9"/>
  <c r="AB71" i="9"/>
  <c r="AB75" i="9"/>
  <c r="AA3" i="9"/>
  <c r="Z6" i="9"/>
  <c r="AB8" i="9"/>
  <c r="AA11" i="9"/>
  <c r="Z14" i="9"/>
  <c r="AB16" i="9"/>
  <c r="AA19" i="9"/>
  <c r="Z22" i="9"/>
  <c r="AB24" i="9"/>
  <c r="AA27" i="9"/>
  <c r="Z30" i="9"/>
  <c r="AB32" i="9"/>
  <c r="AA35" i="9"/>
  <c r="Z38" i="9"/>
  <c r="AB40" i="9"/>
  <c r="AA43" i="9"/>
  <c r="Z46" i="9"/>
  <c r="AB48" i="9"/>
  <c r="AA51" i="9"/>
  <c r="Z54" i="9"/>
  <c r="AB56" i="9"/>
  <c r="AA59" i="9"/>
  <c r="Z62" i="9"/>
  <c r="AB64" i="9"/>
  <c r="AA2" i="9"/>
  <c r="AB72" i="9"/>
  <c r="Z4" i="9"/>
  <c r="Z12" i="9"/>
  <c r="AA17" i="9"/>
  <c r="AB22" i="9"/>
  <c r="Z28" i="9"/>
  <c r="AA33" i="9"/>
  <c r="AB38" i="9"/>
  <c r="AA41" i="9"/>
  <c r="AA49" i="9"/>
  <c r="AB54" i="9"/>
  <c r="AA57" i="9"/>
  <c r="AB62" i="9"/>
  <c r="AA76" i="9"/>
  <c r="AB3" i="9"/>
  <c r="AA6" i="9"/>
  <c r="Z9" i="9"/>
  <c r="AB11" i="9"/>
  <c r="AA14" i="9"/>
  <c r="Z17" i="9"/>
  <c r="AB19" i="9"/>
  <c r="AA22" i="9"/>
  <c r="Z25" i="9"/>
  <c r="AB27" i="9"/>
  <c r="AA30" i="9"/>
  <c r="Z33" i="9"/>
  <c r="AB35" i="9"/>
  <c r="AA38" i="9"/>
  <c r="Z41" i="9"/>
  <c r="AB43" i="9"/>
  <c r="Z49" i="9"/>
  <c r="AB51" i="9"/>
  <c r="AA54" i="9"/>
  <c r="Z57" i="9"/>
  <c r="AB59" i="9"/>
  <c r="AA62" i="9"/>
  <c r="Z2" i="9"/>
  <c r="AB76" i="9"/>
  <c r="AB6" i="9"/>
  <c r="AA9" i="9"/>
  <c r="AB14" i="9"/>
  <c r="Z20" i="9"/>
  <c r="AA25" i="9"/>
  <c r="AB30" i="9"/>
  <c r="Z36" i="9"/>
  <c r="Z52" i="9"/>
  <c r="Z60" i="9"/>
  <c r="AA65" i="9"/>
  <c r="AA67" i="9"/>
  <c r="Z70" i="9"/>
  <c r="AA73" i="9"/>
  <c r="AA77" i="9"/>
  <c r="AA4" i="9"/>
  <c r="Z7" i="9"/>
  <c r="AB9" i="9"/>
  <c r="AA12" i="9"/>
  <c r="Z15" i="9"/>
  <c r="AB17" i="9"/>
  <c r="AA20" i="9"/>
  <c r="Z23" i="9"/>
  <c r="AB25" i="9"/>
  <c r="AA28" i="9"/>
  <c r="Z31" i="9"/>
  <c r="AB33" i="9"/>
  <c r="AA36" i="9"/>
  <c r="Z39" i="9"/>
  <c r="AB41" i="9"/>
  <c r="AA44" i="9"/>
  <c r="AA52" i="9"/>
  <c r="AA60" i="9"/>
  <c r="AB65" i="9"/>
  <c r="Z26" i="9"/>
  <c r="Z34" i="9"/>
  <c r="Z42" i="9"/>
  <c r="AB52" i="9"/>
  <c r="AB60" i="9"/>
  <c r="Z66" i="9"/>
  <c r="AA18" i="9"/>
  <c r="Z29" i="9"/>
  <c r="AA42" i="9"/>
  <c r="AB55" i="9"/>
  <c r="Z67" i="9"/>
  <c r="AA10" i="9"/>
  <c r="AB31" i="9"/>
  <c r="Z45" i="9"/>
  <c r="AA58" i="9"/>
  <c r="Z73" i="9"/>
  <c r="AB67" i="9"/>
  <c r="AB73" i="9"/>
  <c r="AB77" i="9"/>
  <c r="AB4" i="9"/>
  <c r="AA7" i="9"/>
  <c r="Z10" i="9"/>
  <c r="AB12" i="9"/>
  <c r="AA15" i="9"/>
  <c r="Z18" i="9"/>
  <c r="AA23" i="9"/>
  <c r="AB28" i="9"/>
  <c r="AA31" i="9"/>
  <c r="AA39" i="9"/>
  <c r="Z58" i="9"/>
  <c r="Z5" i="9"/>
  <c r="Z13" i="9"/>
  <c r="AA26" i="9"/>
  <c r="Z37" i="9"/>
  <c r="AA50" i="9"/>
  <c r="AB63" i="9"/>
  <c r="CH10" i="2"/>
  <c r="D21" i="4"/>
  <c r="CB3" i="2"/>
  <c r="CD3" i="2"/>
  <c r="CE3" i="2" s="1"/>
  <c r="CH6" i="2"/>
  <c r="CH3" i="2"/>
  <c r="AM5" i="2"/>
  <c r="AO5" i="2" s="1"/>
  <c r="AF5" i="2" s="1"/>
  <c r="CH5" i="2"/>
  <c r="AQ4" i="2"/>
  <c r="AR4" i="2" s="1"/>
  <c r="CI4" i="2"/>
  <c r="CB6" i="2"/>
  <c r="CD6" i="2"/>
  <c r="CE6" i="2" s="1"/>
  <c r="AQ3" i="2"/>
  <c r="AS3" i="2" s="1"/>
  <c r="AT3" i="2" s="1"/>
  <c r="CI3" i="2"/>
  <c r="AQ5" i="2"/>
  <c r="AR5" i="2" s="1"/>
  <c r="CI5" i="2"/>
  <c r="CB10" i="2"/>
  <c r="CD10" i="2"/>
  <c r="CE10" i="2" s="1"/>
  <c r="CD4" i="2"/>
  <c r="CE4" i="2" s="1"/>
  <c r="CB4" i="2"/>
  <c r="CB5" i="2"/>
  <c r="CD5" i="2"/>
  <c r="CE5" i="2" s="1"/>
  <c r="AN4" i="2"/>
  <c r="AG4" i="2" s="1"/>
  <c r="AN6" i="2"/>
  <c r="AG6" i="2" s="1"/>
  <c r="AM6" i="2"/>
  <c r="AO6" i="2" s="1"/>
  <c r="AF6" i="2" s="1"/>
  <c r="AI6" i="2"/>
  <c r="AI10" i="2"/>
  <c r="AM4" i="2"/>
  <c r="AO4" i="2" s="1"/>
  <c r="AF4" i="2" s="1"/>
  <c r="AN5" i="2"/>
  <c r="AG5" i="2" s="1"/>
  <c r="AI4" i="2"/>
  <c r="AJ4" i="2"/>
  <c r="AI3" i="2"/>
  <c r="AJ5" i="2"/>
  <c r="AI5" i="2"/>
  <c r="AM10" i="2"/>
  <c r="AO10" i="2" s="1"/>
  <c r="AF10" i="2" s="1"/>
  <c r="AJ6" i="2"/>
  <c r="AS10" i="2"/>
  <c r="AT10" i="2" s="1"/>
  <c r="AR10" i="2"/>
  <c r="AR6" i="2"/>
  <c r="AS6" i="2"/>
  <c r="AT6" i="2" s="1"/>
  <c r="AM3" i="2"/>
  <c r="AO3" i="2" s="1"/>
  <c r="AF3" i="2" s="1"/>
  <c r="AJ10" i="2"/>
  <c r="AN3" i="2"/>
  <c r="AG3" i="2" s="1"/>
  <c r="AN10" i="2"/>
  <c r="AG10" i="2" s="1"/>
  <c r="AJ3" i="2"/>
  <c r="AR3" i="2" l="1"/>
  <c r="AS4" i="2"/>
  <c r="AT4" i="2" s="1"/>
  <c r="AS5" i="2"/>
  <c r="AT5" i="2" s="1"/>
  <c r="E21" i="4"/>
  <c r="D24" i="4"/>
  <c r="F21" i="4" l="1"/>
  <c r="F24" i="4" s="1"/>
  <c r="E24" i="4"/>
  <c r="N15" i="4"/>
  <c r="O14" i="4" s="1"/>
  <c r="C6" i="4" s="1"/>
  <c r="T32" i="6"/>
  <c r="T26" i="6"/>
  <c r="G21" i="4" l="1"/>
  <c r="B4" i="4"/>
  <c r="E6" i="4" s="1"/>
  <c r="H21" i="4" l="1"/>
  <c r="G24" i="4"/>
  <c r="B55" i="6"/>
  <c r="G6" i="4"/>
  <c r="I21" i="4" l="1"/>
  <c r="J21" i="4" s="1"/>
  <c r="K21" i="4" s="1"/>
  <c r="L21" i="4" s="1"/>
  <c r="M21" i="4" s="1"/>
  <c r="N21" i="4" s="1"/>
  <c r="H2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Zyreen S. Cruz (Miescor Logistics, Inc.)</author>
  </authors>
  <commentList>
    <comment ref="E93" authorId="0" shapeId="0" xr:uid="{E876B489-710F-4710-9570-E8CA42253370}">
      <text>
        <r>
          <rPr>
            <b/>
            <sz val="9"/>
            <color indexed="81"/>
            <rFont val="Tahoma"/>
            <family val="2"/>
          </rPr>
          <t>Zyreen S. Cruz (Miescor Logistics, Inc.):</t>
        </r>
        <r>
          <rPr>
            <sz val="9"/>
            <color indexed="81"/>
            <rFont val="Tahoma"/>
            <family val="2"/>
          </rPr>
          <t xml:space="preserve">
Conjuct to wo# X23114409472
CITY GOVT OF TAGUIG</t>
        </r>
      </text>
    </comment>
    <comment ref="E136" authorId="0" shapeId="0" xr:uid="{837C11C1-D070-49F6-BDDC-14128790C43E}">
      <text>
        <r>
          <rPr>
            <b/>
            <sz val="9"/>
            <color indexed="81"/>
            <rFont val="Tahoma"/>
            <family val="2"/>
          </rPr>
          <t>DIGGING C/O POWERHOUSE WITH SUBMITTED COC 11/09/24</t>
        </r>
      </text>
    </comment>
    <comment ref="E183" authorId="0" shapeId="0" xr:uid="{B7E96747-CAFE-470B-B715-375533549F13}">
      <text>
        <r>
          <rPr>
            <b/>
            <sz val="9"/>
            <color indexed="81"/>
            <rFont val="Tahoma"/>
            <family val="2"/>
          </rPr>
          <t>Zyreen S. Cruz (Miescor Logistics, Inc.):</t>
        </r>
        <r>
          <rPr>
            <sz val="9"/>
            <color indexed="81"/>
            <rFont val="Tahoma"/>
            <family val="2"/>
          </rPr>
          <t xml:space="preserve">
ECOM TO VJC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tc={FF89100C-0E25-441F-9884-2F0E81C1D5D6}</author>
  </authors>
  <commentList>
    <comment ref="Z1" authorId="0" shapeId="0" xr:uid="{FF89100C-0E25-441F-9884-2F0E81C1D5D6}">
      <text>
        <t>[Threaded comment]
Your version of Excel allows you to read this threaded comment; however, any edits to it will get removed if the file is opened in a newer version of Excel. Learn more: https://go.microsoft.com/fwlink/?linkid=870924
Comment:
    #N/A appears if not updated in the other source file</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<sst xmlns="http://schemas.openxmlformats.org/spreadsheetml/2006/main" count="15375" uniqueCount="4366">
  <si>
    <t>SUPERVISOR</t>
  </si>
  <si>
    <t>IGL</t>
  </si>
  <si>
    <t>Count of WO NO</t>
  </si>
  <si>
    <t>Column Labels</t>
  </si>
  <si>
    <t>Row Labels</t>
  </si>
  <si>
    <t>CHALLENGER</t>
  </si>
  <si>
    <t>Grand Total</t>
  </si>
  <si>
    <t>Total TOTAL ESTIMATED COST (SERVICE ITEMS)</t>
  </si>
  <si>
    <t>Total BILLED/PARTIALLY BILLED COST</t>
  </si>
  <si>
    <t>AUDITED</t>
  </si>
  <si>
    <t>TOTAL ESTIMATED COST (SERVICE ITEMS)</t>
  </si>
  <si>
    <t>BILLED/PARTIALLY BILLED COST</t>
  </si>
  <si>
    <t>FOR AUDIT</t>
  </si>
  <si>
    <t>NO COC</t>
  </si>
  <si>
    <t>PAID</t>
  </si>
  <si>
    <t>Transferred to DCB (point person for OLDT)</t>
  </si>
  <si>
    <t>SCHED/ INPRG</t>
  </si>
  <si>
    <t>Sum of TOTAL ESTIMATED COST (SERVICES)</t>
  </si>
  <si>
    <t>Sum of BILLED / PARTIALLY BILLED COST</t>
  </si>
  <si>
    <t>ON GOING MATERIAL RETURN</t>
  </si>
  <si>
    <t>ME185130</t>
  </si>
  <si>
    <t>JEMUEL PERALTA</t>
  </si>
  <si>
    <t>ME168168</t>
  </si>
  <si>
    <t>CRIS EMMANUEL GUEVARRA</t>
  </si>
  <si>
    <t>EXT</t>
  </si>
  <si>
    <t>ME168443</t>
  </si>
  <si>
    <t>DEAN CARL BORJAL</t>
  </si>
  <si>
    <t>ME194579</t>
  </si>
  <si>
    <t>IAN PATRICK PEREZ</t>
  </si>
  <si>
    <t>ME188111</t>
  </si>
  <si>
    <t>JUSTINE RAMOS</t>
  </si>
  <si>
    <t>ME166067</t>
  </si>
  <si>
    <t>ISAN CARLO LAZARO</t>
  </si>
  <si>
    <t>P2006000921',</t>
  </si>
  <si>
    <t>ME173899</t>
  </si>
  <si>
    <t>JUNILO MICHAEL FLORES</t>
  </si>
  <si>
    <t>ME189046</t>
  </si>
  <si>
    <t>REYZON MATIENZO</t>
  </si>
  <si>
    <t>ME177199</t>
  </si>
  <si>
    <t>MARC JOSEPH FERRER</t>
  </si>
  <si>
    <t>ME155242</t>
  </si>
  <si>
    <t>RONILO JR GANGE</t>
  </si>
  <si>
    <t>Applicant facility not ready</t>
  </si>
  <si>
    <t>Applicant holds execution</t>
  </si>
  <si>
    <t>Conjuct work order not released / completed</t>
  </si>
  <si>
    <t>ECQ (Site inaccessible)</t>
  </si>
  <si>
    <t>Energized on site but insufficient contract amount / No PO (System error)</t>
  </si>
  <si>
    <t>Energized on site but with back job</t>
  </si>
  <si>
    <t>Group quarantine (Manpower)</t>
  </si>
  <si>
    <t xml:space="preserve">MEP (Meralco Electrification Project) </t>
  </si>
  <si>
    <t>Materials unavailability</t>
  </si>
  <si>
    <t>No pole stake</t>
  </si>
  <si>
    <t>Road access problem</t>
  </si>
  <si>
    <t>Special LGU permits</t>
  </si>
  <si>
    <t>Third party concern (Applicant-related compliance)</t>
  </si>
  <si>
    <t>Third party concern (Other than the applicant)</t>
  </si>
  <si>
    <t>Typhoon response</t>
  </si>
  <si>
    <t>With ROW problem</t>
  </si>
  <si>
    <t>With major design modifications</t>
  </si>
  <si>
    <t>With minor design modifications</t>
  </si>
  <si>
    <t>With pole / drainage / digging / manhole / pole attachment issue</t>
  </si>
  <si>
    <t>With scheduled PAI</t>
  </si>
  <si>
    <t>With system error issue but completed at site</t>
  </si>
  <si>
    <t>Value</t>
  </si>
  <si>
    <t>Scope</t>
  </si>
  <si>
    <t>Start and End Dates</t>
  </si>
  <si>
    <t>Required Attachment (inclusive of Start and End dates)</t>
  </si>
  <si>
    <t>Required Remarks (inclusive of Start and End dates</t>
  </si>
  <si>
    <t>customer-related</t>
  </si>
  <si>
    <t>Start Date: WMTRL Date</t>
  </si>
  <si>
    <t>Communication with CRS/Customer</t>
  </si>
  <si>
    <t>Notes on customer-related concern/s</t>
  </si>
  <si>
    <t>End Date: Date of resolution with CRS/Customer</t>
  </si>
  <si>
    <t>Reason/s of applicant holding execution</t>
  </si>
  <si>
    <r>
      <t xml:space="preserve">delay caused by parties other than the applicant (eg. LGU, HOA - </t>
    </r>
    <r>
      <rPr>
        <u/>
        <sz val="12"/>
        <color rgb="FF000000"/>
        <rFont val="Calibri"/>
        <family val="2"/>
      </rPr>
      <t>halts execution due to lack of applicant compliance</t>
    </r>
    <r>
      <rPr>
        <sz val="12"/>
        <color rgb="FF000000"/>
        <rFont val="Calibri"/>
        <family val="2"/>
      </rPr>
      <t>)</t>
    </r>
  </si>
  <si>
    <t>Start Date: Date from CRS/Design/PROW coordination</t>
  </si>
  <si>
    <t>Communication with CRS/Design/PROW</t>
  </si>
  <si>
    <t>Notes on third party-related concern/s</t>
  </si>
  <si>
    <t>End Date: Date of concern resolution</t>
  </si>
  <si>
    <t>Reason/s of delay casued by third party</t>
  </si>
  <si>
    <r>
      <t xml:space="preserve">delay caused by parties other than the applicant (eg. Neighbor, LGU, HOA - </t>
    </r>
    <r>
      <rPr>
        <u/>
        <sz val="12"/>
        <color rgb="FF000000"/>
        <rFont val="Calibri"/>
        <family val="2"/>
      </rPr>
      <t>halts execution or requests transfer of pole location/guying, etc.</t>
    </r>
    <r>
      <rPr>
        <sz val="12"/>
        <color rgb="FF000000"/>
        <rFont val="Calibri"/>
        <family val="2"/>
      </rPr>
      <t>)</t>
    </r>
  </si>
  <si>
    <t>expired or unavailable ROW/permit</t>
  </si>
  <si>
    <t>Notes on ROW-related concern/s</t>
  </si>
  <si>
    <t>Reason/s of ROW problem</t>
  </si>
  <si>
    <t xml:space="preserve">Special LGU permits </t>
  </si>
  <si>
    <t>Permits not common to other LGUs - Contractor’s Tax (Antipolo LGU), Baliwag LGU, ASEANA, BESC Permit Acquisition (BGC)</t>
  </si>
  <si>
    <t>Start Date: Start date of permit acquisition processing</t>
  </si>
  <si>
    <t>Communication with concerned party</t>
  </si>
  <si>
    <t>Notes on permit-related concern/s</t>
  </si>
  <si>
    <t xml:space="preserve">End Date: Permit acquisition </t>
  </si>
  <si>
    <t>Reason/s of permit/s problem</t>
  </si>
  <si>
    <t>applicable only to subdivision developments; not applicable if proof of pole stake is available in EAM</t>
  </si>
  <si>
    <t>Notes on pole stake-related concern/s</t>
  </si>
  <si>
    <t xml:space="preserve">Conjuct work order not released/completed </t>
  </si>
  <si>
    <t>conjuct work order number not released or not yet completed</t>
  </si>
  <si>
    <t>Start Date: Date of coordination with CRS/Design</t>
  </si>
  <si>
    <t>Communication with CRS/Design</t>
  </si>
  <si>
    <t>Notes on conjuct WO details</t>
  </si>
  <si>
    <t>Reason/s of conjuct WO delay in completion</t>
  </si>
  <si>
    <t>Minor design modifications (no change in design scheme / no additional station/task)</t>
  </si>
  <si>
    <t>Start Date: Date of coordination with Design</t>
  </si>
  <si>
    <t>Communication with Design</t>
  </si>
  <si>
    <t>Notes on design modification details</t>
  </si>
  <si>
    <t>Reason/s of design modification</t>
  </si>
  <si>
    <t>Major design modifications (with changes in design scheme / with additional station/task)</t>
  </si>
  <si>
    <t>End Date: Date released to construction after WO reversion</t>
  </si>
  <si>
    <t>With pole / drainage /digging / manhole / pole attachment issue</t>
  </si>
  <si>
    <t>Location problem not related to ROW problem and/or Thrird party concern</t>
  </si>
  <si>
    <t>Start Date: Date from Design/PROW coordination</t>
  </si>
  <si>
    <t>Communication with Design/PROW</t>
  </si>
  <si>
    <t>Notes on issues with pole / drainage / digging / manhole / pole attachment</t>
  </si>
  <si>
    <t>actual energization date must be indicated in the WO specs</t>
  </si>
  <si>
    <t>Start Date: Date energized</t>
  </si>
  <si>
    <t>Communication with vendor</t>
  </si>
  <si>
    <t>Notes on back job details</t>
  </si>
  <si>
    <t>End Date: Date of completion of back job/WO FCOMP/Date of concern resolution</t>
  </si>
  <si>
    <t>WO details/milestones</t>
  </si>
  <si>
    <t>Reason/s of back job</t>
  </si>
  <si>
    <t xml:space="preserve">Energized on site but insufficient contract amount / No PO (System error) </t>
  </si>
  <si>
    <t>Communication with PCT/NCOM</t>
  </si>
  <si>
    <t>Notes on contract insufficiency</t>
  </si>
  <si>
    <t>End Date: Date of completion of budget amendment/WO FCOMP/Date of concern resolution</t>
  </si>
  <si>
    <t>item code and desciption must be indicated in justification</t>
  </si>
  <si>
    <t>Start Date: Date material unavailability</t>
  </si>
  <si>
    <t>Communication with Stores/MMO</t>
  </si>
  <si>
    <t>Notes on materials unavailability</t>
  </si>
  <si>
    <t>End Date: Date of stock availability</t>
  </si>
  <si>
    <t>List of unavailable items</t>
  </si>
  <si>
    <t>work request number must be indicated in justification</t>
  </si>
  <si>
    <t>Start Date: Date from PAI request</t>
  </si>
  <si>
    <t>PAI details</t>
  </si>
  <si>
    <t>Notes on PAI details</t>
  </si>
  <si>
    <t>End Date: Date of PAI execution</t>
  </si>
  <si>
    <t>PROJECTS</t>
  </si>
  <si>
    <t>F</t>
  </si>
  <si>
    <t>PERFORMANCE</t>
  </si>
  <si>
    <t>RED(Above 50Days)</t>
  </si>
  <si>
    <t>NEW KPI (Starting October 2021)</t>
  </si>
  <si>
    <t>COMPUTATION: FOR FCOMP</t>
  </si>
  <si>
    <t>FOR COMP</t>
  </si>
  <si>
    <t>(-5)</t>
  </si>
  <si>
    <t>0.75 aspiration</t>
  </si>
  <si>
    <t>REMARKS</t>
  </si>
  <si>
    <t>CERTIFICATE OF COMPLETION</t>
  </si>
  <si>
    <t>FIELD AUDIT</t>
  </si>
  <si>
    <t>RE-WORK</t>
  </si>
  <si>
    <t>MATERIAL BALANCING</t>
  </si>
  <si>
    <t>TRANSMITTAL TO METER</t>
  </si>
  <si>
    <t>FOR OLDT DETAILS</t>
  </si>
  <si>
    <t>Date Received Jacket from P&amp;S</t>
  </si>
  <si>
    <t>Date Received Awarding of Wo</t>
  </si>
  <si>
    <t>VIP</t>
  </si>
  <si>
    <t>WO INITIATOR</t>
  </si>
  <si>
    <t>WO NO</t>
  </si>
  <si>
    <t>DESCRIPTION</t>
  </si>
  <si>
    <t>LOCATION</t>
  </si>
  <si>
    <t>MUNICIPALITY</t>
  </si>
  <si>
    <t>AREA OF RESPONSIBILITY</t>
  </si>
  <si>
    <t>VENDOR REMARKS (free text)</t>
  </si>
  <si>
    <t>C1 REMARKS (with or without issue)</t>
  </si>
  <si>
    <t>ASSIGNED</t>
  </si>
  <si>
    <t>STATUS</t>
  </si>
  <si>
    <t>C1 CONTRACTOR MANHOUR</t>
  </si>
  <si>
    <t>TOTAL MANHOURS</t>
  </si>
  <si>
    <t>APPLIED LOAD</t>
  </si>
  <si>
    <t>TYPE</t>
  </si>
  <si>
    <t>TOTAL PLANNED PROJECT COST</t>
  </si>
  <si>
    <t>TOTAL ESTIMATED COST (SERVICES)</t>
  </si>
  <si>
    <t>BILLED / PARTIALLY BILLED COST</t>
  </si>
  <si>
    <t>% BILLED</t>
  </si>
  <si>
    <t>DATE WMTRL</t>
  </si>
  <si>
    <t>DATE SCHED</t>
  </si>
  <si>
    <t>DATE RECEIVED BY VC</t>
  </si>
  <si>
    <t>ACTUAL DATE COMPLETED ON SITE</t>
  </si>
  <si>
    <t>DATE FCOMP</t>
  </si>
  <si>
    <t>DATE COMP</t>
  </si>
  <si>
    <t># of days WMTRL TO FCOMP
APT Without Exclusion (SPT)</t>
  </si>
  <si>
    <t># of days SCHED TO FCOMP</t>
  </si>
  <si>
    <t># of days COMP</t>
  </si>
  <si>
    <t>(0.75) DATE NEEDED FOR  WMTRL TO FCOMP</t>
  </si>
  <si>
    <t>(0.95) DATE NEEDED FOR FCOMP</t>
  </si>
  <si>
    <t>(50 DAYS) DATE NEEDED FOR  WMTRL TO FCOMP</t>
  </si>
  <si>
    <t>COMPUTED INDEX (WMTRL TO FCOMP)
CCTI Without Exclusion</t>
  </si>
  <si>
    <t>COMPUTED INDEX (COMP)</t>
  </si>
  <si>
    <t>SPT(M)</t>
  </si>
  <si>
    <t>SPT(L)</t>
  </si>
  <si>
    <t>0.75 DURATION (DAYS)</t>
  </si>
  <si>
    <t>0.95 DURATION (DAYS)</t>
  </si>
  <si>
    <t>TARGET DAYS</t>
  </si>
  <si>
    <t>SPT(M) for comp</t>
  </si>
  <si>
    <t>DURATION (DAYS)COMP</t>
  </si>
  <si>
    <t>TARGET DAYS (COMP)</t>
  </si>
  <si>
    <t>DATE NEEDED TO COMP</t>
  </si>
  <si>
    <t>TARGET DATE TO COMP</t>
  </si>
  <si>
    <t>REASON (FOR EXCLUSION)</t>
  </si>
  <si>
    <t>FOR CCTI EXCLUSION (Y/N)</t>
  </si>
  <si>
    <t>ENCODED IN EAM (Y/N)</t>
  </si>
  <si>
    <t>VALIDATED BY DCSAM (Y/N)</t>
  </si>
  <si>
    <t>For APT Exclusion (Y/N)</t>
  </si>
  <si>
    <t>START  DATE</t>
  </si>
  <si>
    <t>DURATION FOR EXCLUSION</t>
  </si>
  <si>
    <t>END DATE (FOR EXCLUSION)</t>
  </si>
  <si>
    <t>REMARKS  / FOLLOW UP BY</t>
  </si>
  <si>
    <t>REMARKS 2</t>
  </si>
  <si>
    <t>DATE NEEDED TO SUBMIT COC</t>
  </si>
  <si>
    <t>AGEING SUBMISSION OF COC</t>
  </si>
  <si>
    <t>DATE COMPLETED (FROM COC)</t>
  </si>
  <si>
    <t>ACTUAL RECEIVED COC</t>
  </si>
  <si>
    <t>DATE AUDIT</t>
  </si>
  <si>
    <t>BY:</t>
  </si>
  <si>
    <t xml:space="preserve">W/ BACK JOB </t>
  </si>
  <si>
    <t>BACKJOB TAGGED IN EAM? RE-WORK</t>
  </si>
  <si>
    <t>DATE RECEIVED BY CONTRACTOR</t>
  </si>
  <si>
    <t>DATE CORRECTED</t>
  </si>
  <si>
    <t>DATE MATERIAL BALANCING</t>
  </si>
  <si>
    <t>BY</t>
  </si>
  <si>
    <t>Y/N</t>
  </si>
  <si>
    <t>EMAILED TO METER</t>
  </si>
  <si>
    <t>DT CORRECTION METHOD</t>
  </si>
  <si>
    <t>TLN</t>
  </si>
  <si>
    <t>WITH POLE REPL?</t>
  </si>
  <si>
    <t>ACTUAL FIELD STATUS</t>
  </si>
  <si>
    <t>REMARKS3</t>
  </si>
  <si>
    <t>ABF PRINTED BY (FOR AUDIT)</t>
  </si>
  <si>
    <t xml:space="preserve">DATE PRINTED OF POLE TAG FABRICATION FORM </t>
  </si>
  <si>
    <t>POLE / TLN TAGS</t>
  </si>
  <si>
    <t>Days for Exclusion based on emails to concerned office/PCTs (Due to customer only - APT)</t>
  </si>
  <si>
    <t>APT with Exclusion</t>
  </si>
  <si>
    <t>Days for Exclusion based on emails to concerned office/PCTs (All reason - CCTI)</t>
  </si>
  <si>
    <t>Duration for CCTI with exclusion</t>
  </si>
  <si>
    <t>CCTI With Exclusion</t>
  </si>
  <si>
    <t>Meralco/Customer Reason</t>
  </si>
  <si>
    <t>Issue Remarks</t>
  </si>
  <si>
    <t>CURRENT CCTI</t>
  </si>
  <si>
    <t>CBG</t>
  </si>
  <si>
    <t>X23083339380</t>
  </si>
  <si>
    <t>TANG KUNQUAN</t>
  </si>
  <si>
    <t>QUIRINO, TAMBO, PARANAQUE</t>
  </si>
  <si>
    <t>PARAÑAQUE CITY</t>
  </si>
  <si>
    <t>PARAÑAQUE</t>
  </si>
  <si>
    <t>UG WO; with issue on pole location</t>
  </si>
  <si>
    <t>UG</t>
  </si>
  <si>
    <t>ECOM</t>
  </si>
  <si>
    <t>COMP</t>
  </si>
  <si>
    <t>NEW</t>
  </si>
  <si>
    <t>ECI</t>
  </si>
  <si>
    <t>N</t>
  </si>
  <si>
    <t>Y</t>
  </si>
  <si>
    <t>PDZC</t>
  </si>
  <si>
    <t>C5-0512, 116398, C5-8057, 518496, C5-8058</t>
  </si>
  <si>
    <t>X23083306750</t>
  </si>
  <si>
    <t>VITACARE UNIMED HOSPITAL AND MEDICAL CENTER CORP.</t>
  </si>
  <si>
    <t>DAANG-HARI RD., MOLINO IV, BACOOR</t>
  </si>
  <si>
    <t>BACOOR CITY</t>
  </si>
  <si>
    <t>DASMA</t>
  </si>
  <si>
    <t>POWERHOUSE</t>
  </si>
  <si>
    <t>TECO</t>
  </si>
  <si>
    <t>CR8-5430, CR8-8016, CR8-8016, 182943</t>
  </si>
  <si>
    <t>X23062134423</t>
  </si>
  <si>
    <t>SM DEVELOPMENT CORPORATION,</t>
  </si>
  <si>
    <t>TOWER C, BLOOM RESIDENCES, PARANAQUE</t>
  </si>
  <si>
    <t>PARANAQUE</t>
  </si>
  <si>
    <t>Conjunct with UG, target itayo poste March 6</t>
  </si>
  <si>
    <t>AVECO</t>
  </si>
  <si>
    <t>ON GOING MAT RETURN</t>
  </si>
  <si>
    <t>FULLY BILLED</t>
  </si>
  <si>
    <t>X24010270067</t>
  </si>
  <si>
    <t>PHINMA PROPERTY HOLDINGS CORPORATION</t>
  </si>
  <si>
    <t>CHROMIUM, METROTOWNE, LAS PINAS CITY</t>
  </si>
  <si>
    <t>LAS PIÑAS CITY</t>
  </si>
  <si>
    <t>UG supervisor</t>
  </si>
  <si>
    <t>W/O ISSUE</t>
  </si>
  <si>
    <t>FCOMP</t>
  </si>
  <si>
    <t>CU8-1255, 520351, CU8-8053</t>
  </si>
  <si>
    <t>X24041165129</t>
  </si>
  <si>
    <t>LIGHT RAIL MANILA CORPORATION</t>
  </si>
  <si>
    <t>NINOY AQUINO, STO. NINO, PARANAQUE</t>
  </si>
  <si>
    <t>PARANAQUE CITY</t>
  </si>
  <si>
    <t>SLEM</t>
  </si>
  <si>
    <t>X24041165310</t>
  </si>
  <si>
    <t>X24041432658</t>
  </si>
  <si>
    <t>X24020489831</t>
  </si>
  <si>
    <t>DR. A SANTOS, SAN DIONISIO, PARANAQUE</t>
  </si>
  <si>
    <t>CZ8-8066, 520527</t>
  </si>
  <si>
    <t>BIZ</t>
  </si>
  <si>
    <t>X24030698480</t>
  </si>
  <si>
    <t>BRILLO DEL ESTE DEVELOPMENT CORP.</t>
  </si>
  <si>
    <t>ADMIN-COMMERCIAL, EASTGLORY CENTER, PARANAQUE</t>
  </si>
  <si>
    <t>VJC</t>
  </si>
  <si>
    <t>PARTIALLY BILLED - 7/25/24 JSB</t>
  </si>
  <si>
    <t>C5-0154, C5-8080, 520856</t>
  </si>
  <si>
    <t>X24010113590</t>
  </si>
  <si>
    <t>LAS PINAS GENERAL HOSPITAL AND SATELLITE TRAUMA CE</t>
  </si>
  <si>
    <t>QUIRINO, PULANGLUPA I, LAS PINAS CITY</t>
  </si>
  <si>
    <t>CY7-8072, CY7-8073, 519311, CY7-8073</t>
  </si>
  <si>
    <t>X23114429217</t>
  </si>
  <si>
    <t>GOLDSERVE HOLDING COMPANY INC.</t>
  </si>
  <si>
    <t>MIA, TAMBO, PARANAQUE</t>
  </si>
  <si>
    <t>pole location issue</t>
  </si>
  <si>
    <t>W/ ISSUE</t>
  </si>
  <si>
    <t>PARTIALLY BILLED - 7/25/24 JSB, PARTIAL 5/21/2025</t>
  </si>
  <si>
    <t>B5-8037, B5-0084, B5-8038, B5-5094, B5-00971</t>
  </si>
  <si>
    <t>X24062079073</t>
  </si>
  <si>
    <t>THE LANDMARK MANILA BAY CORPORATION</t>
  </si>
  <si>
    <t>ASEANA, ASEANA BUSINESS PARK, PARANAQUE</t>
  </si>
  <si>
    <t>X24051566102</t>
  </si>
  <si>
    <t>ONE PREMIER AND TWO PREMIER CONDOMINIUM CORP.</t>
  </si>
  <si>
    <t>TWO PREMIER, ALABANG PREMIER, LAS PINAS CITY</t>
  </si>
  <si>
    <t>N/A</t>
  </si>
  <si>
    <t>X24114365991</t>
  </si>
  <si>
    <t>IFACE INC.</t>
  </si>
  <si>
    <t>STA. ANA, SUN VALLEY SUBD, PARANAQUE</t>
  </si>
  <si>
    <t>STA. ROSA</t>
  </si>
  <si>
    <t>RRG</t>
  </si>
  <si>
    <t>DZ1-8046</t>
  </si>
  <si>
    <t>X25010064382</t>
  </si>
  <si>
    <t>ACACIA REALTY CORP.</t>
  </si>
  <si>
    <t>FINANCE AVE, MADRIGAL BUSINESS PARK, MUNTINLUPA</t>
  </si>
  <si>
    <t>MUNTINLUPA CITY</t>
  </si>
  <si>
    <t>TERMINATION</t>
  </si>
  <si>
    <t>HMB</t>
  </si>
  <si>
    <t>X24124836711</t>
  </si>
  <si>
    <t>C-E CONSTRUCTION CORPORATION</t>
  </si>
  <si>
    <t>PARKWAY, FILINVEST CORPORATE CITY, MUNTINLUPA</t>
  </si>
  <si>
    <t>R23935710</t>
  </si>
  <si>
    <t>CAVITEX INFRASTRUCTURE CORP., CBG</t>
  </si>
  <si>
    <t>C5 EXTENSION, MOONWALK, PARANAQUE</t>
  </si>
  <si>
    <t>RELOC</t>
  </si>
  <si>
    <t>R21138022</t>
  </si>
  <si>
    <t>CAVITEX INFRASTRUCTURE CORP.</t>
  </si>
  <si>
    <t>STREET, MULTINATIONAL VILL, MULTINATIONAL VILL, PARANAQUE</t>
  </si>
  <si>
    <t>SCHED</t>
  </si>
  <si>
    <t>R22006061</t>
  </si>
  <si>
    <t>PCA RELOC, Overhead Facilities, N, Y, N, DEPARTMENT OF TRANSPORTATION,, CBG</t>
  </si>
  <si>
    <t>STREET, EAST SERVICE, SN MARTIN DE PORRES, PARANAQUE</t>
  </si>
  <si>
    <t>X24041158243</t>
  </si>
  <si>
    <t>ALUMINUM, METROTOWNE, LAS PINAS CITY</t>
  </si>
  <si>
    <t xml:space="preserve">UG </t>
  </si>
  <si>
    <t>Jayson Ramores</t>
  </si>
  <si>
    <t>R</t>
  </si>
  <si>
    <t>MANUAL</t>
  </si>
  <si>
    <t>AGEING DAYS SINCE FCOMP</t>
  </si>
  <si>
    <t>E2E for PRDI</t>
  </si>
  <si>
    <t>CURRENT CCTI (with exclusion)</t>
  </si>
  <si>
    <t>FINAL CCTI (LESS THAN FCOMP)</t>
  </si>
  <si>
    <t>PRDI</t>
  </si>
  <si>
    <t>Days Ageing (as of cell CJ1)</t>
  </si>
  <si>
    <t>REV/NON-REV</t>
  </si>
  <si>
    <t>AGE BRACKET</t>
  </si>
  <si>
    <t>NTC DATE CREATED</t>
  </si>
  <si>
    <t>AMOUNT</t>
  </si>
  <si>
    <t>NTC</t>
  </si>
  <si>
    <t>DATE COMPLETED NTC</t>
  </si>
  <si>
    <t>RUNNING DAYS</t>
  </si>
  <si>
    <t>NOV &amp; DEBIT MEMO DATE CREATED</t>
  </si>
  <si>
    <t>UPDATED SUPV</t>
  </si>
  <si>
    <t>SUPV NAME</t>
  </si>
  <si>
    <t>STATUS 4/4/25</t>
  </si>
  <si>
    <t>DIFF (in days) FROM WMTRL TO SCHED - 2025 WOs only</t>
  </si>
  <si>
    <t>filter</t>
  </si>
  <si>
    <t>SUPERVISOR FULL NAME</t>
  </si>
  <si>
    <t>MN</t>
  </si>
  <si>
    <t>P2004004805</t>
  </si>
  <si>
    <t>MAINT -  44WU_TLN 051257 LOADSPLIT &amp; Inst Addl 25/50/50KVA on CY8-1276/CY8-1275/CY8-1273</t>
  </si>
  <si>
    <t>DIAMOND, BERNABE PH 3 SUBD SAN DIONISIO PARAÑAQUE CITY</t>
  </si>
  <si>
    <t>not feasible; for survey team C1</t>
  </si>
  <si>
    <t>OPS</t>
  </si>
  <si>
    <t>Dean Carl Borjal</t>
  </si>
  <si>
    <t>OLDT</t>
  </si>
  <si>
    <t>Load-splitting</t>
  </si>
  <si>
    <t>TLN 051257</t>
  </si>
  <si>
    <t>With concern</t>
  </si>
  <si>
    <t>Transferred from Alvin to Jimmy</t>
  </si>
  <si>
    <t>'P2004004805',</t>
  </si>
  <si>
    <t>DCB</t>
  </si>
  <si>
    <t>P2006000420</t>
  </si>
  <si>
    <t>MAINT  45WG TLN 037283; Split Loading Inst Addl 50KVA &amp; 75KVA on A8-0440&amp;ALB1-3102</t>
  </si>
  <si>
    <t>BLOCK 32 PUROK 4 UPPER BICUTAN TAGUIG CITY</t>
  </si>
  <si>
    <t>TAGUIG CITY</t>
  </si>
  <si>
    <t>Sept 2023, ayaw magpahukay, for survey wityh design/For survey of C1 Team</t>
  </si>
  <si>
    <t>CAN</t>
  </si>
  <si>
    <t>Jenneth Madrid</t>
  </si>
  <si>
    <t>TLN 037283</t>
  </si>
  <si>
    <t>For schedule</t>
  </si>
  <si>
    <t>Transferred from Marc to Jimmy</t>
  </si>
  <si>
    <t>'P2006000420',</t>
  </si>
  <si>
    <t>P2006000610</t>
  </si>
  <si>
    <t>MAINT - 55GG_TLN 271296 Split Loading Inst Addl 50KVA on A8-0735</t>
  </si>
  <si>
    <t>JASMIN PUROK 6C LOWER BICUTAN TAGUIG CITY</t>
  </si>
  <si>
    <t>TLN 271296</t>
  </si>
  <si>
    <t>'P2006000610',</t>
  </si>
  <si>
    <t>P2006000921</t>
  </si>
  <si>
    <t>MAINT- 45WG Load-Split TLN 068256; Inst New 75KVA on DZ1-2057</t>
  </si>
  <si>
    <t>ROAD 3 NORTH DAANG HARI BAGONG TANYAG TAGUIG CITY</t>
  </si>
  <si>
    <t>not feasible; for survey team C1; continue digging on Dec 9</t>
  </si>
  <si>
    <t>TLN 068256</t>
  </si>
  <si>
    <t>'P2006000921',</t>
  </si>
  <si>
    <t>RONILO GANGE JR.</t>
  </si>
  <si>
    <t>P2009000813</t>
  </si>
  <si>
    <t>MAINT 424WU Uprate from kVA to 75kVA : [039062|WA372558|A5-0334|QS]</t>
  </si>
  <si>
    <t>ROSAL STO. NINO STO. NINO PARANAQUE</t>
  </si>
  <si>
    <t>for field survey by crew</t>
  </si>
  <si>
    <t>INPRG</t>
  </si>
  <si>
    <t>Isan Carlo Lazaro</t>
  </si>
  <si>
    <t>Uprating</t>
  </si>
  <si>
    <t>TLN 039062</t>
  </si>
  <si>
    <t>'P2009000813',</t>
  </si>
  <si>
    <t>P2006000924</t>
  </si>
  <si>
    <t>MAINT- 45WG Load-Split TLN 033207; Inst Addl 75KVA on DZ2-2222</t>
  </si>
  <si>
    <t>ROAD 1 BAGONG TANYAG BAGONG TANYAG TAGUIG CITY</t>
  </si>
  <si>
    <t>ongoing</t>
  </si>
  <si>
    <t>TLN 033207</t>
  </si>
  <si>
    <t>Transferred from Marc to Jimmy / With picture after</t>
  </si>
  <si>
    <t>'P2006000924',</t>
  </si>
  <si>
    <t>P2009000788</t>
  </si>
  <si>
    <t>MN_MA, Uprate from 37.5kVA to 75kVA : [452201|WA200084|A5-1345|421WG|QS]</t>
  </si>
  <si>
    <t>E. RODRIGUEZ JR. MOONWALK MOONWALK PARANAQUE</t>
  </si>
  <si>
    <t>TLN 452201</t>
  </si>
  <si>
    <t>Transferred from Alvin to Jimmy / Based on pics with 75KVA already</t>
  </si>
  <si>
    <t>'P2009000788',</t>
  </si>
  <si>
    <t>P2007000208</t>
  </si>
  <si>
    <t>MAINT 425WG Load-Split 087388/WA345584/100KVA; Inst Addl 75KVA on A7-1008</t>
  </si>
  <si>
    <t>KOURUS CAMELLA HOMES MERVILLE PARANAQUE</t>
  </si>
  <si>
    <t>TLN 087388</t>
  </si>
  <si>
    <t>'P2007000208',</t>
  </si>
  <si>
    <t>P2009000548</t>
  </si>
  <si>
    <t>MAINT 55GG Loadsplit [069426|WA145069|DZ2-0528|
Install addl 2-75 kVA on Pole DZ2-0526</t>
  </si>
  <si>
    <t>V.P. CRUZ PUROK 5 LOWER BICUTAN TAGUIG CITY</t>
  </si>
  <si>
    <t>TLN 069426</t>
  </si>
  <si>
    <t>'P2009000548',</t>
  </si>
  <si>
    <t>P2007000394</t>
  </si>
  <si>
    <t>MAINT_55GG Load-Split 111627/WA329429/50KVA; Inst Addl 75KVA on C8-5486</t>
  </si>
  <si>
    <t>7TH GHQ VILL SIGNAL VILLAGE TAGUIG CITY</t>
  </si>
  <si>
    <t>TLN 111627</t>
  </si>
  <si>
    <t>'P2007000394',</t>
  </si>
  <si>
    <t>P2009000586</t>
  </si>
  <si>
    <t>MN_MA, Loadsplit from kVA to 0 DT (kVA,kVA,kVA,kVA) : [134661||DV1-0012|56GG|QS]</t>
  </si>
  <si>
    <t>PRES. M.L. QUEZON CUPANG CUPANG MUNTINLUPA</t>
  </si>
  <si>
    <t>PCAN3</t>
  </si>
  <si>
    <t>TLN 134661</t>
  </si>
  <si>
    <t>Transferred from Alvin to Jimmy  / (ERV - ECOM)</t>
  </si>
  <si>
    <t>'P2009000586',</t>
  </si>
  <si>
    <t>P2101102759</t>
  </si>
  <si>
    <t>MN_MAJOR, Loadsplit 51XD  [037203|WA343521|CV8-1375||] install addl 1-75kVA  @ CV8- 1384</t>
  </si>
  <si>
    <t>5TH GOLDEN GATE SUBD TALON III LAS PINAS CITY</t>
  </si>
  <si>
    <t>TLN 037203</t>
  </si>
  <si>
    <t>'P2101102759',</t>
  </si>
  <si>
    <t>P2101102674</t>
  </si>
  <si>
    <t>MN_MAJOR, Loadsplit from 75kVA : [003404|WA110981|DR1-0404|57GG|]</t>
  </si>
  <si>
    <t>ESTANISLAO LAKEVIEW HOMES I PUTATAN MUNTINLUPA</t>
  </si>
  <si>
    <t xml:space="preserve">change vendor/For Re-assignmnet </t>
  </si>
  <si>
    <t>TLN 003404</t>
  </si>
  <si>
    <t>'P2101102674',</t>
  </si>
  <si>
    <t>P2101102720</t>
  </si>
  <si>
    <t>MN_MAJOR, Loadsplit from 100kVA : [069436|WA368739|B8-0835|55GG|]</t>
  </si>
  <si>
    <t>MIRANDA ZONE 1 SIGNAL VILLAGE TAGUIG CITY</t>
  </si>
  <si>
    <t>TLN 069436</t>
  </si>
  <si>
    <t>'P2101102720',</t>
  </si>
  <si>
    <t>P2101102682</t>
  </si>
  <si>
    <t>MN_MAJOR, Loadsplit from 75kVA : [063873|WA344251|DR1-1343|46WH|]</t>
  </si>
  <si>
    <t>BORACAY CAMELLA HOMES ALABANG 4 SUBD POBLACION MUNTINLUPA</t>
  </si>
  <si>
    <t>for crew survey; for C1 survey</t>
  </si>
  <si>
    <t>TLN 063873</t>
  </si>
  <si>
    <t>'P2101102682',</t>
  </si>
  <si>
    <t>MAINT - 414FIL - Retirement of Idle poles and other facilities pole DU1-2176</t>
  </si>
  <si>
    <t>ALABANG-ZAPOTE FILINVEST CORPORATE CITY ALABANG MUNTINLUPA</t>
  </si>
  <si>
    <t xml:space="preserve">for permit on Feb. 22, 2023; no feed back; permit lapsed (03-08-23); </t>
  </si>
  <si>
    <t>Ronilo Gange Jr.</t>
  </si>
  <si>
    <t>RETIREMENT OF IDLE FACILITES</t>
  </si>
  <si>
    <t>'100338058856',</t>
  </si>
  <si>
    <t>OK</t>
  </si>
  <si>
    <t>X21062562359</t>
  </si>
  <si>
    <t>NO BIA, INC.</t>
  </si>
  <si>
    <t>LANGKA, FTI CPD, TAGUIG CITY</t>
  </si>
  <si>
    <t>for cancellation, 1/11-transferred to other vendors, 2-22 same remarks</t>
  </si>
  <si>
    <t>Jemuel Peralta</t>
  </si>
  <si>
    <t>B8-1847, 662411</t>
  </si>
  <si>
    <t>'X21062562359',</t>
  </si>
  <si>
    <t>JSP</t>
  </si>
  <si>
    <t>MAINT - 414FIL - Retirement of Idle poles and other facilities pole DU1-2307 &amp; DU1-2308</t>
  </si>
  <si>
    <t>MALACCA LANE FILINVEST CORPORATE CITY ALABANG MUNTINLUPA</t>
  </si>
  <si>
    <t>w/ pole attachments</t>
  </si>
  <si>
    <t>'100338058959',</t>
  </si>
  <si>
    <t xml:space="preserve">MAINT - 414FIL - Retirement of Idle poles and other facilities pole DT1-2353 &amp; DT1-2180 </t>
  </si>
  <si>
    <t>PARKWAY FILINVEST CORPORATE CITY ALABANG MUNTINLUPA</t>
  </si>
  <si>
    <t>JDZ</t>
  </si>
  <si>
    <t>'100338059056',</t>
  </si>
  <si>
    <t>MAINT - 414FIL - Retirement of Idle poles &amp; facilities P# DU1-2173,DU1-2282,DU1-2172,NPT</t>
  </si>
  <si>
    <t>MANDARIN PLEASANT VILL BAYANAN MUNTINLUPA</t>
  </si>
  <si>
    <t>'100338058517',</t>
  </si>
  <si>
    <t>MAINT - 414FIL - Retirement of Idle poles and other facilities pole DU1-0002-T &amp; DU1-2172-B</t>
  </si>
  <si>
    <t>'100338058622',</t>
  </si>
  <si>
    <t>P2106111928</t>
  </si>
  <si>
    <t>MAINT 43XD Loadsplit [037150|WA196961|CX7-0436||]
Install 1-50kVA DT on pole CX7-0434</t>
  </si>
  <si>
    <t>KASOY DO?A MANUELA SUBD PH 4-A PAMPLONA III LAS PINAS CITY</t>
  </si>
  <si>
    <t>for confirmation; crew survey of C1</t>
  </si>
  <si>
    <t>TLN 037150</t>
  </si>
  <si>
    <t>Scheduled</t>
  </si>
  <si>
    <t>'P2106111928',</t>
  </si>
  <si>
    <t>P2007000361</t>
  </si>
  <si>
    <t>MAINT Load-Split 086298/WA350686/100KVA; 
Inst Addl 1-75kVA DT on pole B8-6252 (new pole)</t>
  </si>
  <si>
    <t>DIRECTO ZONE 2 SIGNAL VILLAGE TAGUIG CITY</t>
  </si>
  <si>
    <t>for survey with QI, refer to design</t>
  </si>
  <si>
    <t>TLN 086298</t>
  </si>
  <si>
    <t>Transferred from Alvin to Jimmy / With Installation of new pole</t>
  </si>
  <si>
    <t>'P2007000361',</t>
  </si>
  <si>
    <t>R20784640</t>
  </si>
  <si>
    <t>ALLANIQUE REALTY DEVT CORP</t>
  </si>
  <si>
    <t>L. ALLANIQUE, BARANGAY VILL, PARANAQUE</t>
  </si>
  <si>
    <t>customer refuse on location of pole digging 5/20/2025
for BC coordiantion on WO cancellation 2/15
re-surveyed 07/17/2024
to install pole in-front of existing and use small aleyarm as support</t>
  </si>
  <si>
    <t>(R) W/O ISSUE</t>
  </si>
  <si>
    <t>CY9-0440, CY9-5932</t>
  </si>
  <si>
    <t>'R20784640',</t>
  </si>
  <si>
    <t>REL</t>
  </si>
  <si>
    <t>R19617176</t>
  </si>
  <si>
    <t>OFFICE OF CONGRESSMAN STRIKE B. REVILLA,</t>
  </si>
  <si>
    <t>GEN. EMILIO AGUINALDO, PANAPAAN VI, BACOOR</t>
  </si>
  <si>
    <t>Job 3 for SSP/liveline, Job 4 with telco for email to FA, Job 5 for survey live line, Task 10 with issue on hukay, request assistance bacoor, job 7 for PAI sched;</t>
  </si>
  <si>
    <t>'R19617176',</t>
  </si>
  <si>
    <t>X21083519494</t>
  </si>
  <si>
    <t>SEVEN TALL TREES EVENTS, INC.</t>
  </si>
  <si>
    <t>for permit re application 2/15</t>
  </si>
  <si>
    <t>C4-5094, 126264</t>
  </si>
  <si>
    <t>'X21083519494',</t>
  </si>
  <si>
    <t>P2106111943</t>
  </si>
  <si>
    <t>MAINT 45XD Loadsplit [035879|WA141444|CX8-0551||]
install 1-75kVA DT on pole CX8-0552</t>
  </si>
  <si>
    <t>KYOTO BF HOMES BF HOMES PARANAQUE</t>
  </si>
  <si>
    <t>TLN 035879</t>
  </si>
  <si>
    <t>Transferred from Alvin to Jimmy
Issued and returned as surplus, for re-sched by MECO crew but re-assign to C1 and assign to powerhouse</t>
  </si>
  <si>
    <t>'P2106111943',</t>
  </si>
  <si>
    <t>X21094255140</t>
  </si>
  <si>
    <t>BAYPRIME PROPERTIES INC.</t>
  </si>
  <si>
    <t>for WO cancellation? DT still in used</t>
  </si>
  <si>
    <t>FOR CANCELLATION</t>
  </si>
  <si>
    <t>CLOSED-CAN</t>
  </si>
  <si>
    <t>COMP-CAN 6/26/2025</t>
  </si>
  <si>
    <t>EXECUTED THRU WO X21094255140</t>
  </si>
  <si>
    <t>C5-5085, C5-5500, C5-5501, 169547</t>
  </si>
  <si>
    <t>'X21094255140',</t>
  </si>
  <si>
    <t>R21040226</t>
  </si>
  <si>
    <t>YIELDERS TRADING CORPORATION</t>
  </si>
  <si>
    <t>STA. AGUEDA, STO. NINO, PARANAQUE</t>
  </si>
  <si>
    <t>B5-1677, B5-5719, B5-0469, 674317, B5-5649, 201042</t>
  </si>
  <si>
    <t>'R21040226',</t>
  </si>
  <si>
    <t>X21104486609</t>
  </si>
  <si>
    <t>JEFFREY SAGUN CHAN</t>
  </si>
  <si>
    <t>MATTHEW, MULTINATIONAL VILL, PARANAQUE</t>
  </si>
  <si>
    <t>for follow up Pque BC, DT location issue, 1/11-customer doesn't want DT in front of house, task 3, neighbor holds execution, DT already installed on site - 2/22</t>
  </si>
  <si>
    <t>MODIFICATION</t>
  </si>
  <si>
    <t>CZ8-0312, CZ8-0313, 204233</t>
  </si>
  <si>
    <t>'X21104486609',</t>
  </si>
  <si>
    <t>X21030949643</t>
  </si>
  <si>
    <t>ROBERTO DE MESA BUNYI</t>
  </si>
  <si>
    <t>HENRY IDE, KATARUNGAN VILLAGE, MUNTINLUPA</t>
  </si>
  <si>
    <t>HOA ISSUE; HOA holds exection of project; FOR CANCELLATION (superseded by WO X23010211288)</t>
  </si>
  <si>
    <t>PCAN</t>
  </si>
  <si>
    <t>CS9-5807, CS9-5808, CS9-5809, 195424, CS9-5812, CS9-5810, CS9-5811</t>
  </si>
  <si>
    <t>'X21030949643',</t>
  </si>
  <si>
    <t>R19291776</t>
  </si>
  <si>
    <t>CITY GOVERNMENT OF BACOOR</t>
  </si>
  <si>
    <t>GEN. TIRONA, HABAY I, BACOOR</t>
  </si>
  <si>
    <t>pole location issue (02-15-23); +1 POLE TASK 1</t>
  </si>
  <si>
    <t>Karl Ferdinand Ruiz</t>
  </si>
  <si>
    <t>CW5-5786, CW5-5786, CW5-5785, CW5-5785, CW5-6392, CW5-6393, CX5-0074-T, CW5-0737, 084258, 016045, CW5-0919, 047121, CW5-5787</t>
  </si>
  <si>
    <t>'R19291776',</t>
  </si>
  <si>
    <t>R21631238</t>
  </si>
  <si>
    <t>N. ARMSTRONG, MOONWALK, PARANAQUE</t>
  </si>
  <si>
    <t>awaiting clearance from CAVITEX on completion of project, task 11 modification</t>
  </si>
  <si>
    <t>PCA RELOC</t>
  </si>
  <si>
    <t>'R21631238',</t>
  </si>
  <si>
    <t>P2107115141</t>
  </si>
  <si>
    <t>MN_MAJOR (WDESIGN), CONGRESSMAN OFFICE STRIKE B. REVILLA, Relocation Request along Bacoor,Cavite</t>
  </si>
  <si>
    <t>MOLINO BLVD., BAYANAN, BACOOR</t>
  </si>
  <si>
    <t>ongoing pole installation - with overlapping to P2111120001; for prioritization; for execution on 5th week of March; for execution for the month of May; job 3 done; job 4 hotline works; job 2 hotline works; job 1 PAI
remaining site 1 site 2 and site 4</t>
  </si>
  <si>
    <t>MN MAJOR</t>
  </si>
  <si>
    <t>'P2107115141',</t>
  </si>
  <si>
    <t>R21662615</t>
  </si>
  <si>
    <t>FOOD TERMINAL, INC.</t>
  </si>
  <si>
    <t>for completion May 2022</t>
  </si>
  <si>
    <t>DPRG-PCR</t>
  </si>
  <si>
    <t>Raeven De Quiroz</t>
  </si>
  <si>
    <t>CHECKING OF SERVICE ITEM</t>
  </si>
  <si>
    <t>WITH BACKJOB , BILLED</t>
  </si>
  <si>
    <t>AZT</t>
  </si>
  <si>
    <t>B8-6279, B8-6280, B8-6281</t>
  </si>
  <si>
    <t>'R21662615',</t>
  </si>
  <si>
    <t>MBF</t>
  </si>
  <si>
    <t>R20609999</t>
  </si>
  <si>
    <t>KAINGIN RD., KAINGIN, PARANAQUE</t>
  </si>
  <si>
    <t>PENDING MPTS</t>
  </si>
  <si>
    <t>'R20609999',</t>
  </si>
  <si>
    <t>X22052042329</t>
  </si>
  <si>
    <t>MARIA IMELDA BUYOC SANDWEG</t>
  </si>
  <si>
    <t>JOY, DREAMLAND SUBD, PARANAQUE</t>
  </si>
  <si>
    <t>with issue, 1/11-with cash bond</t>
  </si>
  <si>
    <t>CX9-0863, 034987, CX9-2040, 212355, CX9-0862, CX9-5935</t>
  </si>
  <si>
    <t>'X22052042329',</t>
  </si>
  <si>
    <t>R21631255</t>
  </si>
  <si>
    <t>CAVITEX INFRASTRUCTURE CORP.,</t>
  </si>
  <si>
    <t>E. RODRIGUEZ JR. INT, STO. NINO, PARANAQUE</t>
  </si>
  <si>
    <t>for completion within September; w/ ROW issue w/ SM; pending MPTS</t>
  </si>
  <si>
    <t>PARTIALLY BILLED</t>
  </si>
  <si>
    <t>'R21631255',</t>
  </si>
  <si>
    <t>R21135764</t>
  </si>
  <si>
    <t>MULTINATIONAL VILL, MULTINATIONAL VILL, PARANAQUE</t>
  </si>
  <si>
    <t>for completion within October; on going digging, tasks 5 and 7(90 ft), 11; asking for assistance w/ MPTS</t>
  </si>
  <si>
    <t>'R21135764',</t>
  </si>
  <si>
    <t>X22093866615</t>
  </si>
  <si>
    <t>DULCINEA BALCE SANTOS</t>
  </si>
  <si>
    <t>HAITI, BETTER LIVING SUBD, PARANAQUE</t>
  </si>
  <si>
    <t>joint survey within September 2023/ Pole location issue for Survey 3/20/25- sched for digging ; WO COMPLETED CONJUCT WO (X25041157540)</t>
  </si>
  <si>
    <t>DY1-5978</t>
  </si>
  <si>
    <t>'X22093866615',</t>
  </si>
  <si>
    <t>X22031018462</t>
  </si>
  <si>
    <t>GLOBE TELECOM, INC.</t>
  </si>
  <si>
    <t>BLOCK 13, BERNABE CPD, LAS PINAS CITY</t>
  </si>
  <si>
    <t>with digging issue; w/ ROW issue (03-16-23); for digging (03-23-23); follow up to BC
Pole location issue (with drainage) - resolved (with revised plan / new pole location and tapping point - revised last 05/16/2023)
09192023
ROW issue - MIDC and GLOBE has on-going negotiation for the neighbor's concent as per CRS TSE
11242023
ROW issue - waiting for update from Globe for the neighbor's concent as per TSE</t>
  </si>
  <si>
    <t>CY7-2464, CY7-6092, CY7-6085, 204030</t>
  </si>
  <si>
    <t>'X22031018462',</t>
  </si>
  <si>
    <t>P2207136641</t>
  </si>
  <si>
    <t>RTA MN_ 415FIL Replacement of Wood Pole on DU1-0017</t>
  </si>
  <si>
    <t>ILAYA ALABANG ALABANG MUNTINLUPA</t>
  </si>
  <si>
    <t>contact person needed from BC; for checking w/ PnS</t>
  </si>
  <si>
    <t>RTA</t>
  </si>
  <si>
    <t>'P2207136641',</t>
  </si>
  <si>
    <t>P2211141348</t>
  </si>
  <si>
    <t>RTA MN - 415FIL - DT1-0065 - Replacement of rotten, hazardous and old standard pole</t>
  </si>
  <si>
    <t>T. MOLINA ALABANG ALABANG MUNTINLUPA</t>
  </si>
  <si>
    <t>'P2211141348',</t>
  </si>
  <si>
    <t>P2211141350</t>
  </si>
  <si>
    <t>RTA MN - 415FIL - DU1-0445 - Replacement of rotten, hazardous and old standard pole</t>
  </si>
  <si>
    <t>'P2211141350',</t>
  </si>
  <si>
    <t>P2211141356</t>
  </si>
  <si>
    <t>RTA MN - 415FIL - DT1-0057 - Replacement of rotten, hazardous and old standard pole</t>
  </si>
  <si>
    <t>ILAYA PUROK 7 ALABANG MUNTINLUPA</t>
  </si>
  <si>
    <t>'P2211141356',</t>
  </si>
  <si>
    <t>P2211141357</t>
  </si>
  <si>
    <t>RTA MN - 415FIL - DU1-0003 - Replacement of rotten, hazardous and old standard pole</t>
  </si>
  <si>
    <t>'P2211141357',</t>
  </si>
  <si>
    <t>P2211141358</t>
  </si>
  <si>
    <t>RTA MN - 415FIL - DV1-0001 - Replacement of rotten, hazardous and old standard pole</t>
  </si>
  <si>
    <t>VINALON PUROK 3 CUPANG MUNTINLUPA</t>
  </si>
  <si>
    <t>'P2211141358',</t>
  </si>
  <si>
    <t>P2211141362</t>
  </si>
  <si>
    <t>RTA MN - 415FIL - DT1-0050 - Replacement of rotten, hazardous and old standard pole</t>
  </si>
  <si>
    <t>'P2211141362',</t>
  </si>
  <si>
    <t>P2211141366</t>
  </si>
  <si>
    <t>RTA MN - 425FIL - DT1-0140 - Replacement of rotten, hazardous and old standard pole</t>
  </si>
  <si>
    <t>NATIONAL ALABANG ALABANG MUNTINLUPA</t>
  </si>
  <si>
    <t>'P2211141366',</t>
  </si>
  <si>
    <t>P2211141368</t>
  </si>
  <si>
    <t>RTA MN - 425FIL - DT1-0264 - Replacement of rotten, hazardous and old standard pole</t>
  </si>
  <si>
    <t>M. DOLLETON PUROK 1 BAYANAN MUNTINLUPA</t>
  </si>
  <si>
    <t>for scheduling, drainage and waterline</t>
  </si>
  <si>
    <t>'P2211141368',</t>
  </si>
  <si>
    <t>P2211141370</t>
  </si>
  <si>
    <t>RTA MN - 425FIL - ALB1-1897 - Replacement of rotten, hazardous and old standard pole</t>
  </si>
  <si>
    <t>HERRERA JR. PUROK 1 BAYANAN MUNTINLUPA</t>
  </si>
  <si>
    <t>for scheduling, check pole tag</t>
  </si>
  <si>
    <t>'P2211141370',</t>
  </si>
  <si>
    <t>P2211141364</t>
  </si>
  <si>
    <t>RTA MN - 425FIL - DS1-0169 - Replacement of rotten, hazardous and old standard pole</t>
  </si>
  <si>
    <t>VIRGO PUROK 1 BAYANAN MUNTINLUPA</t>
  </si>
  <si>
    <t>for scheduling</t>
  </si>
  <si>
    <t>'P2211141364',</t>
  </si>
  <si>
    <t>R21956925</t>
  </si>
  <si>
    <t>MACAGGA DANICA RUTH RABENA</t>
  </si>
  <si>
    <t>REYVILLE I SUBD, REYVILLE I SUBD, BACOOR</t>
  </si>
  <si>
    <t>current plan cannot be executed due to the lack of space for installing a down guy; contractor cannot execute; for digging on Feb. 21, 2023; w/ customer issue:
FOR CANCELLATION</t>
  </si>
  <si>
    <t>PCAN4</t>
  </si>
  <si>
    <t>'R21956925',</t>
  </si>
  <si>
    <t>P2211141365</t>
  </si>
  <si>
    <t>RTA MN - 425FIL - NPT(NR DT1-5850) - Replacement of rotten, hazardous and old standard pole</t>
  </si>
  <si>
    <t>for scheduling, check if wood pole</t>
  </si>
  <si>
    <t>'P2211141365',</t>
  </si>
  <si>
    <t>P2211141360</t>
  </si>
  <si>
    <t>RTA MN - 415FIL - DU1-0119-T - Replacement of rotten, hazardous and old standard pole</t>
  </si>
  <si>
    <t>'P2211141360',</t>
  </si>
  <si>
    <t>P2211141361</t>
  </si>
  <si>
    <t>RTA MN - 415FIL - DU1-0117-T - Replacement of rotten, hazardous and old standard pole</t>
  </si>
  <si>
    <t>'P2211141361',</t>
  </si>
  <si>
    <t>P2211141332</t>
  </si>
  <si>
    <t>RTA MN - 415FIL - DU1-5951 - Replacement of rotten, hazardous and old standard pole</t>
  </si>
  <si>
    <t>MONTILLANO ALABANG ALABANG MUNTINLUPA</t>
  </si>
  <si>
    <t>'P2211141332',</t>
  </si>
  <si>
    <t>P2211141351</t>
  </si>
  <si>
    <t>RTA MN - 415FIL - DU1-0686 - Replacement of rotten, hazardous and old standard pole</t>
  </si>
  <si>
    <t>PNR CUPANG CUPANG MUNTINLUPA</t>
  </si>
  <si>
    <t>'P2211141351',</t>
  </si>
  <si>
    <t>P2211141353</t>
  </si>
  <si>
    <t>RTA MN - 415FIL - DT1-0061 - Replacement of rotten, hazardous and old standard pole</t>
  </si>
  <si>
    <t>MENDIOLA PUROK 1 ALABANG MUNTINLUPA</t>
  </si>
  <si>
    <t>'P2211141353',</t>
  </si>
  <si>
    <t>P2211141343</t>
  </si>
  <si>
    <t>RTA MN - 415FIL - ALB1-1353 - Replacement of rotten, hazardous and old standard pole</t>
  </si>
  <si>
    <t>CAPT. IGNACIO MABOLO I MABOLO I BACOOR CAVITE</t>
  </si>
  <si>
    <t>'P2211141343',</t>
  </si>
  <si>
    <t>P2211141342</t>
  </si>
  <si>
    <t>RTA MN - 415FIL - DT2-2199 - Replacement of rotten, hazardous and old standard pole</t>
  </si>
  <si>
    <t>SAN GUILLERMO BAYANAN BAYANAN MUNTINLUPA</t>
  </si>
  <si>
    <t>digging done, schedule only at night</t>
  </si>
  <si>
    <t>'P2211141342',</t>
  </si>
  <si>
    <t>P2211141340</t>
  </si>
  <si>
    <t>RTA MN - 415FIL - DT1-0301 - Replacement of rotten, hazardous and old standard pole</t>
  </si>
  <si>
    <t>SAN GUILLERMO PUTATAN PUTATAN MUNTINLUPA</t>
  </si>
  <si>
    <t>'P2211141340',</t>
  </si>
  <si>
    <t>P2211141328</t>
  </si>
  <si>
    <t>RTA MN - 425FIL/415FIL - DS1-5305 - Replacement of rotten, hazardous and old standard pole</t>
  </si>
  <si>
    <t>'P2211141328',</t>
  </si>
  <si>
    <t>P2211141377</t>
  </si>
  <si>
    <t>RTA MN 425FIL  - NPT (DR1-0242) Replacement of rotten, hazardous and old standard pole</t>
  </si>
  <si>
    <t>P. DIAZ POBLACION POBLACION MUNTINLUPA</t>
  </si>
  <si>
    <t>'P2211141377',</t>
  </si>
  <si>
    <t>X22125127907</t>
  </si>
  <si>
    <t>MEGAWIDE CONSTRUCTION CORPORATION</t>
  </si>
  <si>
    <t>ALABANG-ZAPOTE, PAMPLONA I, LAS PINAS CITY</t>
  </si>
  <si>
    <t>for execution on March 7, 2023; for execution on March 30, 2023; for execution on April 28, 2023</t>
  </si>
  <si>
    <t>CX7-5836, CX7-5837, 171617</t>
  </si>
  <si>
    <t>'X22125127907',</t>
  </si>
  <si>
    <t>P2301143548</t>
  </si>
  <si>
    <t>PQUE 43WU Loadsplit [035817|WA359894|CW9-0271|Install 1-75kVA DT on pole CW9-0211 W/POLE</t>
  </si>
  <si>
    <t>ADELITA CHIOCO BF HOMES BF HOMES PARANAQUE</t>
  </si>
  <si>
    <t>with customer opposition sa bunot tayong poste 0419</t>
  </si>
  <si>
    <t>TLN 035817</t>
  </si>
  <si>
    <t>CW9-0211, 035817</t>
  </si>
  <si>
    <t>'P2301143548',</t>
  </si>
  <si>
    <t>P2301143554</t>
  </si>
  <si>
    <t>PQUE 415FIL Loadsplit [419127|WA196183|DT2-2061|Install additional 1-50kVA DT on pole DT2-2060</t>
  </si>
  <si>
    <t>3RD L &amp; B CPD 2 ALABANG MUNTINLUPA</t>
  </si>
  <si>
    <t>with execution issue; accessibility; for survey c/o C1</t>
  </si>
  <si>
    <t>TLN 419127</t>
  </si>
  <si>
    <t>DT2-2060, 419127</t>
  </si>
  <si>
    <t>'P2301143554',</t>
  </si>
  <si>
    <t>R21631694</t>
  </si>
  <si>
    <t>KAINGIN, STO. NIÑO, PARAÑAQUE</t>
  </si>
  <si>
    <t>ongoing (03-16-23); c/o MPTS</t>
  </si>
  <si>
    <t>'R21631694',</t>
  </si>
  <si>
    <t>R22344695</t>
  </si>
  <si>
    <t>ALVEO LAND CORPORATION</t>
  </si>
  <si>
    <t>MADRIGAL BUSINESS PARK, ALABANG, MUNTINLUPA</t>
  </si>
  <si>
    <t>for PAI and for schedule after Dapulang Project</t>
  </si>
  <si>
    <t>CU9-5930, CU9-5931, CU9-5932, CU9-8002, CU9-8003, CU9-1748</t>
  </si>
  <si>
    <t>'R22344695',</t>
  </si>
  <si>
    <t>Erika Mae Orlina</t>
  </si>
  <si>
    <t>X22104175107</t>
  </si>
  <si>
    <t>MARK KENNETH VITUG FLORES</t>
  </si>
  <si>
    <t>MAPLE DRIVE, MENLO PARK, PARANAQUE</t>
  </si>
  <si>
    <t>X22104473949</t>
  </si>
  <si>
    <t>CELEDONIA C. UTANES</t>
  </si>
  <si>
    <t>KYOTO COR JERUSALEM ST., BF HOMES, PARAÑAQUE</t>
  </si>
  <si>
    <t>Digging Prob.</t>
  </si>
  <si>
    <t>CX8-0460, CX8-8074, CX8-0459, 514959, CX8-0547, CX8-8075</t>
  </si>
  <si>
    <t>'X22104473949',</t>
  </si>
  <si>
    <t>X23072866920</t>
  </si>
  <si>
    <t>STA. INES, SAN ANTONIO VALLEY 6, PARANAQUE</t>
  </si>
  <si>
    <t>As per contractor, nakausap nila yung HOA, may i-sesettle pa daw si Globe sakanila. Bukod po dito, nakausap din ng contractor yung tapat ng pagtatayuan ng poste, ayaw rin nito pumayag.
3/16/24 - Already installed pole on 3/13/24, installed DT on 3/15/24; Pending energization of Globe due to issue with HOA</t>
  </si>
  <si>
    <t>CANCELLED</t>
  </si>
  <si>
    <t>Awaiting reply kay Monica, for confirmation ng issue</t>
  </si>
  <si>
    <t>CX8-0211, CX8-8131, 518095, CY9-0203</t>
  </si>
  <si>
    <t>'X23072866920',</t>
  </si>
  <si>
    <t>R22633190</t>
  </si>
  <si>
    <t>CANDIE CHUA CO.</t>
  </si>
  <si>
    <t>BLK 8, PALM COAST MARINA, PARANAQUE</t>
  </si>
  <si>
    <t xml:space="preserve">For Sched September 26, 2023 survey/digging; pole location issue
Update as of October 28. Issue on HOA  and Customer not yet conduct meeting to resolve the issue </t>
  </si>
  <si>
    <t>B4-2049, 113551, B4-8013, B4-5058, B4-2048</t>
  </si>
  <si>
    <t>'R22633190',</t>
  </si>
  <si>
    <t>P2210140139</t>
  </si>
  <si>
    <t>ECP-SR:, ASEANA ,DEVT OF 115KV-34.5KV GIS SS Station Service</t>
  </si>
  <si>
    <t>BELLE, ASEANA BUSINESS PARK, PARANAQUE</t>
  </si>
  <si>
    <t>pole staking 10/13/2023, 
02/07/2024 
-With revision and for approval of ASEANA
3/26/24: Approved design by ABPEA
-to request for another joint survey and pole staking
-VJCto secure and pay for permit after the approval of revised plan
6/6/24 - for payment of permit c/o VJC
7/11/24 - VJCpaid permit
7/15/24 - ABPEA released working permit &amp; gate pass permit
FOR ENERGIZATION WITH CONJ. WO FROM C2</t>
  </si>
  <si>
    <t>ECP</t>
  </si>
  <si>
    <t>C5-5609, C5-8032, C5-8033, C5-8034, C5-8035, C5-8001, 514027</t>
  </si>
  <si>
    <t>'P2210140139',</t>
  </si>
  <si>
    <t>X23072873118</t>
  </si>
  <si>
    <t>JOSEPH T. CHUA</t>
  </si>
  <si>
    <t>NARRA, LAKEVIEW HOMES I, MUNTINLUPA</t>
  </si>
  <si>
    <t>HOA claiming that they owned the property not by LGU
(on-going return of surplus materials)
FOR CANCELLATION</t>
  </si>
  <si>
    <t>DR1-1524, ALB1-1297, ALB1-1939, DS1-8036, DS1-8037, DS1-8038, 518136, DS1-8039, DR1-1109, DS1-8040</t>
  </si>
  <si>
    <t>'X23072873118',</t>
  </si>
  <si>
    <t>X22114887149</t>
  </si>
  <si>
    <t>ZENAIDA M. CELESTINO</t>
  </si>
  <si>
    <t>DOÑA INES, ALABANG HILLS SUBD PH 2, MUNTINLUPA</t>
  </si>
  <si>
    <t>pole location issue for referral to BC</t>
  </si>
  <si>
    <t>DV1-0203, 801837, DV1-0204, 515089, DV1-0205</t>
  </si>
  <si>
    <t>'X22114887149',</t>
  </si>
  <si>
    <t>X23104085941</t>
  </si>
  <si>
    <t>D.L. CERVANTES CONSTRUCTION CORPORATION</t>
  </si>
  <si>
    <t>ARIA, STA. CECILIA VILL, LAS PINAS CITY</t>
  </si>
  <si>
    <t>For Schedule</t>
  </si>
  <si>
    <t>CW7-1298, 197239</t>
  </si>
  <si>
    <t>'X23104085941',</t>
  </si>
  <si>
    <t>X23031072544</t>
  </si>
  <si>
    <t>MA. FIDES CARLA OASAN TALADUA</t>
  </si>
  <si>
    <t>BLOCK 8, AVIDA SETTINGS CAVITE PH2, BACOOR</t>
  </si>
  <si>
    <t>Hold by Developer  due to need Meralco coordination</t>
  </si>
  <si>
    <t>CP7-5251, 127774, 516578, CP7-5278</t>
  </si>
  <si>
    <t>'X23031072544',</t>
  </si>
  <si>
    <t>X23093558896</t>
  </si>
  <si>
    <t>HELENE ASHLEY RAZO VERA CRUZ</t>
  </si>
  <si>
    <t>CAVITE, ALABANG HILLS SUBD PH 3, MUNTINLUPA</t>
  </si>
  <si>
    <t>for digging</t>
  </si>
  <si>
    <t>DV1-0420, DV1-0450, DV1-8002, DV1-8003, 516687, DV1-0448</t>
  </si>
  <si>
    <t>'X23093558896',</t>
  </si>
  <si>
    <t>X22114818590</t>
  </si>
  <si>
    <t>NILO F OMILLO</t>
  </si>
  <si>
    <t>TOURMALINE, LAS PINAS RYL EST1, LAS PINAS CITY</t>
  </si>
  <si>
    <t>CX7-1183, CX7-1184, CX7-1218, CX7-8039, CX7-8040, CX7-1266, 515051, CX7-1267, CU8-5016</t>
  </si>
  <si>
    <t>'X22114818590',</t>
  </si>
  <si>
    <t>X23010135604</t>
  </si>
  <si>
    <t>DANILO CASPE SEPTIMO</t>
  </si>
  <si>
    <t>P.D.A., SITIO BAGONG SILANG, PARANAQUE</t>
  </si>
  <si>
    <t>Permit issue
01/30/2024
-BC emailed that they had a meeting last time with Muntinlupa LGU &amp; Paranaque LGU that they will secure a work permit first to them before we re-execute the project.
3/27/2024
ROW team set a joint survey and meeting as requested by Muntinlupa LGU to settle the issue
4/23/2024
C1 email BC requesting for update
07/8/2024
-still not settle the dispute as per ROW (HOA complain to BC for the completion of loadside by CBM before the start of execution)
(on-going return of surplus materials)
FOR CANCELLATION</t>
  </si>
  <si>
    <t>DW1-5973, DW1-5975, DW1-8004, DW1-8005, DW1-8006, DW1-8007, DW1-8008, 515490</t>
  </si>
  <si>
    <t>'X23010135604',</t>
  </si>
  <si>
    <t>X23010135483</t>
  </si>
  <si>
    <t>ELENA SALAZAR BOÑAGA</t>
  </si>
  <si>
    <t>DW1-8003, 515471</t>
  </si>
  <si>
    <t>'X23010135483',</t>
  </si>
  <si>
    <t>X22114994258</t>
  </si>
  <si>
    <t>MAYNILAD WATER SERVICES, INC.</t>
  </si>
  <si>
    <t>SAN GUILLERMO, BAYANAN, MUNTINLUPA</t>
  </si>
  <si>
    <t>superseded by 2024 work order 
(on-going return of surplus materials)
FOR CANCELLATION</t>
  </si>
  <si>
    <t>DT1-0028, DT1-5722, DT1-0493, DT1-0030-Z, DT2-0174, DT2-0031, DT2-0032, DT2-0033, DT1-0570, DT1-0038, DT1-0039, DT1-0040, DT1-0571, DT2-8001, DT1-0041, DT1-2203, DT1-2202, DT1-0043, DT1-2023, DT1-2024, DT1-2025, DT1-0242, 515166, DT2-8002, DT1-5026, DT1-0575, DT2-5044</t>
  </si>
  <si>
    <t>'X22114994258',</t>
  </si>
  <si>
    <t>X24010236211</t>
  </si>
  <si>
    <t>INTERNATIONAL CONTAINER TERMINAL SERVICES, INC.</t>
  </si>
  <si>
    <t>ROAD 4, PAGCOR ENTERTAINMENT CITY, PARANAQUE</t>
  </si>
  <si>
    <t xml:space="preserve">On going Retirement </t>
  </si>
  <si>
    <t>'X24010236211',</t>
  </si>
  <si>
    <t>R22927252</t>
  </si>
  <si>
    <t>CARPIO, SEVILLA FESTEJO, HMB</t>
  </si>
  <si>
    <t>STA. MARTA, SAN ANTONIO VALLEY 14, PARANAQUE</t>
  </si>
  <si>
    <t>For sched of PAI</t>
  </si>
  <si>
    <t>CX8-1077, CX8-1078</t>
  </si>
  <si>
    <t>'R22927252',</t>
  </si>
  <si>
    <t>X24020456466</t>
  </si>
  <si>
    <t>CHRISTIAN ARTABAN M. PALINES</t>
  </si>
  <si>
    <t>DON P. REYES, VICTORIA HOMES-RUBY PARK SUBD, MUNTINLUPA</t>
  </si>
  <si>
    <t>CP8-0183, 212993</t>
  </si>
  <si>
    <t>'X24020456466',</t>
  </si>
  <si>
    <t>X23093634405</t>
  </si>
  <si>
    <t>JESUS, THE GOOD SHEPHERD CHURCH OF MUNTINLUPA, INC</t>
  </si>
  <si>
    <t>NATIONAL, TUNASAN, MUNTINLUPA</t>
  </si>
  <si>
    <t>For cancellation, superseded by X24041439619</t>
  </si>
  <si>
    <t>DR1-8028, 518761</t>
  </si>
  <si>
    <t>'X23093634405',</t>
  </si>
  <si>
    <t>X24010064526</t>
  </si>
  <si>
    <t>ARLEEN MARIA Z BORROMEO</t>
  </si>
  <si>
    <t>ZARATOGA LOOP, ALABANG 400 VILLAGE, MUNTINLUPA</t>
  </si>
  <si>
    <t xml:space="preserve">9/19/24
Issue on Water Pipes
9/30/24
Joint Survey with BC Vendor and Customer 
</t>
  </si>
  <si>
    <t>DV1-1179, DV1-1180, DV1-8032, 520068, DV1-8033</t>
  </si>
  <si>
    <t>'X24010064526',</t>
  </si>
  <si>
    <t>X23030848776</t>
  </si>
  <si>
    <t>GRACE ZAPATA CRUZ</t>
  </si>
  <si>
    <t>BELMONT, ALABANG 400 VILLAGE, MUNTINLUPA</t>
  </si>
  <si>
    <t>DV1-8017, 516321</t>
  </si>
  <si>
    <t>'X23030848776',</t>
  </si>
  <si>
    <t>R23110243</t>
  </si>
  <si>
    <t>FILINVEST LAND INC.,</t>
  </si>
  <si>
    <t>EAST SERVICE, ALABANG, MUNTINLUPA</t>
  </si>
  <si>
    <t xml:space="preserve">9/24/24
Hold by Security  for request of Permit 
10/19/24 
Pole Erection Completed </t>
  </si>
  <si>
    <t>DU1-8004, DU1-8005, DU1-2105, DU1-8030</t>
  </si>
  <si>
    <t>'R23110243',</t>
  </si>
  <si>
    <t>P2403166300</t>
  </si>
  <si>
    <t>C1 414ARS  2024 PLANNED Replacement of bare primary conductor (undersized) A8-0103- A8-5058</t>
  </si>
  <si>
    <t>CUCUMBER FTI CPD WESTERN BICUTAN TAGUIG CITY</t>
  </si>
  <si>
    <t>For schedule of PAI</t>
  </si>
  <si>
    <t>SUPPLEMENTAL MN FOR PCA</t>
  </si>
  <si>
    <t>'P2403166300',</t>
  </si>
  <si>
    <t>X24010230692</t>
  </si>
  <si>
    <t>RONALDO RICARDO RAYMUNDO BENITEZ</t>
  </si>
  <si>
    <t>SUSANA HTS, SUSANA HTS SUBD VILL 1, MUNTINLUPA</t>
  </si>
  <si>
    <t xml:space="preserve"> Hindi pdn po kasi mafcomp gawa ng wala po location tag yung DT</t>
  </si>
  <si>
    <t>DP1-0294, 211620</t>
  </si>
  <si>
    <t>'X24010230692',</t>
  </si>
  <si>
    <t>X23093808497</t>
  </si>
  <si>
    <t>CITY GOVERNMENT OF PARAÑAQUE</t>
  </si>
  <si>
    <t>COL. E. DE LEON, STO. NINO, PARANAQUE</t>
  </si>
  <si>
    <t>For Request of Brgy Permit; waiting for conj. WO (?)</t>
  </si>
  <si>
    <t>A5-0123, A5-0152, A5-0119, A5-0117, A5-0115, A5-5608, A5-0346, A5-0434, A5-0168, A5-0113, 168709</t>
  </si>
  <si>
    <t>'X23093808497',</t>
  </si>
  <si>
    <t>R22608679</t>
  </si>
  <si>
    <t>ODIAMAR FRANCES DE CASTRO</t>
  </si>
  <si>
    <t>MADRID, TOWN AND COUNTRY WEST SUBD, BACOOR</t>
  </si>
  <si>
    <t>CS7-0551</t>
  </si>
  <si>
    <t>'R22608679',</t>
  </si>
  <si>
    <t>X24020411401</t>
  </si>
  <si>
    <t>JOLLIBEE FOODS CORPORATION</t>
  </si>
  <si>
    <t>AGUIRRE, BF HOMES, PARANAQUE</t>
  </si>
  <si>
    <t xml:space="preserve">5/18/24
Cancelllation of Execution  as per Customer Request 
6/11/24
Actual Cancellation was on site dun Affected Customer Hold its Execution </t>
  </si>
  <si>
    <t>CW9-0551, 376715</t>
  </si>
  <si>
    <t>'X24020411401',</t>
  </si>
  <si>
    <t>X23114600974</t>
  </si>
  <si>
    <t>BP WATERWORKS, INC.</t>
  </si>
  <si>
    <t>PASONG BUAYA II, PASONG BUAYA II, IMUS</t>
  </si>
  <si>
    <t>IMUS CITY</t>
  </si>
  <si>
    <t>related to X23114600949
PAI Aug 22 night
for cancellation
all materials and activity transferred to mother wo</t>
  </si>
  <si>
    <t>'X23114600974',</t>
  </si>
  <si>
    <t>R23109971</t>
  </si>
  <si>
    <t>DOMINGO ALVIN LUY</t>
  </si>
  <si>
    <t>COUNTRY, COUNTRY HOMES, MUNTINLUPA</t>
  </si>
  <si>
    <t>DS1-2355</t>
  </si>
  <si>
    <t>'R23109971',</t>
  </si>
  <si>
    <t>X24030775968</t>
  </si>
  <si>
    <t>JOEBETH R DE CASTRO</t>
  </si>
  <si>
    <t>SUNFLOWER, PILAR VILL, LAS PINAS CITY</t>
  </si>
  <si>
    <t>Actual Completion on Site  (11/13/24)</t>
  </si>
  <si>
    <t>CV8-0954, CV8-0954, 520939, CV8-0955</t>
  </si>
  <si>
    <t>'X24030775968',</t>
  </si>
  <si>
    <t>R23158337</t>
  </si>
  <si>
    <t>CROWN ASIA PROPERTIES, INC.,</t>
  </si>
  <si>
    <t>BLOCK 10, PONTICELLI GARDENS 2, BACOOR</t>
  </si>
  <si>
    <t>waiting sched</t>
  </si>
  <si>
    <t>'R23158337',</t>
  </si>
  <si>
    <t>X24010242749</t>
  </si>
  <si>
    <t>JUDD MARQUEZ TE SEE</t>
  </si>
  <si>
    <t>CUENCA, AYALA-ALABANG VILL, MUNTINLUPA</t>
  </si>
  <si>
    <t>CU9-1248, CU9-1247, 520342, CU9-1246</t>
  </si>
  <si>
    <t>'X24010242749',</t>
  </si>
  <si>
    <t>R23165909</t>
  </si>
  <si>
    <t>OREZA EDGARDO CHUA</t>
  </si>
  <si>
    <t>V.P. CRUZ, PUROK 5, TAGUIG CITY</t>
  </si>
  <si>
    <t>For coordination with metering; FOR RETIREMENT WITH FOREIGN ATTACHMET (CCTV)</t>
  </si>
  <si>
    <t>A8-0771</t>
  </si>
  <si>
    <t>'R23165909',</t>
  </si>
  <si>
    <t>X24051549285</t>
  </si>
  <si>
    <t>DITO TELECOMMUNITY CORPORATION</t>
  </si>
  <si>
    <t>BLOCK 1, AGUAHAN VILLAGE, TAGUIG CITY</t>
  </si>
  <si>
    <t xml:space="preserve">6/17/2024
Encountered problem on pole location during digging (with waterline)
Customer to re-route the line up to June 29, 2024 (customer reported that completed last July 6, 2024)
07/10/2024
Schedule of pole digging on July 11, 2024
07/15/2024
Digging completed
Power interruption on July 17, 2024
07/16/2024
Cancelled PAI - hold by HOA, DITO to seek clearance and approval from HOA
08/01/2024
With on-going negotiation c/o DITO as per CRS
09/18/2024
CRS email that there will be a meeting with DITO and TBICAI on Sept 20, 2024 to secure work permit
10/01/2024
TBICAI approved schedule of pole digging on Oct 5 and 6, interruption on Oct 11, 2024
10/30/24
Request by Miguel  De Guzma of CBG to cancel WO and Recreate ane WO </t>
  </si>
  <si>
    <t>DZ2-0507, 206703, DZ2-2249, DZ2-0153, 206703</t>
  </si>
  <si>
    <t>'X24051549285',</t>
  </si>
  <si>
    <t>R22573760</t>
  </si>
  <si>
    <t>KANE INDUSTRIAL CORP,</t>
  </si>
  <si>
    <t>NIOG III, NIOG III, BACOOR</t>
  </si>
  <si>
    <t>CW6-2017, CW6-6093, CW6-8019, CW6-6092, CW6-8020, CW6-6090, CW6-1545</t>
  </si>
  <si>
    <t>'R22573760',</t>
  </si>
  <si>
    <t>X24010310203</t>
  </si>
  <si>
    <t>HSL - BRAILLE COLLEGE, INC.,</t>
  </si>
  <si>
    <t>DURIAN, ZONE 1, TAGUIG CITY</t>
  </si>
  <si>
    <t>7/11/24 - Joint Survey; resolved pole location but need additional phase/leg; only one phase is existing - pending release of conjunctive project</t>
  </si>
  <si>
    <t>B8-5104, B8-5156, B8-5105, 520522, B8-6347</t>
  </si>
  <si>
    <t>'X24010310203',</t>
  </si>
  <si>
    <t>X24052001012</t>
  </si>
  <si>
    <t>VILLA LIGHT NEIGHBORHOOD ASSOCIATION INC.</t>
  </si>
  <si>
    <t>BLOCK 10, VILLA LIGHT SUBD, TAGUIG CITY</t>
  </si>
  <si>
    <t>Cancel/create new WO
extension of facilities (18spans)
-for joint survey
target aug2024
For creation of new WO; design not applicable) re-survey on 9/17/2024</t>
  </si>
  <si>
    <t>B8-6311, 122357, B8-5575, ALB1-1211, B8-6313, B8-6312, B8-6314, B8-6315, B8-5320, B8-6321, 212060, B8-6323, B8-6324, B8-6325, B8-6326, B8-6327, B8-6328, B8-6329, B8-6330, B8-6331, B8-6316, 212061, B86332, B8-6333, B8-6334, B8-6335, B8-6336, B8-6337, B8-6338, 512298</t>
  </si>
  <si>
    <t>'X24052001012',</t>
  </si>
  <si>
    <t>X24051821503</t>
  </si>
  <si>
    <t>CITY GOVERNMENT OF TAGUIG</t>
  </si>
  <si>
    <t>SOUTH DAANG HARI, PUROK 10, TAGUIG CITY</t>
  </si>
  <si>
    <t>DY2-8043, 086919</t>
  </si>
  <si>
    <t>'X24051821503',</t>
  </si>
  <si>
    <t>X24030740806</t>
  </si>
  <si>
    <t>REGIDOR HOOD OFRIN</t>
  </si>
  <si>
    <t>MAIN, MERVILLE SUBD, PARANAQUE</t>
  </si>
  <si>
    <t>A6-0040, 520913</t>
  </si>
  <si>
    <t>'X24030740806',</t>
  </si>
  <si>
    <t>X24062342140</t>
  </si>
  <si>
    <t>JOAN ANTONIO QUIMPO</t>
  </si>
  <si>
    <t>BLOCK 19, ENLISTED PERSONNEL VIL 2, TAGUIG CITY</t>
  </si>
  <si>
    <t>drainge issue; for creation of new WO due to major deisgn modif</t>
  </si>
  <si>
    <t>'X24062342140',</t>
  </si>
  <si>
    <t>X24062236601</t>
  </si>
  <si>
    <t>LEIGH ANGELI ADARNA ANCHETA</t>
  </si>
  <si>
    <t>MA. LOURDES ATIENZA, BF RESORT VILL, LAS PINAS CITY</t>
  </si>
  <si>
    <t>On Going  10/14/24</t>
  </si>
  <si>
    <t>'X24062236601',</t>
  </si>
  <si>
    <t>X24051926078</t>
  </si>
  <si>
    <t>CHAMPACA, STO. NINO, TAGUIG CITY</t>
  </si>
  <si>
    <t>SSP and meter (08/16/2024) - cancelled due to refusal on digging of pole location
8/15/24 - For public consultation/consent of residents c/o DITO (Option 1 - As designed), For redesign (Option 2)
8/22/24 - For revision of design (Option 2)</t>
  </si>
  <si>
    <t>B7-0676, B7-8108, 522135, B7-0187, B7-8109, 198114</t>
  </si>
  <si>
    <t>'X24051926078',</t>
  </si>
  <si>
    <t>X24041183168</t>
  </si>
  <si>
    <t>ZENAIDA IGNACIO REYES</t>
  </si>
  <si>
    <t>DIMASALANG, HAGONOY, TAGUIG CITY</t>
  </si>
  <si>
    <t>pole location issue; coordinated with DJJ</t>
  </si>
  <si>
    <t>B8-8074, B9-0058, B9-5158, B9-5189, B8-0012</t>
  </si>
  <si>
    <t>'X24041183168',</t>
  </si>
  <si>
    <t>X24051525654</t>
  </si>
  <si>
    <t>FERHN RUBIA BALATUCAN</t>
  </si>
  <si>
    <t>GARNET, PARANAQUE GREEN HEIGHTS, PARANAQUE</t>
  </si>
  <si>
    <t>For scheduling</t>
  </si>
  <si>
    <t>CY9-0494, 035976, CY9-0495, CY9-8040, 521718, CY9-0496, CY9-0642</t>
  </si>
  <si>
    <t>'X24051525654',</t>
  </si>
  <si>
    <t>X24072779669</t>
  </si>
  <si>
    <t>MA FATIMA FESTIN PERDIDO</t>
  </si>
  <si>
    <t>TALIM, TIERRA NUEVA SUBD, MUNTINLUPA</t>
  </si>
  <si>
    <t xml:space="preserve">For Update </t>
  </si>
  <si>
    <t>CV9-8008, 515260</t>
  </si>
  <si>
    <t>'X24072779669',</t>
  </si>
  <si>
    <t>X24073004063</t>
  </si>
  <si>
    <t>RODOLFO C ADRIAS</t>
  </si>
  <si>
    <t>MOLINO BLVD, MOLINO II, BACOOR</t>
  </si>
  <si>
    <t>'X24073004063',</t>
  </si>
  <si>
    <t>X24062436826</t>
  </si>
  <si>
    <t>DIANE VALERIE ZIGA GARCIA</t>
  </si>
  <si>
    <t>MA. CRISTINA, AYALA-ALABANG VILL, MUNTINLUPA</t>
  </si>
  <si>
    <t>CT9-0228, CT9-8069, CT9-8068, CT9-8070, CT9-0230, CT9-8071, CT9-8072, CT9-0077, 522617</t>
  </si>
  <si>
    <t>'X24062436826',</t>
  </si>
  <si>
    <t>X24051525908</t>
  </si>
  <si>
    <t>SUZIE CHEN TAN</t>
  </si>
  <si>
    <t>HEMLOCK, MGV PHASE 1, PARANAQUE</t>
  </si>
  <si>
    <t>WAITING FOR SCHED OF PAI (waiting to release conj. Planned MN WO
follow up approval of endorsement letter to HOA pres thru BC</t>
  </si>
  <si>
    <t>DY1-0078, DY1-0079, 521753, DY1-0077</t>
  </si>
  <si>
    <t>'X24051525908',</t>
  </si>
  <si>
    <t>X24072565971</t>
  </si>
  <si>
    <t>DOÑA SOLEDAD, BETTER LIVING SUBD, PARANAQUE</t>
  </si>
  <si>
    <t>for cancellation due to third party refusal, pending surplus return of materials</t>
  </si>
  <si>
    <t>DZ1-2587, 107768</t>
  </si>
  <si>
    <t>'X24072565971',</t>
  </si>
  <si>
    <t>X23114603408</t>
  </si>
  <si>
    <t>GILBERT CLAIRE O REALICA</t>
  </si>
  <si>
    <t>APO, AYALA-ALABANG VILL, MUNTINLUPA</t>
  </si>
  <si>
    <t>DT1-8041, 519768</t>
  </si>
  <si>
    <t>'X23114603408',</t>
  </si>
  <si>
    <t>X24051519918</t>
  </si>
  <si>
    <t>STO. CRISTO PROPERTIES &amp; HOLDINGS CORP.</t>
  </si>
  <si>
    <t>PASCUAL, PARANAQUE GREEN HEIGHTS, PARANAQUE</t>
  </si>
  <si>
    <t>With customer opposition on DT pole; 
With new released work order X24093771340; to transfer all materials and SI to X24093771340
for cancellation</t>
  </si>
  <si>
    <t>CY9-1108, CY9-8039, 521704</t>
  </si>
  <si>
    <t>'X24051519918',</t>
  </si>
  <si>
    <t>X23114429361</t>
  </si>
  <si>
    <t>conjunct to UG wo X23114429217; for sched of digging</t>
  </si>
  <si>
    <t>B5-8038, 519608</t>
  </si>
  <si>
    <t>'X23114429361',</t>
  </si>
  <si>
    <t>R23075417</t>
  </si>
  <si>
    <t xml:space="preserve">CONGBALAY, SIMPLICIO C, </t>
  </si>
  <si>
    <t>N. LOPEZ, LOPEZ VILL, PARANAQUE</t>
  </si>
  <si>
    <t>Completed</t>
  </si>
  <si>
    <t>CY9-8035, 362095</t>
  </si>
  <si>
    <t>'R23075417',</t>
  </si>
  <si>
    <t>R23354122</t>
  </si>
  <si>
    <t>MANAHAN, MELANIE V.,</t>
  </si>
  <si>
    <t>SAPLUNGAN, MEADOWOOD EXEC. VILLAGE PHASE 3B, BACOOR</t>
  </si>
  <si>
    <t xml:space="preserve">Hold Execution as per BC Mam Grace Alarcon  due wrong polcaation as per developer </t>
  </si>
  <si>
    <t>CV6-8051, CV6-6382</t>
  </si>
  <si>
    <t>'R23354122',</t>
  </si>
  <si>
    <t>R23208322</t>
  </si>
  <si>
    <t>SM DEVELOPMENT CORPORATION</t>
  </si>
  <si>
    <t>BLDG 10, FIELD RESIDENCES, PARANAQUE</t>
  </si>
  <si>
    <t>For resched of PAI (initially sched last 9/17/2024) due to customer's request to relocate involved pole to another location</t>
  </si>
  <si>
    <t>CZ8-5093, CZ8-5094</t>
  </si>
  <si>
    <t>'R23208322',</t>
  </si>
  <si>
    <t>X24072536492</t>
  </si>
  <si>
    <t>CITY GOV'T OF LAS PIÑAS</t>
  </si>
  <si>
    <t>BF CARNIBAL PARK, BF RESORT VILL, LAS PINAS CITY</t>
  </si>
  <si>
    <t>CV7-0697, 522656</t>
  </si>
  <si>
    <t>'X24072536492',</t>
  </si>
  <si>
    <t>X24051932778</t>
  </si>
  <si>
    <t>KEN VANN JOSPEH K REYES</t>
  </si>
  <si>
    <t>ALABANG-ZAPOTE, TALON I, LAS PINAS CITY</t>
  </si>
  <si>
    <t>CV8-8058, 522145</t>
  </si>
  <si>
    <t>'X24051932778',</t>
  </si>
  <si>
    <t>R23165916</t>
  </si>
  <si>
    <t>POKAAN ALIREZA LUMBAYA</t>
  </si>
  <si>
    <t>JOLO, MAHARLIKA VILL, TAGUIG CITY</t>
  </si>
  <si>
    <t>for sched of pole erection</t>
  </si>
  <si>
    <t>A8-0212, A8-1517</t>
  </si>
  <si>
    <t>'R23165916',</t>
  </si>
  <si>
    <t>R22419641</t>
  </si>
  <si>
    <t>ONOFRE, CORAZON VILLA,</t>
  </si>
  <si>
    <t>GLORIA DIAZ, BF RESORT VILL, LAS PINAS CITY</t>
  </si>
  <si>
    <t>For Schedule PAI :sadang:done digging and pole erection</t>
  </si>
  <si>
    <t xml:space="preserve">Drainage Diversion </t>
  </si>
  <si>
    <t>CW7-0175, CW7-0174, CW7-0173</t>
  </si>
  <si>
    <t>'R22419641',</t>
  </si>
  <si>
    <t>P2407173485</t>
  </si>
  <si>
    <t>RELOCATION OF POLE AFFECTED BY ROAD WIDENING PROJECT IN TRAMO, ALIMA, BACOOR</t>
  </si>
  <si>
    <t>ALIMA I ALIMA I ALIMA I BACOOR CAVITE</t>
  </si>
  <si>
    <t>Actual Completion on Site  (10/29/24)</t>
  </si>
  <si>
    <t>CX5-2078, CX5-0353, CX5-8009, CX5-8009, CX5-0024, CX5-8010, CX5-0025, CX5-8011, CX5-0356, CX5-8012, CX5-8012, CX5-8013, CX5-0358, CX5-8014, 044767, CX5-0028</t>
  </si>
  <si>
    <t>'P2407173485',</t>
  </si>
  <si>
    <t>X23104092125</t>
  </si>
  <si>
    <t>PHILIP SIGFRID ALFARO FORTUN</t>
  </si>
  <si>
    <t>SAN AGUSTIN, SUSANA HTS SUBD VILL 6, MUNTINLUPA</t>
  </si>
  <si>
    <t>Pole location issue,sadang:Kabit bahay na foreigner, ayaw mag pahukay…Need Po muna makipag sangguni ni sir rommel sa engr on site dun, pra sa hukay, kakain dun sa lot mismo ni owner mag huhukay, hndi na sa boundary lot, pra hndi na mkapag reklamu SI bisaya boss, Hindi boss vic, pero na resolve na ngayon Yan, Pina usod ng konti hukay pra mkaiwas lng dyn sa tubo</t>
  </si>
  <si>
    <t>W/  ISSUE</t>
  </si>
  <si>
    <t>DQ1-0437, DQ1-8004, DQ1-2066, DQ1-2067, 516118, DQ1-5020</t>
  </si>
  <si>
    <t>'X23104092125',</t>
  </si>
  <si>
    <t>X24052000319</t>
  </si>
  <si>
    <t>MAULENG CREEK , LOWER BICUTAN , TAGUIG</t>
  </si>
  <si>
    <t>On Going Digging</t>
  </si>
  <si>
    <t>RCL</t>
  </si>
  <si>
    <t>NVP</t>
  </si>
  <si>
    <t>DZ2-8070, DZ2-8071, DZ2-8072, DZ2-8073, DZ2-8074, DZ2-8075, DZ2-8076, DZ2-8077, DZ2-8078, DZ2-8079, TLN-522415,DZ2-8080,DZ2-8081,DZ2-8082,DZ2-8083</t>
  </si>
  <si>
    <t>'X24052000319',</t>
  </si>
  <si>
    <t>X24052000269</t>
  </si>
  <si>
    <t>MAULING CREEK, PUROK 6D, TAGUIG CITY</t>
  </si>
  <si>
    <t xml:space="preserve">On Going Execution </t>
  </si>
  <si>
    <t>DZ2-8082, DZ2-8083, DZ2-8088, DZ2-8089, DZ2-8090, DZ2-8091, DZ2-8092, DZ2-8093, DZ2-8094, DZ2-8095, DZ2-8096, DZ2-8097, DZ2-8098, DZ2-8099, DZ2-8100, DZ2-8106, DZ2-8107, DZ2-8108, DZ2-8109, DZ2-8110, 522536, DZ2-8111</t>
  </si>
  <si>
    <t>'X24052000269',</t>
  </si>
  <si>
    <t>X24041115574</t>
  </si>
  <si>
    <t>GULAMAN, STO. NINO, TAGUIG CITY</t>
  </si>
  <si>
    <t>3rd party refusal; for survey on 10/29 with design, PROW, and BC</t>
  </si>
  <si>
    <t>B7-0935, B7-0934, 521368, B7-8099, B7-8100</t>
  </si>
  <si>
    <t>'X24041115574',</t>
  </si>
  <si>
    <t>R23301679</t>
  </si>
  <si>
    <t>JAVIER, ROSALINA</t>
  </si>
  <si>
    <t>GENESIS, VILLANUEVA SUBD, BACOOR</t>
  </si>
  <si>
    <t>CV5-0683, 212309</t>
  </si>
  <si>
    <t>'R23301679',</t>
  </si>
  <si>
    <t>X24062117779</t>
  </si>
  <si>
    <t>BENIGNO AQUINO SR., BF HOMES, PARANAQUE</t>
  </si>
  <si>
    <t>CY8-8037, 522308</t>
  </si>
  <si>
    <t>'X24062117779',</t>
  </si>
  <si>
    <t>R23563800</t>
  </si>
  <si>
    <t>WOODRIDGE PROPERTIES, INC.,</t>
  </si>
  <si>
    <t>BLOCK 4, DANAROSE RESIDENCES, BACOOR</t>
  </si>
  <si>
    <t>sadang:Ito Po ay Thursday morning nka sched, pero nag aantay pdin ako ng response kung okey Kay subdivision na gumawa ng gabi mas mapapaaga execution</t>
  </si>
  <si>
    <t>CS7-8097</t>
  </si>
  <si>
    <t>'R23563800',</t>
  </si>
  <si>
    <t>X24072759958</t>
  </si>
  <si>
    <t>PRES. QUIRINO EXT, ZONE 6, TAGUIG CITY</t>
  </si>
  <si>
    <t>for sched of digging /  request for drainage diversion</t>
  </si>
  <si>
    <t>A8-1197, A8-8086, A8-8087, A8-8088, A8-8089, A8-8090, A8-8091, A8-8092, A8-8093, A8-8094, 522932, A8-1189</t>
  </si>
  <si>
    <t>'X24072759958',</t>
  </si>
  <si>
    <t>X24072692499</t>
  </si>
  <si>
    <t>pole location / with existing drainage</t>
  </si>
  <si>
    <t>AGD</t>
  </si>
  <si>
    <t>B8-0477, B8-8115, B8-8116, B8-8117, B8-5547, B8-5546, B8-1271, B8-1272, B8-8118, B8-1273, B8-8119, B8-1274,B8-1278, B8-8120, B8-1276, B8-8121, B8-5104, B8-0428, B8-1277</t>
  </si>
  <si>
    <t>'X24072692499',</t>
  </si>
  <si>
    <t>X24030736106</t>
  </si>
  <si>
    <t>ALFRED REYES FRANCIA</t>
  </si>
  <si>
    <t>BLOCK 29, SOLVIENTO VILLAS PH 3, BACOOR</t>
  </si>
  <si>
    <t xml:space="preserve">On Going Execution 
SOLVIENTO VILLAS Projects  </t>
  </si>
  <si>
    <t>CT6-8001, CT6-8018, 518990, CT6-8019, 520898, CT6-8029, CT6-8030, CT6-6202, CT6-8022, CT6-6201, CT6-8020, CT6-8021</t>
  </si>
  <si>
    <t>'X24030736106',</t>
  </si>
  <si>
    <t>X24030736254</t>
  </si>
  <si>
    <t>NEW PACIFIC RESOURCES MANAGEME</t>
  </si>
  <si>
    <t>BLOCK 36, SOLVIENTO VILLAS PH 3, BACOOR</t>
  </si>
  <si>
    <t>DV1-0639, DV1-8038, DV1-8039, DV1-8040, 521480, DV1-0813</t>
  </si>
  <si>
    <t>'X24030736254',</t>
  </si>
  <si>
    <t>X24072590693</t>
  </si>
  <si>
    <t>HARD DISCOUNT PHILIPPINES, INC.</t>
  </si>
  <si>
    <t>HOLY FAMILY AVE, HOLY FAMILY VILL, TAGUIG CITY</t>
  </si>
  <si>
    <t>waiting for schedule, crew diverted to NAIA</t>
  </si>
  <si>
    <t>DZ2-8112, 522696</t>
  </si>
  <si>
    <t>'X24072590693',</t>
  </si>
  <si>
    <t>X24030695765</t>
  </si>
  <si>
    <t>MITHCAH BIBLE BAPTIST CHURCH INC.</t>
  </si>
  <si>
    <t>ST. CECILLE, FATIMA SUBD, LAS PINAS CITY</t>
  </si>
  <si>
    <t>CY7-5947, CY7-5948, CY7-8077, 520597</t>
  </si>
  <si>
    <t>'X24030695765',</t>
  </si>
  <si>
    <t>R23158435</t>
  </si>
  <si>
    <t>CROWN ASIA PROPERTIES, INC., HMB</t>
  </si>
  <si>
    <t>BLOCK 4, PONTICELLI, BACOOR</t>
  </si>
  <si>
    <t>For Update 
Truss Guy Ony</t>
  </si>
  <si>
    <t>CR8-2143</t>
  </si>
  <si>
    <t>'R23158435',</t>
  </si>
  <si>
    <t>X24093584870</t>
  </si>
  <si>
    <t>EMC frame only - for sched</t>
  </si>
  <si>
    <t>B9-5158</t>
  </si>
  <si>
    <t>'X24093584870',</t>
  </si>
  <si>
    <t>X24020641632</t>
  </si>
  <si>
    <t>HENRY LAO LIM</t>
  </si>
  <si>
    <t>BUKIDNON, MARINA SUBD, PARANAQUE</t>
  </si>
  <si>
    <t>FOLLOW UP FROM ATTY KIM HENARES</t>
  </si>
  <si>
    <t>B4-0105, B4-0048, 023934, B4-5290, B4-0049, 168691, B4-0050, B4-0051, 520810</t>
  </si>
  <si>
    <t>'X24020641632',</t>
  </si>
  <si>
    <t>R23563727</t>
  </si>
  <si>
    <t>RICHFIELD PROPERTIES, INC.,</t>
  </si>
  <si>
    <t>BLOCK 15, LOTUS VILLAGE, BACOOR</t>
  </si>
  <si>
    <t>CT6-8036, CT6-8037</t>
  </si>
  <si>
    <t>'R23563727',</t>
  </si>
  <si>
    <t>SRO</t>
  </si>
  <si>
    <t>X24010101554</t>
  </si>
  <si>
    <t>TOBIE INTERNATIONAL INC.</t>
  </si>
  <si>
    <t>EXODUS, BF HOMES MARTINVILLE SUBD, LAS PINAS CITY</t>
  </si>
  <si>
    <t>'X24010101554',</t>
  </si>
  <si>
    <t>X24083108742</t>
  </si>
  <si>
    <t>GLENDA G ADEFUIN</t>
  </si>
  <si>
    <t>BLOCK 2, PATIO HOMES SUBD, MUNTINLUPA</t>
  </si>
  <si>
    <t>with 3rd party opposition from Posadas HOA</t>
  </si>
  <si>
    <t>DX1-0243, DX2-8003, 515059</t>
  </si>
  <si>
    <t>'X24083108742',</t>
  </si>
  <si>
    <t>X24083130651</t>
  </si>
  <si>
    <t>CLS GRILL AND RESTAURANTS, INC.</t>
  </si>
  <si>
    <t>Jasper Bastasa</t>
  </si>
  <si>
    <t>CW9-8050, 149595, CW9-8050</t>
  </si>
  <si>
    <t>'X24083130651',</t>
  </si>
  <si>
    <t>X22125062389</t>
  </si>
  <si>
    <t>SONNY L LAGON</t>
  </si>
  <si>
    <t>ACACIA, MULTINATIONAL VILL, PARANAQUE</t>
  </si>
  <si>
    <t>for completion 2nd week of Nov</t>
  </si>
  <si>
    <t>CZ9-2124, PLDT-6512, CZ8-8003, CZ8-6100, CZ8-5441, CZ8-5460, CZ8-5472, CZ8-5474, CZ8-8004, CZ8-2165, 515259, CY8-8003, CY8-8004, CZ8-8045, CZ8-8046</t>
  </si>
  <si>
    <t>'X22125062389',</t>
  </si>
  <si>
    <t>R23563729</t>
  </si>
  <si>
    <t>RICHFIELD PROPERTIES, INC., HMB</t>
  </si>
  <si>
    <t>BLOCK 9, LOTUS VILLAGE, BACOOR</t>
  </si>
  <si>
    <t>CT6-5288</t>
  </si>
  <si>
    <t>'R23563729',</t>
  </si>
  <si>
    <t>X24062428692</t>
  </si>
  <si>
    <t>GREENLAND NEW LOWER BICUTAN NEIGHBORHOOD ASSOCIATI</t>
  </si>
  <si>
    <t>RANGER, PUROK 1A, TAGUIG CITY</t>
  </si>
  <si>
    <t xml:space="preserve"> drainage diversion before pole erection</t>
  </si>
  <si>
    <t>B8-1554, B8-8153, B8-8154, B8-8155, 522623</t>
  </si>
  <si>
    <t>'X24062428692',</t>
  </si>
  <si>
    <t>X24083439704</t>
  </si>
  <si>
    <t>B7-8108, 198114, B7-0676, 522135</t>
  </si>
  <si>
    <t>'X24083439704',</t>
  </si>
  <si>
    <t>X24051828444</t>
  </si>
  <si>
    <t>STA. MONICA, DON GALO, PARANAQUE</t>
  </si>
  <si>
    <t>Problem with R/Way . Not feasible due to large culvert on the location of transformer pole (task 4)</t>
  </si>
  <si>
    <t>036237, A5-0077, A5-0076, 204738, A5-0075</t>
  </si>
  <si>
    <t>'X24051828444',</t>
  </si>
  <si>
    <t>X24072733160</t>
  </si>
  <si>
    <t>BRGY. MARCELO GREEN</t>
  </si>
  <si>
    <t>MARCELO, MARCELO GREEN VILL, PARANAQUE</t>
  </si>
  <si>
    <t>'X24072733160',</t>
  </si>
  <si>
    <t>X24072577420</t>
  </si>
  <si>
    <t>HERMENEGILDO DENAGA SARANILLO</t>
  </si>
  <si>
    <t>SUMAKWEL, BARANGAY VILL, PARANAQUE</t>
  </si>
  <si>
    <t>CY9-0379, CY9-8047, 522864, CY9-0486, CY9-0485</t>
  </si>
  <si>
    <t>'X24072577420',</t>
  </si>
  <si>
    <t>X24083159101</t>
  </si>
  <si>
    <t>CHONA RODRIGUEZ GAN</t>
  </si>
  <si>
    <t>DOÑA AURORA, TAHANAN VILL, PARANAQUE</t>
  </si>
  <si>
    <t>Customer refuse location of digging. 
for design revision, unable to execute proposed location due to aesthetic and drainage location.</t>
  </si>
  <si>
    <t>CW9-0510, 034731, DW1-8039, 523347</t>
  </si>
  <si>
    <t>'X24083159101',</t>
  </si>
  <si>
    <t>X24093584209</t>
  </si>
  <si>
    <t>PRES. M. ROXAS, TAMBO, PARANAQUE</t>
  </si>
  <si>
    <t>C5-0530</t>
  </si>
  <si>
    <t>'X24093584209',</t>
  </si>
  <si>
    <t>X23072646097</t>
  </si>
  <si>
    <t>CATHERINE C DIAMANTE</t>
  </si>
  <si>
    <t>BUSUANGA, TIERRA NUEVA SUBD, MUNTINLUPA</t>
  </si>
  <si>
    <t>CV9-0669, CV9-2383, CV9-8022, 517944, CV9-0622</t>
  </si>
  <si>
    <t>'X23072646097',</t>
  </si>
  <si>
    <t>X24020411873</t>
  </si>
  <si>
    <t>IGLESIA NI CRISTO</t>
  </si>
  <si>
    <t>P. BURGOS, SAN DIONISIO, PARANAQUE</t>
  </si>
  <si>
    <t>A5-1343, A5-8027, A5-8028, 520519, A4-0033</t>
  </si>
  <si>
    <t>'X24020411873',</t>
  </si>
  <si>
    <t>X24093725127</t>
  </si>
  <si>
    <t>ongoing coordination of SLEM &amp; design team re location of RCLR; with email</t>
  </si>
  <si>
    <t>A5-5544, A5-5530, 198155, A5-1071, 521395, A5-1070, A5-8015, A5-8016, A5-8017</t>
  </si>
  <si>
    <t>'X24093725127',</t>
  </si>
  <si>
    <t>X24072854711</t>
  </si>
  <si>
    <t>ROBERTO BALASBAS DIMAYUGA</t>
  </si>
  <si>
    <t>SAN NICOLAS, SAN MARTIN VILL-4TH ESTATE, PARANAQUE</t>
  </si>
  <si>
    <t>CX9-0868, DX1-8089, DX1-8090, DX1-8091, 523134, CX9-08762</t>
  </si>
  <si>
    <t>'X24072854711',</t>
  </si>
  <si>
    <t>X24083444242</t>
  </si>
  <si>
    <t>JEIKA PROPERTIES CORPORATION</t>
  </si>
  <si>
    <t>BLOCK 6, KATHLEEN PLACE 5 SUBD, BACOOR</t>
  </si>
  <si>
    <t>AGD/RM</t>
  </si>
  <si>
    <t>CT8-8001, CT8-0653, CT8-8026, CT8-8027, CT8-8028, CT8-8029, 522240, CT8-8030, CT8-8031, 522241, CT8-8032, CT8-8033, CT8-8034, 522242, CT8-8035, CT8-8040, CT8-8045, CT8-8049, CT8-8036, 522244, 522246, 522247, CT8-8037, CT8-8041, CT8-8046, CT8-8050, CT8-8054, CT8-8038, CT8-8042, CT8-8047, CT8-8051, CT8-8055, 522243, 522245, 522248, CT8-8053, CT8-8060, CT8-8039, CT8-8043, CT8-8044, CT8-8048, CT8-8052, CT8-5057, CT8-8059, CT8-8061</t>
  </si>
  <si>
    <t>'X24083444242',</t>
  </si>
  <si>
    <t>R23445427</t>
  </si>
  <si>
    <t>ARCEO, ELIZABETH</t>
  </si>
  <si>
    <t>BLOCK 1, LA CHARINA SUBD, MUNTINLUPA</t>
  </si>
  <si>
    <t>Done pole erection retirement nalang po ng poste</t>
  </si>
  <si>
    <t>DS1-8072</t>
  </si>
  <si>
    <t>'R23445427',</t>
  </si>
  <si>
    <t>X24072928092</t>
  </si>
  <si>
    <t>GAY ANNETTE LIM ANG</t>
  </si>
  <si>
    <t>ORMOC, ALABANG HILLS SUBD PH 2, MUNTINLUPA</t>
  </si>
  <si>
    <t>DV1-0339, 054468</t>
  </si>
  <si>
    <t>'X24072928092',</t>
  </si>
  <si>
    <t>X24062492521</t>
  </si>
  <si>
    <t>DOMINIC CONSTRUCTION, INC.</t>
  </si>
  <si>
    <t>DR. A. SANTOS, SN ANTONIO, PARANAQUE</t>
  </si>
  <si>
    <t>DX1-8058</t>
  </si>
  <si>
    <t>'X24062492521',</t>
  </si>
  <si>
    <t>X24093698934</t>
  </si>
  <si>
    <t>BLOOMINGDALE ENTERPRISES INC</t>
  </si>
  <si>
    <t>CW8-8003</t>
  </si>
  <si>
    <t>'X24093698934',</t>
  </si>
  <si>
    <t>X24093787030</t>
  </si>
  <si>
    <t>CONVERGE INFORMATION AND COMMUNICATIONS TECHNOLOGY</t>
  </si>
  <si>
    <t>LAPU-LAPU, PUROK 5, TAGUIG CITY</t>
  </si>
  <si>
    <t>with ROW concern; near mosque / brgy. Refusal
-FOR CREATION OF NEW WORK ORDER</t>
  </si>
  <si>
    <t>A8-0139, 518094, A8-8060</t>
  </si>
  <si>
    <t>'X24093787030',</t>
  </si>
  <si>
    <t>X24103888835</t>
  </si>
  <si>
    <t>MAKATI DEVELOPMENT CORPORATION</t>
  </si>
  <si>
    <t>EAST UNION, ARCA SOUTH, TAGUIG CITY</t>
  </si>
  <si>
    <t>remaining terminal pole for retirement due to exisiting spun cable (with coordination to UG team)</t>
  </si>
  <si>
    <t>B8-6318, B8-6319</t>
  </si>
  <si>
    <t>'X24103888835',</t>
  </si>
  <si>
    <t>X24093549347</t>
  </si>
  <si>
    <t>CROWN OF KING SOLOMON ACADEMY INC.</t>
  </si>
  <si>
    <t>6TH, SALINAS I, BACOOR</t>
  </si>
  <si>
    <t>CV5-1041, CV5-8046, CV5-8048, CV5-8049, CV5-8050, CV5-8051, CV5-8052, CV5-8053, CV5-8054, 522689, CV5-8055</t>
  </si>
  <si>
    <t>'X24093549347',</t>
  </si>
  <si>
    <t>X24062101038</t>
  </si>
  <si>
    <t>TIMBANG, MAMBOG III, BACOOR</t>
  </si>
  <si>
    <t>Digging completed
Cancel energization scheduled 11/27/2024 due to ROW/HOA concerns.
On-going negotiation with customer and CRS.</t>
  </si>
  <si>
    <t>WITH AUDIT</t>
  </si>
  <si>
    <t>CT6-3403, 394411, CT6-3402, 522343</t>
  </si>
  <si>
    <t>'X24062101038',</t>
  </si>
  <si>
    <t>X24072868110</t>
  </si>
  <si>
    <t>3RD AVE, HEN HEADQUARTER SUPPRT GRP, TAGUIG CITY</t>
  </si>
  <si>
    <t>pole erection on Feb. 3rd week (3rd shift)</t>
  </si>
  <si>
    <t>C8-5578, C8-5579, C8-5580, 198586</t>
  </si>
  <si>
    <t>'X24072868110',</t>
  </si>
  <si>
    <t>X24051688503</t>
  </si>
  <si>
    <t>ALEXANDER EVAN O. UY</t>
  </si>
  <si>
    <t>JOHN, MULTINATIONAL VILL, PARANAQUE</t>
  </si>
  <si>
    <t>BAYSIDE</t>
  </si>
  <si>
    <t>CZ8-0155, 521943, CZ8-8082, CZ8-0170, CZ8-2001, CZ8-0169</t>
  </si>
  <si>
    <t>'X24051688503',</t>
  </si>
  <si>
    <t>X24051728852</t>
  </si>
  <si>
    <t>JENNY ROMANO BRAMBILLA</t>
  </si>
  <si>
    <t>STAFFORD, MOONWALK, PARANAQUE</t>
  </si>
  <si>
    <t>A6-8028, 521931</t>
  </si>
  <si>
    <t>'X24051728852',</t>
  </si>
  <si>
    <t>X24051726352</t>
  </si>
  <si>
    <t>ELIZA BLANCHE SANTOS ALAY-AY</t>
  </si>
  <si>
    <t>JOHN GLEN JR., MOONWALK, PARANAQUE</t>
  </si>
  <si>
    <t>A5-8030, 521895</t>
  </si>
  <si>
    <t>'X24051726352',</t>
  </si>
  <si>
    <t>X24073033797</t>
  </si>
  <si>
    <t>CELSO T DIMARUCUT</t>
  </si>
  <si>
    <t>DOÑA CONCHA CRUZ, BF HOMES, PARANAQUE</t>
  </si>
  <si>
    <t>VIP, PRESIDENT &amp; CEO OF ROXAS HOLDING. MVP GROUP</t>
  </si>
  <si>
    <t>CV9-8039, 523206</t>
  </si>
  <si>
    <t>'X24073033797',</t>
  </si>
  <si>
    <t>X24041458580</t>
  </si>
  <si>
    <t>PATIO ALGADA EVENTS PLACE AND LEISURE INC.</t>
  </si>
  <si>
    <t>DE CASTRO, DE CASTRO I SUBD, BACOOR</t>
  </si>
  <si>
    <t>CW6-8058, 518370</t>
  </si>
  <si>
    <t>'X24041458580',</t>
  </si>
  <si>
    <t>X24083434936</t>
  </si>
  <si>
    <t>MAXIPRINTS INC.</t>
  </si>
  <si>
    <t>1ST, TAGUIG BAGUMBAYAN INDL ASS INC, TAGUIG CITY</t>
  </si>
  <si>
    <t>verify if need TBCAI permit</t>
  </si>
  <si>
    <t>DY1-0538</t>
  </si>
  <si>
    <t>NTC ISSUED</t>
  </si>
  <si>
    <t>'X24083434936',</t>
  </si>
  <si>
    <t>X24083317606</t>
  </si>
  <si>
    <t>M.L. QUEZON, PUROK 2, TAGUIG CITY</t>
  </si>
  <si>
    <t>ongoing digging 11/4/2024</t>
  </si>
  <si>
    <t>A8-8097, 523471</t>
  </si>
  <si>
    <t>'X24083317606',</t>
  </si>
  <si>
    <t>X23083229143</t>
  </si>
  <si>
    <t>JUSTIN PHILIP POLISTICO SARABIA</t>
  </si>
  <si>
    <t>ALITAGTAG, AYALA-ALABANG VILL, MUNTINLUPA</t>
  </si>
  <si>
    <t>CS8-0058, 518428, CS8-8033, CS8-0055</t>
  </si>
  <si>
    <t>'X23083229143',</t>
  </si>
  <si>
    <t>X24093485934</t>
  </si>
  <si>
    <t>MARLON WILLIAMS MARCELINO CASTILLO</t>
  </si>
  <si>
    <t>DV1-8073,TLN-523664</t>
  </si>
  <si>
    <t>'X24093485934',</t>
  </si>
  <si>
    <t>X24093762742</t>
  </si>
  <si>
    <t>ALSTOM TRANSPORT CONSTRUCTION PHILIPPINES, INC.</t>
  </si>
  <si>
    <t>A5-8018</t>
  </si>
  <si>
    <t>'X24093762742',</t>
  </si>
  <si>
    <t>X24093763605</t>
  </si>
  <si>
    <t>CZ8-8021</t>
  </si>
  <si>
    <t>'X24093763605',</t>
  </si>
  <si>
    <t>X24062104789</t>
  </si>
  <si>
    <t>DON P. REYES, TUNASAN, MUNTINLUPA</t>
  </si>
  <si>
    <t>for completion on Nov 27. 2024</t>
  </si>
  <si>
    <t>CP9-0126, CP9-8013, 522274</t>
  </si>
  <si>
    <t>'X24062104789',</t>
  </si>
  <si>
    <t>X24051588113</t>
  </si>
  <si>
    <t>ASEANA BUSINESS PARK ESTATE ASSOCIATION, INC.</t>
  </si>
  <si>
    <t>COMPLETED ONSITE WO OF (AVECO)</t>
  </si>
  <si>
    <t>C4-2042, 187555</t>
  </si>
  <si>
    <t>'X24051588113',</t>
  </si>
  <si>
    <t>X24072577424</t>
  </si>
  <si>
    <t>ARTHUR NOLASCO IRASUSTA</t>
  </si>
  <si>
    <t>R. MAGSAYSAY, FILINVEST SUBD, PARANAQUE</t>
  </si>
  <si>
    <t xml:space="preserve"> 23-Nov-24</t>
  </si>
  <si>
    <t>'X24072577424',</t>
  </si>
  <si>
    <t>X24072732976</t>
  </si>
  <si>
    <t>LUCKY ROCKY CHUA SY</t>
  </si>
  <si>
    <t>STA. MARIA, SAN ANTONIO VALLEY 1, PARANAQUE</t>
  </si>
  <si>
    <t>done: digging and poel erect</t>
  </si>
  <si>
    <t>CY9-1711,087421,CY9-8051,523877,CY9-8052</t>
  </si>
  <si>
    <t>'X24072732976',</t>
  </si>
  <si>
    <t>X24041323481</t>
  </si>
  <si>
    <t>PRES. DIOSDADO MACAPAGAL, ASEANA BUSINESS PARK, PARANAQUE</t>
  </si>
  <si>
    <t>C5-5620, 106501</t>
  </si>
  <si>
    <t>'X24041323481',</t>
  </si>
  <si>
    <t>X24083323243</t>
  </si>
  <si>
    <t>NICOLE TRINIDAD LOTILLA</t>
  </si>
  <si>
    <t>DAFFODIL, PILAR VILL, LAS PINAS CITY</t>
  </si>
  <si>
    <t>with follow up from Raul Reyes of Corp Com</t>
  </si>
  <si>
    <t>CU8-8098, CU8-8099, CU8-8100, 523464, CU8-0497</t>
  </si>
  <si>
    <t>'X24083323243',</t>
  </si>
  <si>
    <t>X24104022999</t>
  </si>
  <si>
    <t>DAHN BERGER PHILS. CONSTRUCTION CORPORATION</t>
  </si>
  <si>
    <t>re-assigned fromPH</t>
  </si>
  <si>
    <t>DZ1-2624</t>
  </si>
  <si>
    <t>'X24104022999',</t>
  </si>
  <si>
    <t>X24072831387</t>
  </si>
  <si>
    <t>IRMA S AQUINO</t>
  </si>
  <si>
    <t>ARTHUR, HAPAY CPD, TAGUIG CITY</t>
  </si>
  <si>
    <t>sadang:Need ng joint survey dto sir, pra mag lagay ng staka, ayaw mag pahukay ng mga tao dun.. halos lahat</t>
  </si>
  <si>
    <t>DY2-5295, DY2-8055, 523126, DY2-8056, DY2-5057, DY2-8058, 523128, DY2-8059, DY2-8060, DY2-8061, DY2-8062, DY2-8063, DY2-8064, DY2-8065, DY2-8066, DY2-8068, DY2-6067, DY2-8069,DY2-8070</t>
  </si>
  <si>
    <t>'X24072831387',</t>
  </si>
  <si>
    <t>X24051821123</t>
  </si>
  <si>
    <t>C-5, WESTERN BICUTAN, TAGUIG CITY</t>
  </si>
  <si>
    <t xml:space="preserve">for sched of digging  </t>
  </si>
  <si>
    <t>assigned to ALEGRE BUILDERS (SRO)</t>
  </si>
  <si>
    <t>C8-5453, C8-8106, C8-8107, 522204</t>
  </si>
  <si>
    <t>'X24051821123',</t>
  </si>
  <si>
    <t>X24072635271</t>
  </si>
  <si>
    <t>JOIE MEDINA GAWARAN</t>
  </si>
  <si>
    <t>LOURDES CPD, LOURDES CPD, BACOOR</t>
  </si>
  <si>
    <t>CV7-8090, 522895</t>
  </si>
  <si>
    <t>'X24072635271',</t>
  </si>
  <si>
    <t>X23030972347</t>
  </si>
  <si>
    <t>ADELFA, SAN DIONISIO, PARANAQUE</t>
  </si>
  <si>
    <t xml:space="preserve"> emailed UAM for sabayan operation on pole replacement</t>
  </si>
  <si>
    <t>CZ7-0108, 516509, CZ7-0283, CZ7-2108</t>
  </si>
  <si>
    <t>'X23030972347',</t>
  </si>
  <si>
    <t>X24010234099</t>
  </si>
  <si>
    <t>LORENZO ENRIQUEZ GUERRERO</t>
  </si>
  <si>
    <t>LIPA, AYALA-ALABANG VILL, MUNTINLUPA</t>
  </si>
  <si>
    <t>CS9-5212, 159523</t>
  </si>
  <si>
    <t>'X24010234099',</t>
  </si>
  <si>
    <t>X24083277607</t>
  </si>
  <si>
    <t>JONATHAN KEE AGABIN</t>
  </si>
  <si>
    <t>SAMAR, MARINA SUBD, PARANAQUE</t>
  </si>
  <si>
    <t>B4-5388, B4-8030, 523440, PLDT-7784</t>
  </si>
  <si>
    <t>'X24083277607',</t>
  </si>
  <si>
    <t>X24072802372</t>
  </si>
  <si>
    <t>JOSE MARTIN GRUBA NOEL</t>
  </si>
  <si>
    <t>QUINTIN PAREDES, BF HOMES, PARANAQUE</t>
  </si>
  <si>
    <t>VIP, OWNER IS RET. GENERAL MANNY IDQUIVAL</t>
  </si>
  <si>
    <t>For Schedule of Digging  1/8/2024</t>
  </si>
  <si>
    <t>CW9-0663, DW1-8037, 523044, DW1-8038</t>
  </si>
  <si>
    <t>'X24072802372',</t>
  </si>
  <si>
    <t>X24093693382</t>
  </si>
  <si>
    <t>ASIA STRUCTURAL DEVELOPER CORP,</t>
  </si>
  <si>
    <t>PACIFIC, MARINA SUBD, PARANAQUE</t>
  </si>
  <si>
    <t>'X24093693382',</t>
  </si>
  <si>
    <t>X24103897542</t>
  </si>
  <si>
    <t>RAICON DEVELOPMENT CORPORATION</t>
  </si>
  <si>
    <t>CY6-0769</t>
  </si>
  <si>
    <t>'X24103897542',</t>
  </si>
  <si>
    <t>X24051787930</t>
  </si>
  <si>
    <t>BLOCK 46, PINAGSAMA PH 2 VILL, TAGUIG CITY</t>
  </si>
  <si>
    <t>C8-1139, 212145, C8-1141, C8-0637</t>
  </si>
  <si>
    <t>'X24051787930',</t>
  </si>
  <si>
    <t>X24072841870</t>
  </si>
  <si>
    <t>KALANTAS, PUROK 7, TAGUIG CITY</t>
  </si>
  <si>
    <t>Digging locations with drainage. For drainage diversion</t>
  </si>
  <si>
    <t>B7-0938, B7-8118, B7-0949, B7-8119, B7-8120, B7-0947, B7-8121, 523080, B7-0946</t>
  </si>
  <si>
    <t>'X24072841870',</t>
  </si>
  <si>
    <t>X24083444240</t>
  </si>
  <si>
    <t>WOODRIDGE PROPERTIES INC.</t>
  </si>
  <si>
    <t>BLOCK 5, DANAROSE RESIDENCES, BACOOR</t>
  </si>
  <si>
    <t>assigned to ACEC (SRO)</t>
  </si>
  <si>
    <t>CT7-5300, CS7-5491, CS7-8098, 522047, CS7-8105, CT7-5298, CS7-8104, CS7-8106, CS7-8107, CS7-8097, CT7-5295</t>
  </si>
  <si>
    <t>'X24083444240',</t>
  </si>
  <si>
    <t>X24114362991</t>
  </si>
  <si>
    <t>MAKATI DEVELOPMENT CORPORATION,</t>
  </si>
  <si>
    <t>RAMBUTAN, FTI CPD, TAGUIG CITY</t>
  </si>
  <si>
    <t>B7-0169</t>
  </si>
  <si>
    <t>'X24114362991',</t>
  </si>
  <si>
    <t>X24062084382</t>
  </si>
  <si>
    <t>AMAIA LAND CORP.</t>
  </si>
  <si>
    <t>ISABELA, AMAIA STEPS SUCAT, PARANAQUE</t>
  </si>
  <si>
    <t>customer holds execution; incorrect location of project</t>
  </si>
  <si>
    <t>CX9-5827, CX9-8034, 522222, CX9-8035</t>
  </si>
  <si>
    <t>'X24062084382',</t>
  </si>
  <si>
    <t>R23605089</t>
  </si>
  <si>
    <t>CHAN JULIE TANG,</t>
  </si>
  <si>
    <t>NORTH LUZON, PHILAMLIFE VILL, LAS PINAS CITY</t>
  </si>
  <si>
    <t>CW7-1170, CW7-8078, 350025, CV6-0063</t>
  </si>
  <si>
    <t>'R23605089',</t>
  </si>
  <si>
    <t>R19938231</t>
  </si>
  <si>
    <t>DEPARTMENT OF TRANSPORTATION</t>
  </si>
  <si>
    <t>LAGUERTA, TUNASAN, MUNTINLUPA</t>
  </si>
  <si>
    <t>DR1-5135,DR2-5696,DR1-0552,DR25697,DR1-0046</t>
  </si>
  <si>
    <t>'R19938231',</t>
  </si>
  <si>
    <t>X24051847714</t>
  </si>
  <si>
    <t>BLOCK 5, ENLISTED PERSONNEL VIL 2, TAGUIG CITY</t>
  </si>
  <si>
    <t>with pole location issue; request for joint survey</t>
  </si>
  <si>
    <t>DCOMP</t>
  </si>
  <si>
    <t>C8-0532, C8-8044, 517915</t>
  </si>
  <si>
    <t>'X24051847714',</t>
  </si>
  <si>
    <t>R23611939</t>
  </si>
  <si>
    <t>DPWH DEO LAS PINAS-MUNTI,</t>
  </si>
  <si>
    <t>MARCOS ALVAREZ, TALON V, LAS PINAS CITY</t>
  </si>
  <si>
    <t>Done pole erection retirement nalang po ng poste hindi po maretire ang poste kasi may gumagawa po ng kalsada</t>
  </si>
  <si>
    <t>CU8-8102</t>
  </si>
  <si>
    <t>'R23611939',</t>
  </si>
  <si>
    <t>X23020656225</t>
  </si>
  <si>
    <t>JENNIFER AUSTRIA BARZAGA</t>
  </si>
  <si>
    <t>LAUAN, AYALA-ALABANG VILL, MUNTINLUPA</t>
  </si>
  <si>
    <t>SSP Dec 26</t>
  </si>
  <si>
    <t>RAC</t>
  </si>
  <si>
    <t>CU9-2353, CU9-8009, CU9-0017, CU9-8010, CU9-0760, CU9-0761, CU9-0492, CU9-8011, 516197, CU9-0491</t>
  </si>
  <si>
    <t>'X23020656225',</t>
  </si>
  <si>
    <t>X24093771340</t>
  </si>
  <si>
    <t>TO TRANSFER ALL ISSUED MATERIALS FROM X24051519918 and transfer all SI</t>
  </si>
  <si>
    <t>CY9-1108, CY9-8039</t>
  </si>
  <si>
    <t>'X24093771340',</t>
  </si>
  <si>
    <t>X24062083547</t>
  </si>
  <si>
    <t>M.L. QUEZON, PUROK 3, TAGUIG CITY</t>
  </si>
  <si>
    <t>New design released 5/8/2025</t>
  </si>
  <si>
    <t>DY2-8053, TLN-522520</t>
  </si>
  <si>
    <t>'X24062083547',</t>
  </si>
  <si>
    <t>X24093681665</t>
  </si>
  <si>
    <t>DANIELA MARIE ORCINE NAPILI</t>
  </si>
  <si>
    <t>BLOCK 2, BAMBOO BREEZE RESIDENCES, BACOOR</t>
  </si>
  <si>
    <t>CU5-6018, CU6-2053</t>
  </si>
  <si>
    <t>'X24093681665',</t>
  </si>
  <si>
    <t>X24072541358</t>
  </si>
  <si>
    <t>WILHOME DEVELOPMENT INC.</t>
  </si>
  <si>
    <t>MOLINO ROAD, MOLINO III, BACOOR</t>
  </si>
  <si>
    <t>CS7-8119, 522705</t>
  </si>
  <si>
    <t>'X24072541358',</t>
  </si>
  <si>
    <t>X24093502622</t>
  </si>
  <si>
    <t>GINA BAGASIN ECLIPSE</t>
  </si>
  <si>
    <t>KALAYAAN VILL/BALAGBAG, KALAYAAN VILL/BALAGBAG, PASAY CITY</t>
  </si>
  <si>
    <t>PASAY CITY</t>
  </si>
  <si>
    <t>RECONTRACT OF SERVICE</t>
  </si>
  <si>
    <t>'X24093502622',</t>
  </si>
  <si>
    <t>X24103919469</t>
  </si>
  <si>
    <t>NOR BARQUILLA CUBERO</t>
  </si>
  <si>
    <t>GARNET, SEVERINA DIAMOND SUBD, PARANAQUE</t>
  </si>
  <si>
    <t>DX1-5182, DX1-8096, 526080</t>
  </si>
  <si>
    <t>'X24103919469',</t>
  </si>
  <si>
    <t>X24103880983</t>
  </si>
  <si>
    <t>BUHAY NA TUBIG, MOLINO III, BACOOR</t>
  </si>
  <si>
    <t>SSP Feb 1, 2025</t>
  </si>
  <si>
    <t>TLN-197564</t>
  </si>
  <si>
    <t>'X24103880983',</t>
  </si>
  <si>
    <t>X23093531555</t>
  </si>
  <si>
    <t>EDOTCO TOWERS, INC.</t>
  </si>
  <si>
    <t>PROGRESSIVE, PROGRESSIVE VILLAGE 15, BACOOR</t>
  </si>
  <si>
    <t>TLN-870204</t>
  </si>
  <si>
    <t>'X23093531555',</t>
  </si>
  <si>
    <t>X24104029330</t>
  </si>
  <si>
    <t>NOEMI A SUMINISTRADO</t>
  </si>
  <si>
    <t>MILLARES, PUROK 4B, TAGUIG CITY</t>
  </si>
  <si>
    <t>SSP 1/10</t>
  </si>
  <si>
    <t>A8-5396, 193411, A8-1155</t>
  </si>
  <si>
    <t>'X24104029330',</t>
  </si>
  <si>
    <t>X24104113256</t>
  </si>
  <si>
    <t>MA. VICTORIA DE LUNA DUQUE</t>
  </si>
  <si>
    <t>OSORIO COMPOUND, SITIO DE ASIS, PARANAQUE</t>
  </si>
  <si>
    <t>DZI-0289,DZI-8040,TLN-526312</t>
  </si>
  <si>
    <t>'X24104113256',</t>
  </si>
  <si>
    <t>X24114479034</t>
  </si>
  <si>
    <t>NEXUS, ARCA SOUTH, TAGUIG CITY</t>
  </si>
  <si>
    <t>B8-6208</t>
  </si>
  <si>
    <t>'X24114479034',</t>
  </si>
  <si>
    <t>X24093707345</t>
  </si>
  <si>
    <t>MAGSAYSAY, ZONE 6, TAGUIG CITY</t>
  </si>
  <si>
    <t>need to complete conjunct ECProject</t>
  </si>
  <si>
    <t>CLOSE</t>
  </si>
  <si>
    <t>B8-0701, 523895</t>
  </si>
  <si>
    <t>'X24093707345',</t>
  </si>
  <si>
    <t>X24083141279</t>
  </si>
  <si>
    <t>VILLA FER-FLOR STA. TERESA NEIGHBORHOOD ASSN. INC</t>
  </si>
  <si>
    <t>BLOCK 2, VILLA FER FLOR SUBDIVISION, TAGUIG CITY</t>
  </si>
  <si>
    <t>Frinz Raelmer Catindig</t>
  </si>
  <si>
    <t>DY2-8080, DY2-8081, DY2-8082, 523344, DY2-8083, DY2-8089, DY2-8090, DY2-8103, DY2-8086, DY2-8091</t>
  </si>
  <si>
    <t>'X24083141279',</t>
  </si>
  <si>
    <t>X24093488253</t>
  </si>
  <si>
    <t>BLOCK 1, VILLA FER FLOR SUBDIVISION, TAGUIG CITY</t>
  </si>
  <si>
    <t>DY2-8077, DY2-8078, 523689, DY2-8094, DY2-8095, DY2-8096, DY2-8097, DY2-8098, DY2-8099, DY2-8100</t>
  </si>
  <si>
    <t>'X24093488253',</t>
  </si>
  <si>
    <t>X24083140896</t>
  </si>
  <si>
    <t>Troy Mazaredo</t>
  </si>
  <si>
    <t>DY2-5309, DY2-5310, DY2-8075, DY2-8076, DY2-8077, DY2-8078, DY2-8080, DY2-8081, DY2-8084, DY2-8085, TLN-523342, DY2-8086, DY2-8087, DY2-8088, DY2-8101, DY2-8102</t>
  </si>
  <si>
    <t>'X24083140896',</t>
  </si>
  <si>
    <t>X24073004630</t>
  </si>
  <si>
    <t>PHILIPPINE SEVEN CORPORATION</t>
  </si>
  <si>
    <t>UMALI, POBLACION, MUNTINLUPA</t>
  </si>
  <si>
    <t>DR2-8020, 523167</t>
  </si>
  <si>
    <t>'X24073004630',</t>
  </si>
  <si>
    <t>X24104049812</t>
  </si>
  <si>
    <t>RACHEL RIVERA BACALLA</t>
  </si>
  <si>
    <t>ILANG-ILANG, DON JUAN BAYVIEW SUBD, MUNTINLUPA</t>
  </si>
  <si>
    <t>DX1-0290, 523391, DX2-8015</t>
  </si>
  <si>
    <t>'X24104049812',</t>
  </si>
  <si>
    <t>X24020649090</t>
  </si>
  <si>
    <t>MICHAEL CHRISTIAN R. PICHEL</t>
  </si>
  <si>
    <t>Completed, for re-trigger of PO and route to FCOMP</t>
  </si>
  <si>
    <t>520809,DY2-8042</t>
  </si>
  <si>
    <t>'X24020649090',</t>
  </si>
  <si>
    <t>X24062171822</t>
  </si>
  <si>
    <t>M.H. BURTON REPAIR SERVICES, INC.</t>
  </si>
  <si>
    <t>BLOCK 5, MAGDIWANG SUBD, BACOOR</t>
  </si>
  <si>
    <t>CT7-2306,CT7-8090,CT7-2218,CT7-8091,CT7-8092,TLN-434054</t>
  </si>
  <si>
    <t>'X24062171822',</t>
  </si>
  <si>
    <t>X24114483448</t>
  </si>
  <si>
    <t>MILLENIUM ERECTORS CORPORATION</t>
  </si>
  <si>
    <t>ALABANG-ZAPOTE, ALMANZA I, LAS PINAS CITY</t>
  </si>
  <si>
    <t>CV9-5929</t>
  </si>
  <si>
    <t>'X24114483448',</t>
  </si>
  <si>
    <t>X24072816217</t>
  </si>
  <si>
    <t>JERICK MARTIN C. FELIZARDO</t>
  </si>
  <si>
    <t>PALO-ALTO SUBD, PALO-ALTO SUBD, BACOOR</t>
  </si>
  <si>
    <t>CW5-8034,047134,CW5-0290</t>
  </si>
  <si>
    <t>'X24072816217',</t>
  </si>
  <si>
    <t>X24051781334</t>
  </si>
  <si>
    <t>MARIA NATALIA ORIG PALMA</t>
  </si>
  <si>
    <t>RLM</t>
  </si>
  <si>
    <t>DV1-0795,DV1-8050,TLN-521987,</t>
  </si>
  <si>
    <t>'X24051781334',</t>
  </si>
  <si>
    <t>R23701790</t>
  </si>
  <si>
    <t>DAGUMANPAN, CORNELIA A.</t>
  </si>
  <si>
    <t>CY9-8052</t>
  </si>
  <si>
    <t>'R23701790',</t>
  </si>
  <si>
    <t>X24072851053</t>
  </si>
  <si>
    <t>DIOSA BELLE SANTILLANOSA CRUCERO</t>
  </si>
  <si>
    <t xml:space="preserve"> BLOCK 27, PUROK 3, TAGUIG CITY</t>
  </si>
  <si>
    <t>A7-0928</t>
  </si>
  <si>
    <t>'X24072851053',</t>
  </si>
  <si>
    <t>X24114538494</t>
  </si>
  <si>
    <t>JOHN PAULE RODRIGUEZ</t>
  </si>
  <si>
    <t>TINDALO, UNITED PQUE PH 2 SUBD, PARANAQUE</t>
  </si>
  <si>
    <t>A7-0442, A7-8058, ALB1-3261, 520470, A7-0426</t>
  </si>
  <si>
    <t>'X24114538494',</t>
  </si>
  <si>
    <t>X24093766777</t>
  </si>
  <si>
    <t>ESMAIL FAIDAH BARODI</t>
  </si>
  <si>
    <t>DON PEDRO, GARCIA HEIGHTS, PARANAQUE</t>
  </si>
  <si>
    <t>CX9-0820, DX1-8095, DX1-8097, DX1-8098, DX1-8092, 523988</t>
  </si>
  <si>
    <t>'X24093766777',</t>
  </si>
  <si>
    <t>X24072854687</t>
  </si>
  <si>
    <t>MALILIN O. RICSENIA</t>
  </si>
  <si>
    <t>BLOCK 12, BETTER LIVING ANX31 SUBD, PARANAQUE</t>
  </si>
  <si>
    <t>WITH BACKJOB</t>
  </si>
  <si>
    <t>DY1-1530,DY1-1530,DY1-5916</t>
  </si>
  <si>
    <t>'X24072854687',</t>
  </si>
  <si>
    <t>X24104023531</t>
  </si>
  <si>
    <t>LOWELL L. YU</t>
  </si>
  <si>
    <t>NARRA, AYALA-ALABANG VILL, MUNTINLUPA</t>
  </si>
  <si>
    <t>'X24104023531',</t>
  </si>
  <si>
    <t>X24104037169</t>
  </si>
  <si>
    <t>CHRISTIAN BIBLE BAPTIST CHURCH AND MINISTRIES OF S</t>
  </si>
  <si>
    <t>IMPEX CPD, IMPEX CPD, LAS PINAS CITY</t>
  </si>
  <si>
    <t>CW8-5091,526220</t>
  </si>
  <si>
    <t>'X24104037169',</t>
  </si>
  <si>
    <t>X24114393200</t>
  </si>
  <si>
    <t>MACRO GOLDEN STAR CORP,</t>
  </si>
  <si>
    <t>ALABANG-ZAPOTE, PAMPLONA II, LAS PINAS CITY</t>
  </si>
  <si>
    <t>CW7-2221, 104426</t>
  </si>
  <si>
    <t>'X24114393200',</t>
  </si>
  <si>
    <t>X24030891625</t>
  </si>
  <si>
    <t>AMPARO, POBLACION, MUNTINLUPA</t>
  </si>
  <si>
    <t>For completion Jan 31, 2025</t>
  </si>
  <si>
    <t>195632,DR2-5748,DR2-5749,212278</t>
  </si>
  <si>
    <t>'X24030891625',</t>
  </si>
  <si>
    <t>X24051731952</t>
  </si>
  <si>
    <t>TARASH B. BERMUDEZ</t>
  </si>
  <si>
    <t>MONIQUE, VILLA CRISTINA SUBD, LAS PINAS CITY</t>
  </si>
  <si>
    <t>CW7-8053, CW7-2005, 522055</t>
  </si>
  <si>
    <t>'X24051731952',</t>
  </si>
  <si>
    <t>X24093863040</t>
  </si>
  <si>
    <t>AIRA NAVARRO JUBILADO</t>
  </si>
  <si>
    <t>A. MABINI, TUAZON SUBD, LAS PINAS CITY</t>
  </si>
  <si>
    <t xml:space="preserve">Pending problem with R/Way </t>
  </si>
  <si>
    <t>CX6-2484, CX6-8132, CX6-8133, 526058, CX6-0061, CX6-8134</t>
  </si>
  <si>
    <t>'X24093863040',</t>
  </si>
  <si>
    <t>X24114645553</t>
  </si>
  <si>
    <t>BGST PRIME DEVELOPMENT CORP.</t>
  </si>
  <si>
    <t>COASTAL RD, SAN DIONISIO, PARANAQUE</t>
  </si>
  <si>
    <t>CZ7-0528,CZ7-8032,CZ7-8033,CZ7-8034,CZ7-8035,CZ7-8036,CZ7-8037,CZ7-8038,CZ7-8039,CZ7-8040,CZ7-8041,CZ7-8042,CZ7-0475</t>
  </si>
  <si>
    <t>'X24114645553',</t>
  </si>
  <si>
    <t>X24093852320</t>
  </si>
  <si>
    <t>ALEXANDRA MARIE PAMINTUAN CRUZ</t>
  </si>
  <si>
    <t>ST. BERNADETTE, SAN JOSE SUBD, MUNTINLUPA</t>
  </si>
  <si>
    <t>CU9-0314,DV1-8077,DV1-8078,DV1-8079,TLN-523975</t>
  </si>
  <si>
    <t>'X24093852320',</t>
  </si>
  <si>
    <t>X24114645437</t>
  </si>
  <si>
    <t>conj. to reloc WO R23208322</t>
  </si>
  <si>
    <t>CZ8-8102</t>
  </si>
  <si>
    <t>'X24114645437',</t>
  </si>
  <si>
    <t>X23124692592</t>
  </si>
  <si>
    <t>CZ7-0475, 515959</t>
  </si>
  <si>
    <t>'X23124692592',</t>
  </si>
  <si>
    <t>X24041187690</t>
  </si>
  <si>
    <t>CITY GOV'T OF LAS PINAS</t>
  </si>
  <si>
    <t>S. TOLENTINO, GATCHALIAN SUBD, LAS PINAS CITY</t>
  </si>
  <si>
    <t>CY8-8034, CY8-8035, 521456, CY7-0020</t>
  </si>
  <si>
    <t>'X24041187690',</t>
  </si>
  <si>
    <t>X24114420508</t>
  </si>
  <si>
    <t>HERMINIO VALERIO</t>
  </si>
  <si>
    <t>BANABA, CAMELLA SPV CENTRAL PH 2, BACOOR</t>
  </si>
  <si>
    <t>CS7-0681, 193090, CS7-0689, CS7-0688, CS7-0687, CS7-0686</t>
  </si>
  <si>
    <t>'X24114420508',</t>
  </si>
  <si>
    <t>X24104112560</t>
  </si>
  <si>
    <t>METRO STONERICH CORPORATION,</t>
  </si>
  <si>
    <t>INDOCHINA LANE, FILINVEST CORPORATE CITY, MUNTINLUPA</t>
  </si>
  <si>
    <t>'X24104112560',</t>
  </si>
  <si>
    <t>R23806071</t>
  </si>
  <si>
    <t>EL GRANDE DEVELOPMENT CORPORATION,, HMB</t>
  </si>
  <si>
    <t>BAGTIKAN, BF EL GRANDE, BACOOR</t>
  </si>
  <si>
    <t>CU7-2198, CU7-8052</t>
  </si>
  <si>
    <t>'R23806071',</t>
  </si>
  <si>
    <t>X24062164559</t>
  </si>
  <si>
    <t>EDWARD VINCENT SANTOS DAUIGOY</t>
  </si>
  <si>
    <t>BLOCK 6, TOP MAN VILLAGE, LAS PINAS CITY</t>
  </si>
  <si>
    <t>CW8-2008, CW8-8026, CW8-8027, CW8-8028, CW8-8044, CW8-8029, 522385, CW8-2007</t>
  </si>
  <si>
    <t>'X24062164559',</t>
  </si>
  <si>
    <t>X24104312412</t>
  </si>
  <si>
    <t>SEVRANDO OLAES LAPUZ</t>
  </si>
  <si>
    <t>BLOCK 6, MAGDIWANG SUBD, BACOOR</t>
  </si>
  <si>
    <t>CT7-8139,TLN-526439</t>
  </si>
  <si>
    <t>'X24104312412',</t>
  </si>
  <si>
    <t>X24093767977</t>
  </si>
  <si>
    <t>BIGBANG REALTY AND DEVELOPMENT CORPORATION</t>
  </si>
  <si>
    <t>ANIBAN I, ANIBAN I, BACOOR</t>
  </si>
  <si>
    <t>CX6-1466, 518626, CX6-8027, CX6-8043</t>
  </si>
  <si>
    <t>'X24093767977',</t>
  </si>
  <si>
    <t>X24083392619</t>
  </si>
  <si>
    <t>RONILO LANSANG DAVID</t>
  </si>
  <si>
    <t>LAPU-LAPU, BACLARAN, PARANAQUE</t>
  </si>
  <si>
    <t>completed 1/12/2025</t>
  </si>
  <si>
    <t>C5-0076, C5-8177, ALB1-2896, C5-8178, 523569, C5-0077, C5-0040</t>
  </si>
  <si>
    <t>'X24083392619',</t>
  </si>
  <si>
    <t>X24020533373</t>
  </si>
  <si>
    <t>GRUPPO SACHIN &amp; SACHIN CO.</t>
  </si>
  <si>
    <t>SAN VICTORES, SEACOM CPD, PARANAQUE</t>
  </si>
  <si>
    <t>DX1-1148, 087077</t>
  </si>
  <si>
    <t>'X24020533373',</t>
  </si>
  <si>
    <t>X24083423327</t>
  </si>
  <si>
    <t>NATIONAL RESEARCH COUNCIL OF THE PHILIPPINES</t>
  </si>
  <si>
    <t>GEN. SANTOS, UPPER BICUTAN, TAGUIG CITY</t>
  </si>
  <si>
    <t>DZ1-0632, 035245</t>
  </si>
  <si>
    <t>'X24083423327',</t>
  </si>
  <si>
    <t>X24114379540</t>
  </si>
  <si>
    <t>DHAN JERICO MIKE M. DELOS SANTOS</t>
  </si>
  <si>
    <t>BLOCK 11, VISTA VERDE SOUTH PH I, BACOOR</t>
  </si>
  <si>
    <t>CU6-6516,TLN-526581</t>
  </si>
  <si>
    <t>'X24114379540',</t>
  </si>
  <si>
    <t>X24093702490</t>
  </si>
  <si>
    <t>BARANGAY MOLINO VI</t>
  </si>
  <si>
    <t>EVERLASTING, SOLDIER'S HILLS 4 PH II, BACOOR</t>
  </si>
  <si>
    <t>CT7-8117,TLN-523915</t>
  </si>
  <si>
    <t>'X24093702490',</t>
  </si>
  <si>
    <t>X24093725089</t>
  </si>
  <si>
    <t>RUBEN LEYVA TERRADO</t>
  </si>
  <si>
    <t>PILAR, ST. JOSEPH SUBD, LAS PINAS CITY</t>
  </si>
  <si>
    <t>CX8-0536, CV9-8058, CX8-0537, CV9-8059, CV9-8060, 523891, CV9-2409-S</t>
  </si>
  <si>
    <t>'X24093725089',</t>
  </si>
  <si>
    <t>X24041001641</t>
  </si>
  <si>
    <t>FILINVEST LAND, INC.</t>
  </si>
  <si>
    <t>BLOCK 2, PRINCETON HEIGHTS PH 3, BACOOR</t>
  </si>
  <si>
    <t>CV6-6330,CV6-8035,CV6-8036,CV6-8037,CV6-8038,TLN-521175,CV6-8039</t>
  </si>
  <si>
    <t>'X24041001641',</t>
  </si>
  <si>
    <t>X24062388683</t>
  </si>
  <si>
    <t>MARC MEDALLA O'CONNOR</t>
  </si>
  <si>
    <t>ARAGONA, CITADELLA EXEC VILL, LAS PINAS CITY</t>
  </si>
  <si>
    <t>System Error</t>
  </si>
  <si>
    <t>CX8-8154,CX8-8155,CX8-8156,CX8-8157,CX8-8158,CX8-8092,TLN-522627</t>
  </si>
  <si>
    <t>'X24062388683',</t>
  </si>
  <si>
    <t>X24104277409</t>
  </si>
  <si>
    <t>COMGLASCO AGUILA GLASS CORP.</t>
  </si>
  <si>
    <t>MANALAC, BAGONG TANYAG, TAGUIG CITY</t>
  </si>
  <si>
    <t>DZ2-8122,526339</t>
  </si>
  <si>
    <t>'X24104277409',</t>
  </si>
  <si>
    <t>X24114628777</t>
  </si>
  <si>
    <t>HOUSEHOLD DEVELOPMENT CORPORATION</t>
  </si>
  <si>
    <t>BARCELONA, BRIA FLATS LAS PIÑAS, LAS PINAS CITY</t>
  </si>
  <si>
    <t>'X24114628777',</t>
  </si>
  <si>
    <t>X24114608975</t>
  </si>
  <si>
    <t>A5-5544, A5-5530, A5-1070, A5-8015, A5-8016, A5-8018</t>
  </si>
  <si>
    <t>'X24114608975',</t>
  </si>
  <si>
    <t>X24114608824</t>
  </si>
  <si>
    <t>emailed request for drainage diversion last Feb. 7 (no update yet)</t>
  </si>
  <si>
    <t>B7-8108,TLN-522135</t>
  </si>
  <si>
    <t>'X24114608824',</t>
  </si>
  <si>
    <t>X24093530616</t>
  </si>
  <si>
    <t>SPRINGTOWN DEVELOPMENT CORPORATION</t>
  </si>
  <si>
    <t>SUSANA, TUNASAN, MUNTINLUPA</t>
  </si>
  <si>
    <t>Waiting for RTPI Schedule</t>
  </si>
  <si>
    <t>'X24093530616',</t>
  </si>
  <si>
    <t>X24104064373</t>
  </si>
  <si>
    <t>MA. CECILIA FLORES MAGAT</t>
  </si>
  <si>
    <t>MULTINATIONAL, MULTINATIONAL VILL, PARANAQUE</t>
  </si>
  <si>
    <t>CZ8-8053, CZ8-8101, 526286</t>
  </si>
  <si>
    <t>'X24104064373',</t>
  </si>
  <si>
    <t>X24103986359</t>
  </si>
  <si>
    <t>QUEEN OF DIAMOND, QUEEN'S ROW AREA A SUBD, BACOOR</t>
  </si>
  <si>
    <t>CS7-8136,CS7-8138,TLN-201851,CS7-8139,TLN-082385</t>
  </si>
  <si>
    <t>'X24103986359',</t>
  </si>
  <si>
    <t>X24114379635</t>
  </si>
  <si>
    <t>CITYLAND DEVELOPMENT CORPORATION</t>
  </si>
  <si>
    <t>TLN-055640</t>
  </si>
  <si>
    <t>'X24114379635',</t>
  </si>
  <si>
    <t>X24051975891</t>
  </si>
  <si>
    <t>FANG LIN OASIS CORPORATION</t>
  </si>
  <si>
    <t>C5-0273, 522214, C5-8087</t>
  </si>
  <si>
    <t>'X24051975891',</t>
  </si>
  <si>
    <t>X24103956559</t>
  </si>
  <si>
    <t>LILY REAL ESTATE DEVELOPMENT CORPORATION</t>
  </si>
  <si>
    <t>C5-8144, C5-8145, 526083</t>
  </si>
  <si>
    <t>'X24103956559',</t>
  </si>
  <si>
    <t>X24073016208</t>
  </si>
  <si>
    <t>KISE GAYLE RAMOS TANG</t>
  </si>
  <si>
    <t>COUNTRY CLUB, AYALA-ALABANG VILL, MUNTINLUPA</t>
  </si>
  <si>
    <t>waiting for schedule</t>
  </si>
  <si>
    <t>CS9-0022,523221,CS9-8031,CS9-8078</t>
  </si>
  <si>
    <t>'X24073016208',</t>
  </si>
  <si>
    <t>X24104044893</t>
  </si>
  <si>
    <t>SONAK HOLDINGS CORPORATION</t>
  </si>
  <si>
    <t>WEST SERVICE, CUPANG, MUNTINLUPA</t>
  </si>
  <si>
    <t>'X24104044893',</t>
  </si>
  <si>
    <t>X23104201686</t>
  </si>
  <si>
    <t>MINGHAI SU</t>
  </si>
  <si>
    <t>CZ8-8052, 519369</t>
  </si>
  <si>
    <t>'X23104201686',</t>
  </si>
  <si>
    <t>X24051797098</t>
  </si>
  <si>
    <t>ERIC CHAN KE</t>
  </si>
  <si>
    <t>MASBATE LOOP, MARINA SUBD, PARANAQUE</t>
  </si>
  <si>
    <t>B4-8024, 522052</t>
  </si>
  <si>
    <t>'X24051797098',</t>
  </si>
  <si>
    <t>X24114498829</t>
  </si>
  <si>
    <t>B8-6311,B8-5575,ALB1-1211,513940,58-6313,513940,B8-6313,513941,B8-8161,B8-6316,212061,B8-8162,B8-8163,B8-8164,B8-8165,B8-8166,B8-8167,B8-8168,B8-8169,B8-8170,B8-8171,B8-8172,B8-8173,B8-8175,B8-8176</t>
  </si>
  <si>
    <t>'X24114498829',</t>
  </si>
  <si>
    <t>X24093717312</t>
  </si>
  <si>
    <t>MARIA PERLA G DATINGALING</t>
  </si>
  <si>
    <t>J. DIAZ, KATARUNGAN VILLAGE, MUNTINLUPA</t>
  </si>
  <si>
    <t>For schedule of digging</t>
  </si>
  <si>
    <t>CR9-0785, CR9-8043, CR9-8044, CR9-8045, CR9-8046, 526228, CR9-8047</t>
  </si>
  <si>
    <t>'X24093717312',</t>
  </si>
  <si>
    <t>X24072720259</t>
  </si>
  <si>
    <t>RAMON GALVEZ VIZMONTE</t>
  </si>
  <si>
    <t>MAMBOG IV, BACOOR</t>
  </si>
  <si>
    <t xml:space="preserve">For Force Fcomp </t>
  </si>
  <si>
    <t>TLN-211819</t>
  </si>
  <si>
    <t>'X24072720259',</t>
  </si>
  <si>
    <t>X24062437670</t>
  </si>
  <si>
    <t>BETTERLIVING SUBD ANNEX 45, PARANAQUE</t>
  </si>
  <si>
    <t>NEW HOA Members refused the energization of the tower</t>
  </si>
  <si>
    <t>A6-1003,A6-8032,A6-1404,A6-1010,TLN-522577,A6-1402</t>
  </si>
  <si>
    <t>'X24062437670',</t>
  </si>
  <si>
    <t>X24010237993</t>
  </si>
  <si>
    <t>ALEXANDER CREUS BONDOC</t>
  </si>
  <si>
    <t>ARDEN, ST. JOSEPH SUBD, LAS PINAS CITY</t>
  </si>
  <si>
    <t>CU9-2288,TLN-520302</t>
  </si>
  <si>
    <t>'X24010237993',</t>
  </si>
  <si>
    <t>X24010241125</t>
  </si>
  <si>
    <t>CU9-8036,TLN-520301</t>
  </si>
  <si>
    <t>'X24010241125',</t>
  </si>
  <si>
    <t>X24020497540</t>
  </si>
  <si>
    <t>THAYNE JARRETT TAN RECATO DY</t>
  </si>
  <si>
    <t>BETTERLIVING SUBD ANNEX 29/32, PARANAQUE</t>
  </si>
  <si>
    <t>CY9-0660,TLN-520599</t>
  </si>
  <si>
    <t>'X24020497540',</t>
  </si>
  <si>
    <t>X24114453678</t>
  </si>
  <si>
    <t>JENNIFER GALANG UY</t>
  </si>
  <si>
    <t>KATARUNGAN VILLAGE, MUNTINLUPA</t>
  </si>
  <si>
    <t>CR9-0789,CR9-2362,CR9-8049,CR9-5016,CR9-5017,CR9-5010,CR9-8050,TLN-526521,CR9-5011</t>
  </si>
  <si>
    <t>'X24114453678',</t>
  </si>
  <si>
    <t>X24020423392</t>
  </si>
  <si>
    <t>GERMAN SELDAS MOTAR</t>
  </si>
  <si>
    <t>MULTINATIONAL VILL, PARANAQUE</t>
  </si>
  <si>
    <t>CZ8-0913,TLN-034953,CZ8-0915,TLN-520549,CZ8-0916,CZ8-0914</t>
  </si>
  <si>
    <t>'X24020423392',</t>
  </si>
  <si>
    <t>X24114622443</t>
  </si>
  <si>
    <t>NELSON BALIGUAT RODRIGUEZ</t>
  </si>
  <si>
    <t>ENLISTED PERSONNEL VIL 2, TAGUIG CITY</t>
  </si>
  <si>
    <t>B8-0946,TLN-117028,C8-0523,</t>
  </si>
  <si>
    <t>'X24114622443',</t>
  </si>
  <si>
    <t>X23093703275</t>
  </si>
  <si>
    <t>BARANGAY MANUYO DOS</t>
  </si>
  <si>
    <t>TOLENTINO, GATCHALIAN SUBD, LAS PINAS CITY</t>
  </si>
  <si>
    <t>CY8-8023,CY8-8024,CY8-8025,TLN-518841</t>
  </si>
  <si>
    <t>'X23093703275',</t>
  </si>
  <si>
    <t>X24093865089</t>
  </si>
  <si>
    <t>JOVY BITANGCOL LOSERIAGA</t>
  </si>
  <si>
    <t>BLOCK 8, AFP OVAI PH 1, TAGUIG CITY</t>
  </si>
  <si>
    <t>TLN-142955</t>
  </si>
  <si>
    <t>'X24093865089',</t>
  </si>
  <si>
    <t>X24114564095</t>
  </si>
  <si>
    <t>ROMAN CATHOLIC BISHOP OF IMUS, INCORPORATED</t>
  </si>
  <si>
    <t>CAMELLA SPV CENTRAL PH 2, BACOOR</t>
  </si>
  <si>
    <t>CS7-0545,CS7-8118,TLN-522171,CS7-0685,CS7-0686</t>
  </si>
  <si>
    <t>'X24114564095',</t>
  </si>
  <si>
    <t>X24041002556</t>
  </si>
  <si>
    <t>STA. LUCIA REALTY &amp; DEVELOPMENT, INC.</t>
  </si>
  <si>
    <t>VISTA VERDE SOUTH EXEC PH4, BACOOR</t>
  </si>
  <si>
    <t>CU6-2127,CT6-8032,CT6-8033,CT6-8034,TLN-52113,CT6-8035,CU6-2128</t>
  </si>
  <si>
    <t>'X24041002556',</t>
  </si>
  <si>
    <t>X24114565283</t>
  </si>
  <si>
    <t>FANTASTICBAKA INCORPORATED</t>
  </si>
  <si>
    <t>TAGUIG BAGUMBAYAN INDL ASS INC, TAGUIG CITY</t>
  </si>
  <si>
    <t>DY1-1208</t>
  </si>
  <si>
    <t>'X24114565283',</t>
  </si>
  <si>
    <t>X24072572239</t>
  </si>
  <si>
    <t>ROMEO ICASAS ABAD JR.</t>
  </si>
  <si>
    <t>CV6-8050,TLN-522707,</t>
  </si>
  <si>
    <t>'X24072572239',</t>
  </si>
  <si>
    <t>X24124692677</t>
  </si>
  <si>
    <t>MOLINO HOMES I SUBD, BACOOR</t>
  </si>
  <si>
    <t>CS7-8128,CS7-8129,CS7-8130,CS7-8131,CS7-8132,TLN-367789,TLN-523727</t>
  </si>
  <si>
    <t>'X24124692677',</t>
  </si>
  <si>
    <t>X23051529972</t>
  </si>
  <si>
    <t>ERIC ANTHONY S CASTAÑEDA</t>
  </si>
  <si>
    <t>TIERRA NUEVA SUBD, MUNTINLUPA</t>
  </si>
  <si>
    <t>CV9-8016,TLN-516928</t>
  </si>
  <si>
    <t>'X23051529972',</t>
  </si>
  <si>
    <t>X24124714328</t>
  </si>
  <si>
    <t>AC AUTOMOTIVE BUSINESS SERVICES, INC.</t>
  </si>
  <si>
    <t>TLN-526795</t>
  </si>
  <si>
    <t>'X24124714328',</t>
  </si>
  <si>
    <t>X23083241618</t>
  </si>
  <si>
    <t>ROMEO P. CAMBA</t>
  </si>
  <si>
    <t>SAN ANTONIO VALLEY 11, PARANAQUE</t>
  </si>
  <si>
    <t>DY1-0380,DY1-0379,DY1-0378,DY1-0377,DY1-0376,DY1-0375</t>
  </si>
  <si>
    <t>'X23083241618',</t>
  </si>
  <si>
    <t>X24041187305</t>
  </si>
  <si>
    <t>CATHEDRAL OF THE KING, INC. (CORPORATION SOLE)</t>
  </si>
  <si>
    <t>MARIMAR VILLAGE, PARANAQUE</t>
  </si>
  <si>
    <t>For survey</t>
  </si>
  <si>
    <t>DZI-0029,TLN-054237,TLN-514500</t>
  </si>
  <si>
    <t>'X24041187305',</t>
  </si>
  <si>
    <t>X24124856516</t>
  </si>
  <si>
    <t>RAUL GABRIEL II S. DIMATATAC</t>
  </si>
  <si>
    <t>SUSANA HEIGHTS SUBD, MUNTINLUPA</t>
  </si>
  <si>
    <t>Error in FCOMP due to Budget Issues 
Email for Force FCOMP already Sent to Mam Zarah</t>
  </si>
  <si>
    <t>TLN-526858</t>
  </si>
  <si>
    <t>'X24124856516',</t>
  </si>
  <si>
    <t>X24114563541</t>
  </si>
  <si>
    <t>MONOCRETE CONSTRUCTION PHILIPPINES, INC.</t>
  </si>
  <si>
    <t>PRES. DIOSDADO MACAPAGAL, ASIAWORLD CITY, PARANAQUE</t>
  </si>
  <si>
    <t xml:space="preserve">ongoing </t>
  </si>
  <si>
    <t>TLN-186673</t>
  </si>
  <si>
    <t>'X24114563541',</t>
  </si>
  <si>
    <t>X24124737940</t>
  </si>
  <si>
    <t>PETRON CORPORATION</t>
  </si>
  <si>
    <t>ALABANG-ZAPOTE, TALON II, LAS PINAS CITY</t>
  </si>
  <si>
    <t>CW7-1144,TLN-068771</t>
  </si>
  <si>
    <t>'X24124737940',</t>
  </si>
  <si>
    <t>X24104149594</t>
  </si>
  <si>
    <t>NORTH PHILIPPINE UNION CONFERENCE CORP OF THE SEVE</t>
  </si>
  <si>
    <t>BAYANAN, BAYANAN, BACOOR</t>
  </si>
  <si>
    <t>CU9-0191,CU6-8094,TLN-526350</t>
  </si>
  <si>
    <t>'X24104149594',</t>
  </si>
  <si>
    <t>X24093710813</t>
  </si>
  <si>
    <t>ALLAN RAMIREZ SORBITO</t>
  </si>
  <si>
    <t>CAMELLA SPRINGVILLE HEIGHTS III, BACOOR</t>
  </si>
  <si>
    <t>CS8-8003,CS8-8002,CS8-8001,CS8-0129</t>
  </si>
  <si>
    <t>'X24093710813',</t>
  </si>
  <si>
    <t>X24104283780</t>
  </si>
  <si>
    <t>GOLDEN LARIELLE, INC.,</t>
  </si>
  <si>
    <t>BLOCK 1, TUNASAN, MUNTINLUPA</t>
  </si>
  <si>
    <t>DR1-6046,DR1-6047,DR1-6048,TLN-173161,DR1-6069</t>
  </si>
  <si>
    <t>'X24104283780',</t>
  </si>
  <si>
    <t>X24124874147</t>
  </si>
  <si>
    <t>EMPIRE METAL WORKS, INC.</t>
  </si>
  <si>
    <t>C2</t>
  </si>
  <si>
    <t>Ian Patrick Perez</t>
  </si>
  <si>
    <t>TLN-071870,</t>
  </si>
  <si>
    <t>'X24124874147',</t>
  </si>
  <si>
    <t>X24124873554</t>
  </si>
  <si>
    <t>SHANZHEN HAIWEI FOOD CORP. DOING BUSINESS UNDER TH</t>
  </si>
  <si>
    <t>GEN. EMILIO AGUINALDO, PANAPAAN I, BACOOR</t>
  </si>
  <si>
    <t>TLN-169874</t>
  </si>
  <si>
    <t>'X24124873554',</t>
  </si>
  <si>
    <t>X24062324373</t>
  </si>
  <si>
    <t>MANUEL ANTONIO S BOCALING</t>
  </si>
  <si>
    <t>BLOCK 19, TUNASAN, MUNTINLUPA</t>
  </si>
  <si>
    <t>MAINTENANCE</t>
  </si>
  <si>
    <t xml:space="preserve">ECI </t>
  </si>
  <si>
    <t>'X24062324373',</t>
  </si>
  <si>
    <t>X25010007601</t>
  </si>
  <si>
    <t>ACASYS DEVELOPMENT CORP.</t>
  </si>
  <si>
    <t>SAN ANDRES, SUN VALLEY, PARANAQUE</t>
  </si>
  <si>
    <t>With scheduled PAI / Applicant facility not ready</t>
  </si>
  <si>
    <t>A7-0063,A7-0371,A7-8016,A7-8017,A7-0372,A7-0373,A7-0374,A7-8018,A7-8019,TLN-515608</t>
  </si>
  <si>
    <t>'X25010007601',</t>
  </si>
  <si>
    <t>X24103955636</t>
  </si>
  <si>
    <t>DELECTABLE FEAST CORPORATION</t>
  </si>
  <si>
    <t>CW9-8056,TLN-526116</t>
  </si>
  <si>
    <t>'X24103955636',</t>
  </si>
  <si>
    <t>X24020621621</t>
  </si>
  <si>
    <t>RHOEY LEE CANLAS DAKIS</t>
  </si>
  <si>
    <t>BLOCK 14, TUNASAN, MUNTINLUPA</t>
  </si>
  <si>
    <t>'X24020621621',</t>
  </si>
  <si>
    <t>X24030860881</t>
  </si>
  <si>
    <t>FILIPINAS BENSON INDUSTRIAL AND DEVELOPMENT CORPOR</t>
  </si>
  <si>
    <t>RODRIGUEZ, TUNASAN, MUNTINLUPA</t>
  </si>
  <si>
    <t>DR2-8014,DR2-8015,TLN-520871</t>
  </si>
  <si>
    <t>'X24030860881',</t>
  </si>
  <si>
    <t>X24072803104</t>
  </si>
  <si>
    <t>PATRICK SOON NGO</t>
  </si>
  <si>
    <t>AZUCENA, BF HOMES, PARANAQUE</t>
  </si>
  <si>
    <t>CW9-0399,DW1-8035,CW9-0400,CW9-0400,DW1-8036,CW9-0470,CW9-0470,TLN-523026</t>
  </si>
  <si>
    <t>'X24072803104',</t>
  </si>
  <si>
    <t>X24083059434</t>
  </si>
  <si>
    <t>ALFAMART TRADING PHILIPPINES, INC.</t>
  </si>
  <si>
    <t>BLOCK 1, SAN NICOLAS III, BACOOR</t>
  </si>
  <si>
    <t>TLN-523235</t>
  </si>
  <si>
    <t>'X24083059434',</t>
  </si>
  <si>
    <t>X24093778968</t>
  </si>
  <si>
    <t>M.L. QUEZON, LOWER BICUTAN, TAGUIG CITY</t>
  </si>
  <si>
    <t>B8-8156,B8-8157,A8-8106,A8-8107,TLN-526017</t>
  </si>
  <si>
    <t>'X24093778968',</t>
  </si>
  <si>
    <t>X24103973963</t>
  </si>
  <si>
    <t>IMV GEMINI PHARMA INC.</t>
  </si>
  <si>
    <t>BF HOMES-HERNANDEZ PORTION, ALMANZA I, LAS PINAS CITY</t>
  </si>
  <si>
    <t>TLN-517778</t>
  </si>
  <si>
    <t>'X24103973963',</t>
  </si>
  <si>
    <t>X25010012239</t>
  </si>
  <si>
    <t>FRANCIS ARANEZ REYES</t>
  </si>
  <si>
    <t>DAANG BATA, MOONWALK, PARANAQUE</t>
  </si>
  <si>
    <t>A5-8029,TLN-520796</t>
  </si>
  <si>
    <t>'X25010012239',</t>
  </si>
  <si>
    <t>X24041122874</t>
  </si>
  <si>
    <t>ST.MICHAEL'S INST. OF BACOOR</t>
  </si>
  <si>
    <t>GEN. EVANGELISTA, TABING DAGAT, BACOOR</t>
  </si>
  <si>
    <t>TLN-138990,CX5-8002</t>
  </si>
  <si>
    <t>'X24041122874',</t>
  </si>
  <si>
    <t>X24103963394</t>
  </si>
  <si>
    <t>HERSTAL SECURITY AGENCY, INC.</t>
  </si>
  <si>
    <t>DZI-8031,TLN-522411</t>
  </si>
  <si>
    <t>'X24103963394',</t>
  </si>
  <si>
    <t>X24104022803</t>
  </si>
  <si>
    <t>PRECILLE DOHINOG ARQUILLANO</t>
  </si>
  <si>
    <t>SAMPALOC SITE 2, SAMPALOC SITE 2, PARANAQUE</t>
  </si>
  <si>
    <t>DXI-8100,TLN-526189</t>
  </si>
  <si>
    <t>'X24104022803',</t>
  </si>
  <si>
    <t>R23155273</t>
  </si>
  <si>
    <t>ALVAREZ, SAIMON LOUISE</t>
  </si>
  <si>
    <t>VISTA VERDE SOUTH, VISTA VERDE SOUTH EXEC VILL 1, BACOOR</t>
  </si>
  <si>
    <t>Hindi pa ito nahukayan sir.</t>
  </si>
  <si>
    <t xml:space="preserve"> -   </t>
  </si>
  <si>
    <t>CU6-8046,CU6-8047</t>
  </si>
  <si>
    <t>'R23155273',</t>
  </si>
  <si>
    <t>X24124846054</t>
  </si>
  <si>
    <t>PASONG TAMO Z2 GAS STATION INC.</t>
  </si>
  <si>
    <t>WEST SERVICE, MARCELO GREEN VILL, PARANAQUE</t>
  </si>
  <si>
    <t>'X24124846054',</t>
  </si>
  <si>
    <t>X24083245022</t>
  </si>
  <si>
    <t>EDGEPOINT TOWERS INC.</t>
  </si>
  <si>
    <t>C6 ROAD, HAGONOY, TAGUIG CITY</t>
  </si>
  <si>
    <t>With ROW problem / Applicant facility not ready</t>
  </si>
  <si>
    <t>'X24083245022',</t>
  </si>
  <si>
    <t>X24093598451</t>
  </si>
  <si>
    <t>DR. A. SANTOS, SAN ISIDRO, PARANAQUE</t>
  </si>
  <si>
    <t>TLN-523779</t>
  </si>
  <si>
    <t>'X24093598451',</t>
  </si>
  <si>
    <t>X24041165850</t>
  </si>
  <si>
    <t>TUNASAN, MUNTINLUPA</t>
  </si>
  <si>
    <t>DR2-8016,TLN-521435</t>
  </si>
  <si>
    <t>'X24041165850',</t>
  </si>
  <si>
    <t>X24093725597</t>
  </si>
  <si>
    <t>RAV MC LESTER SALCEDO ASI</t>
  </si>
  <si>
    <t>ST. GEORGE, METROCOR SOUTH GATE HOMES, LAS PINAS CITY</t>
  </si>
  <si>
    <t>CV9-8054,TLN-523885,CV9-8055,CV9-8056,CV9-8057</t>
  </si>
  <si>
    <t>'X24093725597',</t>
  </si>
  <si>
    <t>X24103906652</t>
  </si>
  <si>
    <t>BERNADETTE A. NAVALTA</t>
  </si>
  <si>
    <t>B. CAPISTRANO, HAGONOY, TAGUIG CITY</t>
  </si>
  <si>
    <t>B9-0717,B9-8085</t>
  </si>
  <si>
    <t>'X24103906652',</t>
  </si>
  <si>
    <t>X24104068733</t>
  </si>
  <si>
    <t>M.L. QUEZON, PUROK 6, TAGUIG CITY</t>
  </si>
  <si>
    <t>DZ2-5886,TLN-187901,DZ2-8121,TLN-526225</t>
  </si>
  <si>
    <t>'X24104068733',</t>
  </si>
  <si>
    <t>X24114453763</t>
  </si>
  <si>
    <t>ANGELO CALVO PICARDAL</t>
  </si>
  <si>
    <t>M. BRIONES, KATARUNGAN VILLAGE, MUNTINLUPA</t>
  </si>
  <si>
    <t>CR9-8048</t>
  </si>
  <si>
    <t>'X24114453763',</t>
  </si>
  <si>
    <t>X24114634882</t>
  </si>
  <si>
    <t>CHRISTOPHER JOSEPH REYES TSUI</t>
  </si>
  <si>
    <t>DAYAP LOOP TAMARIND COVE, AYALA-ALABANG VILL, MUNTINLUPA</t>
  </si>
  <si>
    <t>CONJ.  X24114634928</t>
  </si>
  <si>
    <t>TLN-526706</t>
  </si>
  <si>
    <t>'X24114634882',</t>
  </si>
  <si>
    <t>X24114634928</t>
  </si>
  <si>
    <t>DSI-8150</t>
  </si>
  <si>
    <t>'X24114634928',</t>
  </si>
  <si>
    <t>X24124943162</t>
  </si>
  <si>
    <t>RICARDO DELOS SANTOS ABELARDO JR.</t>
  </si>
  <si>
    <t>'X24124943162',</t>
  </si>
  <si>
    <t>R23885137</t>
  </si>
  <si>
    <t>OMNI INVESTMENT BUILDING CORPORATION</t>
  </si>
  <si>
    <t>MAGDIWANG, MOLINO III, BACOOR</t>
  </si>
  <si>
    <t>done fcomp</t>
  </si>
  <si>
    <t>CT7-8083,TLN-108907</t>
  </si>
  <si>
    <t>'R23885137',</t>
  </si>
  <si>
    <t>X24093485481</t>
  </si>
  <si>
    <t>ANIELYN OCAMPO BALICUDIONG</t>
  </si>
  <si>
    <t>HABAY I, HABAY I, BACOOR</t>
  </si>
  <si>
    <t>CW5-6406,CW5-8037,CW5-8038,CW5-8039,CW5-8040,TLN-523671</t>
  </si>
  <si>
    <t>'X24093485481',</t>
  </si>
  <si>
    <t>X24083472331</t>
  </si>
  <si>
    <t>ROBERTO N. LIM</t>
  </si>
  <si>
    <t>MOLAVE, MOLAVE PARK VILL, PARANAQUE</t>
  </si>
  <si>
    <t>A7-8045,A7-8046,A7-8047,TLN-523665,A7-8048</t>
  </si>
  <si>
    <t>'X24083472331',</t>
  </si>
  <si>
    <t>X24124805811</t>
  </si>
  <si>
    <t>NOEMI FRESNEDI CACHUELA</t>
  </si>
  <si>
    <t>ESPELETA, POBLACION, MUNTINLUPA</t>
  </si>
  <si>
    <t>TLN-526847</t>
  </si>
  <si>
    <t>'X24124805811',</t>
  </si>
  <si>
    <t>X24104341977</t>
  </si>
  <si>
    <t>MARGARITA OROSA FELIX</t>
  </si>
  <si>
    <t>TANAUAN, AYALA-ALABANG VILL, MUNTINLUPA</t>
  </si>
  <si>
    <t>PARTIALLY BILLED; WITH BACKJOB</t>
  </si>
  <si>
    <t>AGD/RLM</t>
  </si>
  <si>
    <t>CS9-8083,CS9-0167,TLN-526463</t>
  </si>
  <si>
    <t>'X24104341977',</t>
  </si>
  <si>
    <t>X24103967581</t>
  </si>
  <si>
    <t>VIRGILIO BRILLIANTES SY</t>
  </si>
  <si>
    <t>D5-8103,TLN-526118</t>
  </si>
  <si>
    <t>'X24103967581',</t>
  </si>
  <si>
    <t>X24103896053</t>
  </si>
  <si>
    <t>BLOCK 80, PUROK 6, TAGUIG CITY</t>
  </si>
  <si>
    <t>resolved pole location issue on tasks 2 and 3, for sched of digging</t>
  </si>
  <si>
    <t>A8-5982,A8-5983,A8-0411,TLN-526056</t>
  </si>
  <si>
    <t>'X24103896053',</t>
  </si>
  <si>
    <t>X24124906791</t>
  </si>
  <si>
    <t>Cancel/ Supersedes: X24114498829</t>
  </si>
  <si>
    <t>B8-6311,B8-5575,ALB1-1211,B8-6313,B8-8160,B8-6316,B8-8162,B8-8163,B8-8164,B8-8164,B8-8166,B8-8167,B8-8168,B8-8169,B8-8170,B8-8171,B8-8172,B8-8173,B8-8174,B8-8175,B8-8176,TLN-513940,TLN-513941,TLN-212061</t>
  </si>
  <si>
    <t>'X24124906791',</t>
  </si>
  <si>
    <t>X25010079615</t>
  </si>
  <si>
    <t>CMSTAR MANAGEMENT INC.</t>
  </si>
  <si>
    <t>CQ8-8010,CQ8-8011,CQ8-8012,CQ8-8013,CQ8-8014,CQ8-8015,CQ8-8016,CQ8-8017,CQ8-8018,CQ8-8019,CQ8-8020,CQ8-8021,CQ8-8022,CR8-8027,CR8-8028,CR8-8029,CR8-8030,CR8-8031,CR8-8032,CR8-8033,CR8-8034,CR8-8035,CR8-8036,CR8-8037,</t>
  </si>
  <si>
    <t>'X25010079615',</t>
  </si>
  <si>
    <t>X24083428614</t>
  </si>
  <si>
    <t>DENNIS CALDERON SAN PEDRO</t>
  </si>
  <si>
    <t>CONCORDE, CONCORDE SUBD, PARANAQUE</t>
  </si>
  <si>
    <t>TLN-523631,B5-8084</t>
  </si>
  <si>
    <t>'X24083428614',</t>
  </si>
  <si>
    <t>R23797682</t>
  </si>
  <si>
    <t xml:space="preserve">CAVITEX INFRASTRUCTURE CORP., </t>
  </si>
  <si>
    <t>'R23797682',</t>
  </si>
  <si>
    <t>R23797676</t>
  </si>
  <si>
    <t>A5-8052,A5-8053,A5-8045</t>
  </si>
  <si>
    <t>'R23797676',</t>
  </si>
  <si>
    <t>X23010262595</t>
  </si>
  <si>
    <t>FRANCISCO ARANETA CLIMENT</t>
  </si>
  <si>
    <t>BANAWE, AYALA-ALABANG VILL, MUNTINLUPA</t>
  </si>
  <si>
    <t>'X23010262595',</t>
  </si>
  <si>
    <t>R23895778</t>
  </si>
  <si>
    <t>BREIGHTON LAND INC.</t>
  </si>
  <si>
    <t>BLOCK 6, BELLEFORT ESTATES PH 2, BACOOR</t>
  </si>
  <si>
    <t>'R23895778',</t>
  </si>
  <si>
    <t>X24103942328</t>
  </si>
  <si>
    <t>MAXBLOCK CONSTRUCTION CORP.</t>
  </si>
  <si>
    <t>PANORAMA CPD, VETERANS CENTER, TAGUIG CITY</t>
  </si>
  <si>
    <t>'X24103942328',</t>
  </si>
  <si>
    <t>X24062425520</t>
  </si>
  <si>
    <t>LICELLE GUMABAO YANG</t>
  </si>
  <si>
    <t>BLOCK 2, BRAZILIA HEIGHTS, MUNTINLUPA</t>
  </si>
  <si>
    <t>TLN-522587,DRI-6079</t>
  </si>
  <si>
    <t>'X24062425520',</t>
  </si>
  <si>
    <t>X24104105713</t>
  </si>
  <si>
    <t>ECLECTUS FOOD VENTURES CORPORATION</t>
  </si>
  <si>
    <t>M.L. QUEZON, PUROK 1, TAGUIG CITY</t>
  </si>
  <si>
    <t>B9-8088,TLN-526275</t>
  </si>
  <si>
    <t>'X24104105713',</t>
  </si>
  <si>
    <t>X25010119071</t>
  </si>
  <si>
    <t>SPX PHILIPPINES, INC.</t>
  </si>
  <si>
    <t>MIMC CPD, CERVANTES CPD, PARANAQUE</t>
  </si>
  <si>
    <t>DYI-0933,DY1-8069,TLN-526556,TLN-025831</t>
  </si>
  <si>
    <t>'X25010119071',</t>
  </si>
  <si>
    <t>X25010119305</t>
  </si>
  <si>
    <t>VICENTE P PEREZ</t>
  </si>
  <si>
    <t>EL GRANDE, BF HOMES, PARANAQUE</t>
  </si>
  <si>
    <t>'X25010119305',</t>
  </si>
  <si>
    <t>X25010138377</t>
  </si>
  <si>
    <t>GOLDEN DONUTS, INC.</t>
  </si>
  <si>
    <t>NINOY AQUINO, SAN DIONISIO, PARANAQUE</t>
  </si>
  <si>
    <t>'X25010138377',</t>
  </si>
  <si>
    <t>X24072542131</t>
  </si>
  <si>
    <t xml:space="preserve">RAMONCHITO DIZON JAVIER </t>
  </si>
  <si>
    <t>BEIRUT, BF HOMES, PARANAQUE</t>
  </si>
  <si>
    <t>CX8-8159,CX8-8160,CX8-0648,TLN-036703,CX8-0757,CX8-8161,CX8-0647,CX8-8162,TLN-522796</t>
  </si>
  <si>
    <t>'X24072542131',</t>
  </si>
  <si>
    <t>X24124701904</t>
  </si>
  <si>
    <t>LISA ARCILIA LAW</t>
  </si>
  <si>
    <t>17 DE MARZO, BACLARAN, PARANAQUE</t>
  </si>
  <si>
    <t>TLN-526770</t>
  </si>
  <si>
    <t>'X24124701904',</t>
  </si>
  <si>
    <t>X24093630108</t>
  </si>
  <si>
    <t>KOBE Z. CHAN</t>
  </si>
  <si>
    <t>BLOCK 24, ENLISTED PERSONNEL VIL 2, TAGUIG CITY</t>
  </si>
  <si>
    <t>'X24093630108',</t>
  </si>
  <si>
    <t>X25010064088</t>
  </si>
  <si>
    <t>TIANLALA PHILIPPINES CORPORATION</t>
  </si>
  <si>
    <t>REDEMPTORIST, BACLARAN, PARANAQUE</t>
  </si>
  <si>
    <t>D5-8119,D5-0447,D5-5353</t>
  </si>
  <si>
    <t>'X25010064088',</t>
  </si>
  <si>
    <t>X24083258065</t>
  </si>
  <si>
    <t>KENNETH NGO CHUA</t>
  </si>
  <si>
    <t>DOÑA INES, ALABANG HILLS SUBD PH 1, MUNTINLUPA</t>
  </si>
  <si>
    <t>Conj. X22114887149</t>
  </si>
  <si>
    <t>DV1-8071,TLN-523455</t>
  </si>
  <si>
    <t>'X24083258065',</t>
  </si>
  <si>
    <t>X24093766158</t>
  </si>
  <si>
    <t>QUEEN'S MAIN, QUEEN'S ROW AREA A SUBD, BACOOR</t>
  </si>
  <si>
    <t>CS8-8051,TLN-522457</t>
  </si>
  <si>
    <t>'X24093766158',</t>
  </si>
  <si>
    <t>X24104141244</t>
  </si>
  <si>
    <t>SERVEQUEST INC.</t>
  </si>
  <si>
    <t>SUMMIT CIRCLE SUBD, SUMMIT CIRCLE SUBD, MUNTINLUPA</t>
  </si>
  <si>
    <t>DT1-8088,TLN-526306</t>
  </si>
  <si>
    <t>'X24104141244',</t>
  </si>
  <si>
    <t>X25010119836</t>
  </si>
  <si>
    <t>YOLANDA E REYES</t>
  </si>
  <si>
    <t>'X25010119836',</t>
  </si>
  <si>
    <t>X24072540238</t>
  </si>
  <si>
    <t>GOV. P.F. ESPIRITU, PANAPAAN II, BACOOR</t>
  </si>
  <si>
    <t>TLN-522711</t>
  </si>
  <si>
    <t>'X24072540238',</t>
  </si>
  <si>
    <t>R23512370</t>
  </si>
  <si>
    <t>CARPIO, EMILIO III S</t>
  </si>
  <si>
    <t>DV1-2256,DV1-0802</t>
  </si>
  <si>
    <t>'R23512370',</t>
  </si>
  <si>
    <t>X25010133145</t>
  </si>
  <si>
    <t>SPEED CONSTRUCTION &amp; DEVELOPMENT CORP.,</t>
  </si>
  <si>
    <t>BLOCK 51, GEORGETOWN HEIGHTS SUBD PH II, BACOOR</t>
  </si>
  <si>
    <t>CQ7-8048,CQ7-8049,TLN-523429,CQ7-8050,CQ7-8051,CQ7-8056,CQ7-8057,CQ7-8058,CQ7-8059,CQ7-8060,CQ7-8061</t>
  </si>
  <si>
    <t>'X25010133145',</t>
  </si>
  <si>
    <t>X25010133146</t>
  </si>
  <si>
    <t>F &amp; E DE CASTRO CORPORATION</t>
  </si>
  <si>
    <t>BLOCK 1, ELISA HOMES PH 4 EXTENSION, BACOOR</t>
  </si>
  <si>
    <t>CQ7-8064,CQ7-8065,CQ7-8066,CQ7-8072,CQ7-8073,TLN-523943,CQ7-8079,CQ7-8082,CQ7-8084,CQ7-8086,CQ7-8088,TLN-523945,CQ7-8090,CQ7-8091,CQ7-8092</t>
  </si>
  <si>
    <t>'X25010133146',</t>
  </si>
  <si>
    <t>X24104152226</t>
  </si>
  <si>
    <t>MARY ROSE CUTARAN BAYLON</t>
  </si>
  <si>
    <t>BLOCK 25, VISTA VERDE PH III, BACOOR</t>
  </si>
  <si>
    <t>for digging on going 8-14-25</t>
  </si>
  <si>
    <t>CU6-8071,CU6-8072,CU6-8073,CU6-8074,CU6-8075,TLN-523173</t>
  </si>
  <si>
    <t>'X24104152226',</t>
  </si>
  <si>
    <t>X25010059565</t>
  </si>
  <si>
    <t>ALFAMETRO MARKETING, INC.</t>
  </si>
  <si>
    <t>SAN PEDRO, SAN ANTONIO VALLEY 2, PARANAQUE</t>
  </si>
  <si>
    <t>TLN-520860</t>
  </si>
  <si>
    <t>'X25010059565',</t>
  </si>
  <si>
    <t>X25010059526</t>
  </si>
  <si>
    <t>PAPA PIO - SAV 13, SAN ISIDRO, PARANAQUE</t>
  </si>
  <si>
    <t>CY8-0502,TLN-516761</t>
  </si>
  <si>
    <t>'X25010059526',</t>
  </si>
  <si>
    <t>X24083093382</t>
  </si>
  <si>
    <t>BUENDIA, TUNASAN, MUNTINLUPA</t>
  </si>
  <si>
    <t>on-going digging</t>
  </si>
  <si>
    <t>DR2-8032,DQ2-0033,DQ2-5060,DQ2-8075,DQ2-0035,TLN-198894</t>
  </si>
  <si>
    <t>'X24083093382',</t>
  </si>
  <si>
    <t>IJP</t>
  </si>
  <si>
    <t>X25010059547</t>
  </si>
  <si>
    <t>ALFAMETRO MARKETING INC. (CORCUERRA - BANNER 4TH ESTATE)</t>
  </si>
  <si>
    <t>BANNER, 4TH ESTATE SUBD, PARANAQUE</t>
  </si>
  <si>
    <t xml:space="preserve">Conj. X25010134670 -termination </t>
  </si>
  <si>
    <t>TLN-521778</t>
  </si>
  <si>
    <t>'X25010059547',</t>
  </si>
  <si>
    <t>X25010173661</t>
  </si>
  <si>
    <t>MJ RIAN P ROM</t>
  </si>
  <si>
    <t>SAN PEDRO, CARMENCITA VILL, LAS PINAS CITY</t>
  </si>
  <si>
    <t>'X25010173661',</t>
  </si>
  <si>
    <t>X24072855187</t>
  </si>
  <si>
    <t>MANUEL SARIANA BOLON</t>
  </si>
  <si>
    <t>A. ROLDAN, PUROK 2A, TAGUIG CITY</t>
  </si>
  <si>
    <t>A5-5443,TLN-523109</t>
  </si>
  <si>
    <t>'X24072855187',</t>
  </si>
  <si>
    <t>X24093683073</t>
  </si>
  <si>
    <t>ELECTRO-SYSTEMS INDUSTRIES CORPORATION</t>
  </si>
  <si>
    <t>BAES, PERPETUAL VILLAGE, TAGUIG CITY</t>
  </si>
  <si>
    <t>DY2-8110,TLN-035055</t>
  </si>
  <si>
    <t>'X24093683073',</t>
  </si>
  <si>
    <t>X24103965259</t>
  </si>
  <si>
    <t>TEVERE AVANDY HOLDINGS INC.</t>
  </si>
  <si>
    <t>'X24103965259',</t>
  </si>
  <si>
    <t>X24114657334</t>
  </si>
  <si>
    <t>BUENA MONTES BASCUGUIN</t>
  </si>
  <si>
    <t>BLOCK 18 , KALAYAAN VILL/BALAGBAG, PASAY CITY</t>
  </si>
  <si>
    <t>'X24114657334',</t>
  </si>
  <si>
    <t>X24103906706</t>
  </si>
  <si>
    <t>DAWN ISOBEL YU AQUINO</t>
  </si>
  <si>
    <t>BATANGAS EAST, AYALA-ALABANG VILL, MUNTINLUPA</t>
  </si>
  <si>
    <t>CS9-8081,TLN-526089</t>
  </si>
  <si>
    <t>'X24103906706',</t>
  </si>
  <si>
    <t>X25010134670</t>
  </si>
  <si>
    <t>C N C CONSTRUCTION &amp; DEV'T. CORPORATION</t>
  </si>
  <si>
    <t>Conj.  X25010059547</t>
  </si>
  <si>
    <t>'X25010134670',</t>
  </si>
  <si>
    <t>X24051849062</t>
  </si>
  <si>
    <t>BETTER LIVING SUBD, PARANAQUE</t>
  </si>
  <si>
    <t>for survey</t>
  </si>
  <si>
    <t>CZ9-5983,TLN-201460</t>
  </si>
  <si>
    <t>'X24051849062',</t>
  </si>
  <si>
    <t>X24072866458</t>
  </si>
  <si>
    <t>for survey; FOR SCHED DIGGING</t>
  </si>
  <si>
    <t>B7-5441,TLN-198570</t>
  </si>
  <si>
    <t>'X24072866458',</t>
  </si>
  <si>
    <t>X24072535895</t>
  </si>
  <si>
    <t>SINIGUELAS, ZONE 1, TAGUIG CITY</t>
  </si>
  <si>
    <t>With new design released</t>
  </si>
  <si>
    <t>B8-5039,B8-8103,TLN-522699</t>
  </si>
  <si>
    <t>'X24072535895',</t>
  </si>
  <si>
    <t>X24041261990</t>
  </si>
  <si>
    <t>DR1-8042,TLN-521305</t>
  </si>
  <si>
    <t>'X24041261990',</t>
  </si>
  <si>
    <t>X24083132605</t>
  </si>
  <si>
    <t>BUENCAMINO, BUENCAMINO, MUNTINLUPA</t>
  </si>
  <si>
    <t xml:space="preserve"> </t>
  </si>
  <si>
    <t>'X24083132605',</t>
  </si>
  <si>
    <t>X24093618242</t>
  </si>
  <si>
    <t>PRIME ACERS HOLDINGS CORPORATION</t>
  </si>
  <si>
    <t>DIEGO SILANG, AFP OVAI PH 1, TAGUIG CITY</t>
  </si>
  <si>
    <t>C7-8037,C7-8038,TLN-523806</t>
  </si>
  <si>
    <t>'X24093618242',</t>
  </si>
  <si>
    <t>X25010095532</t>
  </si>
  <si>
    <t>MINA B. TAPISPISAN</t>
  </si>
  <si>
    <t>BALLECER, ZONE 4, TAGUIG CITY</t>
  </si>
  <si>
    <t>'X25010095532',</t>
  </si>
  <si>
    <t>X24103896457</t>
  </si>
  <si>
    <t>CITY GOVT OF LAS PIÑAS</t>
  </si>
  <si>
    <t>DOÑA PILAR AGUIRRE, PILAR VILL, LAS PINAS CITY</t>
  </si>
  <si>
    <t>CU8-8105,CU8-8058,TLN-522058,CU8-0148</t>
  </si>
  <si>
    <t>'X24103896457',</t>
  </si>
  <si>
    <t>X24124766675</t>
  </si>
  <si>
    <t>PATRICK SANVICTORES GARCIA</t>
  </si>
  <si>
    <t>BEGONIA, AYALA-ALABANG VILL, MUNTINLUPA</t>
  </si>
  <si>
    <t>'X24124766675',</t>
  </si>
  <si>
    <t>X24103884052</t>
  </si>
  <si>
    <t>CARMELINDELLE PALMA MATERNAL</t>
  </si>
  <si>
    <t>MOLAVE, MANILA DOCTOR VILL, LAS PINAS CITY</t>
  </si>
  <si>
    <t>CV9-8061,CV9-8062,CV9-8063,CV9-8064,CV9-8065,TLN-526062</t>
  </si>
  <si>
    <t>'X24103884052',</t>
  </si>
  <si>
    <t>X25010222043</t>
  </si>
  <si>
    <t>supersedes X24104029330</t>
  </si>
  <si>
    <t>TLN-527101,A8-1154,A8-8128</t>
  </si>
  <si>
    <t>'X25010222043',</t>
  </si>
  <si>
    <t>X23093504208</t>
  </si>
  <si>
    <t>YIHUA PHILIPPINES GROUP INC.</t>
  </si>
  <si>
    <t>B5-8022,B5-8023,B5-8024,B5-8025,TLN-518634</t>
  </si>
  <si>
    <t>'X23093504208',</t>
  </si>
  <si>
    <t>X25020425086</t>
  </si>
  <si>
    <t>conj. X25010059565</t>
  </si>
  <si>
    <t>'X25020425086',</t>
  </si>
  <si>
    <t>X25010120302</t>
  </si>
  <si>
    <t>CDC REALTY INC.</t>
  </si>
  <si>
    <t>DOVE LOFTS, LION'S PARK RESIDENCES, PARANAQUE</t>
  </si>
  <si>
    <t>with follow up from Ma'am Cecille, Head Enterprise &amp; National Government</t>
  </si>
  <si>
    <t>DZ1-8092,TLN-523746</t>
  </si>
  <si>
    <t>'X25010120302',</t>
  </si>
  <si>
    <t>R23792026</t>
  </si>
  <si>
    <t>NEW PACIFIC RESOURCES MANAGEMENT (SPV- AMC), INC., HMB</t>
  </si>
  <si>
    <t>BLOCK 27, SOLVIENTO VILLAS PH 2, BACOOR</t>
  </si>
  <si>
    <t>'R23792026',</t>
  </si>
  <si>
    <t>X25010314175</t>
  </si>
  <si>
    <t>'X25010314175',</t>
  </si>
  <si>
    <t>X24030689569</t>
  </si>
  <si>
    <t>PILIPINAS SHELL PETROLEUM CORPORATION</t>
  </si>
  <si>
    <t>SAMPAGUITA, CAMP SAMPAGUITA, MUNTINLUPA</t>
  </si>
  <si>
    <t>CQ9-5764,CQ9-5765,CQ9-5766,CQ9-5767,CQ9-5768,CQ9-5768,CQ9-5770,CQ9-5771,CQ9-5772,CQ9-5773,CQ9-5774,CQ9-5775,CQ9-5777,CQ9-5778,TLN-520793</t>
  </si>
  <si>
    <t>'X24030689569',</t>
  </si>
  <si>
    <t>X24083222197</t>
  </si>
  <si>
    <t>AUREA PEÑERO BANAO</t>
  </si>
  <si>
    <t>BLOCK 101, SITIO IMELDA, TAGUIG CITY</t>
  </si>
  <si>
    <t>FOR SCHED INSTALLATION OF POLE (BUSY ROAD</t>
  </si>
  <si>
    <t>A8-8096</t>
  </si>
  <si>
    <t>'X24083222197',</t>
  </si>
  <si>
    <t>X22125058629</t>
  </si>
  <si>
    <t>CITY GOVERNMENT OF MUNTINLUPA</t>
  </si>
  <si>
    <t>FILINVEST SOCIALIZED HOUSING, FILINVEST SOCIALIZED HOUSING, MUNTINLUPA</t>
  </si>
  <si>
    <t>'X22125058629',</t>
  </si>
  <si>
    <t>X25010133520</t>
  </si>
  <si>
    <t>MICHAEL GERARD TANTOCO MORADA</t>
  </si>
  <si>
    <t>BUNGA, AYALA-ALABANG VILL, MUNTINLUPA</t>
  </si>
  <si>
    <t>TLN-527063</t>
  </si>
  <si>
    <t>'X25010133520',</t>
  </si>
  <si>
    <t>X24103959118</t>
  </si>
  <si>
    <t>MILES AND LEVELS PHILIPPINES, INC.</t>
  </si>
  <si>
    <t>WEST SERVICE, PHILCREST CPD, MUNTINLUPA</t>
  </si>
  <si>
    <t>DV1-8081,TLN-526114</t>
  </si>
  <si>
    <t>'X24103959118',</t>
  </si>
  <si>
    <t>X24124769477</t>
  </si>
  <si>
    <t>conj.X25010079615</t>
  </si>
  <si>
    <t>TLN-526895</t>
  </si>
  <si>
    <t>'X24124769477',</t>
  </si>
  <si>
    <t>X24124786551</t>
  </si>
  <si>
    <t>OMNICO CONSORTIUM INC.</t>
  </si>
  <si>
    <t>CARLO, TAGUIG BAGUMBAYAN INDL ASS INC, TAGUIG CITY</t>
  </si>
  <si>
    <t>sadang:Ayaw pahukayan ng may bahay n Yan</t>
  </si>
  <si>
    <t>DY2-8123,TLN-526843</t>
  </si>
  <si>
    <t>'X24124786551',</t>
  </si>
  <si>
    <t>X24104024806</t>
  </si>
  <si>
    <t>JUNEL PENALBA</t>
  </si>
  <si>
    <t>JUDGE BIENVENIDO TAN SR., BF RESORT VILL, LAS PINAS CITY</t>
  </si>
  <si>
    <t>CV7-8150,TLN-526196</t>
  </si>
  <si>
    <t>'X24104024806',</t>
  </si>
  <si>
    <t>R23915658</t>
  </si>
  <si>
    <t>CERNAL ARNOLD BONUS</t>
  </si>
  <si>
    <t>SINIGUELAS, CAMELLA SPV WEST PH 1, BACOOR</t>
  </si>
  <si>
    <t>'R23915658',</t>
  </si>
  <si>
    <t>R23697156</t>
  </si>
  <si>
    <t>MORALES, LESLIE DIANNE VITAL</t>
  </si>
  <si>
    <t>DAFFODIL, GSIS TOWNHOMES, BACOOR</t>
  </si>
  <si>
    <t>Donard Elija Bencito</t>
  </si>
  <si>
    <t>CT7-8120</t>
  </si>
  <si>
    <t>'R23697156',</t>
  </si>
  <si>
    <t>X24124774979</t>
  </si>
  <si>
    <t>NAGA, PULANGLUPA I, LAS PINAS CITY</t>
  </si>
  <si>
    <t>done:digging and pole erect</t>
  </si>
  <si>
    <t>CY7-8111,TLN-526838</t>
  </si>
  <si>
    <t>'X24124774979',</t>
  </si>
  <si>
    <t>X23083154356</t>
  </si>
  <si>
    <t>MANGGA, MASVILLE, PARANAQUE</t>
  </si>
  <si>
    <t xml:space="preserve">PARTIALLY BILLED </t>
  </si>
  <si>
    <t xml:space="preserve"> DW1-1292,DW1-8020,TLN-170991</t>
  </si>
  <si>
    <t>'X23083154356',</t>
  </si>
  <si>
    <t>R23771915</t>
  </si>
  <si>
    <t>SALITA, HERMIE</t>
  </si>
  <si>
    <t>ST. MARK, PARKDALE II SUBD, BACOOR</t>
  </si>
  <si>
    <t>digging only</t>
  </si>
  <si>
    <t>CV6-8056</t>
  </si>
  <si>
    <t>'R23771915',</t>
  </si>
  <si>
    <t>X24020448821</t>
  </si>
  <si>
    <t>ROSE NONO LIN</t>
  </si>
  <si>
    <t>CS9-8071,TLN-520526</t>
  </si>
  <si>
    <t>'X24020448821',</t>
  </si>
  <si>
    <t>R23915467</t>
  </si>
  <si>
    <t>CUEVAS JONATHAN SANTOS</t>
  </si>
  <si>
    <t>'R23915467',</t>
  </si>
  <si>
    <t>X25010310283</t>
  </si>
  <si>
    <t>MERFE A GAMAS</t>
  </si>
  <si>
    <t>CHALLENGER, MOONWALK VILL, LAS PINAS CITY</t>
  </si>
  <si>
    <t>'X25010310283',</t>
  </si>
  <si>
    <t>X25010278743</t>
  </si>
  <si>
    <t>RIZALYN G TAYAG</t>
  </si>
  <si>
    <t>CV6-8058,CV6-8059,TLN-689612,TLN-527272</t>
  </si>
  <si>
    <t>'X25010278743',</t>
  </si>
  <si>
    <t>R21631426</t>
  </si>
  <si>
    <t>CAVITEX INFRASTRUCTURE CORP</t>
  </si>
  <si>
    <t>NINOY AQUINO, LA HUERTA, PARANAQUE</t>
  </si>
  <si>
    <t>done energize pole retirement only</t>
  </si>
  <si>
    <t>CZ8-8105,CZ8-8106,CZ8-8107</t>
  </si>
  <si>
    <t>'R21631426',</t>
  </si>
  <si>
    <t>X24041266844</t>
  </si>
  <si>
    <t>AYALA LAND, INC.,</t>
  </si>
  <si>
    <t>B8-1850,TLN-185837</t>
  </si>
  <si>
    <t>'X24041266844',</t>
  </si>
  <si>
    <t>X25010209691</t>
  </si>
  <si>
    <t>ALMALOUNA COMALING QU</t>
  </si>
  <si>
    <t>'X25010209691',</t>
  </si>
  <si>
    <t>X25020386591</t>
  </si>
  <si>
    <t>SHEENA LORRAINE CHUA LAO</t>
  </si>
  <si>
    <t>IPIL-IPIL, AYALA-ALABANG VILL, MUNTINLUPA</t>
  </si>
  <si>
    <t>'X25020386591',</t>
  </si>
  <si>
    <t>X25010271342</t>
  </si>
  <si>
    <t>ALVEO LAND CORP.,</t>
  </si>
  <si>
    <t>CU9-8094</t>
  </si>
  <si>
    <t>'X25010271342',</t>
  </si>
  <si>
    <t>X24093781077</t>
  </si>
  <si>
    <t>ARNULFO CAL TABLIZO</t>
  </si>
  <si>
    <t>1ST, BAGUMBAYAN, TAGUIG CITY</t>
  </si>
  <si>
    <t>DY2-8104,DY2-8105,TLN-523960</t>
  </si>
  <si>
    <t>'X24093781077',</t>
  </si>
  <si>
    <t>X24093492216</t>
  </si>
  <si>
    <t>TLN-523641</t>
  </si>
  <si>
    <t>'X24093492216',</t>
  </si>
  <si>
    <t>X24010064473</t>
  </si>
  <si>
    <t>ALEXANDER SANTOS ISIP</t>
  </si>
  <si>
    <t>LANCASTER, HILLSBOROUGH SUBD, MUNTINLUPA</t>
  </si>
  <si>
    <t>DWI-8024,TLN-520040</t>
  </si>
  <si>
    <t>'X24010064473',</t>
  </si>
  <si>
    <t>X25010176215</t>
  </si>
  <si>
    <t>MARY GRACE MESINA MANDAP</t>
  </si>
  <si>
    <t>BASILIO ESTANISLAO, BF RESORT VILL, LAS PINAS CITY</t>
  </si>
  <si>
    <t>CV7-8161,CV7-8162,ALB1-3032,TLN-527110</t>
  </si>
  <si>
    <t>'X25010176215',</t>
  </si>
  <si>
    <t>R23926303</t>
  </si>
  <si>
    <t>A5-8062,A5-8063,A5-5570,A5-5569,A5-8064,A5-5568,A5-8066,A5-5571,A5-8067</t>
  </si>
  <si>
    <t>'R23926303',</t>
  </si>
  <si>
    <t>R23926307</t>
  </si>
  <si>
    <t>'R23926307',</t>
  </si>
  <si>
    <t>R23924589</t>
  </si>
  <si>
    <t>ALLEY 1, MULTINATIONAL VILL, PARANAQUE</t>
  </si>
  <si>
    <t>A5-8068,A5-8069,A5-8070,A5-8071,A5-8072,A5-8073,A5-8074,TLN-527297</t>
  </si>
  <si>
    <t>'R23924589',</t>
  </si>
  <si>
    <t>X25010070942</t>
  </si>
  <si>
    <t>ERNELIA O. SANCHEZ</t>
  </si>
  <si>
    <t>BLOCK 26, PINAGSAMA PH 2 VILL, TAGUIG CITY</t>
  </si>
  <si>
    <t>'X25010070942',</t>
  </si>
  <si>
    <t>X24114520845</t>
  </si>
  <si>
    <t>ERIC GERARD TURLA OLIVA</t>
  </si>
  <si>
    <t>WALING-WALING, TAHANAN VILL, PARANAQUE</t>
  </si>
  <si>
    <t>Done Nnergize</t>
  </si>
  <si>
    <t>DWI-8050,TLN-526676,DWI-2066</t>
  </si>
  <si>
    <t>'X24114520845',</t>
  </si>
  <si>
    <t>R23922888</t>
  </si>
  <si>
    <t>ANG CARMEN GAN, HMB</t>
  </si>
  <si>
    <t>MARCUS AURELIUS, ITALIA 500-BF HOMES, LAS PINAS CITY</t>
  </si>
  <si>
    <t>'R23922888',</t>
  </si>
  <si>
    <t>X25010099398</t>
  </si>
  <si>
    <t>REYNALDO BAUTISTA SALVADOR</t>
  </si>
  <si>
    <t>J.P. RIZAL, TUAZON SUBD, LAS PINAS CITY</t>
  </si>
  <si>
    <t>TLN-526967</t>
  </si>
  <si>
    <t>'X25010099398',</t>
  </si>
  <si>
    <t>X24104277254</t>
  </si>
  <si>
    <t>JOHN PAULO H. ALBIS</t>
  </si>
  <si>
    <t>BLOCK 9, ENLISTED PERSONNEL VIL 1, TAGUIG CITY</t>
  </si>
  <si>
    <t>B8-8177,TLN-526380</t>
  </si>
  <si>
    <t>'X24104277254',</t>
  </si>
  <si>
    <t>X24114622519</t>
  </si>
  <si>
    <t>OLIVAREZ REALTY CORPORATION</t>
  </si>
  <si>
    <t>CZ8-8103,CZ8-8104,TLN-526713</t>
  </si>
  <si>
    <t>'X24114622519',</t>
  </si>
  <si>
    <t>R23652915</t>
  </si>
  <si>
    <t>GATDULA, RICARDO, HMB</t>
  </si>
  <si>
    <t>ST. MARY, ADDAS VILLAGE PH II-A, BACOOR</t>
  </si>
  <si>
    <t>CT6-8056,CT6-8057</t>
  </si>
  <si>
    <t>'R23652915',</t>
  </si>
  <si>
    <t>X25020524328</t>
  </si>
  <si>
    <t>CITY GOVT OF LAS PIÑAS,</t>
  </si>
  <si>
    <t>BF RESORT, TALON II, LAS PINAS CITY</t>
  </si>
  <si>
    <t>CW7-0130,TLN-523280</t>
  </si>
  <si>
    <t>'X25020524328',</t>
  </si>
  <si>
    <t>X25010223485</t>
  </si>
  <si>
    <t>MIRANDA, ZONE 2, TAGUIG CITY</t>
  </si>
  <si>
    <t>Transfer to VJC</t>
  </si>
  <si>
    <t>B8-8184,B8-8185,TLN-527195</t>
  </si>
  <si>
    <t>'X25010223485',</t>
  </si>
  <si>
    <t>X24124701777</t>
  </si>
  <si>
    <t>NELLY YAP RAÑOLA</t>
  </si>
  <si>
    <t>JUAN ALEGRE, BF HOMES, PARANAQUE</t>
  </si>
  <si>
    <t>CW9-8064,CW9-8065,TLN-526779</t>
  </si>
  <si>
    <t>'X24124701777',</t>
  </si>
  <si>
    <t>X25010133238</t>
  </si>
  <si>
    <t>B8-8183,B8-8186,TLN-527120</t>
  </si>
  <si>
    <t>'X25010133238',</t>
  </si>
  <si>
    <t>X25010359335</t>
  </si>
  <si>
    <t>'X25010359335',</t>
  </si>
  <si>
    <t>X25020539755</t>
  </si>
  <si>
    <t>LIONS PARK RESIDENCES CONDOMINIUM CORPORATION ASSO</t>
  </si>
  <si>
    <t>ALPACA, LION'S PARK RESIDENCES, PARANAQUE</t>
  </si>
  <si>
    <t>Conjunct work order not released / completed</t>
  </si>
  <si>
    <t>TLN-521157</t>
  </si>
  <si>
    <t>'X25020539755',</t>
  </si>
  <si>
    <t>X25010136657</t>
  </si>
  <si>
    <t>COFFEE MASTERS, INC.</t>
  </si>
  <si>
    <t>MOLINO BLVD, MOLINO III, BACOOR</t>
  </si>
  <si>
    <t>CT6-5089,TLN-527036</t>
  </si>
  <si>
    <t>'X25010136657',</t>
  </si>
  <si>
    <t>X24030853956</t>
  </si>
  <si>
    <t>MARIFE GARCIA PARCON</t>
  </si>
  <si>
    <t>QUIRINO, ZAPOTE, LAS PINAS CITY</t>
  </si>
  <si>
    <t>'X24030853956',</t>
  </si>
  <si>
    <t>R23094079</t>
  </si>
  <si>
    <t>DEPARTMENT OF TRANSPORTATION,, CBG</t>
  </si>
  <si>
    <t>EAST SERVICE, BICUTAN INTERCHANGE, PARANAQUE</t>
  </si>
  <si>
    <t>'R23094079',</t>
  </si>
  <si>
    <t>X24072566400</t>
  </si>
  <si>
    <t>JOHN TULAO CENICA</t>
  </si>
  <si>
    <t>CORDILLERA, AYALA-ALABANG VILL, MUNTINLUPA</t>
  </si>
  <si>
    <t>TLN-522684</t>
  </si>
  <si>
    <t>'X24072566400',</t>
  </si>
  <si>
    <t>X24083333203</t>
  </si>
  <si>
    <t>ACHIEVERS BUSINESS GROUP INC.</t>
  </si>
  <si>
    <t>C-5 , KALAYAAN VILL/BALAGBAG, PASAY CITY</t>
  </si>
  <si>
    <t>'X24083333203',</t>
  </si>
  <si>
    <t>X24072802567</t>
  </si>
  <si>
    <t>GREGORIO JR. MANALO GONZALVO</t>
  </si>
  <si>
    <t>CADENA DE AMOR, TAHANAN VILL, PARANAQUE</t>
  </si>
  <si>
    <t>DW1-8034,TLN-520322</t>
  </si>
  <si>
    <t>'X24072802567',</t>
  </si>
  <si>
    <t>X25010209684</t>
  </si>
  <si>
    <t>UNIOIL PETROLEUM PHILIPPINES, INC.</t>
  </si>
  <si>
    <t>EAST SERVICE, SN MARTIN DE PORRES, PARANAQUE</t>
  </si>
  <si>
    <t>TLN-527412</t>
  </si>
  <si>
    <t>'X25010209684',</t>
  </si>
  <si>
    <t>X25010341636</t>
  </si>
  <si>
    <t>TERESITA G MANAHAN</t>
  </si>
  <si>
    <t>BOEING, CONCORDE SUBD, PARANAQUE</t>
  </si>
  <si>
    <t>sadang:Pag uusapan padaw sa clubhouse mam Jen, puro usap na Sila haha! Extension of facilities na to sa Dami ng hukay ,Good am Po, hndi pa Po nahuhukay yong gustong location ni customer, approval pa Po sa HOA…Hndi pa boss, hndi ko pa Po alam kung nag ka sundo na sa club house pra sa final relocation ng transformer pole.. pahuhukayan ko sana</t>
  </si>
  <si>
    <t>TLN-527257</t>
  </si>
  <si>
    <t>'X25010341636',</t>
  </si>
  <si>
    <t>X24041166209</t>
  </si>
  <si>
    <t>RENAISSANCE VILLAGE HOMEOWNERS ASSOCIATION INC.</t>
  </si>
  <si>
    <t>BLOCK 3, RENAISSANCE VILLAGE, LAS PINAS CITY</t>
  </si>
  <si>
    <t>CY7-8078,CY7-8079,CY7-8080,CY7-8081,CY7-8082,CY7-8083,CY7-8084,TLN-521439</t>
  </si>
  <si>
    <t>'X24041166209',</t>
  </si>
  <si>
    <t>X24072764755</t>
  </si>
  <si>
    <t>OSAVE TRADING PHILIPPINES CORPORATION</t>
  </si>
  <si>
    <t>GEN. EVANGELISTA, POBLACION, BACOOR</t>
  </si>
  <si>
    <t>Reyzon Matienzo</t>
  </si>
  <si>
    <t>RPR</t>
  </si>
  <si>
    <t>DSM1-3840,TLN-522951</t>
  </si>
  <si>
    <t>'X24072764755',</t>
  </si>
  <si>
    <t>X22093878578</t>
  </si>
  <si>
    <t>FIRSTAR HVAC INC.</t>
  </si>
  <si>
    <t>NIGERIA, BETTER LIVING SUBD, PARANAQUE</t>
  </si>
  <si>
    <t>DZ1-0498,TLN-514223</t>
  </si>
  <si>
    <t>'X22093878578',</t>
  </si>
  <si>
    <t>X24114668949</t>
  </si>
  <si>
    <t>GIDEON KURT FABABIER GODOY</t>
  </si>
  <si>
    <t>GUIJO, MULTINATIONAL VILL, PARANAQUE</t>
  </si>
  <si>
    <t>CY9-8068,CY9-8069,TLN-52736</t>
  </si>
  <si>
    <t>'X24114668949',</t>
  </si>
  <si>
    <t>X25010310664</t>
  </si>
  <si>
    <t>NEBUCHADNEZZAR C RABAYA</t>
  </si>
  <si>
    <t>MARINER, MOONWALK VILL, LAS PINAS CITY</t>
  </si>
  <si>
    <t>For schedule of pole erection</t>
  </si>
  <si>
    <t>CU8-8140,TLN-527331</t>
  </si>
  <si>
    <t>'X25010310664',</t>
  </si>
  <si>
    <t>X24103967818</t>
  </si>
  <si>
    <t>ELPIDIO THOMAS SANTIAGO ACERO III</t>
  </si>
  <si>
    <t>WASHINGTON, MERVILLE SUBD, PARANAQUE</t>
  </si>
  <si>
    <t>A6-8051,TLN-526120</t>
  </si>
  <si>
    <t>'X24103967818',</t>
  </si>
  <si>
    <t>X24093657207</t>
  </si>
  <si>
    <t>SONNY HABOC BURIAS</t>
  </si>
  <si>
    <t>A6-1028,A6-8050,TLN-523826</t>
  </si>
  <si>
    <t>'X24093657207',</t>
  </si>
  <si>
    <t>X25020529420</t>
  </si>
  <si>
    <t>BARANGAY TALON UNO</t>
  </si>
  <si>
    <t>MARCOS ALVAREZ, GOLDEN ACRES SUBD, LAS PINAS CITY</t>
  </si>
  <si>
    <t>TLN-527605</t>
  </si>
  <si>
    <t>'X25020529420',</t>
  </si>
  <si>
    <t>R23894387</t>
  </si>
  <si>
    <t>ADDAS DEVELOPMENT CORPORATION</t>
  </si>
  <si>
    <t>MASAITO, MOLINO III, BACOOR</t>
  </si>
  <si>
    <t>CT7-8094</t>
  </si>
  <si>
    <t>'R23894387',</t>
  </si>
  <si>
    <t>X25010054654</t>
  </si>
  <si>
    <t>SUZENNE MARGARETH TEE TANG-DONOVAN</t>
  </si>
  <si>
    <t>A6-8058,TLN-527022</t>
  </si>
  <si>
    <t>'X25010054654',</t>
  </si>
  <si>
    <t>X24083238472</t>
  </si>
  <si>
    <t>LAND TRANSPORTATION OFFICE</t>
  </si>
  <si>
    <t>DR1-8087,TLN-523395</t>
  </si>
  <si>
    <t>'X24083238472',</t>
  </si>
  <si>
    <t>X25010149592</t>
  </si>
  <si>
    <t>8TH, ZONE 1, TAGUIG CITY</t>
  </si>
  <si>
    <t>TLN-211260</t>
  </si>
  <si>
    <t>'X25010149592',</t>
  </si>
  <si>
    <t>X25010268677</t>
  </si>
  <si>
    <t>GENELITO H. MORENO</t>
  </si>
  <si>
    <t>VRCC, VETERANS CENTER, TAGUIG CITY</t>
  </si>
  <si>
    <t>B8-0220,TLN-527188</t>
  </si>
  <si>
    <t>'X25010268677',</t>
  </si>
  <si>
    <t>X24104087935</t>
  </si>
  <si>
    <t>COASTAL, LONGOS, BACOOR</t>
  </si>
  <si>
    <t>CY6-8024,CY6-8025,TLN-522865</t>
  </si>
  <si>
    <t>'X24104087935',</t>
  </si>
  <si>
    <t>X25020632623</t>
  </si>
  <si>
    <t>PAUL ERWIN SALAZAR CANTOS</t>
  </si>
  <si>
    <t>BLOCK 14-B, LINDENWOOD RESIDENCES, MUNTINLUPA</t>
  </si>
  <si>
    <t>TLN-527650</t>
  </si>
  <si>
    <t>'X25020632623',</t>
  </si>
  <si>
    <t>X25010270222</t>
  </si>
  <si>
    <t>NELISA CHAVEZ BANATE</t>
  </si>
  <si>
    <t>KALAYAAN VILL, KALAYAAN VILL/BALAGBAG, PASAY CITY</t>
  </si>
  <si>
    <t>'X25010270222',</t>
  </si>
  <si>
    <t>X25020633295</t>
  </si>
  <si>
    <t>BRADCO, ASEANA BUSINESS PARK, PARANAQUE</t>
  </si>
  <si>
    <t>TLN-526558</t>
  </si>
  <si>
    <t>'X25020633295',</t>
  </si>
  <si>
    <t>X24093717402</t>
  </si>
  <si>
    <t>ROGER ABANDO DUNGAN</t>
  </si>
  <si>
    <t>Q. PAREDES, KATARUNGAN VILLAGE, MUNTINLUPA</t>
  </si>
  <si>
    <t>CR9-8034,CR9-8035,CR9-8036,CR9-8037,CR9-8039,TLN-523850</t>
  </si>
  <si>
    <t>'X24093717402',</t>
  </si>
  <si>
    <t>X24103945947</t>
  </si>
  <si>
    <t>ROLANDO SURIA BUCU</t>
  </si>
  <si>
    <t>STERLINGLIFE, STERLINGLIFE HOMES, LAS PINAS CITY</t>
  </si>
  <si>
    <t>'X24103945947',</t>
  </si>
  <si>
    <t>X23051592518</t>
  </si>
  <si>
    <t>S. MARQUEZ, GATCHALIAN SUBD, LAS PINAS CITY</t>
  </si>
  <si>
    <t>CY8-8013</t>
  </si>
  <si>
    <t>'X23051592518',</t>
  </si>
  <si>
    <t>X24072786899</t>
  </si>
  <si>
    <t>CAMELLA, CAMELLA HOMES ALABANG 1 SUBD, MUNTINLUPA</t>
  </si>
  <si>
    <t>'X24072786899',</t>
  </si>
  <si>
    <t>P2502182413</t>
  </si>
  <si>
    <t>C1 55GG Reconductoring of primary line from bare to covered from B9-0258 to B9-0260</t>
  </si>
  <si>
    <t>M.L. QUEZON PUROK 1 LOWER BICUTAN TAGUIG CITY</t>
  </si>
  <si>
    <t>NA</t>
  </si>
  <si>
    <t>'P2502182413',</t>
  </si>
  <si>
    <t>X24114468464</t>
  </si>
  <si>
    <t>PILI, GOLDEN ACRES SUBD, LAS PINAS CITY</t>
  </si>
  <si>
    <t>SADANG:Sir city govt laspiñas, digging issue uli, hanapan pa ng customer kung sn ppwd ilipat, gawa ng may widening pa..</t>
  </si>
  <si>
    <t>CU8-8123,CU8-8124,TLN-526539</t>
  </si>
  <si>
    <t>'X24114468464',</t>
  </si>
  <si>
    <t>X24072851266</t>
  </si>
  <si>
    <t>CITY GOVERNMENT OF LAS PIÑAS</t>
  </si>
  <si>
    <t>DANDELION, DOÑA MANUELA SUBD, LAS PINAS CITY</t>
  </si>
  <si>
    <t>TLN-844456</t>
  </si>
  <si>
    <t>'X24072851266',</t>
  </si>
  <si>
    <t>X24104280468</t>
  </si>
  <si>
    <t>conj. X24072851266</t>
  </si>
  <si>
    <t>CX7-8166,CX7-8117,CX7-8118,CX7-8119,CX7-8120,CX7-8121,CX7-8122,CX7-8123,CX7-8093,TLN-201003,TLN-844456</t>
  </si>
  <si>
    <t>'X24104280468',</t>
  </si>
  <si>
    <t>X24114480257</t>
  </si>
  <si>
    <t>TLN-526587</t>
  </si>
  <si>
    <t>'X24114480257',</t>
  </si>
  <si>
    <t>X25020514312</t>
  </si>
  <si>
    <t>PULO, SITIO PULO, LAS PINAS CITY</t>
  </si>
  <si>
    <t>TLN-527589</t>
  </si>
  <si>
    <t>'X25020514312',</t>
  </si>
  <si>
    <t>X25030763572</t>
  </si>
  <si>
    <t>'X25030763572',</t>
  </si>
  <si>
    <t>X24041057959</t>
  </si>
  <si>
    <t>DZ1-1498,TLN-035411</t>
  </si>
  <si>
    <t>'X24041057959',</t>
  </si>
  <si>
    <t>X24030854536</t>
  </si>
  <si>
    <t>ESTEHONOR CPD, ESTEHONOR CPD, MUNTINLUPA</t>
  </si>
  <si>
    <t>Special LGU permits/With Scheduled PAI</t>
  </si>
  <si>
    <t>'X24030854536',</t>
  </si>
  <si>
    <t>X25010318884</t>
  </si>
  <si>
    <t>D88 BOULEVARD RESTOBAR</t>
  </si>
  <si>
    <t>MOLINO, NIOG III, BACOOR</t>
  </si>
  <si>
    <t>CW6-8117,TLN-527355</t>
  </si>
  <si>
    <t>'X25010318884',</t>
  </si>
  <si>
    <t>X25010318012</t>
  </si>
  <si>
    <t>REBACE REAL ESTATE AND DEVELOPMENT (REBACE) CORP.</t>
  </si>
  <si>
    <t>REBACE BACOOR RESIDENCES, BACOOR</t>
  </si>
  <si>
    <t>CW5-8047,CW5-8048,CW5-0725,CW5-8049,CW5-8050,CW5-8051,TLN-527345</t>
  </si>
  <si>
    <t>'X25010318012',</t>
  </si>
  <si>
    <t>X24083217792</t>
  </si>
  <si>
    <t>L.T. SOUTHVILLE SCHOOL, INC.</t>
  </si>
  <si>
    <t>LUXEMBOURG, BF HOMES, LAS PINAS CITY</t>
  </si>
  <si>
    <t>CX8-8166,TLN-523410</t>
  </si>
  <si>
    <t>'X24083217792',</t>
  </si>
  <si>
    <t>X24093485695</t>
  </si>
  <si>
    <t>POSH PROPERTIES DEVELOPMENT CORPORATION</t>
  </si>
  <si>
    <t>C5-8082</t>
  </si>
  <si>
    <t>'X24093485695',</t>
  </si>
  <si>
    <t>X25010269534</t>
  </si>
  <si>
    <t>AMVEL LAND DEVELOPMENT CORP.,</t>
  </si>
  <si>
    <t>PHASE 2 ACCESS ROAD, AMVEL COMMERCIAL COMPLEX, PARANAQUE</t>
  </si>
  <si>
    <t>'X25010269534',</t>
  </si>
  <si>
    <t>X25020477740</t>
  </si>
  <si>
    <t>ECEAS CORPORATION</t>
  </si>
  <si>
    <t>FRANCE, BETTER LIVING SUBD, PARANAQUE</t>
  </si>
  <si>
    <t>'X25020477740',</t>
  </si>
  <si>
    <t>X24041002125</t>
  </si>
  <si>
    <t>conj. X25020539755</t>
  </si>
  <si>
    <t>'X24041002125',</t>
  </si>
  <si>
    <t>X25020583083</t>
  </si>
  <si>
    <t>DAVID'S FUSION INT'L. FOOD INC. DOING BUSINESS UND</t>
  </si>
  <si>
    <t>'X25020583083',</t>
  </si>
  <si>
    <t>X24104308728</t>
  </si>
  <si>
    <t xml:space="preserve"> JOHN GABRIEL FERRER VERGEL</t>
  </si>
  <si>
    <t>BAYABAS, GOLDEN ACRES SUBD, LAS PINAS CITY</t>
  </si>
  <si>
    <t>'X24104308728',</t>
  </si>
  <si>
    <t>X25020594777</t>
  </si>
  <si>
    <t>DV1-8109</t>
  </si>
  <si>
    <t>'X25020594777',</t>
  </si>
  <si>
    <t>X25030761116</t>
  </si>
  <si>
    <t>RIGUERA REALTY &amp; DEV'T CORP.</t>
  </si>
  <si>
    <t>CYPRESS, PILAR VILL, LAS PINAS CITY</t>
  </si>
  <si>
    <t>'X25030761116',</t>
  </si>
  <si>
    <t>X25020672144</t>
  </si>
  <si>
    <t>SYNERGYAUTO VENTURES CORPORATION</t>
  </si>
  <si>
    <t>DR. A. SANTOS, BF HOMES, PARANAQUE</t>
  </si>
  <si>
    <t>'X25020672144',</t>
  </si>
  <si>
    <t>R23910052</t>
  </si>
  <si>
    <t>SOLIVA PETER PAUL ACHURRA</t>
  </si>
  <si>
    <t>'R23910052',</t>
  </si>
  <si>
    <t>R23462615</t>
  </si>
  <si>
    <t>UNIOIL PETROLEUM INC</t>
  </si>
  <si>
    <t>DONA SOLEDAD EXTN, BETTER LIVING SUBD, PARANAQUE</t>
  </si>
  <si>
    <t>'R23462615',</t>
  </si>
  <si>
    <t>X24093522671</t>
  </si>
  <si>
    <t>A &amp; T RESOURCES &amp; DEV'T</t>
  </si>
  <si>
    <t>CORREGIDOR, TIERRA NUEVA SUBD, MUNTINLUPA</t>
  </si>
  <si>
    <t>CV9-8044</t>
  </si>
  <si>
    <t>'X24093522671',</t>
  </si>
  <si>
    <t>X24051834109</t>
  </si>
  <si>
    <t>MOBILITY GROUP CORP.</t>
  </si>
  <si>
    <t>MOLINO-PALIPARAN, MOLINO IV, BACOOR</t>
  </si>
  <si>
    <t>CR7-2360,TLN-522030</t>
  </si>
  <si>
    <t>'X24051834109',</t>
  </si>
  <si>
    <t>X25020478582</t>
  </si>
  <si>
    <t>NESTOR R LLORCA</t>
  </si>
  <si>
    <t>PINAGKAISA, PUROK 1A, TAGUIG CITY</t>
  </si>
  <si>
    <t>'X25020478582',</t>
  </si>
  <si>
    <t>X24072839965</t>
  </si>
  <si>
    <t>LOLA NENA'S PICHI PICHI, INC.</t>
  </si>
  <si>
    <t>TLN-523101</t>
  </si>
  <si>
    <t>'X24072839965',</t>
  </si>
  <si>
    <t>X24114473729</t>
  </si>
  <si>
    <t>STO NIÑO, PUROK 1A, TAGUIG CITY</t>
  </si>
  <si>
    <t>FOR SCHED DIGGING</t>
  </si>
  <si>
    <t>'X24114473729',</t>
  </si>
  <si>
    <t>X24114473614</t>
  </si>
  <si>
    <t>'X24114473614',</t>
  </si>
  <si>
    <t>X25030837914</t>
  </si>
  <si>
    <t>BARANGAY ALABANG</t>
  </si>
  <si>
    <t>MONTILLANO, ALABANG, MUNTINLUPA</t>
  </si>
  <si>
    <t>Executed 3/23/25</t>
  </si>
  <si>
    <t>Supersede : X24062428692</t>
  </si>
  <si>
    <t>'X25030837914',</t>
  </si>
  <si>
    <t>X25020617611</t>
  </si>
  <si>
    <t>CONNIE LAO YU</t>
  </si>
  <si>
    <t>'X25020617611',</t>
  </si>
  <si>
    <t>X24114614743</t>
  </si>
  <si>
    <t>PTR PREMIER HOLDINGS INC.</t>
  </si>
  <si>
    <t>ST. JOSEPH, ST. JOSEPH SUBD, LAS PINAS CITY</t>
  </si>
  <si>
    <t>'X24114614743',</t>
  </si>
  <si>
    <t>R23858401</t>
  </si>
  <si>
    <t>ACTIVE REALTY &amp; DEVELOPMENT CORPORATION,, HMB</t>
  </si>
  <si>
    <t>GUADARAMA, TOWN AND COUNTRY WEST SUBD, BACOOR</t>
  </si>
  <si>
    <t>'R23858401',</t>
  </si>
  <si>
    <t>X25020498390</t>
  </si>
  <si>
    <t>MANUKA REALTY, INC.</t>
  </si>
  <si>
    <t>TALISAY, AYALA-ALABANG VILL, MUNTINLUPA</t>
  </si>
  <si>
    <t>'X25020498390',</t>
  </si>
  <si>
    <t>X25030873001</t>
  </si>
  <si>
    <t>'X25030873001',</t>
  </si>
  <si>
    <t>X25030858073</t>
  </si>
  <si>
    <t>CENTURY LIMITLESS CORPORATION,</t>
  </si>
  <si>
    <t>'X25030858073',</t>
  </si>
  <si>
    <t>X25020466847</t>
  </si>
  <si>
    <t>NADINE G ABELA</t>
  </si>
  <si>
    <t xml:space="preserve"> LUZON, AYALA-ALABANG VILL, MUNTINLUPA</t>
  </si>
  <si>
    <t>For execution 3/26/25</t>
  </si>
  <si>
    <t>TLN-527522</t>
  </si>
  <si>
    <t>'X25020466847',</t>
  </si>
  <si>
    <t>X25010330816</t>
  </si>
  <si>
    <t>GOLDILOCKS BAKESHOP, INC.</t>
  </si>
  <si>
    <t>ST. FRANCIS, SAN AGUSTIN VILL, PARANAQUE</t>
  </si>
  <si>
    <t>'X25010330816',</t>
  </si>
  <si>
    <t>X25010076395</t>
  </si>
  <si>
    <t>ANANTA REALTY CORP.</t>
  </si>
  <si>
    <t>PASAMANCA, SOUTH GREEN PARK SUBD, PARANAQUE</t>
  </si>
  <si>
    <t>'X25010076395',</t>
  </si>
  <si>
    <t>X25010329960</t>
  </si>
  <si>
    <t>RODRIGO SANGALANG LA TORRE</t>
  </si>
  <si>
    <t>TOPAZ, SEVERINA DIAMOND SUBD, PARANAQUE</t>
  </si>
  <si>
    <t>DY1-8087,-TLN-527411</t>
  </si>
  <si>
    <t>'X25010329960',</t>
  </si>
  <si>
    <t>X25010249951</t>
  </si>
  <si>
    <t>ALEX JUSTINIANO CLAVERIA</t>
  </si>
  <si>
    <t>SANTIAGO LOOP, AYALA-ALABANG VILL, MUNTINLUPA</t>
  </si>
  <si>
    <t>'X25010249951',</t>
  </si>
  <si>
    <t>X24083316199</t>
  </si>
  <si>
    <t>ADEL MUNDAN BALOGO</t>
  </si>
  <si>
    <t>SAUDI ARABIA, BETTER LIVING SUBD, PARANAQUE</t>
  </si>
  <si>
    <t>'X24083316199',</t>
  </si>
  <si>
    <t>X24124723768</t>
  </si>
  <si>
    <t>DY1-8072,TLN-526892</t>
  </si>
  <si>
    <t>'X24124723768',</t>
  </si>
  <si>
    <t>X25010066825</t>
  </si>
  <si>
    <t>JOE VINCENT J. ABIERA</t>
  </si>
  <si>
    <t>BULUSAN, AYALA-ALABANG VILL, MUNTINLUPA</t>
  </si>
  <si>
    <t>'X25010066825',</t>
  </si>
  <si>
    <t>X25030802747</t>
  </si>
  <si>
    <t>KATHRYN ANG ZARATE</t>
  </si>
  <si>
    <t>ROSEMALLOW, SUN VALLEY SUBD, PARANAQUE</t>
  </si>
  <si>
    <t>'X25030802747',</t>
  </si>
  <si>
    <t>X24041299813</t>
  </si>
  <si>
    <t>MAXWELL PATRICK JOVEN ALVAREZ</t>
  </si>
  <si>
    <t>ST. PETER, SAN JOSE SUBD, MUNTINLUPA</t>
  </si>
  <si>
    <t>'X24041299813',</t>
  </si>
  <si>
    <t>X24010242621</t>
  </si>
  <si>
    <t>MICHELLE MARTELINO YU</t>
  </si>
  <si>
    <t>OXFORD, HILLSBOROUGH SUBD, MUNTINLUPA</t>
  </si>
  <si>
    <t>DV1-1220,DV1-8035,TLN-520316</t>
  </si>
  <si>
    <t>'X24010242621',</t>
  </si>
  <si>
    <t>X25020421060</t>
  </si>
  <si>
    <t>MARK CHRISTIANE D. MIJARES</t>
  </si>
  <si>
    <t>DIEGO SILANG, AFP OVAI PHASE IV, TAGUIG CITY</t>
  </si>
  <si>
    <t>TLN-527462</t>
  </si>
  <si>
    <t>'X25020421060',</t>
  </si>
  <si>
    <t>X24124844490</t>
  </si>
  <si>
    <t>JEROME CASIO DIANO</t>
  </si>
  <si>
    <t>TLN-526906</t>
  </si>
  <si>
    <t>'X24124844490',</t>
  </si>
  <si>
    <t>X24062169287</t>
  </si>
  <si>
    <t>TLN-522397</t>
  </si>
  <si>
    <t>'X24062169287',</t>
  </si>
  <si>
    <t>X25030941835</t>
  </si>
  <si>
    <t>YIQUN YANG</t>
  </si>
  <si>
    <t>MANILA DOCTOR VILL, ALMANZA I, LAS PINAS CITY</t>
  </si>
  <si>
    <t>done retirement</t>
  </si>
  <si>
    <t>'X25030941835',</t>
  </si>
  <si>
    <t>X25030955124</t>
  </si>
  <si>
    <t>TIN PHO LIM</t>
  </si>
  <si>
    <t>CADENA DE AMOR, AYALA-ALABANG VILL, MUNTINLUPA</t>
  </si>
  <si>
    <t>CS9-8089,TLN-527524,TLN-060608</t>
  </si>
  <si>
    <t>'X25030955124',</t>
  </si>
  <si>
    <t>X25010271934</t>
  </si>
  <si>
    <t>DANILO FLORES TARRIELA</t>
  </si>
  <si>
    <t>BATANGAS SOUTH, AYALA-ALABANG VILL, MUNTINLUPA</t>
  </si>
  <si>
    <t>CS9-8088,TLN-527142</t>
  </si>
  <si>
    <t>'X25010271934',</t>
  </si>
  <si>
    <t>X25010350650</t>
  </si>
  <si>
    <t>ICE &amp; WATER STOP, INC.</t>
  </si>
  <si>
    <t>SAN ANTONIO VALLEY 1, SAN ANTONIO VALLEY 1, PARANAQUE</t>
  </si>
  <si>
    <t>'X25010350650',</t>
  </si>
  <si>
    <t>X25030745343</t>
  </si>
  <si>
    <t>'X25030745343 ',</t>
  </si>
  <si>
    <t>X25030933327</t>
  </si>
  <si>
    <t>JHOY MEDINA MATILLA</t>
  </si>
  <si>
    <t>ROSAL, T.S. CRUZ SUBD, LAS PINAS CITY</t>
  </si>
  <si>
    <t>'X25030933327',</t>
  </si>
  <si>
    <t>X24114372683</t>
  </si>
  <si>
    <t>ALEXANDER SY CO JR</t>
  </si>
  <si>
    <t>CV8-8084</t>
  </si>
  <si>
    <t>'X24114372683',</t>
  </si>
  <si>
    <t>X24124706560</t>
  </si>
  <si>
    <t>A2Z REAL ESTATE CORPORATION</t>
  </si>
  <si>
    <t>MADRIGAL, AYALA-ALABANG VILL, MUNTINLUPA</t>
  </si>
  <si>
    <t>( POLE ERECTION &amp; POLE DRESSING ) ENERGIZATION 8-9-25</t>
  </si>
  <si>
    <t>CT9-8083,CU9-1834-S</t>
  </si>
  <si>
    <t>'X24124706560',</t>
  </si>
  <si>
    <t>X25010222514</t>
  </si>
  <si>
    <t>MAHOGANY, VICTORIA HOMES-PEARL HTS SUBD, MUNTINLUPA</t>
  </si>
  <si>
    <t>CP8-0235,TLN-527167</t>
  </si>
  <si>
    <t>'X25010222514',</t>
  </si>
  <si>
    <t>X25010234795</t>
  </si>
  <si>
    <t>HERLENE SANTOS TAN</t>
  </si>
  <si>
    <t>R.M.T. INDUSTRIAL COMPLEX, R.M.T. INDUSTRIAL COMPLEX, MUNTINLUPA</t>
  </si>
  <si>
    <t>TLN-527179</t>
  </si>
  <si>
    <t>'X25010234795',</t>
  </si>
  <si>
    <t>X25010341987</t>
  </si>
  <si>
    <t>THE PLASTIC FLAMINGO PHILIPPINES INC.</t>
  </si>
  <si>
    <t>'X25010341987',</t>
  </si>
  <si>
    <t>X24051959665</t>
  </si>
  <si>
    <t>VILLONGCO, VILLONGCO, MUNTINLUPA</t>
  </si>
  <si>
    <t>X24051959665',</t>
  </si>
  <si>
    <t>R23852881</t>
  </si>
  <si>
    <t>PALAGANAS, GRACE B, HMB</t>
  </si>
  <si>
    <t>APITONG, AYALA-ALABANG VILL, MUNTINLUPA</t>
  </si>
  <si>
    <t>CU9-8092,CU9-8093,TLN-194837</t>
  </si>
  <si>
    <t>'R23852881',</t>
  </si>
  <si>
    <t>X25020497025</t>
  </si>
  <si>
    <t>CITY GOVERNMENT OF PARANAQUE</t>
  </si>
  <si>
    <t>A5-0565,A5-8083,TLN-527761</t>
  </si>
  <si>
    <t>'X25020497025',</t>
  </si>
  <si>
    <t>X25030779813</t>
  </si>
  <si>
    <t>SUYOSA CORP,</t>
  </si>
  <si>
    <t>conj. X25010234795</t>
  </si>
  <si>
    <t>'X25030779813',</t>
  </si>
  <si>
    <t>X25020687800</t>
  </si>
  <si>
    <t>STEVE LAURENCE UY CHAN</t>
  </si>
  <si>
    <t>CAMBRIDGE, BF HOMES, PARANAQUE</t>
  </si>
  <si>
    <t>CX8-8140,TLN-521448</t>
  </si>
  <si>
    <t>'X25020687800',</t>
  </si>
  <si>
    <t>X25020551884</t>
  </si>
  <si>
    <t>VAS SOLUTIONS INC.</t>
  </si>
  <si>
    <t>'X25020551884',</t>
  </si>
  <si>
    <t>X25030745130</t>
  </si>
  <si>
    <t>ENRIQUE FELIPE OLIVA GUSTILO</t>
  </si>
  <si>
    <t>GNG. ELSIE GACHES, BF HOMES, PARANAQUE</t>
  </si>
  <si>
    <t>TLN-527459</t>
  </si>
  <si>
    <t>'X25030745130',</t>
  </si>
  <si>
    <t>X25030745122</t>
  </si>
  <si>
    <t>conj. X25030745130</t>
  </si>
  <si>
    <t>DW1-8056,CW9-8067,CW9-8068</t>
  </si>
  <si>
    <t>'X25030745122',</t>
  </si>
  <si>
    <t>X24104306412</t>
  </si>
  <si>
    <t>DON ANTONIO ROXAS CHUA FOUNDATION. INC.</t>
  </si>
  <si>
    <t>A.R. CHUA, PACIFIC VILL, MUNTINLUPA</t>
  </si>
  <si>
    <t>DV1-8083,TLN-526399</t>
  </si>
  <si>
    <t>'X24104306412',</t>
  </si>
  <si>
    <t>X24072739034</t>
  </si>
  <si>
    <t>'X24072739034',</t>
  </si>
  <si>
    <t>X25031001944</t>
  </si>
  <si>
    <t>CROWN-PHILS,</t>
  </si>
  <si>
    <t>GEN. EMILIO AGUINALDO, PANAPAAN VII, BACOOR</t>
  </si>
  <si>
    <t>'X25031001944',</t>
  </si>
  <si>
    <t>X25030817116</t>
  </si>
  <si>
    <t>LLOYD ELGENE ASUNCION APOSTOL</t>
  </si>
  <si>
    <t>LINDENWOOD RESIDENCES, MUNTINLUPA</t>
  </si>
  <si>
    <t>X24103952853</t>
  </si>
  <si>
    <t>ANITA JALANDONI FERRER</t>
  </si>
  <si>
    <t>BLOCK 19, CUEVASVILLE SUBD., BACOOR</t>
  </si>
  <si>
    <t>CR8-8024,CR8-8025</t>
  </si>
  <si>
    <t>X24083326772</t>
  </si>
  <si>
    <t>JONALYN PICAHE</t>
  </si>
  <si>
    <t>CATTLEYA, SOUTH GREENPARK SUBD, PARANAQUE</t>
  </si>
  <si>
    <t>WITH DIGGING PROBLEM 3RD PARTY</t>
  </si>
  <si>
    <t>X25030992057</t>
  </si>
  <si>
    <t>ANTONITA MOYNIHAN DAYRIT</t>
  </si>
  <si>
    <t>YELLOW STONE, SOUTH GREEN PARK SUBD, PARANAQUE</t>
  </si>
  <si>
    <t>X24114461949</t>
  </si>
  <si>
    <t>X24104075973</t>
  </si>
  <si>
    <t>TOTAL GAMEZONE XTREME INCORPORATED</t>
  </si>
  <si>
    <t>WEST SERVICE, MERVILLE SUBD, PARANAQUE</t>
  </si>
  <si>
    <t>X25010307845</t>
  </si>
  <si>
    <t>REYEL CRUZ SANTOS</t>
  </si>
  <si>
    <t>GALAXY, BRICKTOWN PH 3 SUBD, PARANAQUE</t>
  </si>
  <si>
    <t>X24083428939</t>
  </si>
  <si>
    <t>ROBERTO C VASQUEZ</t>
  </si>
  <si>
    <t>PRES. AGUINALDO, TEOVILLE SUBD EAST, PARANAQUE</t>
  </si>
  <si>
    <t>X25010249268</t>
  </si>
  <si>
    <t>SITIO SUNRISE NEIGHBORHOOD ASS</t>
  </si>
  <si>
    <t>For Energize</t>
  </si>
  <si>
    <t>X25030863021</t>
  </si>
  <si>
    <t>S3A UNITED INC.</t>
  </si>
  <si>
    <t>PACIFIC AVE, MARINA SUBD, PARANAQUE</t>
  </si>
  <si>
    <t>X25030881259</t>
  </si>
  <si>
    <t>HEIDELBERG BORJA CRUZ</t>
  </si>
  <si>
    <t>HERRERA ST., TOWN AND COUNTRY WEST SUBD, BACOOR</t>
  </si>
  <si>
    <t>X25030890010</t>
  </si>
  <si>
    <t>STO. CRISTO PROPERTIES AND HOLDINGS CORP.</t>
  </si>
  <si>
    <t>X25031039951</t>
  </si>
  <si>
    <t>YEUNG MARINE PRODUCTS, INC.</t>
  </si>
  <si>
    <t>D. CAMPOS, DON GALO, PARANAQUE</t>
  </si>
  <si>
    <t>X25031039757</t>
  </si>
  <si>
    <t>R &amp; G CONSTRUCTION DEVELOPMENT</t>
  </si>
  <si>
    <t>DR. A. SANTOS, SEACOM CPD, PARANAQUE</t>
  </si>
  <si>
    <t>X25031040315</t>
  </si>
  <si>
    <t>FIRST ASSOCIATED MEDICAL DISTRIBUTION CO.,INC.,</t>
  </si>
  <si>
    <t>PHILIP, MULTINATIONAL VILL, PARANAQUE</t>
  </si>
  <si>
    <t>X25031038391</t>
  </si>
  <si>
    <t>DONG FANG JITUAN CORPORATION</t>
  </si>
  <si>
    <t>X25031040438</t>
  </si>
  <si>
    <t>CSE DRAGON VENEER CORPORATION,</t>
  </si>
  <si>
    <t>X25031040100</t>
  </si>
  <si>
    <t>SUNSHINE TRANSPORTATION INCORPORATED,</t>
  </si>
  <si>
    <t>SANTOS CPD, KAINGIN, PARANAQUE</t>
  </si>
  <si>
    <t>X25030992093</t>
  </si>
  <si>
    <t>MARCO ANGELO FELIX LIM LOPEZ</t>
  </si>
  <si>
    <t>X25010349367</t>
  </si>
  <si>
    <t>FLORANTE CRUZ DEL MUNDO</t>
  </si>
  <si>
    <t>PRESIDENT'S, BF HOMES, PARANAQUE</t>
  </si>
  <si>
    <t>INSTALL SERVICE DROP 8/21;</t>
  </si>
  <si>
    <t>X24114389576</t>
  </si>
  <si>
    <t>PYC FOODS CORPORATION</t>
  </si>
  <si>
    <t>DAANG HARI, ALABANG WEST, LAS PINAS CITY</t>
  </si>
  <si>
    <t>X25010311115</t>
  </si>
  <si>
    <t>EFRAIM MARONILLA OLAN</t>
  </si>
  <si>
    <t>MELANIE MARQUEZ, BF RESORT VILL, LAS PINAS CITY</t>
  </si>
  <si>
    <t>X25020394464</t>
  </si>
  <si>
    <t>PINESBEL MFG. &amp; TRADING CORP.</t>
  </si>
  <si>
    <t>X25030854781</t>
  </si>
  <si>
    <t>THE LOOK (ASIA) INC.</t>
  </si>
  <si>
    <t>PERPECTO DR, BAGUMBAYAN, TAGUIG CITY</t>
  </si>
  <si>
    <t>X24114426315</t>
  </si>
  <si>
    <t>DAANG HARI, ALMANZA II, LAS PINAS CITY</t>
  </si>
  <si>
    <t>X24114531063</t>
  </si>
  <si>
    <t>FRBPRIME INC.</t>
  </si>
  <si>
    <t>PALMA, TOWN AND COUNTRY WEST SUBD, BACOOR</t>
  </si>
  <si>
    <t>X25020623890</t>
  </si>
  <si>
    <t>NILO REQUINTA PERFECTO</t>
  </si>
  <si>
    <t>CONSTELLATION, MOONWALK VILL, LAS PINAS CITY</t>
  </si>
  <si>
    <t>X24114545156</t>
  </si>
  <si>
    <t>ST. JAMES THE GREAT PARISH FOUNDATION, INC.</t>
  </si>
  <si>
    <t>IBAAN, AYALA-ALABANG VILL, MUNTINLUPA</t>
  </si>
  <si>
    <t>X25030752071</t>
  </si>
  <si>
    <t>MICHAEL G. DAVID</t>
  </si>
  <si>
    <t>BLOCK 7, DOÑA ROSARIO HEIGHTS SUBD, MUNTINLUPA</t>
  </si>
  <si>
    <t>X25030872408</t>
  </si>
  <si>
    <t>BLOCK 27, PINAGSAMA PH 2 VILL, TAGUIG CITY</t>
  </si>
  <si>
    <t>X24103988119</t>
  </si>
  <si>
    <t>ARIAS CPD, TAMBO, PARANAQUE</t>
  </si>
  <si>
    <t>X25020504155</t>
  </si>
  <si>
    <t>SHERWILL REALTY CORPORATION</t>
  </si>
  <si>
    <t>TERESITA DRIVE, TAGUIG BAGUMBAYAN INDL ASS INC, TAGUIG CITY</t>
  </si>
  <si>
    <t>X25031070065</t>
  </si>
  <si>
    <t>LANDBANK OF THE PHILIPPINES</t>
  </si>
  <si>
    <t>X24020419372</t>
  </si>
  <si>
    <t>CITY GOVERNMENT OF LAS PINAS</t>
  </si>
  <si>
    <t>MALUNGGAY, CAA CPD PH 3, LAS PINAS CITY</t>
  </si>
  <si>
    <t>ongoing sched interruption aug. 29, 2025 Friday</t>
  </si>
  <si>
    <t>X25030884434</t>
  </si>
  <si>
    <t>RONALD CARANAY CALINGAY</t>
  </si>
  <si>
    <t>GREEN GRASS, GREEN VALLEY SUBD SECT A, BACOOR</t>
  </si>
  <si>
    <t>X25041141247</t>
  </si>
  <si>
    <t>ALABANG HILLS VILLAGE ASS INC</t>
  </si>
  <si>
    <t>X25010118641</t>
  </si>
  <si>
    <t>HIJO GREENS, INC.</t>
  </si>
  <si>
    <t>EDISON, EDISON INDUSTRIAL COMPLEX, PARANAQUE</t>
  </si>
  <si>
    <t>X25020460575</t>
  </si>
  <si>
    <t>LINAHEIM CORPORATE SERVICES, INC.</t>
  </si>
  <si>
    <t>X25030992144</t>
  </si>
  <si>
    <t>SONNY MACARAIG NG</t>
  </si>
  <si>
    <t>LEYTE, MARINA SUBD, PARANAQUE</t>
  </si>
  <si>
    <t>X25020681892</t>
  </si>
  <si>
    <t>DAANG HARI, PERPETUAL VILLAGE, TAGUIG CITY</t>
  </si>
  <si>
    <t>X25031010090</t>
  </si>
  <si>
    <t>LILIA T. AMADOR</t>
  </si>
  <si>
    <t>PRES. QUIRINO AVE, ZONE 6, TAGUIG CITY</t>
  </si>
  <si>
    <t xml:space="preserve"> 201,524.06
</t>
  </si>
  <si>
    <t>X25031019727</t>
  </si>
  <si>
    <t>X25020679066</t>
  </si>
  <si>
    <t>WILFREDO URDAS ABUEVA</t>
  </si>
  <si>
    <t>R23928639</t>
  </si>
  <si>
    <t>METALS INDUSTRY RESEARCH AND DEVELOPMENT CENTER</t>
  </si>
  <si>
    <t>GEN. SANTOS, DOST CPD, TAGUIG CITY</t>
  </si>
  <si>
    <t>X25020413672</t>
  </si>
  <si>
    <t>DAJ PROPERTY HOLDINGS CORP.</t>
  </si>
  <si>
    <t>ANONAS, AYALA-ALABANG VILL, MUNTINLUPA</t>
  </si>
  <si>
    <t>X25041184011</t>
  </si>
  <si>
    <t>ELENA M KIKUCHI</t>
  </si>
  <si>
    <t>ARAGON CPD, ARAGON CPD, BACOOR</t>
  </si>
  <si>
    <t>X25010318160</t>
  </si>
  <si>
    <t>METRO SOUTH PROPERTIES CORPORATION</t>
  </si>
  <si>
    <t>RAVENGA, TOWN AND COUNTRY WEST SUBD, BACOOR</t>
  </si>
  <si>
    <t>X25020671305</t>
  </si>
  <si>
    <t>M.L. QUEZON, PUROK 4, TAGUIG CITY</t>
  </si>
  <si>
    <t>X25030844140</t>
  </si>
  <si>
    <t>PINAGSAMA PH 1 VILL, PINAGSAMA PH 1 VILL, TAGUIG CITY</t>
  </si>
  <si>
    <t>X25030949251</t>
  </si>
  <si>
    <t>LAPU-LAPU, PUROK 2, TAGUIG CITY</t>
  </si>
  <si>
    <t>ONGOING WITH PAI</t>
  </si>
  <si>
    <t>No pole stake / Materials unavailability</t>
  </si>
  <si>
    <t>X25020572372</t>
  </si>
  <si>
    <t>JEFFREY ANG SY</t>
  </si>
  <si>
    <t>WHITE, GOODWILL 2 SUBD, PARANAQUE</t>
  </si>
  <si>
    <t>Done energize with meter</t>
  </si>
  <si>
    <t>X23072870847</t>
  </si>
  <si>
    <t>BANABA, AYALA-ALABANG VILL, MUNTINLUPA</t>
  </si>
  <si>
    <t xml:space="preserve">306,894.22
</t>
  </si>
  <si>
    <t>X23031056287</t>
  </si>
  <si>
    <t>ALFAMART TRADING PHILIPPINES, INC</t>
  </si>
  <si>
    <t>GEN. TIRONA, MABOLO I, BACOOR</t>
  </si>
  <si>
    <t>X24072722048</t>
  </si>
  <si>
    <t>C. ARELLANO, KATARUNGAN VILLAGE, MUNTINLUPA</t>
  </si>
  <si>
    <t xml:space="preserve">247,309.59
</t>
  </si>
  <si>
    <t>X25041128269</t>
  </si>
  <si>
    <t>ALDOUS JEROME ROTAIRO SARMIENTO</t>
  </si>
  <si>
    <t>BLOCK 12, KALAYAAN VILL/BALAGBAG, PASAY CITY</t>
  </si>
  <si>
    <t>X24072847895</t>
  </si>
  <si>
    <t>DR. J. GABRIEL, BACLARAN, PARANAQUE</t>
  </si>
  <si>
    <t>diging problem wala po paghukayan</t>
  </si>
  <si>
    <t>X24030696318</t>
  </si>
  <si>
    <t>ALY PLACE PROPERTIES INC.</t>
  </si>
  <si>
    <t>BOUGAINVILLA, T.S. CRUZ SUBD, LAS PINAS CITY</t>
  </si>
  <si>
    <t>W/ Problem , energization 8-8-25</t>
  </si>
  <si>
    <t>X25041106100</t>
  </si>
  <si>
    <t>ALAN LIMCAY TAN</t>
  </si>
  <si>
    <t>R. PARAS, KATARUNGAN VILLAGE, MUNTINLUPA</t>
  </si>
  <si>
    <t>X25030864022</t>
  </si>
  <si>
    <t>RAHUL DAVE DARYANI</t>
  </si>
  <si>
    <t>E. RODRIGUEZ JR., STO. NINO, PARANAQUE</t>
  </si>
  <si>
    <t>TLN-522965</t>
  </si>
  <si>
    <t>X25010277855</t>
  </si>
  <si>
    <t>MICHAEL LEANDRO ALINDOGAN NAVARRETE</t>
  </si>
  <si>
    <t>GEN. EMILIO AGUINALDO, PANAPAAN V, BACOOR</t>
  </si>
  <si>
    <t>X25041178117</t>
  </si>
  <si>
    <t>X25030814162</t>
  </si>
  <si>
    <t>ALMA DY BAGAS</t>
  </si>
  <si>
    <t>SAMARIA, MULTINATIONAL VILL, PARANAQUE</t>
  </si>
  <si>
    <t>Energize with meter</t>
  </si>
  <si>
    <t>X23114515533</t>
  </si>
  <si>
    <t>R. AVANCEÑA, KATARUNGAN VILLAGE, MUNTINLUPA</t>
  </si>
  <si>
    <t>X25010187948</t>
  </si>
  <si>
    <t>EDUARDO FRANCISCO CAACBAY</t>
  </si>
  <si>
    <t>G.SANTOS, KATARUNGAN VILLAGE, MUNTINLUPA</t>
  </si>
  <si>
    <t>X25010021411</t>
  </si>
  <si>
    <t>FRANCES CHRISTINE RAMIREZ AGUIRRE</t>
  </si>
  <si>
    <t>DAO, MAYWOOD VILL, PARANAQUE</t>
  </si>
  <si>
    <t>X25020687798</t>
  </si>
  <si>
    <t>TWIN KARAT REALTY CORPORATION</t>
  </si>
  <si>
    <t>QUIRINO, SAN DIONISIO, PARANAQUE</t>
  </si>
  <si>
    <t>POLE DRESSING</t>
  </si>
  <si>
    <t>X25010121042</t>
  </si>
  <si>
    <t>MODISSOL PROPERTY MANAGEMENT CORPORATION</t>
  </si>
  <si>
    <t>X25031083142</t>
  </si>
  <si>
    <t>ELOISA R PONCE</t>
  </si>
  <si>
    <t>BLOCK 132, SITIO IMELDA, TAGUIG CITY</t>
  </si>
  <si>
    <t>X25041129915</t>
  </si>
  <si>
    <t>ROSE ANNE A. AGUIRRE</t>
  </si>
  <si>
    <t>C. PALANCA SR., BF HOMES, PARANAQUE</t>
  </si>
  <si>
    <t>X25041129547</t>
  </si>
  <si>
    <t>S3A UNTIED INC.</t>
  </si>
  <si>
    <t>X25041173300</t>
  </si>
  <si>
    <t>ALBERT TIONGSON LORENZO</t>
  </si>
  <si>
    <t>BACOOR, MAMBOG IV, BACOOR</t>
  </si>
  <si>
    <t>X25010301742</t>
  </si>
  <si>
    <t>CITIHARDWARE BACOLOD, INC.</t>
  </si>
  <si>
    <t>X25020573238</t>
  </si>
  <si>
    <t>REIGNWOOD DEVELOPMENT CORPORATION</t>
  </si>
  <si>
    <t>BLOCK 1B, BENEDETTO RESIDENCES, LAS PINAS CITY</t>
  </si>
  <si>
    <t>CY7-8119,TLN-527642</t>
  </si>
  <si>
    <t>X25020460240</t>
  </si>
  <si>
    <t>17TH A, STO. NINO, PARANAQUE</t>
  </si>
  <si>
    <t>y</t>
  </si>
  <si>
    <t>X24104298635</t>
  </si>
  <si>
    <t>ANKONG HOLDINGS, INC.</t>
  </si>
  <si>
    <t>JAIME, AIRPORT VILL, PARANAQUE</t>
  </si>
  <si>
    <t>POLE ERECTION &amp; DRESSING 8-6-25</t>
  </si>
  <si>
    <t>X25020417967</t>
  </si>
  <si>
    <t>RIZAL, POBLACION, MUNTINLUPA</t>
  </si>
  <si>
    <t>X24072778613</t>
  </si>
  <si>
    <t>TYPE C, NEW BILIBID PRISONS, MUNTINLUPA</t>
  </si>
  <si>
    <t>ENERGIZE 20KV &amp;  DT 3 -167 KVA 8/13; for fcomp</t>
  </si>
  <si>
    <t>X25030757040</t>
  </si>
  <si>
    <t>AMBICA INTERNATIONAL CORPORATION</t>
  </si>
  <si>
    <t>MERVILLE ACCESS, KALAYAAN VILL/BALAGBAG, PASAY CITY</t>
  </si>
  <si>
    <t>X25041157540</t>
  </si>
  <si>
    <t>WO DONE (FCOMP)</t>
  </si>
  <si>
    <t>X25010240572</t>
  </si>
  <si>
    <t>ARARA DEVELOPMENT CORPORATION</t>
  </si>
  <si>
    <t>ALEXANDER, PALM PLACE PREMIER LEVITOWN 10, PARANAQUE</t>
  </si>
  <si>
    <t>X25010240570</t>
  </si>
  <si>
    <t>X24083326443</t>
  </si>
  <si>
    <t>SIONIL BUILDERS CORPORATION</t>
  </si>
  <si>
    <t>ROAD 9E, UNITED PARANAQUE 5, PARANAQUE</t>
  </si>
  <si>
    <t>CXP-8167,CXP-8168,CXP-8170</t>
  </si>
  <si>
    <t>X25020485881</t>
  </si>
  <si>
    <t>CORAZON SISON MANALO</t>
  </si>
  <si>
    <t>EVERLASTING, SOUTH GREENHEIGHTS VILL, MUNTINLUPA</t>
  </si>
  <si>
    <t>DS1-8164, 054780, 527596</t>
  </si>
  <si>
    <t>X25030842100</t>
  </si>
  <si>
    <t>MAGSAYSAY, PUROK 2A, TAGUIG CITY</t>
  </si>
  <si>
    <t>TLN-527994</t>
  </si>
  <si>
    <t>X24103987583</t>
  </si>
  <si>
    <t>LIRIO, SAN ISIDRO, PARANAQUE</t>
  </si>
  <si>
    <t>cy9-5937,cy9-5938,cy9-8054,tln-201770</t>
  </si>
  <si>
    <t>X25010252654</t>
  </si>
  <si>
    <t>ENRIQUE JOSE NUGUID LIM</t>
  </si>
  <si>
    <t>BURGOS, TOWN AND COUNTRY WEST SUBD, BACOOR</t>
  </si>
  <si>
    <t>X25020524644</t>
  </si>
  <si>
    <t>TIERRA BELLA PROPERTIES INC.</t>
  </si>
  <si>
    <t>X25020630582</t>
  </si>
  <si>
    <t>X25020582768</t>
  </si>
  <si>
    <t>MIESCOR INFRASTRUCTURE DEVELOPMENT CORPORATION</t>
  </si>
  <si>
    <t>BAGONG SILANG INTERIOR, QUEEN'S ROW EAST , BACOOR</t>
  </si>
  <si>
    <t>X23072775098</t>
  </si>
  <si>
    <t>MANGGA, ZONE 1, TAGUIG CITY</t>
  </si>
  <si>
    <t>DS1-8157, TLN-527237</t>
  </si>
  <si>
    <t>X25020415616</t>
  </si>
  <si>
    <t>SOUTH METRO ICE PLANT CORP.</t>
  </si>
  <si>
    <t>DQ1-0085, TLN-521955</t>
  </si>
  <si>
    <t>P2502183605</t>
  </si>
  <si>
    <t>Relocation of Pole along Molino Rd.SM Molino-Zapote Bacoor, Cavite -Segment 14</t>
  </si>
  <si>
    <t>LIGAS III LIGAS III BACOOR CAVITE</t>
  </si>
  <si>
    <t>for follow up sa DPWH as per clyde royo</t>
  </si>
  <si>
    <t>CV6-8176,CW6-8121,CW6-8122,CX6-8166,CX6-1744,CX6-8167,CX6-8165,CX6-8168,CX6-8169,CX6-8170,CX6-8171,CX6-8172,CX6-8173.TLN-047298,TLN-139517,TLN-046577</t>
  </si>
  <si>
    <t>X23072739849</t>
  </si>
  <si>
    <t>MEDEL, ZONE 3, TAGUIG CITY</t>
  </si>
  <si>
    <t xml:space="preserve"> B8-0910,B8-0911,B8-8058,B8-8059,B8-8060,B8-8061,TLN-518072</t>
  </si>
  <si>
    <t>P2502183604</t>
  </si>
  <si>
    <t>Relocation of Pole along Molino Rd.SM Molino-Zapote Bacoor, Cavite -Segment 13</t>
  </si>
  <si>
    <t>SAPPHIRE LUCKY VILLAGE MOLINO I BACOOR CAVITE</t>
  </si>
  <si>
    <t>pole reloc on going 8-13-25</t>
  </si>
  <si>
    <t>CV6-8176.CW6-8121.CW6-8122.CX6-8166.CX6-1744.CX6-8167.CX6-8165.CX6-8168.CX6-8169.CX6-8171.CX6-8172.CX6-8173.-TLN-047298.TLN-139517.TLN-046577</t>
  </si>
  <si>
    <t>X25020424030</t>
  </si>
  <si>
    <t>ALMA M. TANWANGCO</t>
  </si>
  <si>
    <t>TLN-527463</t>
  </si>
  <si>
    <t>FOR ISSUANCE</t>
  </si>
  <si>
    <t>0</t>
  </si>
  <si>
    <t>X25010134416</t>
  </si>
  <si>
    <t>BROER BUILDERS CONSTRUCTION CORPORATION</t>
  </si>
  <si>
    <t>X24103991157</t>
  </si>
  <si>
    <t>REBECCA S. GONZALES</t>
  </si>
  <si>
    <t>NEWPORT, AVIDA SETTINGS CAVITE PH2, BACOOR</t>
  </si>
  <si>
    <t>X25051494715</t>
  </si>
  <si>
    <t>X23072871198</t>
  </si>
  <si>
    <t>SAN JUANICO, AYALA-ALABANG VILL, MUNTINLUPA</t>
  </si>
  <si>
    <t>P2503186512</t>
  </si>
  <si>
    <t>Relocation of pole Due to rd. Widening Buendia St,Tunasan Muntinlupa</t>
  </si>
  <si>
    <t>ARANDIA TUNASAN TUNASAN MUNTINLUPA METRO MANILA</t>
  </si>
  <si>
    <t>Justine Ramos</t>
  </si>
  <si>
    <t>DQ2-0062, DR2-8076</t>
  </si>
  <si>
    <t>X25051535307</t>
  </si>
  <si>
    <t>superseded WO. X23104092125</t>
  </si>
  <si>
    <t>X23093793238</t>
  </si>
  <si>
    <t>JERRY TIU PURA</t>
  </si>
  <si>
    <t>X25030926983</t>
  </si>
  <si>
    <t>PANCITERIA LIDO CHINESE CUISINE CORP.</t>
  </si>
  <si>
    <t>MOLINO BLVD., MAMBOG IV, BACOOR</t>
  </si>
  <si>
    <t>X25041167301</t>
  </si>
  <si>
    <t>FAME, 4TH ESTATE SUBD, PARANAQUE</t>
  </si>
  <si>
    <t>ongoing may tatangalin na bubong kasi po di maka pwesto pag tayo ng poste</t>
  </si>
  <si>
    <t>X25041167142</t>
  </si>
  <si>
    <t>STA. LUCIA, SAN ANTONIO VALLEY 1, PARANAQUE</t>
  </si>
  <si>
    <t>With scheduled PAI / Materials unavailability</t>
  </si>
  <si>
    <t>CY9-8087</t>
  </si>
  <si>
    <t>X25041167361</t>
  </si>
  <si>
    <t>X25010310869</t>
  </si>
  <si>
    <t>CAT COMICS LAND INC.</t>
  </si>
  <si>
    <t>ROSE OF HEAVEN, TALON VILL, LAS PINAS CITY</t>
  </si>
  <si>
    <t>195586, CV8-8114, CV8-8115, 527320</t>
  </si>
  <si>
    <t>X24093671155</t>
  </si>
  <si>
    <t>CHARLENE L. BILIGAN</t>
  </si>
  <si>
    <t>OLA, AFP OVAI PHASE IV, TAGUIG CITY</t>
  </si>
  <si>
    <t>WITH PROBLEM (ROW)</t>
  </si>
  <si>
    <t>X25020700828</t>
  </si>
  <si>
    <t>ROSALIE MONTEMAYOR CRUZ</t>
  </si>
  <si>
    <t>X25041354477</t>
  </si>
  <si>
    <t>FLEXI PACK AND PRINT CO. PHILS. INC.</t>
  </si>
  <si>
    <t>CAPITOLINE HILLS, ITALIA 500-BF HOMES, LAS PINAS CITY</t>
  </si>
  <si>
    <t>X25030779048</t>
  </si>
  <si>
    <t>A R B CONSTRUCTION COMPANY, INC.</t>
  </si>
  <si>
    <t>BLOCK 3, SOLDIERS HILLS SUBD, MUNTINLUPA</t>
  </si>
  <si>
    <t>DS1-2076, DS1-8178, DS1-1011, DS1-8177, ALB1-2360, DS1-8179, 086951, DS1-8157, 527237, DS1-8181</t>
  </si>
  <si>
    <t>X25010310103</t>
  </si>
  <si>
    <t>RODOLFO BEDIONES</t>
  </si>
  <si>
    <t>KAIMITO, MOLAVE PARK VILL, PARANAQUE</t>
  </si>
  <si>
    <t>X25041329943</t>
  </si>
  <si>
    <t>BENEDICTINE, STA. ANA SUBD, PARANAQUE</t>
  </si>
  <si>
    <t>X24124789165</t>
  </si>
  <si>
    <t>GERALD LUEGO CHUA</t>
  </si>
  <si>
    <t>X25030908480</t>
  </si>
  <si>
    <t>1DYNAMIX AUTOMOTIVE INC.</t>
  </si>
  <si>
    <t>TLN-530178</t>
  </si>
  <si>
    <t>X25020590279</t>
  </si>
  <si>
    <t>CHRISTOPHER JOHN YU SAM CHUA</t>
  </si>
  <si>
    <t>PINE, PILAR VILL, LAS PINAS CITY</t>
  </si>
  <si>
    <t>CT8-8104,TLN-527651</t>
  </si>
  <si>
    <t>X24072979788</t>
  </si>
  <si>
    <t xml:space="preserve"> JESSICA INTAL COSTUNA</t>
  </si>
  <si>
    <t>CR9-5128, 523175</t>
  </si>
  <si>
    <t>X25030793729</t>
  </si>
  <si>
    <t>EXTRA-ORDINARY PROPERTY HOLDINGS, INC.</t>
  </si>
  <si>
    <t>PHASE 1 ACCESS ROAD, AMVEL COMMERCIAL COMPLEX, PARANAQUE</t>
  </si>
  <si>
    <t>ongoing for energize</t>
  </si>
  <si>
    <t>X25041239297</t>
  </si>
  <si>
    <t>BARRY NEIL NOGOY TOBIAS</t>
  </si>
  <si>
    <t>ZODIAC, VERAVILLE HOMES 1, LAS PINAS CITY</t>
  </si>
  <si>
    <t>CV9-8094,TLN-527857</t>
  </si>
  <si>
    <t>X25030845883</t>
  </si>
  <si>
    <t>OCEANWIDE MARITIME SERVICES CORP.</t>
  </si>
  <si>
    <t>ALIMA II, ALIMA II, BACOOR</t>
  </si>
  <si>
    <t>CX5-8039,CX5-8038-TLN-526198</t>
  </si>
  <si>
    <t>X24103990265</t>
  </si>
  <si>
    <t>PRIME FEATHERS CORPORATION</t>
  </si>
  <si>
    <t>APITONG, CAMELLA SPV CENTRAL PH 2, BACOOR</t>
  </si>
  <si>
    <t>CS7-8140,CS7-8141,CS7-8142,CS7-0652-TLN-526192</t>
  </si>
  <si>
    <t>X25030835417</t>
  </si>
  <si>
    <t>CHERIE ROSE COLINAYO ZHENG</t>
  </si>
  <si>
    <t>ARMELA CPD-SAVVY 25, ARMELA CPD-SAVVY 25, PARANAQUE</t>
  </si>
  <si>
    <t>X25041327101</t>
  </si>
  <si>
    <t>ERLINDA CRUZ RABE</t>
  </si>
  <si>
    <t>R23957713</t>
  </si>
  <si>
    <t>ASEANA BUSINESS PARK ESTATE ASSOCIATION, INC.,, CBG</t>
  </si>
  <si>
    <t>KIUKOK, ASEANA BUSINESS PARK, PARANAQUE</t>
  </si>
  <si>
    <t>X25041166032</t>
  </si>
  <si>
    <t>CHARLES GAVINO</t>
  </si>
  <si>
    <t>DON MANOLO, ALABANG HILLS SUBD PH 3, MUNTINLUPA</t>
  </si>
  <si>
    <t>CV9-0294, 530386</t>
  </si>
  <si>
    <t>X25041368806</t>
  </si>
  <si>
    <t>GEN. EVANGELISTA, MALIKSI III, BACOOR</t>
  </si>
  <si>
    <t xml:space="preserve">CX5-8041,TLN-530534 </t>
  </si>
  <si>
    <t>X24041311265</t>
  </si>
  <si>
    <t>KENNETH IVAN TORRES</t>
  </si>
  <si>
    <t>CALO, AYALA-ALABANG VILL, MUNTINLUPA</t>
  </si>
  <si>
    <t>ENERGIZE DT 8/13</t>
  </si>
  <si>
    <t>CS9-0233, CS9-0232, 521562, CS9-0211, CS9-0231</t>
  </si>
  <si>
    <t>X24114505637</t>
  </si>
  <si>
    <t>XERXES ULTRA GARCIA</t>
  </si>
  <si>
    <t>PASEO DE LAS ACACIAS, SUSANA HEIGHTS SUBD, MUNTINLUPA</t>
  </si>
  <si>
    <t>DR1-2184, DR1-2198, DR1-2199, DR1-8096, DR1-2200, 526562, DR1-2201</t>
  </si>
  <si>
    <t>X24104277960</t>
  </si>
  <si>
    <t>MIN MIN SEE KO</t>
  </si>
  <si>
    <t>BLOCK 9, PINAGSAMA PH 1 VILL, TAGUIG CITY</t>
  </si>
  <si>
    <t>NEED JOINT SURVEY FOR STAKA WITH DRAINAGE</t>
  </si>
  <si>
    <t>C8-8124, C8-8125, 526379, C8-8130</t>
  </si>
  <si>
    <t>X25030814571</t>
  </si>
  <si>
    <t>JOSE MARIA IBANEZ LANZA</t>
  </si>
  <si>
    <t>NORTH 5TH, ANGELA VILL, LAS PINAS CITY</t>
  </si>
  <si>
    <t>CV8-8107,CV8-8108,TLN-527848</t>
  </si>
  <si>
    <t>X25030863348</t>
  </si>
  <si>
    <t>FRANCIS VALDEZ BATENGA</t>
  </si>
  <si>
    <t>BOMBAY, BF HOMES, PARANAQUE</t>
  </si>
  <si>
    <t>no tapping point sa jobsite kaya po hindi malalagyan ng DT</t>
  </si>
  <si>
    <t>X25030895832</t>
  </si>
  <si>
    <t>FD 25 TRADING CORP.</t>
  </si>
  <si>
    <t>FRUTO SANTOS, ZAPOTE, LAS PINAS CITY</t>
  </si>
  <si>
    <t>CX6-8136,TLN-526628</t>
  </si>
  <si>
    <t>X25010242370</t>
  </si>
  <si>
    <t>BF CHILD'S HOME EDUCATIONAL CENTER, INC.</t>
  </si>
  <si>
    <t>TROPICAL, BF HOMES, LAS PINAS CITY</t>
  </si>
  <si>
    <t>CW9-8066,TLN-527169</t>
  </si>
  <si>
    <t>X25020723572</t>
  </si>
  <si>
    <t>MONICA PUBLISHING CORP,</t>
  </si>
  <si>
    <t>-</t>
  </si>
  <si>
    <t>X25041378148</t>
  </si>
  <si>
    <t>JETTI_PETROLEUM INC.</t>
  </si>
  <si>
    <t>TLN-530637</t>
  </si>
  <si>
    <t>X25041378514</t>
  </si>
  <si>
    <t>PARAÑAQUE ULTRASOUND DIAGNOSTIC CENTER, INC.</t>
  </si>
  <si>
    <t>AIRPORT, BACLARAN, PARANAQUE</t>
  </si>
  <si>
    <t>X25051639273</t>
  </si>
  <si>
    <t>LIMCALY INDUSTRIES INCORPORATED</t>
  </si>
  <si>
    <t>PASCOR, STO. NINO, PARANAQUE</t>
  </si>
  <si>
    <t>B5-1178, 033595</t>
  </si>
  <si>
    <t>X25030919165</t>
  </si>
  <si>
    <t>HAMPTON PROPERTIES INC.</t>
  </si>
  <si>
    <t>CASIMIRO, ZAPOTE, LAS PINAS CITY</t>
  </si>
  <si>
    <t>sa sabado aug 16 ang digging</t>
  </si>
  <si>
    <t>CY6-8028,TLN-523462</t>
  </si>
  <si>
    <t>X25030919203</t>
  </si>
  <si>
    <t>CY6-8027</t>
  </si>
  <si>
    <t>X25041423325</t>
  </si>
  <si>
    <t>MARIFE PIMENTEL PASCUAL</t>
  </si>
  <si>
    <t>PANAMUCAN, AYALA-ALABANG VILL, MUNTINLUPA</t>
  </si>
  <si>
    <t>Junilo Michael Flores</t>
  </si>
  <si>
    <t>CS8-0204, CS9-8140, 530652</t>
  </si>
  <si>
    <t>X24051854889</t>
  </si>
  <si>
    <t>C5 EXTENSION, PULANGLUPA I, LAS PINAS CITY</t>
  </si>
  <si>
    <t>ongoing digging makapal po ang buhos ng semento kaya po di pa tapus ang digging</t>
  </si>
  <si>
    <t>CY7-8094,CY7-8095,CY7-8096,CY7-8097,CY7-8098,TLN-518339</t>
  </si>
  <si>
    <t>X25020572839</t>
  </si>
  <si>
    <t>PHINMA PROPERTY HOLDINGS CORPORATION,</t>
  </si>
  <si>
    <t>done energize with emc frame care of meralco meter</t>
  </si>
  <si>
    <t>DV1-5053, 520864, DV1-8037</t>
  </si>
  <si>
    <t>X24072535997</t>
  </si>
  <si>
    <t>ALFONSO ESPINOSA LIM</t>
  </si>
  <si>
    <t>NIOG II, NIOG II, BACOOR</t>
  </si>
  <si>
    <t>X25051742450</t>
  </si>
  <si>
    <t>AS AND T HATCH INC.</t>
  </si>
  <si>
    <t>MID WEST, VICTORIAHOMES-DIAMONDPARK SUBD, MUNTINLUPA</t>
  </si>
  <si>
    <t>CO9-8083, 519174</t>
  </si>
  <si>
    <t>X24104062252</t>
  </si>
  <si>
    <t>LIGAS, DOÑA MANUELA SUBD PH 4-E, LAS PINAS CITY</t>
  </si>
  <si>
    <t>CW7-8082, 037024, CW7-8083, CW7-8084, CW7-8085, CW7-8086, CW7-8087, CW7-8088, CW7-8089, CW7-8090, 526255, CW7-8091, CW7-8092, CW7-8093, CW7-8094</t>
  </si>
  <si>
    <t>X25041329837</t>
  </si>
  <si>
    <t>DONA IRENEA, IRENEVILLE SUBD, PARANAQUE</t>
  </si>
  <si>
    <t>CX9-0928, DX1-8115, 527586</t>
  </si>
  <si>
    <t>X25030745369</t>
  </si>
  <si>
    <t>THE ROMAN CATHOLIC BISHOP OF PARAÑAQUE, INC</t>
  </si>
  <si>
    <t>ONGOING NEED FINAL LOCATION FOR TASK 4 WITH PAI</t>
  </si>
  <si>
    <t>X25041445070</t>
  </si>
  <si>
    <t>THE ROMAN CATHOLIC BISHOP OF PARANAQUE, INC.</t>
  </si>
  <si>
    <t>CONJUNCT WO (X25030745369)</t>
  </si>
  <si>
    <t>DY1-1207, DY1-8098, DY1-8099, DY1-8100, 037847, DX1-8126, DX1-8127, DX1-8128, PLDT-0461, DY1-8094, DY1-0667</t>
  </si>
  <si>
    <t>R24041284</t>
  </si>
  <si>
    <t>STA. ANA, STA. ANA SUBD, PARANAQUE</t>
  </si>
  <si>
    <t>CZ9-1536, DZ1-8056</t>
  </si>
  <si>
    <t>X25041307676</t>
  </si>
  <si>
    <t>LIBRA, VILLA ISABELITA SUBD, LAS PINAS CITY</t>
  </si>
  <si>
    <t>X25051750601</t>
  </si>
  <si>
    <t>CW7-2005</t>
  </si>
  <si>
    <t>X25041438275</t>
  </si>
  <si>
    <t>GLOBE TELECOM INC.</t>
  </si>
  <si>
    <t>E. RODRIGUEZ JR., MOONWALK, PARANAQUE</t>
  </si>
  <si>
    <t>X25041184947</t>
  </si>
  <si>
    <t>JELLY MAHUSAY PAGUIRIGAN</t>
  </si>
  <si>
    <t>CR7-6072, 530461</t>
  </si>
  <si>
    <t>X25031082537</t>
  </si>
  <si>
    <t>NORELYN B AMPARADO</t>
  </si>
  <si>
    <t>EVERLASTING, ZONE 6, TAGUIG CITY</t>
  </si>
  <si>
    <t>A8-1187, A8-8152, 530295, A8-1506</t>
  </si>
  <si>
    <t>X25020587889</t>
  </si>
  <si>
    <t>ROSANA DIMACALI ARANDA-MANALO</t>
  </si>
  <si>
    <t>TRINIDAD, SAN ISIDRO SUBD, LAS PINAS CITY</t>
  </si>
  <si>
    <t>CX6-8149, CX6-8034, 519275</t>
  </si>
  <si>
    <t>X25041379488</t>
  </si>
  <si>
    <t>PACIFIC RESOURCES CORPORATION</t>
  </si>
  <si>
    <t>MARCOS ALVAREZ, TALON I, LAS PINAS CITY</t>
  </si>
  <si>
    <t>CV8-2064, 068870</t>
  </si>
  <si>
    <t>X25051872111</t>
  </si>
  <si>
    <t>MARIA CRISTINA JOSE VENADAS</t>
  </si>
  <si>
    <t>CT9-0478</t>
  </si>
  <si>
    <t>R23808011</t>
  </si>
  <si>
    <t>MARCELINO, CRISITINA</t>
  </si>
  <si>
    <t>STA. TERESITA, VILLA DONATA SUBD, MUNTINLUPA</t>
  </si>
  <si>
    <t>hindi pa nahukayan as per sadang</t>
  </si>
  <si>
    <t>X25051803052</t>
  </si>
  <si>
    <t>DIANNA MEL BUSOG LAUDENIO</t>
  </si>
  <si>
    <t>PRES. E. AGUINALDO, MALACANANG VILL, PARANAQUE</t>
  </si>
  <si>
    <t>CY9-2350, 122870</t>
  </si>
  <si>
    <t>X25020395161</t>
  </si>
  <si>
    <t>JOSE CARLO CHANG MARQUEZ</t>
  </si>
  <si>
    <t>UNITED NATIONS, BETTER LIVING SUBD, PARANAQUE</t>
  </si>
  <si>
    <t>CZ9-8026, CZ9-8065, 527428</t>
  </si>
  <si>
    <t>X25041438549</t>
  </si>
  <si>
    <t>ROSELLER SYGENCO PIERAZ</t>
  </si>
  <si>
    <t>MAHARLIKA, MARCELO GREEN VILL 5, PARANAQUE</t>
  </si>
  <si>
    <t>DY1-5401, 530646</t>
  </si>
  <si>
    <t>X25041167587</t>
  </si>
  <si>
    <t>CX9-0110, 530503</t>
  </si>
  <si>
    <t>X25051571669</t>
  </si>
  <si>
    <t>SOLEDAD MAGDASAL ORELLANO</t>
  </si>
  <si>
    <t>PENDATUN, MAHARLIKA VILL, TAGUIG CITY</t>
  </si>
  <si>
    <t>X25030785870</t>
  </si>
  <si>
    <t>8TERNITY, INC.</t>
  </si>
  <si>
    <t>MDC, VETERANS CENTER, TAGUIG CITY</t>
  </si>
  <si>
    <t>B7-0365, 126395</t>
  </si>
  <si>
    <t>X25051592853</t>
  </si>
  <si>
    <t>CLEMENTE CAPITULO DOMINGO III</t>
  </si>
  <si>
    <t xml:space="preserve"> J. HULL, KATARUNGAN VILLAGE, MUNTINLUPA</t>
  </si>
  <si>
    <t>CR9-0696, 530824</t>
  </si>
  <si>
    <t>X25010183788</t>
  </si>
  <si>
    <t>DEPARTMENT OF HEALTH</t>
  </si>
  <si>
    <t>CW5-5238, CW5-8026, 113666</t>
  </si>
  <si>
    <t>X24093626616</t>
  </si>
  <si>
    <t xml:space="preserve"> MAYNILAD WATER SERVICES, INC.,</t>
  </si>
  <si>
    <t>DR2-2043, DR1-0496, DR1-8029, PLDT 7778, DR2-8030, DR2-8031, DR1-0497, PLDT-2806, DR2-8032,523804</t>
  </si>
  <si>
    <t>X25051643547</t>
  </si>
  <si>
    <t>AREA 2 MAULING HAI, PUROK 6D, TAGUIG CITY</t>
  </si>
  <si>
    <t>DZ2-8092, 530916</t>
  </si>
  <si>
    <t>X25051645744</t>
  </si>
  <si>
    <t>DZ2-8095, 530957</t>
  </si>
  <si>
    <t>X25051638575</t>
  </si>
  <si>
    <t>AREA 1 MAULING HAI, PUROK 6D, TAGUIG CITY</t>
  </si>
  <si>
    <t>DZ2-8082, 530861</t>
  </si>
  <si>
    <t>X25051641881</t>
  </si>
  <si>
    <t>DZ2-8089, 530888</t>
  </si>
  <si>
    <t>X24020419527</t>
  </si>
  <si>
    <t>D.M. WENCESLAO &amp; ASSOCIATES, INC.,</t>
  </si>
  <si>
    <t xml:space="preserve">C4-0024, C4-5286, C4-5287, C4-5288, C4-5282, 165925, C4-5283, 165994, C4-5334, C4-5335, C4-5336, C4-5337, C4-5338, C4-5339, C4-5340, C4-5341, C4-5342, C4-8018, C4-8019, C4-8020, C4-8021, C4-8022, </t>
  </si>
  <si>
    <t>X24072578131</t>
  </si>
  <si>
    <t>LEONILA SINGIAN ALDEMITA</t>
  </si>
  <si>
    <t>OPAL, RAYMUNDVILLE 1 CASA FILIPINA, PARANAQUE</t>
  </si>
  <si>
    <t>done energize</t>
  </si>
  <si>
    <t>DY1-8047, DY1-8048, DY1-8049, DY1-8050, DY1-8061, DY1-8051, 522863</t>
  </si>
  <si>
    <t>X25010185964</t>
  </si>
  <si>
    <t>PHILIPPINE COUNCIL FOR HEALTH RESEARCH AND DEVELOP</t>
  </si>
  <si>
    <t>SIBOL, DOST CPD, TAGUIG CITY</t>
  </si>
  <si>
    <t>X25031084163</t>
  </si>
  <si>
    <t>AMNAH BASMAN</t>
  </si>
  <si>
    <t>BLOCK 141, PUROK 5, TAGUIG CITY</t>
  </si>
  <si>
    <t>A8-0164</t>
  </si>
  <si>
    <t>X25051521575</t>
  </si>
  <si>
    <t>PLATINUM PETROLEUM CORP.</t>
  </si>
  <si>
    <t>ALB1-1510, 530341</t>
  </si>
  <si>
    <t>X25041349231</t>
  </si>
  <si>
    <t>ELVIN HAYES VERANO GENTILES</t>
  </si>
  <si>
    <t>BALLAD, STA. CECILIA VILL, LAS PINAS CITY</t>
  </si>
  <si>
    <t>CW6-0394, CW7-8110, CW7-8111, 530553, CW7-8112</t>
  </si>
  <si>
    <t>X23083303906</t>
  </si>
  <si>
    <t>CIVIL AVIATION AUTHORITY OF THE PHILIPPINES</t>
  </si>
  <si>
    <t>NAIA, PASAY, PASAY CITY</t>
  </si>
  <si>
    <t>B5-2094, B5-8019, B5-8020, 032554</t>
  </si>
  <si>
    <t>X25041118209</t>
  </si>
  <si>
    <t>EFB GEOSTRUKT, INC.</t>
  </si>
  <si>
    <t>BLOCK 14, BRAZILIA HEIGHTS, MUNTINLUPA</t>
  </si>
  <si>
    <t>X25061964589</t>
  </si>
  <si>
    <t>101 SUPPLY CHAIN SOLUTIONS,INC</t>
  </si>
  <si>
    <t>IRASAN, SAN DIONISIO, PARANAQUE</t>
  </si>
  <si>
    <t>X24104022198</t>
  </si>
  <si>
    <t>APRIL RAINE B MORALES</t>
  </si>
  <si>
    <t>MON-EL, MON-EL SUBD, PARANAQUE</t>
  </si>
  <si>
    <t>X25041190419</t>
  </si>
  <si>
    <t>GOLDEN CHI MANAGEMENT CORP.</t>
  </si>
  <si>
    <t>PERU, BETTER LIVING SUBD, PARANAQUE</t>
  </si>
  <si>
    <t>Materials unavailability / With scheduled PAI</t>
  </si>
  <si>
    <t>X24062436530</t>
  </si>
  <si>
    <t>COLT, GATCHALIAN SUBD, LAS PINAS CITY</t>
  </si>
  <si>
    <t>sadang : done digging and pole erect</t>
  </si>
  <si>
    <t>X25030928283</t>
  </si>
  <si>
    <t>SUSANA QUINCENA AGUILAR</t>
  </si>
  <si>
    <t>KABESANG SEGUNDO, FORTUNATA VILL, PARANAQUE</t>
  </si>
  <si>
    <t>CY9-8085, 530164, CY9-8086, 530165</t>
  </si>
  <si>
    <t>X25041311938</t>
  </si>
  <si>
    <t>TEDDY PASCUA ALBANO</t>
  </si>
  <si>
    <t>MT. SILINGAN, CAMELLA SPRINGVILLE HEIGHTS III, BACOOR</t>
  </si>
  <si>
    <t>CS8-8099, CS8-8100, CS8-8101, CS8-8102, 530657, CS8-8103, CS8-8104, CS8-8105, CR8-0009</t>
  </si>
  <si>
    <t>R24029952</t>
  </si>
  <si>
    <t>NEW NAIA INFRA CORP.,</t>
  </si>
  <si>
    <t>X25041456660</t>
  </si>
  <si>
    <t>PRECIOUS GRACE REYES SUBIDO</t>
  </si>
  <si>
    <t>A8-0006, A8-8157, TLN-530720</t>
  </si>
  <si>
    <t>X25051594622</t>
  </si>
  <si>
    <t>NICHOLAS IAN CALIMLIM DE LUNA</t>
  </si>
  <si>
    <t>PRES. QUEZON, TEOVILLE SUBD WEST, PARANAQUE</t>
  </si>
  <si>
    <t>X24104277984</t>
  </si>
  <si>
    <t>BRONZE, PILAR VILL, LAS PINAS CITY</t>
  </si>
  <si>
    <t>X25030951328</t>
  </si>
  <si>
    <t>X25041378549</t>
  </si>
  <si>
    <t>RAHUL DEVIDAS DARYANI</t>
  </si>
  <si>
    <t>X25031019967</t>
  </si>
  <si>
    <t>ADONIS VERMUG</t>
  </si>
  <si>
    <t>INT M.L. QUEZON, PUROK 5, TAGUIG CITY</t>
  </si>
  <si>
    <t>FOR SCHED ENERGIZATION</t>
  </si>
  <si>
    <t>A8-1221, A8-8150, A8-1220</t>
  </si>
  <si>
    <t>X25020699073</t>
  </si>
  <si>
    <t>ALABANG HILLS VILLAGE ASSOCIATION, INC.</t>
  </si>
  <si>
    <t>DON JESUS, ALABANG HILLS SUBD PH 3, MUNTINLUPA</t>
  </si>
  <si>
    <t>DV1-8085, 526631</t>
  </si>
  <si>
    <t>X25061977034</t>
  </si>
  <si>
    <t>ROVIE BUGAYONG GABIOLA</t>
  </si>
  <si>
    <t>X25041097966</t>
  </si>
  <si>
    <t>ROMAN CATHOLIC BISHOP OF PARANAQUE</t>
  </si>
  <si>
    <t>BARCELONA, MERVILLE SUBD, PARANAQUE</t>
  </si>
  <si>
    <t xml:space="preserve">done digging, for pole erection :Scope of Work:Reorient Cut out Transformer /Energize 2-75KVA </t>
  </si>
  <si>
    <t>X25010133152</t>
  </si>
  <si>
    <t>TSA-TIN SHANIE ANGELO LEASING CORPORATION</t>
  </si>
  <si>
    <t>MAGDIWANG, GREEN VALLEY SUBD SECT C, BACOOR</t>
  </si>
  <si>
    <t>CT8-8073, 523686</t>
  </si>
  <si>
    <t>X24072781796</t>
  </si>
  <si>
    <t>HERBERT JOSEPH GO TAN</t>
  </si>
  <si>
    <t>SAN CARLOS, AYALA-ALABANG VILL, MUNTINLUPA</t>
  </si>
  <si>
    <t>X25041175709</t>
  </si>
  <si>
    <t>BLOCK 30, SOLDIERS HILLS SUBD, MUNTINLUPA</t>
  </si>
  <si>
    <t>X25030797111</t>
  </si>
  <si>
    <t>GEN. SANTOS, PUROK 6, TAGUIG CITY</t>
  </si>
  <si>
    <t>R24098951</t>
  </si>
  <si>
    <t>A5-0624, A5-0623, A5-8089</t>
  </si>
  <si>
    <t>R23705436</t>
  </si>
  <si>
    <t>C5 ROAD, SAN DIONISIO, PARANAQUE</t>
  </si>
  <si>
    <t>CZ8-8096, CZ8-8097, CZ8-2207, CZ8-2172</t>
  </si>
  <si>
    <t>X25010323001</t>
  </si>
  <si>
    <t>GAWARAN HEIGHTS PHASE 7 HOMEOWNERS ASSOCIATION, IN</t>
  </si>
  <si>
    <t>BLOCK 3, GAWARAN HEIGHTS PH. 6 SOUTH GAWARAN, BACOOR</t>
  </si>
  <si>
    <t>CR8-8039, 527317</t>
  </si>
  <si>
    <t>X25051611244</t>
  </si>
  <si>
    <t>ROBERTO SANTOS PANTOJA</t>
  </si>
  <si>
    <t>PROSPERITY, BETTERLIVING SUBD ANNEX 29/32, PARANAQUE</t>
  </si>
  <si>
    <t>CY9-0665, CY9-8091, CY9-8092, 530932, CY9-0861</t>
  </si>
  <si>
    <t>X25010341535</t>
  </si>
  <si>
    <t>DR2-0012, 527348, DR2-5718, DR2-8037, DR2-8038</t>
  </si>
  <si>
    <t>X25051870678</t>
  </si>
  <si>
    <t>CLAVEL BISCOCHO BENDAÑA</t>
  </si>
  <si>
    <t>SAN LORENZO, AYALA-ALABANG VILL, MUNTINLUPA</t>
  </si>
  <si>
    <t>X25051893039</t>
  </si>
  <si>
    <t>RICARDO PAAT ISLA</t>
  </si>
  <si>
    <t>DARWIN, BF HOMES, PARANAQUE</t>
  </si>
  <si>
    <t>TLN 037234</t>
  </si>
  <si>
    <t>X25062074271</t>
  </si>
  <si>
    <t>MARIVIC LACHICA</t>
  </si>
  <si>
    <t>WEST SERVICE, JOSEPH ESTRADA CPD, PARANAQUE</t>
  </si>
  <si>
    <t>DW1-0736-B</t>
  </si>
  <si>
    <t>X25020682282</t>
  </si>
  <si>
    <t>PIO FELIPE, PUROK 1, TAGUIG CITY</t>
  </si>
  <si>
    <t>B8-8188, 527734</t>
  </si>
  <si>
    <t>X25061939774</t>
  </si>
  <si>
    <t>C4-0012, 530092</t>
  </si>
  <si>
    <t>X25051858121</t>
  </si>
  <si>
    <t>FRANKLIN URI SEDANO</t>
  </si>
  <si>
    <t>DE SOCORRO, SAN ANTONIO VALLEY 1, PARANAQUE</t>
  </si>
  <si>
    <t>P2503184475</t>
  </si>
  <si>
    <t>MN_MAJOR (WDESIGN), Reloc of Pole affctd by Rd Widening along GSIS Rd to M.Alvarez Ext,Bacoor,Cavite</t>
  </si>
  <si>
    <t>MARCOS ALVAREZ EXT GREEN VALLEY SUBD SECT A SAN NICOLAS III BACOOR CAVITE</t>
  </si>
  <si>
    <t>CT7-0086, CT8-8013, CT7-0555, CT8-8102</t>
  </si>
  <si>
    <t>R23330255</t>
  </si>
  <si>
    <t>NMERCADO, JOSSIE C., HMB,</t>
  </si>
  <si>
    <t>MIKAS, VILLANUEVA SUBD, BACOOR</t>
  </si>
  <si>
    <t>CV5-8043, CV5-0680, CV5-8044</t>
  </si>
  <si>
    <t>X25062207400</t>
  </si>
  <si>
    <t>X25051656310</t>
  </si>
  <si>
    <t>SMC SKYWAY STAGE 4 CORPORATION</t>
  </si>
  <si>
    <t>ENLISTED PERSONNEL VILL PH 1, ENLISTED PERSONNEL VIL 1, TAGUIG CITY</t>
  </si>
  <si>
    <t>COMP-CAN</t>
  </si>
  <si>
    <t>C8-5453-S</t>
  </si>
  <si>
    <t>X25030844322</t>
  </si>
  <si>
    <t>C8-8111, C8-8112, C8-8113, C8-8114</t>
  </si>
  <si>
    <t>X25041111916</t>
  </si>
  <si>
    <t>C8-8113, C8-8114, B8-8214, B8-8215, 530324, B8-8216</t>
  </si>
  <si>
    <t>X25041425641</t>
  </si>
  <si>
    <t>A8-0023, 093676</t>
  </si>
  <si>
    <t>X25051535599</t>
  </si>
  <si>
    <t>JOENY WILSON BELER</t>
  </si>
  <si>
    <t>A. REYES, PUROK 3, TAGUIG CITY</t>
  </si>
  <si>
    <t>A8-6034, 530804</t>
  </si>
  <si>
    <t>X25051838399</t>
  </si>
  <si>
    <t>JONATHAN PAJIMULA FABIAN</t>
  </si>
  <si>
    <t>MAGUINDANAO EXT, PUROK 2, TAGUIG CITY</t>
  </si>
  <si>
    <t>A8-6047, 531116</t>
  </si>
  <si>
    <t>X25062131222</t>
  </si>
  <si>
    <t>B7-0038, 322701, B6-0375, B6-8020, B6-0361</t>
  </si>
  <si>
    <t>X25041426801</t>
  </si>
  <si>
    <t>LUZON, ZONE 5, TAGUIG CITY</t>
  </si>
  <si>
    <t>Energize dT wala pa abang entrada ni customer for meter</t>
  </si>
  <si>
    <t>A8-0016, 530644</t>
  </si>
  <si>
    <t>X25062155208</t>
  </si>
  <si>
    <t>HITE INC.</t>
  </si>
  <si>
    <t>2ND, TAGUIG BAGUMBAYAN INDL ASS INC, TAGUIG CITY</t>
  </si>
  <si>
    <t>on process</t>
  </si>
  <si>
    <t>DY1-5917</t>
  </si>
  <si>
    <t>X25041309256</t>
  </si>
  <si>
    <t>DINAH TAMONDONG YAMOMO</t>
  </si>
  <si>
    <t>PRES. OSMEÑA, ZONE 6, TAGUIG CITY</t>
  </si>
  <si>
    <t>A8-0677, A8-1246, A8-8156, 530552, A8-5971</t>
  </si>
  <si>
    <t>X24114371468</t>
  </si>
  <si>
    <t>X25030876602</t>
  </si>
  <si>
    <t>SPINE ROAD, BELLAZONA NAVARRE, BACOOR</t>
  </si>
  <si>
    <t>X25051521562</t>
  </si>
  <si>
    <t>VJC / STA. ROSA</t>
  </si>
  <si>
    <t>B5-8037, B5-0084, B5-00971, B5-5094, B5-8038, 530774</t>
  </si>
  <si>
    <t>X25030790337</t>
  </si>
  <si>
    <t>DUPLEX SUBD, DUPLEX SUBD, BACOOR</t>
  </si>
  <si>
    <t>CR7-8073, CR7-8074, CR7-8075, CR7-8076, CR7-8077, DSM1-4102, 047003</t>
  </si>
  <si>
    <t>X25030866480</t>
  </si>
  <si>
    <t>NAHUKAYAN NA,NATAYUAN NA NG POSTE. AS PER ROYO,MERON NA DAW POSTE SA SITE ON GOING DIGGING</t>
  </si>
  <si>
    <t>DSM1-4102, CR7-8079, CR7-8080, TLN-193341, CR7-8081, CR7-8082, 047725, CR7-0059, CR7-6122, 197086, CR7-8083, 530384, CR7-0061, CR7-8084</t>
  </si>
  <si>
    <t>X25010281553</t>
  </si>
  <si>
    <t>MICHELLE LUZ HILAO TAN</t>
  </si>
  <si>
    <t>CY8-8083, CY8-8084, 527249, CY7-0056</t>
  </si>
  <si>
    <t>R24094970</t>
  </si>
  <si>
    <t>ROXAS, CHITO M</t>
  </si>
  <si>
    <t>KALAPI, AYALA-ALABANG VILL, MUNTINLUPA</t>
  </si>
  <si>
    <t>DU1-8033, DU1-8034, CU9-1417</t>
  </si>
  <si>
    <t>X25062139889</t>
  </si>
  <si>
    <t>ANGEL AMODIA CANJA</t>
  </si>
  <si>
    <t>11TH AVE EXT, HEN HEADQUARTER SUPPRT GRP, TAGUIG CITY</t>
  </si>
  <si>
    <t>C8-1101, 530856, C8-8170</t>
  </si>
  <si>
    <t>X25051640544</t>
  </si>
  <si>
    <t>S.E.A. OLYMPUS MARKETING INC</t>
  </si>
  <si>
    <t>NEED PERMIT (CASH BAND)</t>
  </si>
  <si>
    <t>DY2-8143, 109308</t>
  </si>
  <si>
    <t>X25010291229</t>
  </si>
  <si>
    <t>EMERITO VER REYES</t>
  </si>
  <si>
    <t>SEACOM CPD, SEACOM CPD, PARANAQUE</t>
  </si>
  <si>
    <t>X25062114606</t>
  </si>
  <si>
    <t>X25062037709</t>
  </si>
  <si>
    <t>MONICA FE ESPIRITU LUMBA</t>
  </si>
  <si>
    <t>AZUCENA, TAHANAN VILL, PARANAQUE</t>
  </si>
  <si>
    <t>X25020561529</t>
  </si>
  <si>
    <t>SALVADOR JR. PATIGA YABES</t>
  </si>
  <si>
    <t>EMERALD, POSADAS SUBD, MUNTINLUPA</t>
  </si>
  <si>
    <t>X25062142328</t>
  </si>
  <si>
    <t>MA. PINKY FABRA DUMANGENG</t>
  </si>
  <si>
    <t>ONYX, PARANAQUE GREEN HEIGHTS, PARANAQUE</t>
  </si>
  <si>
    <t>R23722397</t>
  </si>
  <si>
    <t>SMC NAIAX CORPORATION,</t>
  </si>
  <si>
    <t>Jaron Beirnd Dimaandal</t>
  </si>
  <si>
    <t>X25051726265</t>
  </si>
  <si>
    <t>DS1-2076, DS1-8178, DS1-1011, DS1-8177, DS1-8179, 086951, DS1-8157, 527237, DS1-8181</t>
  </si>
  <si>
    <t>X25020684097</t>
  </si>
  <si>
    <t>MANILA PRIME LAND HOLDINGS, INC.</t>
  </si>
  <si>
    <t>GEN EMILIO AGUINALDO, CAMELLA HOMES PH II-A, BACOOR</t>
  </si>
  <si>
    <t>aug 7 nag start ng digging</t>
  </si>
  <si>
    <t>CV5-8064, 526900</t>
  </si>
  <si>
    <t>X25051795984</t>
  </si>
  <si>
    <t>CAFEFRANCE CORP.</t>
  </si>
  <si>
    <t>GEN. EMILIO AGUINALDO, CAMELLA HOMES PH II-A, BACOOR</t>
  </si>
  <si>
    <t>X25010118994</t>
  </si>
  <si>
    <t>SOUTH AVENUE HOSPITALITY INC.</t>
  </si>
  <si>
    <t>L. GABRIEL, BACLARAN, PARANAQUE</t>
  </si>
  <si>
    <t>done digging and pole erect</t>
  </si>
  <si>
    <t>C5-8188, 523922</t>
  </si>
  <si>
    <t>X25062317240</t>
  </si>
  <si>
    <t>X25061934243</t>
  </si>
  <si>
    <t>JMF RESTAURANT CORPORATION</t>
  </si>
  <si>
    <t>DZ2-5018, DZ2-8133, 531193, DZ2-0062-T, DZ2-0225</t>
  </si>
  <si>
    <t>X25062096612</t>
  </si>
  <si>
    <t>JULIE SY TORRES</t>
  </si>
  <si>
    <t>DQ1-0206</t>
  </si>
  <si>
    <t>X25062157851</t>
  </si>
  <si>
    <t>ERNESTO C BAUTISTA JR.</t>
  </si>
  <si>
    <t>BF RESORT, BF RESORT VILL, LAS PINAS CITY</t>
  </si>
  <si>
    <t>X24104287142</t>
  </si>
  <si>
    <t>BF HOMES MARTINVILLE SUBD, BF HOMES MARTINVILLE SUBD, LAS PINAS CITY</t>
  </si>
  <si>
    <t>X25062239131</t>
  </si>
  <si>
    <t>EDGARDO ALFANTE LUNA</t>
  </si>
  <si>
    <t>KULASI CPD, KULASI CPD, LAS PINAS CITY</t>
  </si>
  <si>
    <t>CX6-0248, 158665</t>
  </si>
  <si>
    <t>X24083345617</t>
  </si>
  <si>
    <t>SAIMA SULTAN ABDUL</t>
  </si>
  <si>
    <t>BAGONG LIPUNAN, BACLARAN, PARANAQUE</t>
  </si>
  <si>
    <t>D5-3396, D5-8097, D5-8098, 523552, D5-1689</t>
  </si>
  <si>
    <t>X25062074037</t>
  </si>
  <si>
    <t>ERICH HERROS LINGAD</t>
  </si>
  <si>
    <t>TEHERAN, MULTINATIONAL VILL, PARANAQUE</t>
  </si>
  <si>
    <t>CZ8-0745, CZ8-8126, 531373, CZ8-2139</t>
  </si>
  <si>
    <t>X25051639776</t>
  </si>
  <si>
    <t>REGINA OMNOS PACLIBAR</t>
  </si>
  <si>
    <t>SAN JOSE, MANUYO I, LAS PINAS CITY</t>
  </si>
  <si>
    <t>CZ7-0491</t>
  </si>
  <si>
    <t>X25051727907</t>
  </si>
  <si>
    <t>KAINE ANTONET CHUA CORDOVA,</t>
  </si>
  <si>
    <t>ONELIA JOSE, BF RESORT VILL, LAS PINAS CITY</t>
  </si>
  <si>
    <t>CV6-0120, 531017, CV7-8186</t>
  </si>
  <si>
    <t>X25030875643</t>
  </si>
  <si>
    <t>X25062023744</t>
  </si>
  <si>
    <t>YDLAZAVON PANCIT HABHAB, INC.</t>
  </si>
  <si>
    <t>SAN ANTONIO, SAN ANTONIO VALLEY 1, PARANAQUE</t>
  </si>
  <si>
    <t>X24093597833</t>
  </si>
  <si>
    <t>STA CECILIA VILLAGE ASSOCIATION INC.</t>
  </si>
  <si>
    <t>X25062048597</t>
  </si>
  <si>
    <t>MANILA ESPORTS ICAFE INC.</t>
  </si>
  <si>
    <t>A. BONIFACIO, PUROK 1, TAGUIG CITY</t>
  </si>
  <si>
    <t>X24093746174</t>
  </si>
  <si>
    <t>VELCOASIA DEVELOPMENT CORP.</t>
  </si>
  <si>
    <t>STA. ISABEL, SUSANA HEIGHTS SUBD, MUNTINLUPA</t>
  </si>
  <si>
    <t>DQ1-5771</t>
  </si>
  <si>
    <t>X25041338459</t>
  </si>
  <si>
    <t>JADE HEIGHTS, VICTORIAHOMES-JADEHEIGHTS SUBD, MUNTINLUPA</t>
  </si>
  <si>
    <t>CQ9-5742, CQ9-8091, 530723, CQ9-5741, FCO CQ9-5741</t>
  </si>
  <si>
    <t>X24114615817</t>
  </si>
  <si>
    <t>GLYN ROXAS PABLO</t>
  </si>
  <si>
    <t>SAPPHIRE, POSADAS SUBD, MUNTINLUPA</t>
  </si>
  <si>
    <t>ENERGIZE 20KV AND DT 8/9; for FCOMP</t>
  </si>
  <si>
    <t>DX1-0263, DX2-8020, DX2-8021, 526655, DX1-0265</t>
  </si>
  <si>
    <t>X25020433995</t>
  </si>
  <si>
    <t>JOHN ROMUEL DAEN ESMAS RAMIREZ</t>
  </si>
  <si>
    <t>TULIP, CAMELLA TOWNHOMES SORRENTO, BACOOR</t>
  </si>
  <si>
    <t>CW5-8052, 050179, CW5-8053, 527568</t>
  </si>
  <si>
    <t>X25031069043</t>
  </si>
  <si>
    <t>MARY ANN LIZZA M. FREKING</t>
  </si>
  <si>
    <t>AGUHO, MEADOWOOD EXEC VILL PH IV-B, BACOOR</t>
  </si>
  <si>
    <t>( POLE DIGGING ) 9-12-25</t>
  </si>
  <si>
    <t>CV6-0606, CV6-0607, CV6-8062, CV6-8063, CV6-8064, 530240, CV6-0618</t>
  </si>
  <si>
    <t>R24062553</t>
  </si>
  <si>
    <t>DZ2-5885, DZ2-5842</t>
  </si>
  <si>
    <t>X25051836146</t>
  </si>
  <si>
    <t>DIONISIO JR. GOROSPE ECHANO</t>
  </si>
  <si>
    <t>7TH ,  GHQ VILL, TAGUIG CITY</t>
  </si>
  <si>
    <t>CY9-8094</t>
  </si>
  <si>
    <t>X25020561180</t>
  </si>
  <si>
    <t>DAVID ANDRE PALMA SISON</t>
  </si>
  <si>
    <t>LUZON, AYALA-ALABANG VILL, MUNTINLUPA</t>
  </si>
  <si>
    <t>POLE ERECTION / DRESSING / INSTALL DT 8/8</t>
  </si>
  <si>
    <t>DU1-8081, 527750</t>
  </si>
  <si>
    <t>X25041100669</t>
  </si>
  <si>
    <t>192337, DU1-6032, DU1-2195</t>
  </si>
  <si>
    <t>X25061985461</t>
  </si>
  <si>
    <t>DEBBIE BAUTISTA MACASIANO</t>
  </si>
  <si>
    <t>DT1-0571, 531210, DT1-0040</t>
  </si>
  <si>
    <t>X25020540750</t>
  </si>
  <si>
    <t>LIONAPEX EQUIPMENT (PHIL.), INC.</t>
  </si>
  <si>
    <t>ongoing for ener and modify materials</t>
  </si>
  <si>
    <t>DX1-6120, DX1-8068, 520633</t>
  </si>
  <si>
    <t>X25051838106</t>
  </si>
  <si>
    <t>ICHAMPION APPTECH DEVELOPMENT CORPORATION</t>
  </si>
  <si>
    <t>M. ROXAS, FILINVEST SUBD, PARANAQUE</t>
  </si>
  <si>
    <t>CY8-2147, CY8-1016, 069127, CY8-1017, CY8-1127, CY8-8027, CY8-1018, CY8-1019, CY8-8089, 520472</t>
  </si>
  <si>
    <t>X25062238532</t>
  </si>
  <si>
    <t>KATHY KIMBERLY S GAMBOA</t>
  </si>
  <si>
    <t>WARSAW, BF HOMES, LAS PINAS CITY</t>
  </si>
  <si>
    <t>CW8-0420, CW8-0419</t>
  </si>
  <si>
    <t>X24072874617</t>
  </si>
  <si>
    <t>HERMAN HARRELL HORNE SCHOOL, INC.</t>
  </si>
  <si>
    <t>BASA, BAHAYANG PAG-ASA PH I, BACOOR</t>
  </si>
  <si>
    <t>CS7-0019, CS7-8120, 137525, CS7-8121, CS7-8122, 523131, CS7-0018, FCO-CS7-0019</t>
  </si>
  <si>
    <t>X25010133147</t>
  </si>
  <si>
    <t>BELEN ALVAREZ SISON</t>
  </si>
  <si>
    <t>QUEEN OF CROWN, QUEEN'S ROW AREA A SUBD, BACOOR</t>
  </si>
  <si>
    <t>CS7-0106, CS7-8123, CS7-0101, CS7-8124, CS7-8125, CS7-8126, CS7-8127, 523411</t>
  </si>
  <si>
    <t>X25062272902</t>
  </si>
  <si>
    <t>PASO, BAGUMBAYAN, TAGUIG CITY</t>
  </si>
  <si>
    <t>\</t>
  </si>
  <si>
    <t>X25072438368</t>
  </si>
  <si>
    <t>FEDERICO JR. PRENDOL HALOG</t>
  </si>
  <si>
    <t>NJ</t>
  </si>
  <si>
    <t>DY8-8104, DY2-8104</t>
  </si>
  <si>
    <t>X24114383822</t>
  </si>
  <si>
    <t>VICMAR D ISULAT</t>
  </si>
  <si>
    <t>BLOCK 7, PUROK 13 SDH, TAGUIG CITY</t>
  </si>
  <si>
    <t>FOR DIGGING (ROAD ACCESS MASIKIP MANUALLY INSTALL)</t>
  </si>
  <si>
    <t>DY2-0295, 526500, DY2-8112, DY2-8113</t>
  </si>
  <si>
    <t>X25020431659</t>
  </si>
  <si>
    <t>A.M. ORETA &amp; CO., INC.</t>
  </si>
  <si>
    <t xml:space="preserve">ONGOING </t>
  </si>
  <si>
    <t>DZ2-0085, DZ2-8130, DZ2-8131, 527483</t>
  </si>
  <si>
    <t>X24103888991</t>
  </si>
  <si>
    <t>ILANG-ILANG, T.S. CRUZ SUBD, LAS PINAS CITY</t>
  </si>
  <si>
    <t>X25062122012</t>
  </si>
  <si>
    <t>DISEGNO DI MILANO INC.</t>
  </si>
  <si>
    <t>DW1-8019, 531379</t>
  </si>
  <si>
    <t>X25062317316</t>
  </si>
  <si>
    <t>SILVER LINING HOLDINGS CORP.</t>
  </si>
  <si>
    <t>X25041236026</t>
  </si>
  <si>
    <t>JOSE MARCO HERNANDEZ DEL PILAR</t>
  </si>
  <si>
    <t xml:space="preserve"> ACACIA, AYALA-ALABANG VILL, MUNTINLUPA</t>
  </si>
  <si>
    <t>CS9-8032, CS9-8134, CU9-1125, CS9-8135, 530454, CU9-1124</t>
  </si>
  <si>
    <t>X25020666216</t>
  </si>
  <si>
    <t>CITY OF LAS PIÑAS</t>
  </si>
  <si>
    <t>LAZO COURT, ALMANZA I, LAS PINAS CITY</t>
  </si>
  <si>
    <t>X25030809834</t>
  </si>
  <si>
    <t>X25041432369</t>
  </si>
  <si>
    <t>JESSIE SALOMON VALMONTE</t>
  </si>
  <si>
    <t>CUASAY, ZONE 1, TAGUIG CITY</t>
  </si>
  <si>
    <t>X25062159255</t>
  </si>
  <si>
    <t>JOHN RODNEY SANAO BRONDIAL</t>
  </si>
  <si>
    <t>PRES. GARCIA, TEOVILLE SUBD EAST, PARANAQUE</t>
  </si>
  <si>
    <t>X25072495380</t>
  </si>
  <si>
    <t>DISEGNO DI MILANO INC. DOING BUSINESS UNDER THE NA</t>
  </si>
  <si>
    <t>X25041184751</t>
  </si>
  <si>
    <t>MAXIPACIFIC FUEL GAS STATIONS INC.</t>
  </si>
  <si>
    <t>X25062260365</t>
  </si>
  <si>
    <t>MOHAMMAD TABAO</t>
  </si>
  <si>
    <t>MARAWI, MAHARLIKA VILL, TAGUIG CITY</t>
  </si>
  <si>
    <t>A8-0466</t>
  </si>
  <si>
    <t>X24104026324</t>
  </si>
  <si>
    <t>MARCELINO BELTRAN BAQUIRAN</t>
  </si>
  <si>
    <t>SALAZAR, ZONE 3, TAGUIG CITY</t>
  </si>
  <si>
    <t>B8-1833</t>
  </si>
  <si>
    <t>X25062074364</t>
  </si>
  <si>
    <t>RICHMOND SANTOS SY</t>
  </si>
  <si>
    <t>BEECHCRAFT, CONCORDE SUBD, PARANAQUE</t>
  </si>
  <si>
    <t>B5-2071, 180609</t>
  </si>
  <si>
    <t>X24104218323</t>
  </si>
  <si>
    <t>IMELDA T. AGUILAR</t>
  </si>
  <si>
    <t>ROSAL, DOÑA MANUELA SUBD, LAS PINAS CITY</t>
  </si>
  <si>
    <t>CW6-0581, CW7-8095, 526324, ALB1-1754</t>
  </si>
  <si>
    <t>X25061989906</t>
  </si>
  <si>
    <t>SUNNY ROBERT GOTAO YU</t>
  </si>
  <si>
    <t>CALLE GENEROSO, MULTINATIONAL VILL, PARANAQUE</t>
  </si>
  <si>
    <t>digging 8/20</t>
  </si>
  <si>
    <t>CZ9-8079, 531359</t>
  </si>
  <si>
    <t>X25062208339</t>
  </si>
  <si>
    <t>RICHILL REALTY &amp; DEVT CORP</t>
  </si>
  <si>
    <t>ESPIRITU MELITON, MELITON CPD, PARANAQUE</t>
  </si>
  <si>
    <t>X24104300797</t>
  </si>
  <si>
    <t>RIVER OF LIFE CHRISTIAN SCHOOL INC</t>
  </si>
  <si>
    <t>CAA, CAA CPD PH 1-B, LAS PINAS CITY</t>
  </si>
  <si>
    <t>CX8-1682, CX8-8171, CX8-8172, ALB1-0474, CX8-8173, 523572, CX8-8174</t>
  </si>
  <si>
    <t>X25061974470</t>
  </si>
  <si>
    <t>ACACIA, AYALA-ALABANG VILL, MUNTINLUPA</t>
  </si>
  <si>
    <t>X25072562347</t>
  </si>
  <si>
    <t>TRISTAN ENRIQUEZ TRINIDAD</t>
  </si>
  <si>
    <t>LIGAS III, LIGAS III, BACOOR</t>
  </si>
  <si>
    <t>X23031050954</t>
  </si>
  <si>
    <t>DEPARTMENT OF SCIENCE AND TECHNOLOGY</t>
  </si>
  <si>
    <t>DZ1-1691, DZ2-8005, 516589</t>
  </si>
  <si>
    <t>X25041430567</t>
  </si>
  <si>
    <t>MEGA TRIUM FOODS CORPORATION</t>
  </si>
  <si>
    <t>CELESTINO, CELESTINO SUBD, BACOOR</t>
  </si>
  <si>
    <t>CU7-2002, CU7-0670, 021906, CU7-8097, 530736</t>
  </si>
  <si>
    <t>X25051846574</t>
  </si>
  <si>
    <t>GOLDEN HAVEN MEMORIAL PARK, INC.</t>
  </si>
  <si>
    <t>CY7-5035, 153327</t>
  </si>
  <si>
    <t>X25010242053</t>
  </si>
  <si>
    <t>LAND CRIS SOMERSET DEVELOPMENT CORPORATION</t>
  </si>
  <si>
    <t>LANCRIS AVENUE, LANCRIS RESIDENCES, PARANAQUE</t>
  </si>
  <si>
    <t>DY1-6018, DY1-6019, DY1-6017, 212418, DY1-6020, DY1-8080, DY1-8081, DY1-8082, DY1-8083, 527289, DY1-8084</t>
  </si>
  <si>
    <t>X25010244921</t>
  </si>
  <si>
    <t>DY1-8083, DY1-8085, 527291</t>
  </si>
  <si>
    <t>X25062129662</t>
  </si>
  <si>
    <t>JIGGER P CRUZ</t>
  </si>
  <si>
    <t>CHESTNUT, EXECUTIVE HEIGHTS SUBD, PARANAQUE</t>
  </si>
  <si>
    <t>A7-8082, 531425</t>
  </si>
  <si>
    <t>R23954275</t>
  </si>
  <si>
    <t>BAUTISTA ALBERTO O,</t>
  </si>
  <si>
    <t>ONYX, SEVERINA DIAMOND SUBD, PARANAQUE</t>
  </si>
  <si>
    <t>DY1-8092, 186546</t>
  </si>
  <si>
    <t>X25072477989</t>
  </si>
  <si>
    <t>JOSE ROSELLER  JR LASCANO LATOSA</t>
  </si>
  <si>
    <t>SANTOL, CAA CPD PH 1-B, LAS PINAS CITY</t>
  </si>
  <si>
    <t>CX8-1732</t>
  </si>
  <si>
    <t>X25072448988</t>
  </si>
  <si>
    <t>TLN-318840</t>
  </si>
  <si>
    <t>X25041311153</t>
  </si>
  <si>
    <t>NELSON ACEBO</t>
  </si>
  <si>
    <t>LAGUNA BAY, SOUTH BAY GARDEN SUBD, PARANAQUE</t>
  </si>
  <si>
    <t>DW1-8058, 530491</t>
  </si>
  <si>
    <t>X25041098276</t>
  </si>
  <si>
    <t>JOSE ANTONIO K. LEGARDA</t>
  </si>
  <si>
    <t>G. CU-UNJIENG, BF HOMES, PARANAQUE</t>
  </si>
  <si>
    <t>CW9-1393, CW9-8074, 035779, CW9-8075, CW9-8076, 530345, CV9-0015</t>
  </si>
  <si>
    <t>X25072352853</t>
  </si>
  <si>
    <t>MA AGNES SILVA</t>
  </si>
  <si>
    <t>NEED SURVEY FOR STAKA WITH UG ONSITE</t>
  </si>
  <si>
    <t>A7-8033, A7-8049, A7-8050, A7-8051, 523675, A7-8052, A7-8053, A7-8054, 523676</t>
  </si>
  <si>
    <t>X25062163581</t>
  </si>
  <si>
    <t>REKADO FILIPINO CUISINE, INC</t>
  </si>
  <si>
    <t>DEUTERONOMY, BF HOMES MARTINVILLE SUBD, LAS PINAS CITY</t>
  </si>
  <si>
    <t>CX8-6037, 531423, CX8-8207</t>
  </si>
  <si>
    <t>X25072495126</t>
  </si>
  <si>
    <t>ANTONIO PAOLO BACOLOD CENON</t>
  </si>
  <si>
    <t>X23083314771</t>
  </si>
  <si>
    <t>FRANZ JOIE DEYSOLONG ARAQUE</t>
  </si>
  <si>
    <t>CAIRO, MULTINATIONAL VILL, PARANAQUE</t>
  </si>
  <si>
    <t>CZ8-0391, CZ8-8043, 518479, CZ8-0392</t>
  </si>
  <si>
    <t>X25061934575</t>
  </si>
  <si>
    <t xml:space="preserve"> ALFAMART TRADING PHILIPPINES, INC.</t>
  </si>
  <si>
    <t>A5-5050, 531191</t>
  </si>
  <si>
    <t>R23915657</t>
  </si>
  <si>
    <t>ARB CONSTRUCTION COMPANY INC., HMB</t>
  </si>
  <si>
    <t>MT. APO, SOLDIER'S HILLS 4 PH I, BACOOR</t>
  </si>
  <si>
    <t>CT7-8141, CT7-8140, CV7-0096</t>
  </si>
  <si>
    <t>X25072598830</t>
  </si>
  <si>
    <t>BARANGAY TALON KUATRO</t>
  </si>
  <si>
    <t>SAMPAGUITA, SAN ANTONIO VALLEY 17, LAS PINAS CITY</t>
  </si>
  <si>
    <t>CV7-0039, 531950</t>
  </si>
  <si>
    <t>X25010076510</t>
  </si>
  <si>
    <t>THEODORE REYES LEONIN</t>
  </si>
  <si>
    <t>CHAMPACA, TAHANAN VILL, PARANAQUE</t>
  </si>
  <si>
    <t>DIGGING 8/13; POLE ERECTION / DRESSING 8/18; ENERGIZATION, FOR FCOMP 8/19</t>
  </si>
  <si>
    <t>CW9-0498, DW1-8051, DW1-8052, CW9-0456, DW1-8052, 527047</t>
  </si>
  <si>
    <t>X25061951229</t>
  </si>
  <si>
    <t>GLADYS ROMUALDEZ JOHNSON</t>
  </si>
  <si>
    <t>BLOCK 1, BRAZILIA HEIGHTS, MUNTINLUPA</t>
  </si>
  <si>
    <t>X24093538960</t>
  </si>
  <si>
    <t>RIZAL COMMERCIAL BANKING CORPORATION</t>
  </si>
  <si>
    <t>TLN-052429</t>
  </si>
  <si>
    <t>X25072684723</t>
  </si>
  <si>
    <t>CIPRIANO JR T. SISON</t>
  </si>
  <si>
    <t>DON JUAN, GAT MENDOZA SUBD, PARANAQUE</t>
  </si>
  <si>
    <t>B5-0376, 167886</t>
  </si>
  <si>
    <t>X25051644653</t>
  </si>
  <si>
    <t>MARIA ANTONIETTE PECKSON NAGAI</t>
  </si>
  <si>
    <t>6TH, GOLDEN GATE SUBD, LAS PINAS CITY</t>
  </si>
  <si>
    <t>POLE ERECTION / INSTALL DT ( 1 - 50 KVA) 8/15;</t>
  </si>
  <si>
    <t>CV8-1389, CV9-5949, TLN-520568</t>
  </si>
  <si>
    <t>X24103907761</t>
  </si>
  <si>
    <t>AREA 2 SAN AGUSTIN, SAN AGUSTIN VILLAGE AREA 2, PARANAQUE</t>
  </si>
  <si>
    <t>POLE ERECTION | POLE DRESSING | WIRE STRINGING | INSTALL DT (1- 50 KVA ) 8/20</t>
  </si>
  <si>
    <t>CZ9-8051, CW9-8055, 526112, CZ9-8052</t>
  </si>
  <si>
    <t>X25072477127</t>
  </si>
  <si>
    <t>MARICEL G. SARMIENTO</t>
  </si>
  <si>
    <t>WITH CONJUNCT WO TAPPING POINT (WALA LANG SA SITE)</t>
  </si>
  <si>
    <t>DZ2-8033, DZ2-8134, 531796, DZ2-0101</t>
  </si>
  <si>
    <t>X25062037196</t>
  </si>
  <si>
    <t>A8-1442</t>
  </si>
  <si>
    <t>X25041244029</t>
  </si>
  <si>
    <t>ISON TOWER LTD. INC.</t>
  </si>
  <si>
    <t>A8-0834, 215369</t>
  </si>
  <si>
    <t>X25072557290</t>
  </si>
  <si>
    <t>IGNACIO L. LEDESMA</t>
  </si>
  <si>
    <t>PRES. GARCIA, SOUTH ADMIRAL VILL, PARANAQUE</t>
  </si>
  <si>
    <t>A7-0748, A7-8087, TLN-531815, A7-0749</t>
  </si>
  <si>
    <t>R24106120</t>
  </si>
  <si>
    <t>DON BOSCO CENTER OF STUDIES, INC.,</t>
  </si>
  <si>
    <t>MICHAEL RUA, BETTER LIVING SUBD, PARANAQUE</t>
  </si>
  <si>
    <t>CY9-8077, CY9-8079</t>
  </si>
  <si>
    <t>X25072438725</t>
  </si>
  <si>
    <t>hindi pa tapos sa digging : Sir itong manila prime  ng cavite , tatlong palapag daw puro semento 😅, pa advice ndin Po sa nag follow up nxt week pa tlga matatapos, sumuko na bareta at shovel nong digger eh..  Hndi pa boss tapos hukay eh tatlong patong ng concrete</t>
  </si>
  <si>
    <t>A5-5050</t>
  </si>
  <si>
    <t>X25051900761</t>
  </si>
  <si>
    <t>DUHAT RD. COR. DBP AVE., ARCA SOUTH, TAGUIG CITY</t>
  </si>
  <si>
    <t xml:space="preserve">VJC </t>
  </si>
  <si>
    <t>B8-6213, B8-8225</t>
  </si>
  <si>
    <t>X25062074195</t>
  </si>
  <si>
    <t>ARTHUR J. LEDESMA</t>
  </si>
  <si>
    <t>VIENNA, MERVILLE SUBD, PARANAQUE</t>
  </si>
  <si>
    <t>A6-8079, 034298, A6-8080, A6-8081, A6-8082, A6-8083, 531369</t>
  </si>
  <si>
    <t>X24041436603</t>
  </si>
  <si>
    <t>DIGGING 8/15;</t>
  </si>
  <si>
    <t xml:space="preserve">CHALLENGER </t>
  </si>
  <si>
    <t>CS9-0279, 050858</t>
  </si>
  <si>
    <t>X24104021997</t>
  </si>
  <si>
    <t>ROSA NISMAL ABANGON</t>
  </si>
  <si>
    <t>CW9-0278, CW9-8057, 526180</t>
  </si>
  <si>
    <t>X25062260009</t>
  </si>
  <si>
    <t>RAYMOND CANARIA ALMAZAN</t>
  </si>
  <si>
    <t>HUMILITY, MULTINATIONAL VILL, PARANAQUE</t>
  </si>
  <si>
    <t xml:space="preserve">POWERHOUSE </t>
  </si>
  <si>
    <t>CZ8-1249, 531636</t>
  </si>
  <si>
    <t>X25061989891</t>
  </si>
  <si>
    <t>DE FENG CORPORATION</t>
  </si>
  <si>
    <t xml:space="preserve">ECOM </t>
  </si>
  <si>
    <t>CZ8-0271, CZ8-8118, CZ8-8119, CZ8-8120, 003090, CZ8-8121, 847640, CZ8-8122, CZ8-8123, CZ8-8124, 531290, CZ8-8125</t>
  </si>
  <si>
    <t>X24114527619</t>
  </si>
  <si>
    <t>LEGADO CAR SALES BACOOR, INC.</t>
  </si>
  <si>
    <t>CU6-5491, 526658</t>
  </si>
  <si>
    <t>SME</t>
  </si>
  <si>
    <t>X25020685549</t>
  </si>
  <si>
    <t>CW6-6107, CW6-8118, 527869</t>
  </si>
  <si>
    <t>X25072367339</t>
  </si>
  <si>
    <t>JOCELYN OROLA PEÑALOSA</t>
  </si>
  <si>
    <t>LEMON, CAA CPD PH 2A, LAS PINAS CITY</t>
  </si>
  <si>
    <t>CX8-1274, 148282</t>
  </si>
  <si>
    <t>X25072479965</t>
  </si>
  <si>
    <t>MAELYN GARNACE MANAGBANAG</t>
  </si>
  <si>
    <t>CU7-0217</t>
  </si>
  <si>
    <t>X25072437371</t>
  </si>
  <si>
    <t>MID-FIL FOODS, INC.</t>
  </si>
  <si>
    <t>CT9-8090, 531659</t>
  </si>
  <si>
    <t>X25041103834</t>
  </si>
  <si>
    <t>IMDS SUPPLY CHAIN SOLUTIONS CORP</t>
  </si>
  <si>
    <t>VILLONGCO RD, SUCAT, MUNTINLUPA</t>
  </si>
  <si>
    <t>digging 8/20; digging 8/21; digging 8/22</t>
  </si>
  <si>
    <t>DW1-8057, 319251</t>
  </si>
  <si>
    <t>X25041467872</t>
  </si>
  <si>
    <t>FIRST AMBASSADOR LOGISTICS SOLUTIONS, INC.</t>
  </si>
  <si>
    <t>DV1-1143, 271890</t>
  </si>
  <si>
    <t>X25051611068</t>
  </si>
  <si>
    <t>ANGELINA GOYENA BATACAN</t>
  </si>
  <si>
    <t>LOTUS, SUN VALLEY SUBD, PARANAQUE</t>
  </si>
  <si>
    <t>digging 8/21; digging 08/22</t>
  </si>
  <si>
    <t>DZ1-8061,DZ1-2824, DZ1-8062, DZ1-8063, DZ1-8064, DZ1-8065, DZ1-0372, 530890</t>
  </si>
  <si>
    <t>R24257880</t>
  </si>
  <si>
    <t>A5-8069, A5-8070, A5-8093</t>
  </si>
  <si>
    <t>X25041438528</t>
  </si>
  <si>
    <t>JERON L RAMOS</t>
  </si>
  <si>
    <t xml:space="preserve"> GUILLERMO, PARKVIEW HOMES PH 3, PARANAQUE</t>
  </si>
  <si>
    <t>A7-1455, 530744, A7-8078</t>
  </si>
  <si>
    <t>X24083431547</t>
  </si>
  <si>
    <t>NATIONAL, ALABANG, MUNTINLUPA</t>
  </si>
  <si>
    <t>WMTRL</t>
  </si>
  <si>
    <t>DT1-0578, 086259</t>
  </si>
  <si>
    <t>X25072801458</t>
  </si>
  <si>
    <t>GLADYS MAIDA BORINAGA DOLINA</t>
  </si>
  <si>
    <t>BATULAO, AYALA-ALABANG VILL, MUNTINLUPA</t>
  </si>
  <si>
    <t>CS8-0175, 536096</t>
  </si>
  <si>
    <t>X25010246348</t>
  </si>
  <si>
    <t>STARR PROPERTIES &amp; DEVELOPMENT CORPORATION</t>
  </si>
  <si>
    <t>CZ8-0172, CZ8-8108</t>
  </si>
  <si>
    <t>X25020368377</t>
  </si>
  <si>
    <t>STARR PROPERTIES &amp; DEVELOPMENT CORPORATION,</t>
  </si>
  <si>
    <t>CZ8-8108, 527236</t>
  </si>
  <si>
    <t>X25030995991</t>
  </si>
  <si>
    <t>B5-1593, B5-8151, 530192, B5-5160</t>
  </si>
  <si>
    <t>X25062223204</t>
  </si>
  <si>
    <t>EDOUARD ANTHONY L. DE CASTRO</t>
  </si>
  <si>
    <t>FORT MAX RESORT, MERVILLE SUBD, PARANAQUE</t>
  </si>
  <si>
    <t>A6-5094, A6-8084, A6-8085, 531479</t>
  </si>
  <si>
    <t>X25062332546</t>
  </si>
  <si>
    <t>SAMSON TAN RIVERO</t>
  </si>
  <si>
    <t>DON RUFINO, TAHANAN VILL, PARANAQUE</t>
  </si>
  <si>
    <t>DW1-8060, 531650</t>
  </si>
  <si>
    <t>X25062131943</t>
  </si>
  <si>
    <t>LENA LONGSON SANTOS</t>
  </si>
  <si>
    <t>CW5-8062, 531376</t>
  </si>
  <si>
    <t>hide cells -&gt;</t>
  </si>
  <si>
    <t>from</t>
  </si>
  <si>
    <t>PCA COMPLETION INDEX</t>
  </si>
  <si>
    <t>to</t>
  </si>
  <si>
    <t>WEIGHT</t>
  </si>
  <si>
    <t>TARGET</t>
  </si>
  <si>
    <t>STRETCH</t>
  </si>
  <si>
    <t>YTD ENERGIZED</t>
  </si>
  <si>
    <t>PCA COUNT INDEX</t>
  </si>
  <si>
    <t>CONVERSION RATE</t>
  </si>
  <si>
    <t>PERFORMANCE COMPLETION INDEX</t>
  </si>
  <si>
    <t>CARRY-OVER FROM 2024</t>
  </si>
  <si>
    <t>Completed vs Goal</t>
  </si>
  <si>
    <t>Completed vs Released</t>
  </si>
  <si>
    <t>PCA COUNT</t>
  </si>
  <si>
    <t>FOR CANCELLATION/CANCELLED</t>
  </si>
  <si>
    <t>PCA CONVERSION RATE</t>
  </si>
  <si>
    <t>WMTRL 2025</t>
  </si>
  <si>
    <t>^adjust month for target</t>
  </si>
  <si>
    <t>For weekly update</t>
  </si>
  <si>
    <t>(edit here)</t>
  </si>
  <si>
    <t>Carry-over includes PCAN &amp; PCAN3 / OH and UG</t>
  </si>
  <si>
    <t>&lt;-- refer to list of WOs below</t>
  </si>
  <si>
    <t>COUNT</t>
  </si>
  <si>
    <t>Start date</t>
  </si>
  <si>
    <t>REVENUE ONLY</t>
  </si>
  <si>
    <t>End date</t>
  </si>
  <si>
    <t>WITH EXCLUSION</t>
  </si>
  <si>
    <t>&lt;--- WO COUNT</t>
  </si>
  <si>
    <t>edit CF1 cell first</t>
  </si>
  <si>
    <t>JAN</t>
  </si>
  <si>
    <t>FEB</t>
  </si>
  <si>
    <t>MAR</t>
  </si>
  <si>
    <t>APR</t>
  </si>
  <si>
    <t>MAY</t>
  </si>
  <si>
    <t>JUN</t>
  </si>
  <si>
    <t>JUL</t>
  </si>
  <si>
    <t>AUG</t>
  </si>
  <si>
    <t>SEP</t>
  </si>
  <si>
    <t>OCT</t>
  </si>
  <si>
    <t>NOV</t>
  </si>
  <si>
    <t>DEC</t>
  </si>
  <si>
    <t>TOTAL</t>
  </si>
  <si>
    <t>CREW</t>
  </si>
  <si>
    <t>TOTAL PCA COMPLETED</t>
  </si>
  <si>
    <t>COMPLETED 
(AUGUST 1-15, 2025)</t>
  </si>
  <si>
    <t>CCTI
(FCOMP)</t>
  </si>
  <si>
    <t>CCTI 
(less than FCOMP)</t>
  </si>
  <si>
    <t>Count of beyond SPT</t>
  </si>
  <si>
    <t>YTD APT</t>
  </si>
  <si>
    <t>APT</t>
  </si>
  <si>
    <t>SUPV</t>
  </si>
  <si>
    <t>COMPLETED THIS WEEK</t>
  </si>
  <si>
    <t>WEEKLY APT</t>
  </si>
  <si>
    <t>PRDI 
(not yet COMP, 
beyond SPT)</t>
  </si>
  <si>
    <t>PRDI
(COMP)</t>
  </si>
  <si>
    <t>COMP WORK ORDERS</t>
  </si>
  <si>
    <t>Monthly Stretch</t>
  </si>
  <si>
    <t>Ronilo Gange</t>
  </si>
  <si>
    <t>Monthly Target</t>
  </si>
  <si>
    <t>COMPLETED 2024</t>
  </si>
  <si>
    <t>COMPLETED (Revenue)</t>
  </si>
  <si>
    <t>COMPLETED UG/SLEM PCA TAGGED UNDER PQS</t>
  </si>
  <si>
    <t>COMPLETED (released 2024 &amp; prior)</t>
  </si>
  <si>
    <t>COMPLETED (Non-Revenue)</t>
  </si>
  <si>
    <t>RECEIVED</t>
  </si>
  <si>
    <t>YTD STRETCH</t>
  </si>
  <si>
    <t>YTD TARGET</t>
  </si>
  <si>
    <t>YTD ACTUAL</t>
  </si>
  <si>
    <t>^ must be equal</t>
  </si>
  <si>
    <t>CANCELLED 2024 (CAN/CLOSED-CAN)</t>
  </si>
  <si>
    <t>&lt; manual encode</t>
  </si>
  <si>
    <t>TOTAL MHRS</t>
  </si>
  <si>
    <t>Target</t>
  </si>
  <si>
    <t>REMAINING 2024 AGEING PCA</t>
  </si>
  <si>
    <t>Stretch</t>
  </si>
  <si>
    <t>VARIANCE FROM TARGET</t>
  </si>
  <si>
    <t>TOTAL MNHRS COMPLETED</t>
  </si>
  <si>
    <t>COMPLETED 
(JULY 1-31, 2025)</t>
  </si>
  <si>
    <t>*SPT: 60 Days</t>
  </si>
  <si>
    <t>Completion of Ageing</t>
  </si>
  <si>
    <t>PCA MHRS (REVENUE)</t>
  </si>
  <si>
    <t>COMPLETED</t>
  </si>
  <si>
    <t>PCA MHRS (NON-REVENUE)</t>
  </si>
  <si>
    <t>RECEIVED COUNT</t>
  </si>
  <si>
    <t>PENDING PCA (REV AND NON-REV)</t>
  </si>
  <si>
    <t>USING C1 MANHOURS</t>
  </si>
  <si>
    <t>REVENUE</t>
  </si>
  <si>
    <t>NON-REVENUE</t>
  </si>
  <si>
    <t>PENDING PER SEGMENT</t>
  </si>
  <si>
    <t>WO COUNT</t>
  </si>
  <si>
    <t>MANHOURS</t>
  </si>
  <si>
    <t>MHRS</t>
  </si>
  <si>
    <t>MNHRS</t>
  </si>
  <si>
    <t>COMPLETED PER SEGMENT</t>
  </si>
  <si>
    <t>TOTAL MNHRS</t>
  </si>
  <si>
    <t>TOTAL COMPLETED PER PROJECT TYPE</t>
  </si>
  <si>
    <t>REV</t>
  </si>
  <si>
    <t>NON-REV</t>
  </si>
  <si>
    <t>2025 PENDING 
(REV ONLY)</t>
  </si>
  <si>
    <t>PCA REV &gt; 500MH</t>
  </si>
  <si>
    <t>PCA REV 100 - 500MH</t>
  </si>
  <si>
    <t>PCA REV &lt; 100MH</t>
  </si>
  <si>
    <t>DIFFICULT</t>
  </si>
  <si>
    <t>AVERAGE</t>
  </si>
  <si>
    <t>EASY</t>
  </si>
  <si>
    <t>Count</t>
  </si>
  <si>
    <t>Manhrs</t>
  </si>
  <si>
    <t>for checking purposes</t>
  </si>
  <si>
    <t>USING TOTAL MANHOURS</t>
  </si>
  <si>
    <t>AVE. MNHRS</t>
  </si>
  <si>
    <t>2024 &amp; PRIOR</t>
  </si>
  <si>
    <t>WO</t>
  </si>
  <si>
    <t>WMTRL DATE</t>
  </si>
  <si>
    <t>EAM STATUS</t>
  </si>
  <si>
    <t>Date Cancelled</t>
  </si>
  <si>
    <t>pending</t>
  </si>
  <si>
    <t>CATEGORY</t>
  </si>
  <si>
    <t>SPT</t>
  </si>
  <si>
    <r>
      <t xml:space="preserve">- Total performance to be indexed based on actual WO count % contribution
</t>
    </r>
    <r>
      <rPr>
        <b/>
        <i/>
        <sz val="11"/>
        <color rgb="FFC00000"/>
        <rFont val="Calibri"/>
        <family val="2"/>
        <scheme val="minor"/>
      </rPr>
      <t xml:space="preserve">- Scope: 2025 received and completed
</t>
    </r>
    <r>
      <rPr>
        <i/>
        <sz val="11"/>
        <color theme="1"/>
        <rFont val="Calibri"/>
        <family val="2"/>
        <scheme val="minor"/>
      </rPr>
      <t>- Exclusions will be considered/validated including transfer of delays to other milestone/office</t>
    </r>
  </si>
  <si>
    <t>using Total Mhrs</t>
  </si>
  <si>
    <t>&lt; 100MH</t>
  </si>
  <si>
    <t>Column "P"</t>
  </si>
  <si>
    <t>101 - 500MH</t>
  </si>
  <si>
    <t>&gt; 500MH</t>
  </si>
  <si>
    <t>2025 COMPLETED WITHIN SPT</t>
  </si>
  <si>
    <t>2025 TOTAL COMPLETED</t>
  </si>
  <si>
    <t>2025 RECEIVED</t>
  </si>
  <si>
    <t>SPT OF FCOMP  ONLY</t>
  </si>
  <si>
    <t>2025 PERF</t>
  </si>
  <si>
    <t>ü</t>
  </si>
  <si>
    <t>PENDING</t>
  </si>
  <si>
    <t>MONTH FCOMP</t>
  </si>
  <si>
    <t>APP. LOAD</t>
  </si>
  <si>
    <t>(blank)</t>
  </si>
  <si>
    <t>POLE RELOC</t>
  </si>
  <si>
    <t>GCB</t>
  </si>
  <si>
    <t>Based on the following categories:</t>
  </si>
  <si>
    <t> </t>
  </si>
  <si>
    <t>COMPLETED THIS MONTH</t>
  </si>
  <si>
    <t>REMAINING (MNHRS)</t>
  </si>
  <si>
    <t>CCBC</t>
  </si>
  <si>
    <t>&lt;- UPDATE MONTHLY</t>
  </si>
  <si>
    <t>tagged VIP</t>
  </si>
  <si>
    <t>MONTHLY CAPABILITY</t>
  </si>
  <si>
    <t>PCA: New and Temporary (newly released; within 30 days)</t>
  </si>
  <si>
    <t>WEEKLY</t>
  </si>
  <si>
    <t>TOTAL REQUIRED MHRS</t>
  </si>
  <si>
    <t>WEEKLY REQUIREMENT</t>
  </si>
  <si>
    <t>a</t>
  </si>
  <si>
    <t>Telco</t>
  </si>
  <si>
    <t>NO</t>
  </si>
  <si>
    <t>DESC</t>
  </si>
  <si>
    <t>LOC</t>
  </si>
  <si>
    <t xml:space="preserve"> MNHRS </t>
  </si>
  <si>
    <t>WMTRL TO FCOMP</t>
  </si>
  <si>
    <t>b</t>
  </si>
  <si>
    <t>Refer to CBG, BIZ &amp; HMB list</t>
  </si>
  <si>
    <t xml:space="preserve"> Relocation of Pole along Molino Rd.SM Molino-Zapote Bacoor, Cavite -Segment 13</t>
  </si>
  <si>
    <t xml:space="preserve">ALONG MOLINO RD. FROM BRGY MOLINO 1 TO BRGY BRGY LIGAS 1, BACOOR CAVITE </t>
  </si>
  <si>
    <t>1</t>
  </si>
  <si>
    <t>b1</t>
  </si>
  <si>
    <t>CBG -</t>
  </si>
  <si>
    <t xml:space="preserve"> Relocation of Pole along Molino Rd.SM Molino-Zapote Bacoor, Cavite -Segment 14</t>
  </si>
  <si>
    <t xml:space="preserve">ALONG MOLINO RD. FROM BRGY SAN NICOLAS  2 TO  ANIBA 2,BACOOR CAVITE </t>
  </si>
  <si>
    <t>2</t>
  </si>
  <si>
    <t>b2</t>
  </si>
  <si>
    <t>BIZ -</t>
  </si>
  <si>
    <t>Sir Art Macalinao</t>
  </si>
  <si>
    <t>3</t>
  </si>
  <si>
    <t>b3</t>
  </si>
  <si>
    <t>HMB -</t>
  </si>
  <si>
    <t>OFFICE OF CONGRESSMAN STRIKE B. REVILLA</t>
  </si>
  <si>
    <t>4</t>
  </si>
  <si>
    <t>Ageing</t>
  </si>
  <si>
    <t xml:space="preserve">R24098951 </t>
  </si>
  <si>
    <t xml:space="preserve">CAVITE INFRASTRUCTURE CORP (SUMAPA-MULTI) </t>
  </si>
  <si>
    <t xml:space="preserve">MULTINATIONAL VILLAGE&lt; BRGY MOONWALK , PARANAQUE </t>
  </si>
  <si>
    <t xml:space="preserve">AWOE MANUAL </t>
  </si>
  <si>
    <t xml:space="preserve">50.68
</t>
  </si>
  <si>
    <t>5</t>
  </si>
  <si>
    <t>Rev</t>
  </si>
  <si>
    <t xml:space="preserve"> CITY GOVERNMENT OF BACOOR</t>
  </si>
  <si>
    <t>MALIKSI SUPER HEALTH CENTER GEN. EVANGELISTA, MALIKSI III, BACOOR, CAVITE</t>
  </si>
  <si>
    <t xml:space="preserve">8004 ARMELA CPD.-SAVVY 25, MARCELO GREEN,PARANAQUE </t>
  </si>
  <si>
    <t>6</t>
  </si>
  <si>
    <t>Non-Rev (check applied load, if "Modification")</t>
  </si>
  <si>
    <t xml:space="preserve">DAHLIA ST . TOPMAN VILLAGE NRGY BF NTERNATIONAL ,LAS PINAS </t>
  </si>
  <si>
    <t xml:space="preserve">ALONG WEST SERVICE RD , MARCELO GREEN,PARANAQUE </t>
  </si>
  <si>
    <t>7</t>
  </si>
  <si>
    <t>Reloc</t>
  </si>
  <si>
    <t xml:space="preserve"> TWIN KARAT REALTY CORPORATION</t>
  </si>
  <si>
    <t>QUIRINO COR. PELAEZ ST., BRGY. SAN DIONISIO, PARANAQUE CITY, METRO</t>
  </si>
  <si>
    <t>8</t>
  </si>
  <si>
    <t>9</t>
  </si>
  <si>
    <t>10</t>
  </si>
  <si>
    <t>KPI CALCULATOR</t>
  </si>
  <si>
    <t>11</t>
  </si>
  <si>
    <t>ASSUME FCOMP DATE</t>
  </si>
  <si>
    <t>12</t>
  </si>
  <si>
    <t>13</t>
  </si>
  <si>
    <t>14</t>
  </si>
  <si>
    <t>CCTI</t>
  </si>
  <si>
    <t>15</t>
  </si>
  <si>
    <t>16</t>
  </si>
  <si>
    <t>17</t>
  </si>
  <si>
    <t>18</t>
  </si>
  <si>
    <t>19</t>
  </si>
  <si>
    <t>20</t>
  </si>
  <si>
    <t>21</t>
  </si>
  <si>
    <t>22</t>
  </si>
  <si>
    <t>23</t>
  </si>
  <si>
    <t>24</t>
  </si>
  <si>
    <t>25</t>
  </si>
  <si>
    <t>26</t>
  </si>
  <si>
    <t>27</t>
  </si>
  <si>
    <t>28</t>
  </si>
  <si>
    <t>AGEING</t>
  </si>
  <si>
    <t>29</t>
  </si>
  <si>
    <t>30</t>
  </si>
  <si>
    <t>31</t>
  </si>
  <si>
    <t>32</t>
  </si>
  <si>
    <t>33</t>
  </si>
  <si>
    <t>34</t>
  </si>
  <si>
    <t>SEGMENT</t>
  </si>
  <si>
    <t>Vendor MHRS</t>
  </si>
  <si>
    <t>RELATED VIP</t>
  </si>
  <si>
    <t>SITE STATUS</t>
  </si>
  <si>
    <t>REMARKS
(additional info/cause of delay)</t>
  </si>
  <si>
    <t>Digging CompletEe</t>
  </si>
  <si>
    <t xml:space="preserve">On going  Excution </t>
  </si>
  <si>
    <t>For Energization  July 2, 2025</t>
  </si>
  <si>
    <t>Hold last June 28 fpor Re-schedule on July 11</t>
  </si>
  <si>
    <t>as of</t>
  </si>
  <si>
    <t>&lt;- reference: as of CJ1 cell</t>
  </si>
  <si>
    <t>PER SUPERVISOR</t>
  </si>
  <si>
    <t>JMM</t>
  </si>
  <si>
    <t>BASED ON PCA TYPE</t>
  </si>
  <si>
    <t>and ASSIGNED CREW</t>
  </si>
  <si>
    <t>0-3 MONTHS</t>
  </si>
  <si>
    <t>4-6 MONTHS</t>
  </si>
  <si>
    <t>7-9 MONTHS</t>
  </si>
  <si>
    <t>10 MONTHS AND ABOVE</t>
  </si>
  <si>
    <t>PER SEGMENT (COUNT)</t>
  </si>
  <si>
    <t>Note: 4 WOs released on 2023 are included in the Ageing count (Rev)</t>
  </si>
  <si>
    <t>SUMMARY: PENDING OH</t>
  </si>
  <si>
    <t>'C1'!$D:$D,"&lt;&gt;MN",'C1'!$L:$L,"&lt;&gt;OPS"</t>
  </si>
  <si>
    <t>CLEAN-UP AGEING WOs</t>
  </si>
  <si>
    <t>AGEING 
(2024 &amp; PRIOR)</t>
  </si>
  <si>
    <t>RELEASED 2025</t>
  </si>
  <si>
    <t>&gt; 90 DAYS</t>
  </si>
  <si>
    <t>0-90 DAYS</t>
  </si>
  <si>
    <t>PER SEGMENT (MHRS)</t>
  </si>
  <si>
    <t>SUMMARY: PENDING UG</t>
  </si>
  <si>
    <t>&gt;=&amp;</t>
  </si>
  <si>
    <t>&lt;&amp;</t>
  </si>
  <si>
    <t>CARRY-OVER from 2024</t>
  </si>
  <si>
    <r>
      <t xml:space="preserve">-12 [PENDING FOR CANCELLATION] </t>
    </r>
    <r>
      <rPr>
        <b/>
        <sz val="14"/>
        <color rgb="FFFF0000"/>
        <rFont val="Calibri"/>
        <family val="2"/>
        <scheme val="minor"/>
      </rPr>
      <t>= 96</t>
    </r>
  </si>
  <si>
    <t>WMTRL this year</t>
  </si>
  <si>
    <r>
      <t xml:space="preserve">baseline  </t>
    </r>
    <r>
      <rPr>
        <sz val="11"/>
        <color rgb="FFFF0000"/>
        <rFont val="Wingdings"/>
        <charset val="2"/>
      </rPr>
      <t>ä</t>
    </r>
    <r>
      <rPr>
        <sz val="11"/>
        <color rgb="FFFF0000"/>
        <rFont val="Calibri"/>
        <family val="2"/>
      </rPr>
      <t xml:space="preserve">    </t>
    </r>
    <r>
      <rPr>
        <sz val="11"/>
        <color theme="0"/>
        <rFont val="Calibri"/>
        <family val="2"/>
      </rPr>
      <t xml:space="preserve">  </t>
    </r>
    <r>
      <rPr>
        <sz val="11"/>
        <color theme="0"/>
        <rFont val="Calibri"/>
        <family val="2"/>
        <scheme val="minor"/>
      </rPr>
      <t>_</t>
    </r>
  </si>
  <si>
    <t>Carry-over includes PCAN &amp; PCAN3</t>
  </si>
  <si>
    <t>REV + NON-REV</t>
  </si>
  <si>
    <t>COMPLETION OF PENDING FOR CANCELLATION</t>
  </si>
  <si>
    <t>REV ONLY</t>
  </si>
  <si>
    <t>CONTRACTOR</t>
  </si>
  <si>
    <t>YTD ACCOMPLISHMENT</t>
  </si>
  <si>
    <t>YTD CAPABILITY</t>
  </si>
  <si>
    <t>JULY ACCOMPLISHMENT</t>
  </si>
  <si>
    <t>JUNE CAPABILITY</t>
  </si>
  <si>
    <t>CAPABILITY 
(BASED ON DECLARED T.O)</t>
  </si>
  <si>
    <t>% ACTUAL CAP</t>
  </si>
  <si>
    <t>% PRODUCTIVITY (JUNE)</t>
  </si>
  <si>
    <t>% TOTAL PRODUCTIVITY</t>
  </si>
  <si>
    <t>&lt; current day of the month when checking monthly capability</t>
  </si>
  <si>
    <t>as of July 11</t>
  </si>
  <si>
    <t>MONTHLY ACCOMPLISHMENT</t>
  </si>
  <si>
    <t>TOTAL ACCOMPLISHMENT</t>
  </si>
  <si>
    <t>based on declared crew complement</t>
  </si>
  <si>
    <t>May 22-30
based on actual sign on count</t>
  </si>
  <si>
    <t>based on actual sign on count</t>
  </si>
  <si>
    <t>MONTHLY PRODUCTIVITY</t>
  </si>
  <si>
    <t>for monthly updating</t>
  </si>
  <si>
    <t>shared with C2</t>
  </si>
  <si>
    <t>JANUARY</t>
  </si>
  <si>
    <t>Count of Crew</t>
  </si>
  <si>
    <t>Effective Personnel  Count</t>
  </si>
  <si>
    <t>Effective Monthly Capability</t>
  </si>
  <si>
    <t>Basket</t>
  </si>
  <si>
    <t>Stake</t>
  </si>
  <si>
    <t>Trucco</t>
  </si>
  <si>
    <t>Crane</t>
  </si>
  <si>
    <t>FEBRUARY</t>
  </si>
  <si>
    <t>REFERENCE FOR VC MEETINGS</t>
  </si>
  <si>
    <t>MARCH</t>
  </si>
  <si>
    <t>APRIL</t>
  </si>
  <si>
    <t>Actual Monthly Capability</t>
  </si>
  <si>
    <t>JUNE</t>
  </si>
  <si>
    <t>JULY</t>
  </si>
  <si>
    <t>AUGUST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</si>
</sst>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8" formatCode="&quot;$&quot;#,##0.00_);[Red]\(&quot;$&quot;#,##0.00\)"/>
    <numFmt numFmtId="43" formatCode="_(* #,##0.00_);_(* \(#,##0.00\);_(* &quot;-&quot;??_);_(@_)"/>
    <numFmt numFmtId="164" formatCode="[$-409]d\-mmm\-yy;@"/>
    <numFmt numFmtId="165" formatCode="[$-F800]dddd\,\ mmmm\ dd\,\ yyyy"/>
    <numFmt numFmtId="166" formatCode="[$-409]dd\-mmm\-yy;@"/>
    <numFmt numFmtId="167" formatCode="m/d/yyyy;@"/>
    <numFmt numFmtId="168" formatCode="[$-3409]dd\-mmm\-yy;@"/>
    <numFmt numFmtId="169" formatCode="0.00000000"/>
    <numFmt numFmtId="170" formatCode="0.0"/>
    <numFmt numFmtId="171" formatCode="_(* #,##0.0_);_(* \(#,##0.0\);_(* &quot;-&quot;??_);_(@_)"/>
    <numFmt numFmtId="172" formatCode="0.000"/>
    <numFmt numFmtId="173" formatCode="0.0%"/>
    <numFmt numFmtId="174" formatCode="_(* #,##0.00_);_(* \(#,##0.00\);_(* &quot;-&quot;????_);_(@_)"/>
    <numFmt numFmtId="175" formatCode="[$-409]m/d/yy\ h:mm\ AM/PM;@"/>
    <numFmt numFmtId="176" formatCode="_(* #,##0_);_(* \(#,##0\);_(* &quot;-&quot;??_);_(@_)"/>
    <numFmt numFmtId="177" formatCode="mm/dd/yy;@"/>
  </numFmts>
  <fonts count="104" x14ac:knownFonts="1">
    <font>
      <sz val="11"/>
      <color theme="1"/>
      <name val="Calibri"/>
      <family val="2"/>
      <scheme val="minor"/>
    </font>
    <font>
      <sz val="8"/>
      <color theme="1"/>
      <name val="Arial"/>
      <family val="2"/>
    </font>
    <font>
      <sz val="8"/>
      <name val="Arial"/>
      <family val="2"/>
    </font>
    <font>
      <sz val="8"/>
      <color theme="0"/>
      <name val="Arial"/>
      <family val="2"/>
    </font>
    <font>
      <sz val="8"/>
      <color rgb="FFFF0000"/>
      <name val="Arial"/>
      <family val="2"/>
    </font>
    <font>
      <b/>
      <sz val="8"/>
      <name val="Arial"/>
      <family val="2"/>
    </font>
    <font>
      <sz val="11"/>
      <color theme="1"/>
      <name val="Calibri"/>
      <family val="2"/>
      <scheme val="minor"/>
    </font>
    <font>
      <sz val="8"/>
      <color rgb="FFFFFFFF"/>
      <name val="Arial"/>
      <family val="2"/>
    </font>
    <font>
      <sz val="8"/>
      <color theme="0" tint="-0.14999847407452621"/>
      <name val="Arial"/>
      <family val="2"/>
    </font>
    <font>
      <sz val="11"/>
      <color rgb="FFFF0000"/>
      <name val="Calibri"/>
      <family val="2"/>
      <scheme val="minor"/>
    </font>
    <font>
      <sz val="8"/>
      <color rgb="FF000000"/>
      <name val="Arial"/>
      <family val="2"/>
    </font>
    <font>
      <sz val="11"/>
      <color indexed="8"/>
      <name val="Calibri"/>
      <family val="2"/>
      <scheme val="minor"/>
    </font>
    <font>
      <sz val="11"/>
      <name val="Calibri"/>
      <family val="2"/>
      <scheme val="minor"/>
    </font>
    <font>
      <sz val="9"/>
      <color indexed="81"/>
      <name val="Tahoma"/>
      <family val="2"/>
    </font>
    <font>
      <b/>
      <sz val="9"/>
      <color indexed="81"/>
      <name val="Tahoma"/>
      <family val="2"/>
    </font>
    <font>
      <b/>
      <sz val="8"/>
      <color theme="5"/>
      <name val="Arial"/>
      <family val="2"/>
    </font>
    <font>
      <sz val="11"/>
      <color rgb="FF000000"/>
      <name val="Calibri"/>
      <family val="2"/>
    </font>
    <font>
      <i/>
      <sz val="11"/>
      <color rgb="FFFF0000"/>
      <name val="Calibri"/>
      <family val="2"/>
      <scheme val="minor"/>
    </font>
    <font>
      <sz val="12"/>
      <color theme="1"/>
      <name val="Calibri"/>
      <family val="2"/>
      <scheme val="minor"/>
    </font>
    <font>
      <b/>
      <sz val="11"/>
      <color theme="1"/>
      <name val="Calibri"/>
      <family val="2"/>
      <scheme val="minor"/>
    </font>
    <font>
      <i/>
      <sz val="10"/>
      <color theme="1"/>
      <name val="Calibri"/>
      <family val="2"/>
      <scheme val="minor"/>
    </font>
    <font>
      <b/>
      <sz val="11"/>
      <color theme="0"/>
      <name val="Calibri"/>
      <family val="2"/>
      <scheme val="minor"/>
    </font>
    <font>
      <i/>
      <sz val="9"/>
      <color rgb="FFFF0000"/>
      <name val="Calibri"/>
      <family val="2"/>
      <scheme val="minor"/>
    </font>
    <font>
      <b/>
      <sz val="7"/>
      <color theme="1"/>
      <name val="Calibri"/>
      <family val="2"/>
      <scheme val="minor"/>
    </font>
    <font>
      <b/>
      <sz val="12"/>
      <color theme="0"/>
      <name val="Calibri"/>
      <family val="2"/>
      <scheme val="minor"/>
    </font>
    <font>
      <sz val="11"/>
      <color rgb="FF000000"/>
      <name val="Calibri"/>
      <family val="2"/>
      <scheme val="minor"/>
    </font>
    <font>
      <sz val="11"/>
      <color theme="0"/>
      <name val="Calibri"/>
      <family val="2"/>
      <scheme val="minor"/>
    </font>
    <font>
      <b/>
      <sz val="11"/>
      <color rgb="FFFF0000"/>
      <name val="Calibri"/>
      <family val="2"/>
      <scheme val="minor"/>
    </font>
    <font>
      <i/>
      <sz val="11"/>
      <color theme="1"/>
      <name val="Calibri"/>
      <family val="2"/>
      <scheme val="minor"/>
    </font>
    <font>
      <b/>
      <i/>
      <sz val="11"/>
      <color theme="1"/>
      <name val="Calibri"/>
      <family val="2"/>
      <scheme val="minor"/>
    </font>
    <font>
      <b/>
      <sz val="11"/>
      <name val="Calibri"/>
      <family val="2"/>
      <scheme val="minor"/>
    </font>
    <font>
      <i/>
      <sz val="10"/>
      <color rgb="FFFF0000"/>
      <name val="Calibri"/>
      <family val="2"/>
      <scheme val="minor"/>
    </font>
    <font>
      <sz val="11"/>
      <color theme="4"/>
      <name val="Calibri"/>
      <family val="2"/>
      <scheme val="minor"/>
    </font>
    <font>
      <b/>
      <sz val="11"/>
      <color theme="4"/>
      <name val="Calibri"/>
      <family val="2"/>
      <scheme val="minor"/>
    </font>
    <font>
      <b/>
      <sz val="12"/>
      <color rgb="FFFFFFFF"/>
      <name val="Calibri"/>
      <family val="2"/>
    </font>
    <font>
      <b/>
      <sz val="14"/>
      <color rgb="FFFFFFFF"/>
      <name val="Calibri"/>
      <family val="2"/>
    </font>
    <font>
      <b/>
      <i/>
      <sz val="11"/>
      <color theme="4"/>
      <name val="Calibri"/>
      <family val="2"/>
      <scheme val="minor"/>
    </font>
    <font>
      <b/>
      <sz val="11"/>
      <color theme="5"/>
      <name val="Calibri"/>
      <family val="2"/>
      <scheme val="minor"/>
    </font>
    <font>
      <sz val="10"/>
      <color theme="1"/>
      <name val="Calibri"/>
      <family val="2"/>
      <scheme val="minor"/>
    </font>
    <font>
      <b/>
      <sz val="10"/>
      <color theme="1"/>
      <name val="Calibri"/>
      <family val="2"/>
      <scheme val="minor"/>
    </font>
    <font>
      <i/>
      <sz val="11"/>
      <color rgb="FFFF0000"/>
      <name val="Calibri"/>
      <family val="2"/>
    </font>
    <font>
      <b/>
      <sz val="11"/>
      <color rgb="FF000000"/>
      <name val="Calibri"/>
      <family val="2"/>
    </font>
    <font>
      <b/>
      <sz val="11"/>
      <color rgb="FFFFFFFF"/>
      <name val="Calibri"/>
      <family val="2"/>
    </font>
    <font>
      <b/>
      <sz val="11"/>
      <color rgb="FF4472C4"/>
      <name val="Calibri"/>
      <family val="2"/>
    </font>
    <font>
      <sz val="11"/>
      <name val="Calibri"/>
      <family val="2"/>
    </font>
    <font>
      <b/>
      <i/>
      <sz val="11"/>
      <color rgb="FF000000"/>
      <name val="Calibri"/>
      <family val="2"/>
    </font>
    <font>
      <i/>
      <sz val="11"/>
      <color rgb="FF000000"/>
      <name val="Calibri"/>
      <family val="2"/>
    </font>
    <font>
      <b/>
      <sz val="11"/>
      <color rgb="FFFF0000"/>
      <name val="Calibri"/>
      <family val="2"/>
    </font>
    <font>
      <sz val="8"/>
      <name val="Calibri"/>
      <family val="2"/>
      <scheme val="minor"/>
    </font>
    <font>
      <b/>
      <sz val="8"/>
      <color theme="0"/>
      <name val="Arial"/>
      <family val="2"/>
    </font>
    <font>
      <sz val="11"/>
      <color theme="5" tint="-0.249977111117893"/>
      <name val="Calibri"/>
      <family val="2"/>
      <scheme val="minor"/>
    </font>
    <font>
      <b/>
      <sz val="11"/>
      <color theme="5" tint="-0.249977111117893"/>
      <name val="Calibri"/>
      <family val="2"/>
      <scheme val="minor"/>
    </font>
    <font>
      <b/>
      <i/>
      <sz val="11"/>
      <color rgb="FFFF0000"/>
      <name val="Calibri"/>
      <family val="2"/>
    </font>
    <font>
      <b/>
      <u/>
      <sz val="14"/>
      <color rgb="FFFF0000"/>
      <name val="Calibri"/>
      <family val="2"/>
      <scheme val="minor"/>
    </font>
    <font>
      <sz val="9"/>
      <color rgb="FFFF0000"/>
      <name val="Calibri"/>
      <family val="2"/>
      <scheme val="minor"/>
    </font>
    <font>
      <b/>
      <i/>
      <sz val="11"/>
      <color rgb="FFFF0000"/>
      <name val="Calibri"/>
      <family val="2"/>
      <scheme val="minor"/>
    </font>
    <font>
      <sz val="10"/>
      <name val="Arial"/>
      <family val="2"/>
    </font>
    <font>
      <b/>
      <i/>
      <u/>
      <sz val="11"/>
      <color rgb="FFFF0000"/>
      <name val="Calibri"/>
      <family val="2"/>
      <scheme val="minor"/>
    </font>
    <font>
      <b/>
      <u/>
      <sz val="11"/>
      <color theme="1"/>
      <name val="Calibri"/>
      <family val="2"/>
      <scheme val="minor"/>
    </font>
    <font>
      <b/>
      <sz val="14"/>
      <color rgb="FFFF0000"/>
      <name val="Calibri"/>
      <family val="2"/>
      <scheme val="minor"/>
    </font>
    <font>
      <sz val="11"/>
      <color theme="1"/>
      <name val="Wingdings"/>
      <charset val="2"/>
    </font>
    <font>
      <b/>
      <sz val="12"/>
      <color rgb="FF000000"/>
      <name val="Calibri"/>
      <family val="2"/>
      <scheme val="minor"/>
    </font>
    <font>
      <sz val="11"/>
      <color rgb="FFFF0000"/>
      <name val="Calibri"/>
      <family val="2"/>
    </font>
    <font>
      <sz val="11"/>
      <color theme="5"/>
      <name val="Calibri"/>
      <family val="2"/>
    </font>
    <font>
      <sz val="11"/>
      <color rgb="FFFF0000"/>
      <name val="Wingdings"/>
      <charset val="2"/>
    </font>
    <font>
      <b/>
      <i/>
      <sz val="10"/>
      <color theme="0"/>
      <name val="Calibri"/>
      <family val="2"/>
      <scheme val="minor"/>
    </font>
    <font>
      <sz val="11"/>
      <color theme="7" tint="0.79998168889431442"/>
      <name val="Calibri"/>
      <family val="2"/>
      <scheme val="minor"/>
    </font>
    <font>
      <sz val="11"/>
      <color theme="6"/>
      <name val="Calibri"/>
      <family val="2"/>
      <scheme val="minor"/>
    </font>
    <font>
      <sz val="11"/>
      <color theme="0"/>
      <name val="Calibri"/>
      <family val="2"/>
    </font>
    <font>
      <b/>
      <sz val="14"/>
      <color theme="1"/>
      <name val="Calibri"/>
      <family val="2"/>
      <scheme val="minor"/>
    </font>
    <font>
      <b/>
      <sz val="14"/>
      <name val="Calibri"/>
      <family val="2"/>
      <scheme val="minor"/>
    </font>
    <font>
      <b/>
      <sz val="12"/>
      <name val="Calibri"/>
      <family val="2"/>
    </font>
    <font>
      <b/>
      <sz val="12"/>
      <color rgb="FFC00000"/>
      <name val="Calibri"/>
      <family val="2"/>
      <scheme val="minor"/>
    </font>
    <font>
      <b/>
      <sz val="14"/>
      <color theme="3" tint="-0.499984740745262"/>
      <name val="Calibri"/>
      <family val="2"/>
      <scheme val="minor"/>
    </font>
    <font>
      <sz val="12"/>
      <name val="Calibri"/>
      <family val="2"/>
    </font>
    <font>
      <b/>
      <sz val="12"/>
      <color theme="4" tint="-0.499984740745262"/>
      <name val="Calibri"/>
      <family val="2"/>
    </font>
    <font>
      <sz val="11"/>
      <color theme="4" tint="-0.499984740745262"/>
      <name val="Calibri"/>
      <family val="2"/>
      <scheme val="minor"/>
    </font>
    <font>
      <b/>
      <sz val="16"/>
      <color theme="4" tint="-0.499984740745262"/>
      <name val="Calibri"/>
      <family val="2"/>
    </font>
    <font>
      <b/>
      <i/>
      <sz val="11"/>
      <name val="Calibri"/>
      <family val="2"/>
    </font>
    <font>
      <b/>
      <i/>
      <sz val="11"/>
      <color rgb="FFC00000"/>
      <name val="Calibri"/>
      <family val="2"/>
      <scheme val="minor"/>
    </font>
    <font>
      <b/>
      <sz val="11"/>
      <color rgb="FFC00000"/>
      <name val="Calibri"/>
      <family val="2"/>
      <scheme val="minor"/>
    </font>
    <font>
      <sz val="12"/>
      <name val="Calibri"/>
      <family val="2"/>
      <scheme val="minor"/>
    </font>
    <font>
      <i/>
      <sz val="11"/>
      <color rgb="FFC00000"/>
      <name val="Calibri"/>
      <family val="2"/>
      <scheme val="minor"/>
    </font>
    <font>
      <b/>
      <sz val="12"/>
      <color theme="1"/>
      <name val="Calibri"/>
      <family val="2"/>
      <scheme val="minor"/>
    </font>
    <font>
      <b/>
      <sz val="10"/>
      <name val="Calibri"/>
      <family val="2"/>
      <scheme val="minor"/>
    </font>
    <font>
      <b/>
      <u/>
      <sz val="11"/>
      <color rgb="FFFF0000"/>
      <name val="Calibri"/>
      <family val="2"/>
      <scheme val="minor"/>
    </font>
    <font>
      <sz val="11"/>
      <color theme="1"/>
      <name val="Calibri"/>
      <family val="2"/>
    </font>
    <font>
      <i/>
      <sz val="8"/>
      <name val="Arial"/>
      <family val="2"/>
    </font>
    <font>
      <b/>
      <sz val="11"/>
      <color theme="3" tint="-0.249977111117893"/>
      <name val="Calibri"/>
      <family val="2"/>
      <scheme val="minor"/>
    </font>
    <font>
      <sz val="10"/>
      <color theme="1"/>
      <name val="Calibri"/>
      <family val="2"/>
    </font>
    <font>
      <sz val="10"/>
      <color theme="1"/>
      <name val="Calibri"/>
      <family val="2"/>
    </font>
    <font>
      <b/>
      <sz val="16"/>
      <color rgb="FFFF0000"/>
      <name val="Calibri"/>
      <family val="2"/>
    </font>
    <font>
      <b/>
      <sz val="12"/>
      <color rgb="FF000000"/>
      <name val="Calibri"/>
      <family val="2"/>
    </font>
    <font>
      <sz val="12"/>
      <color rgb="FF000000"/>
      <name val="Calibri"/>
      <family val="2"/>
    </font>
    <font>
      <u/>
      <sz val="12"/>
      <color rgb="FF000000"/>
      <name val="Calibri"/>
      <family val="2"/>
    </font>
    <font>
      <b/>
      <i/>
      <sz val="12"/>
      <color theme="4"/>
      <name val="Calibri"/>
      <family val="2"/>
      <scheme val="minor"/>
    </font>
    <font>
      <b/>
      <sz val="10"/>
      <color theme="0"/>
      <name val="Calibri"/>
      <family val="2"/>
      <scheme val="minor"/>
    </font>
    <font>
      <sz val="8"/>
      <color rgb="FF000000"/>
      <name val="Calibri"/>
      <family val="2"/>
    </font>
    <font>
      <sz val="8"/>
      <color theme="1"/>
      <name val="Calibri"/>
      <family val="2"/>
      <scheme val="minor"/>
    </font>
    <font>
      <b/>
      <sz val="8"/>
      <color theme="1"/>
      <name val="Calibri"/>
      <family val="2"/>
      <scheme val="minor"/>
    </font>
    <font>
      <b/>
      <sz val="8"/>
      <color theme="5"/>
      <name val="Calibri"/>
      <family val="2"/>
      <scheme val="minor"/>
    </font>
    <font>
      <b/>
      <sz val="8"/>
      <color rgb="FFFF0000"/>
      <name val="Calibri"/>
      <family val="2"/>
      <scheme val="minor"/>
    </font>
    <font>
      <i/>
      <sz val="8"/>
      <color theme="1"/>
      <name val="Calibri"/>
      <family val="2"/>
      <scheme val="minor"/>
    </font>
    <font>
      <sz val="8"/>
      <color rgb="FFFF0000"/>
      <name val="Calibri"/>
      <family val="2"/>
      <scheme val="minor"/>
    </font>
  </fonts>
  <fills count="60">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5"/>
        <bgColor indexed="64"/>
      </patternFill>
    </fill>
    <fill>
      <patternFill patternType="solid">
        <fgColor theme="8"/>
        <bgColor indexed="64"/>
      </patternFill>
    </fill>
    <fill>
      <patternFill patternType="solid">
        <fgColor theme="7"/>
        <bgColor indexed="64"/>
      </patternFill>
    </fill>
    <fill>
      <patternFill patternType="solid">
        <fgColor rgb="FFCCFFCC"/>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FFF00"/>
        <bgColor indexed="64"/>
      </patternFill>
    </fill>
    <fill>
      <patternFill patternType="solid">
        <fgColor rgb="FF000000"/>
        <bgColor rgb="FF000000"/>
      </patternFill>
    </fill>
    <fill>
      <patternFill patternType="solid">
        <fgColor rgb="FF7030A0"/>
        <bgColor indexed="64"/>
      </patternFill>
    </fill>
    <fill>
      <patternFill patternType="solid">
        <fgColor theme="2" tint="-0.499984740745262"/>
        <bgColor indexed="64"/>
      </patternFill>
    </fill>
    <fill>
      <patternFill patternType="solid">
        <fgColor theme="0" tint="-0.34998626667073579"/>
        <bgColor indexed="64"/>
      </patternFill>
    </fill>
    <fill>
      <patternFill patternType="solid">
        <fgColor rgb="FFFF0000"/>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8" tint="-0.499984740745262"/>
        <bgColor indexed="64"/>
      </patternFill>
    </fill>
    <fill>
      <patternFill patternType="solid">
        <fgColor theme="5" tint="0.59999389629810485"/>
        <bgColor indexed="64"/>
      </patternFill>
    </fill>
    <fill>
      <patternFill patternType="solid">
        <fgColor theme="5" tint="-0.249977111117893"/>
        <bgColor indexed="64"/>
      </patternFill>
    </fill>
    <fill>
      <patternFill patternType="solid">
        <fgColor rgb="FF00B0F0"/>
        <bgColor indexed="64"/>
      </patternFill>
    </fill>
    <fill>
      <patternFill patternType="solid">
        <fgColor rgb="FFCCFFCC"/>
        <bgColor rgb="FF000000"/>
      </patternFill>
    </fill>
    <fill>
      <patternFill patternType="solid">
        <fgColor rgb="FFDDEBF7"/>
        <bgColor rgb="FF000000"/>
      </patternFill>
    </fill>
    <fill>
      <patternFill patternType="solid">
        <fgColor rgb="FFFF7C80"/>
        <bgColor rgb="FF000000"/>
      </patternFill>
    </fill>
    <fill>
      <patternFill patternType="solid">
        <fgColor rgb="FFFCE4D6"/>
        <bgColor rgb="FF000000"/>
      </patternFill>
    </fill>
    <fill>
      <patternFill patternType="solid">
        <fgColor rgb="FFF2F2F2"/>
        <bgColor rgb="FF000000"/>
      </patternFill>
    </fill>
    <fill>
      <patternFill patternType="solid">
        <fgColor rgb="FFFFC000"/>
        <bgColor indexed="64"/>
      </patternFill>
    </fill>
    <fill>
      <patternFill patternType="solid">
        <fgColor theme="9"/>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4"/>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31859C"/>
        <bgColor indexed="64"/>
      </patternFill>
    </fill>
    <fill>
      <patternFill patternType="solid">
        <fgColor theme="9" tint="0.39997558519241921"/>
        <bgColor indexed="64"/>
      </patternFill>
    </fill>
    <fill>
      <patternFill patternType="solid">
        <fgColor rgb="FFD9E1F2"/>
        <bgColor rgb="FF000000"/>
      </patternFill>
    </fill>
    <fill>
      <patternFill patternType="solid">
        <fgColor rgb="FF1F4E78"/>
        <bgColor rgb="FF000000"/>
      </patternFill>
    </fill>
    <fill>
      <patternFill patternType="solid">
        <fgColor rgb="FF4472C4"/>
        <bgColor rgb="FF000000"/>
      </patternFill>
    </fill>
    <fill>
      <patternFill patternType="solid">
        <fgColor rgb="FFFFFFFF"/>
        <bgColor rgb="FF000000"/>
      </patternFill>
    </fill>
    <fill>
      <patternFill patternType="solid">
        <fgColor rgb="FFAEAAAA"/>
        <bgColor rgb="FF000000"/>
      </patternFill>
    </fill>
    <fill>
      <patternFill patternType="solid">
        <fgColor rgb="FFFFC000"/>
        <bgColor rgb="FF000000"/>
      </patternFill>
    </fill>
    <fill>
      <patternFill patternType="solid">
        <fgColor theme="9" tint="0.59999389629810485"/>
        <bgColor indexed="64"/>
      </patternFill>
    </fill>
    <fill>
      <patternFill patternType="solid">
        <fgColor theme="4" tint="-0.499984740745262"/>
        <bgColor indexed="64"/>
      </patternFill>
    </fill>
    <fill>
      <patternFill patternType="solid">
        <fgColor theme="2" tint="-0.249977111117893"/>
        <bgColor indexed="64"/>
      </patternFill>
    </fill>
    <fill>
      <patternFill patternType="solid">
        <fgColor theme="3"/>
        <bgColor indexed="64"/>
      </patternFill>
    </fill>
    <fill>
      <patternFill patternType="solid">
        <fgColor theme="6"/>
        <bgColor indexed="64"/>
      </patternFill>
    </fill>
    <fill>
      <patternFill patternType="solid">
        <fgColor theme="6"/>
        <bgColor rgb="FF000000"/>
      </patternFill>
    </fill>
    <fill>
      <patternFill patternType="solid">
        <fgColor theme="0"/>
        <bgColor rgb="FF000000"/>
      </patternFill>
    </fill>
    <fill>
      <patternFill patternType="solid">
        <fgColor rgb="FF99CCFF"/>
        <bgColor indexed="64"/>
      </patternFill>
    </fill>
    <fill>
      <patternFill patternType="solid">
        <fgColor rgb="FFCCECFF"/>
        <bgColor indexed="64"/>
      </patternFill>
    </fill>
    <fill>
      <patternFill patternType="solid">
        <fgColor rgb="FFC00000"/>
        <bgColor indexed="64"/>
      </patternFill>
    </fill>
    <fill>
      <patternFill patternType="solid">
        <fgColor rgb="FFB4C6E7"/>
        <bgColor indexed="64"/>
      </patternFill>
    </fill>
    <fill>
      <patternFill patternType="solid">
        <fgColor theme="4" tint="0.79998168889431442"/>
        <bgColor theme="4" tint="0.79998168889431442"/>
      </patternFill>
    </fill>
    <fill>
      <patternFill patternType="solid">
        <fgColor theme="9" tint="0.39997558519241921"/>
        <bgColor rgb="FF000000"/>
      </patternFill>
    </fill>
    <fill>
      <patternFill patternType="solid">
        <fgColor theme="6" tint="0.79998168889431442"/>
        <bgColor indexed="64"/>
      </patternFill>
    </fill>
    <fill>
      <patternFill patternType="solid">
        <fgColor theme="6" tint="-0.249977111117893"/>
        <bgColor indexed="64"/>
      </patternFill>
    </fill>
    <fill>
      <patternFill patternType="solid">
        <fgColor theme="6" tint="0.59999389629810485"/>
        <bgColor indexed="64"/>
      </patternFill>
    </fill>
    <fill>
      <patternFill patternType="solid">
        <fgColor theme="3" tint="-0.249977111117893"/>
        <bgColor indexed="64"/>
      </patternFill>
    </fill>
  </fills>
  <borders count="165">
    <border>
      <left/>
      <right/>
      <top/>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22"/>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theme="6"/>
      </left>
      <right style="thin">
        <color theme="6"/>
      </right>
      <top style="thin">
        <color theme="6"/>
      </top>
      <bottom style="thin">
        <color theme="6"/>
      </bottom>
      <diagonal/>
    </border>
    <border>
      <left style="medium">
        <color indexed="64"/>
      </left>
      <right style="thin">
        <color theme="6"/>
      </right>
      <top style="medium">
        <color indexed="64"/>
      </top>
      <bottom style="thin">
        <color theme="6"/>
      </bottom>
      <diagonal/>
    </border>
    <border>
      <left style="thin">
        <color theme="6"/>
      </left>
      <right style="thin">
        <color theme="6"/>
      </right>
      <top style="medium">
        <color indexed="64"/>
      </top>
      <bottom style="thin">
        <color theme="6"/>
      </bottom>
      <diagonal/>
    </border>
    <border>
      <left style="thin">
        <color theme="6"/>
      </left>
      <right style="medium">
        <color indexed="64"/>
      </right>
      <top style="medium">
        <color indexed="64"/>
      </top>
      <bottom style="thin">
        <color theme="6"/>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right style="thin">
        <color theme="6"/>
      </right>
      <top style="medium">
        <color indexed="64"/>
      </top>
      <bottom style="thin">
        <color theme="6"/>
      </bottom>
      <diagonal/>
    </border>
    <border>
      <left style="medium">
        <color indexed="64"/>
      </left>
      <right style="medium">
        <color indexed="64"/>
      </right>
      <top style="medium">
        <color indexed="64"/>
      </top>
      <bottom/>
      <diagonal/>
    </border>
    <border>
      <left/>
      <right style="thin">
        <color indexed="64"/>
      </right>
      <top style="thin">
        <color indexed="64"/>
      </top>
      <bottom style="thin">
        <color indexed="64"/>
      </bottom>
      <diagonal/>
    </border>
    <border>
      <left/>
      <right/>
      <top/>
      <bottom style="thin">
        <color indexed="22"/>
      </bottom>
      <diagonal/>
    </border>
    <border>
      <left style="medium">
        <color indexed="64"/>
      </left>
      <right/>
      <top/>
      <bottom/>
      <diagonal/>
    </border>
    <border>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medium">
        <color indexed="64"/>
      </left>
      <right style="thin">
        <color theme="6"/>
      </right>
      <top style="thin">
        <color theme="6"/>
      </top>
      <bottom style="thin">
        <color theme="6"/>
      </bottom>
      <diagonal/>
    </border>
    <border>
      <left style="thin">
        <color theme="6"/>
      </left>
      <right style="medium">
        <color indexed="64"/>
      </right>
      <top style="thin">
        <color theme="6"/>
      </top>
      <bottom style="thin">
        <color theme="6"/>
      </bottom>
      <diagonal/>
    </border>
    <border>
      <left/>
      <right style="thin">
        <color theme="6"/>
      </right>
      <top style="thin">
        <color theme="6"/>
      </top>
      <bottom style="thin">
        <color theme="6"/>
      </bottom>
      <diagonal/>
    </border>
    <border>
      <left/>
      <right style="thin">
        <color indexed="22"/>
      </right>
      <top style="thin">
        <color indexed="22"/>
      </top>
      <bottom/>
      <diagonal/>
    </border>
    <border>
      <left style="thin">
        <color indexed="22"/>
      </left>
      <right/>
      <top style="thin">
        <color indexed="22"/>
      </top>
      <bottom/>
      <diagonal/>
    </border>
    <border>
      <left style="medium">
        <color indexed="64"/>
      </left>
      <right style="thin">
        <color indexed="22"/>
      </right>
      <top style="thin">
        <color indexed="22"/>
      </top>
      <bottom style="thin">
        <color indexed="22"/>
      </bottom>
      <diagonal/>
    </border>
    <border>
      <left/>
      <right style="thin">
        <color indexed="22"/>
      </right>
      <top/>
      <bottom style="thin">
        <color indexed="22"/>
      </bottom>
      <diagonal/>
    </border>
    <border>
      <left/>
      <right style="medium">
        <color indexed="64"/>
      </right>
      <top/>
      <bottom/>
      <diagonal/>
    </border>
    <border>
      <left style="medium">
        <color indexed="64"/>
      </left>
      <right style="medium">
        <color indexed="64"/>
      </right>
      <top/>
      <bottom/>
      <diagonal/>
    </border>
    <border>
      <left style="medium">
        <color indexed="64"/>
      </left>
      <right style="thin">
        <color rgb="FFC0C0C0"/>
      </right>
      <top style="thin">
        <color rgb="FFC0C0C0"/>
      </top>
      <bottom style="thin">
        <color rgb="FFC0C0C0"/>
      </bottom>
      <diagonal/>
    </border>
    <border>
      <left style="thin">
        <color rgb="FFC0C0C0"/>
      </left>
      <right style="thin">
        <color rgb="FFC0C0C0"/>
      </right>
      <top style="thin">
        <color rgb="FFC0C0C0"/>
      </top>
      <bottom style="thin">
        <color rgb="FFC0C0C0"/>
      </bottom>
      <diagonal/>
    </border>
    <border>
      <left style="medium">
        <color indexed="64"/>
      </left>
      <right style="medium">
        <color indexed="64"/>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thin">
        <color rgb="FFC0C0C0"/>
      </left>
      <right style="thin">
        <color rgb="FFC0C0C0"/>
      </right>
      <top style="thin">
        <color rgb="FFC0C0C0"/>
      </top>
      <bottom/>
      <diagonal/>
    </border>
    <border>
      <left style="thin">
        <color indexed="64"/>
      </left>
      <right/>
      <top style="thin">
        <color indexed="64"/>
      </top>
      <bottom style="thin">
        <color indexed="64"/>
      </bottom>
      <diagonal/>
    </border>
    <border>
      <left style="thin">
        <color indexed="22"/>
      </left>
      <right/>
      <top style="thin">
        <color indexed="22"/>
      </top>
      <bottom style="thin">
        <color indexed="22"/>
      </bottom>
      <diagonal/>
    </border>
    <border>
      <left style="thin">
        <color auto="1"/>
      </left>
      <right style="thin">
        <color indexed="22"/>
      </right>
      <top style="thin">
        <color indexed="22"/>
      </top>
      <bottom style="thin">
        <color indexed="22"/>
      </bottom>
      <diagonal/>
    </border>
    <border>
      <left style="thin">
        <color indexed="22"/>
      </left>
      <right style="thin">
        <color auto="1"/>
      </right>
      <top style="thin">
        <color indexed="22"/>
      </top>
      <bottom style="thin">
        <color indexed="22"/>
      </bottom>
      <diagonal/>
    </border>
    <border>
      <left style="thin">
        <color indexed="64"/>
      </left>
      <right/>
      <top/>
      <bottom/>
      <diagonal/>
    </border>
    <border>
      <left style="thin">
        <color indexed="64"/>
      </left>
      <right style="thin">
        <color rgb="FFC0C0C0"/>
      </right>
      <top style="thin">
        <color rgb="FFC0C0C0"/>
      </top>
      <bottom style="thin">
        <color rgb="FFC0C0C0"/>
      </bottom>
      <diagonal/>
    </border>
    <border>
      <left style="thin">
        <color auto="1"/>
      </left>
      <right style="thin">
        <color auto="1"/>
      </right>
      <top style="thin">
        <color rgb="FFC0C0C0"/>
      </top>
      <bottom style="thin">
        <color rgb="FFC0C0C0"/>
      </bottom>
      <diagonal/>
    </border>
    <border>
      <left style="thin">
        <color rgb="FFC0C0C0"/>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rgb="FFC0C0C0"/>
      </left>
      <right style="thin">
        <color indexed="22"/>
      </right>
      <top style="thin">
        <color rgb="FFC0C0C0"/>
      </top>
      <bottom style="thin">
        <color rgb="FFC0C0C0"/>
      </bottom>
      <diagonal/>
    </border>
    <border>
      <left style="thin">
        <color indexed="22"/>
      </left>
      <right style="thin">
        <color indexed="22"/>
      </right>
      <top style="thin">
        <color indexed="22"/>
      </top>
      <bottom/>
      <diagonal/>
    </border>
    <border>
      <left style="medium">
        <color indexed="64"/>
      </left>
      <right/>
      <top style="thin">
        <color rgb="FFC0C0C0"/>
      </top>
      <bottom style="thin">
        <color rgb="FFC0C0C0"/>
      </bottom>
      <diagonal/>
    </border>
    <border>
      <left/>
      <right style="thin">
        <color indexed="22"/>
      </right>
      <top/>
      <bottom/>
      <diagonal/>
    </border>
    <border>
      <left style="thin">
        <color rgb="FFC0C0C0"/>
      </left>
      <right style="thin">
        <color indexed="22"/>
      </right>
      <top style="thin">
        <color indexed="22"/>
      </top>
      <bottom/>
      <diagonal/>
    </border>
    <border>
      <left style="thin">
        <color indexed="22"/>
      </left>
      <right style="thin">
        <color rgb="FFC0C0C0"/>
      </right>
      <top style="thin">
        <color indexed="22"/>
      </top>
      <bottom style="thin">
        <color indexed="22"/>
      </bottom>
      <diagonal/>
    </border>
    <border>
      <left style="thin">
        <color indexed="22"/>
      </left>
      <right style="thin">
        <color rgb="FFC0C0C0"/>
      </right>
      <top style="thin">
        <color rgb="FFC0C0C0"/>
      </top>
      <bottom/>
      <diagonal/>
    </border>
    <border>
      <left style="thin">
        <color theme="6"/>
      </left>
      <right style="thin">
        <color theme="6"/>
      </right>
      <top style="thin">
        <color theme="6"/>
      </top>
      <bottom/>
      <diagonal/>
    </border>
    <border>
      <left/>
      <right style="medium">
        <color indexed="64"/>
      </right>
      <top style="thin">
        <color rgb="FFC0C0C0"/>
      </top>
      <bottom style="thin">
        <color rgb="FFC0C0C0"/>
      </bottom>
      <diagonal/>
    </border>
    <border>
      <left style="thin">
        <color rgb="FFC0C0C0"/>
      </left>
      <right style="thin">
        <color rgb="FFC0C0C0"/>
      </right>
      <top style="thin">
        <color indexed="22"/>
      </top>
      <bottom style="thin">
        <color indexed="2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22"/>
      </left>
      <right style="thin">
        <color indexed="22"/>
      </right>
      <top style="thin">
        <color rgb="FFC0C0C0"/>
      </top>
      <bottom/>
      <diagonal/>
    </border>
    <border>
      <left style="thin">
        <color rgb="FFC0C0C0"/>
      </left>
      <right style="thin">
        <color rgb="FFC0C0C0"/>
      </right>
      <top style="thin">
        <color indexed="22"/>
      </top>
      <bottom/>
      <diagonal/>
    </border>
    <border>
      <left style="thin">
        <color theme="0" tint="-0.24994659260841701"/>
      </left>
      <right style="thin">
        <color theme="0" tint="-0.24994659260841701"/>
      </right>
      <top style="thin">
        <color theme="0" tint="-0.24994659260841701"/>
      </top>
      <bottom/>
      <diagonal/>
    </border>
    <border>
      <left style="thin">
        <color auto="1"/>
      </left>
      <right/>
      <top style="thin">
        <color rgb="FFC0C0C0"/>
      </top>
      <bottom style="thin">
        <color rgb="FFC0C0C0"/>
      </bottom>
      <diagonal/>
    </border>
    <border>
      <left style="thin">
        <color theme="0" tint="-0.24994659260841701"/>
      </left>
      <right style="thin">
        <color rgb="FFC0C0C0"/>
      </right>
      <top style="thin">
        <color rgb="FFC0C0C0"/>
      </top>
      <bottom style="thin">
        <color rgb="FFC0C0C0"/>
      </bottom>
      <diagonal/>
    </border>
    <border>
      <left style="thin">
        <color rgb="FFC0C0C0"/>
      </left>
      <right style="thin">
        <color theme="0" tint="-0.24994659260841701"/>
      </right>
      <top style="thin">
        <color rgb="FFC0C0C0"/>
      </top>
      <bottom style="thin">
        <color rgb="FFC0C0C0"/>
      </bottom>
      <diagonal/>
    </border>
    <border>
      <left style="medium">
        <color indexed="64"/>
      </left>
      <right style="thin">
        <color theme="6"/>
      </right>
      <top style="medium">
        <color indexed="64"/>
      </top>
      <bottom/>
      <diagonal/>
    </border>
    <border>
      <left style="thin">
        <color theme="6"/>
      </left>
      <right style="thin">
        <color theme="6"/>
      </right>
      <top style="medium">
        <color indexed="64"/>
      </top>
      <bottom/>
      <diagonal/>
    </border>
    <border>
      <left style="thin">
        <color theme="6"/>
      </left>
      <right style="medium">
        <color indexed="64"/>
      </right>
      <top style="medium">
        <color indexed="64"/>
      </top>
      <bottom/>
      <diagonal/>
    </border>
    <border>
      <left/>
      <right style="thin">
        <color theme="6"/>
      </right>
      <top style="medium">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22"/>
      </left>
      <right/>
      <top style="thin">
        <color rgb="FFC0C0C0"/>
      </top>
      <bottom style="thin">
        <color rgb="FFC0C0C0"/>
      </bottom>
      <diagonal/>
    </border>
    <border>
      <left style="thin">
        <color theme="0" tint="-4.9989318521683403E-2"/>
      </left>
      <right style="thin">
        <color theme="0" tint="-4.9989318521683403E-2"/>
      </right>
      <top style="thin">
        <color rgb="FFC0C0C0"/>
      </top>
      <bottom style="thin">
        <color rgb="FFC0C0C0"/>
      </bottom>
      <diagonal/>
    </border>
    <border>
      <left/>
      <right style="thin">
        <color indexed="22"/>
      </right>
      <top style="thin">
        <color rgb="FFC0C0C0"/>
      </top>
      <bottom style="thin">
        <color rgb="FFC0C0C0"/>
      </bottom>
      <diagonal/>
    </border>
    <border>
      <left style="thin">
        <color indexed="22"/>
      </left>
      <right style="thin">
        <color indexed="22"/>
      </right>
      <top style="thin">
        <color rgb="FFC0C0C0"/>
      </top>
      <bottom style="thin">
        <color rgb="FFC0C0C0"/>
      </bottom>
      <diagonal/>
    </border>
    <border>
      <left style="medium">
        <color indexed="64"/>
      </left>
      <right style="thin">
        <color theme="6"/>
      </right>
      <top style="thin">
        <color rgb="FFC0C0C0"/>
      </top>
      <bottom style="thin">
        <color rgb="FFC0C0C0"/>
      </bottom>
      <diagonal/>
    </border>
    <border>
      <left style="thin">
        <color theme="6"/>
      </left>
      <right style="thin">
        <color theme="6"/>
      </right>
      <top style="thin">
        <color rgb="FFC0C0C0"/>
      </top>
      <bottom style="thin">
        <color rgb="FFC0C0C0"/>
      </bottom>
      <diagonal/>
    </border>
    <border>
      <left style="thin">
        <color theme="6"/>
      </left>
      <right style="medium">
        <color indexed="64"/>
      </right>
      <top style="thin">
        <color rgb="FFC0C0C0"/>
      </top>
      <bottom style="thin">
        <color rgb="FFC0C0C0"/>
      </bottom>
      <diagonal/>
    </border>
    <border>
      <left style="thin">
        <color indexed="22"/>
      </left>
      <right style="medium">
        <color indexed="64"/>
      </right>
      <top style="thin">
        <color rgb="FFC0C0C0"/>
      </top>
      <bottom style="thin">
        <color rgb="FFC0C0C0"/>
      </bottom>
      <diagonal/>
    </border>
    <border>
      <left/>
      <right style="thin">
        <color theme="6"/>
      </right>
      <top style="thin">
        <color rgb="FFC0C0C0"/>
      </top>
      <bottom style="thin">
        <color rgb="FFC0C0C0"/>
      </bottom>
      <diagonal/>
    </border>
    <border>
      <left style="thin">
        <color auto="1"/>
      </left>
      <right style="medium">
        <color indexed="64"/>
      </right>
      <top style="thin">
        <color rgb="FFC0C0C0"/>
      </top>
      <bottom style="thin">
        <color rgb="FFC0C0C0"/>
      </bottom>
      <diagonal/>
    </border>
    <border>
      <left style="medium">
        <color theme="0" tint="-0.34998626667073579"/>
      </left>
      <right style="medium">
        <color theme="0" tint="-0.34998626667073579"/>
      </right>
      <top style="thin">
        <color rgb="FFC0C0C0"/>
      </top>
      <bottom style="thin">
        <color rgb="FFC0C0C0"/>
      </bottom>
      <diagonal/>
    </border>
    <border>
      <left style="thin">
        <color indexed="22"/>
      </left>
      <right style="thin">
        <color auto="1"/>
      </right>
      <top style="thin">
        <color rgb="FFC0C0C0"/>
      </top>
      <bottom style="thin">
        <color rgb="FFC0C0C0"/>
      </bottom>
      <diagonal/>
    </border>
    <border>
      <left/>
      <right/>
      <top style="thin">
        <color rgb="FFC0C0C0"/>
      </top>
      <bottom style="thin">
        <color rgb="FFC0C0C0"/>
      </bottom>
      <diagonal/>
    </border>
    <border>
      <left style="thin">
        <color auto="1"/>
      </left>
      <right style="thin">
        <color indexed="22"/>
      </right>
      <top style="thin">
        <color rgb="FFC0C0C0"/>
      </top>
      <bottom style="thin">
        <color rgb="FFC0C0C0"/>
      </bottom>
      <diagonal/>
    </border>
    <border>
      <left style="thin">
        <color indexed="22"/>
      </left>
      <right style="thin">
        <color rgb="FFC0C0C0"/>
      </right>
      <top style="thin">
        <color rgb="FFC0C0C0"/>
      </top>
      <bottom style="thin">
        <color rgb="FFC0C0C0"/>
      </bottom>
      <diagonal/>
    </border>
    <border>
      <left style="thin">
        <color indexed="22"/>
      </left>
      <right style="thin">
        <color auto="1"/>
      </right>
      <top style="thin">
        <color rgb="FFC0C0C0"/>
      </top>
      <bottom/>
      <diagonal/>
    </border>
    <border>
      <left style="thin">
        <color indexed="22"/>
      </left>
      <right/>
      <top style="thin">
        <color rgb="FFC0C0C0"/>
      </top>
      <bottom/>
      <diagonal/>
    </border>
    <border>
      <left/>
      <right style="thin">
        <color rgb="FFC0C0C0"/>
      </right>
      <top style="thin">
        <color rgb="FFC0C0C0"/>
      </top>
      <bottom/>
      <diagonal/>
    </border>
    <border>
      <left/>
      <right style="thin">
        <color indexed="22"/>
      </right>
      <top style="thin">
        <color rgb="FFC0C0C0"/>
      </top>
      <bottom/>
      <diagonal/>
    </border>
    <border>
      <left style="thin">
        <color auto="1"/>
      </left>
      <right style="thin">
        <color indexed="22"/>
      </right>
      <top style="thin">
        <color rgb="FFC0C0C0"/>
      </top>
      <bottom/>
      <diagonal/>
    </border>
    <border>
      <left style="thin">
        <color auto="1"/>
      </left>
      <right style="thin">
        <color auto="1"/>
      </right>
      <top style="thin">
        <color rgb="FFC0C0C0"/>
      </top>
      <bottom/>
      <diagonal/>
    </border>
    <border>
      <left/>
      <right style="thin">
        <color auto="1"/>
      </right>
      <top style="thin">
        <color rgb="FFC0C0C0"/>
      </top>
      <bottom style="thin">
        <color rgb="FFC0C0C0"/>
      </bottom>
      <diagonal/>
    </border>
    <border>
      <left/>
      <right/>
      <top style="thin">
        <color indexed="64"/>
      </top>
      <bottom style="thin">
        <color indexed="64"/>
      </bottom>
      <diagonal/>
    </border>
    <border>
      <left style="thin">
        <color indexed="64"/>
      </left>
      <right/>
      <top/>
      <bottom style="thin">
        <color indexed="22"/>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bottom style="thin">
        <color rgb="FFC0C0C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rgb="FFC0C0C0"/>
      </right>
      <top/>
      <bottom style="thin">
        <color rgb="FFC0C0C0"/>
      </bottom>
      <diagonal/>
    </border>
    <border>
      <left style="thin">
        <color rgb="FFA5A5A5"/>
      </left>
      <right style="thin">
        <color rgb="FFA5A5A5"/>
      </right>
      <top style="thin">
        <color rgb="FFC0C0C0"/>
      </top>
      <bottom style="thin">
        <color rgb="FFC0C0C0"/>
      </bottom>
      <diagonal/>
    </border>
    <border>
      <left style="thin">
        <color rgb="FFC0C0C0"/>
      </left>
      <right style="thin">
        <color indexed="64"/>
      </right>
      <top style="thin">
        <color rgb="FFC0C0C0"/>
      </top>
      <bottom style="thin">
        <color rgb="FFC0C0C0"/>
      </bottom>
      <diagonal/>
    </border>
    <border>
      <left style="medium">
        <color indexed="64"/>
      </left>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right style="thin">
        <color indexed="64"/>
      </right>
      <top/>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rgb="FF000000"/>
      </bottom>
      <diagonal/>
    </border>
    <border>
      <left style="thin">
        <color indexed="64"/>
      </left>
      <right style="medium">
        <color indexed="64"/>
      </right>
      <top/>
      <bottom style="medium">
        <color rgb="FF000000"/>
      </bottom>
      <diagonal/>
    </border>
    <border>
      <left/>
      <right style="thin">
        <color indexed="64"/>
      </right>
      <top/>
      <bottom style="medium">
        <color indexed="64"/>
      </bottom>
      <diagonal/>
    </border>
    <border>
      <left/>
      <right/>
      <top/>
      <bottom style="medium">
        <color indexed="64"/>
      </bottom>
      <diagonal/>
    </border>
    <border>
      <left style="medium">
        <color indexed="64"/>
      </left>
      <right style="thin">
        <color indexed="64"/>
      </right>
      <top/>
      <bottom/>
      <diagonal/>
    </border>
    <border>
      <left/>
      <right style="medium">
        <color rgb="FF000000"/>
      </right>
      <top/>
      <bottom/>
      <diagonal/>
    </border>
    <border>
      <left style="thin">
        <color rgb="FF000000"/>
      </left>
      <right/>
      <top/>
      <bottom/>
      <diagonal/>
    </border>
    <border>
      <left style="thin">
        <color rgb="FF000000"/>
      </left>
      <right style="thin">
        <color indexed="64"/>
      </right>
      <top style="thin">
        <color indexed="64"/>
      </top>
      <bottom style="thin">
        <color indexed="64"/>
      </bottom>
      <diagonal/>
    </border>
    <border>
      <left/>
      <right style="thin">
        <color rgb="FF000000"/>
      </right>
      <top/>
      <bottom/>
      <diagonal/>
    </border>
    <border>
      <left/>
      <right style="thin">
        <color rgb="FF000000"/>
      </right>
      <top style="thin">
        <color indexed="64"/>
      </top>
      <bottom style="thin">
        <color indexed="64"/>
      </bottom>
      <diagonal/>
    </border>
    <border>
      <left/>
      <right style="medium">
        <color indexed="64"/>
      </right>
      <top style="medium">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22"/>
      </left>
      <right style="thin">
        <color indexed="22"/>
      </right>
      <top/>
      <bottom style="thin">
        <color indexed="22"/>
      </bottom>
      <diagonal/>
    </border>
    <border>
      <left style="thin">
        <color indexed="22"/>
      </left>
      <right/>
      <top/>
      <bottom style="thin">
        <color indexed="22"/>
      </bottom>
      <diagonal/>
    </border>
    <border>
      <left style="thin">
        <color indexed="22"/>
      </left>
      <right style="medium">
        <color indexed="64"/>
      </right>
      <top/>
      <bottom style="thin">
        <color indexed="22"/>
      </bottom>
      <diagonal/>
    </border>
    <border>
      <left style="thin">
        <color theme="0"/>
      </left>
      <right style="thin">
        <color theme="0"/>
      </right>
      <top style="thin">
        <color theme="0"/>
      </top>
      <bottom style="thin">
        <color theme="0"/>
      </bottom>
      <diagonal/>
    </border>
    <border>
      <left/>
      <right style="thin">
        <color theme="0"/>
      </right>
      <top/>
      <bottom style="thin">
        <color indexed="64"/>
      </bottom>
      <diagonal/>
    </border>
    <border>
      <left style="thin">
        <color theme="0"/>
      </left>
      <right style="thin">
        <color indexed="64"/>
      </right>
      <top/>
      <bottom/>
      <diagonal/>
    </border>
    <border>
      <left/>
      <right/>
      <top/>
      <bottom style="thin">
        <color theme="0"/>
      </bottom>
      <diagonal/>
    </border>
    <border>
      <left style="thin">
        <color theme="0"/>
      </left>
      <right style="thin">
        <color theme="0"/>
      </right>
      <top/>
      <bottom style="thin">
        <color theme="0"/>
      </bottom>
      <diagonal/>
    </border>
    <border>
      <left style="thin">
        <color theme="0"/>
      </left>
      <right style="thin">
        <color theme="0"/>
      </right>
      <top/>
      <bottom style="thin">
        <color indexed="64"/>
      </bottom>
      <diagonal/>
    </border>
    <border>
      <left/>
      <right style="thin">
        <color theme="0"/>
      </right>
      <top/>
      <bottom style="thin">
        <color theme="0"/>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indexed="22"/>
      </left>
      <right style="thin">
        <color auto="1"/>
      </right>
      <top/>
      <bottom style="thin">
        <color rgb="FFC0C0C0"/>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thin">
        <color rgb="FFC0C0C0"/>
      </bottom>
      <diagonal/>
    </border>
    <border>
      <left/>
      <right style="thin">
        <color indexed="64"/>
      </right>
      <top/>
      <bottom style="thin">
        <color rgb="FFC0C0C0"/>
      </bottom>
      <diagonal/>
    </border>
    <border>
      <left style="thin">
        <color indexed="64"/>
      </left>
      <right/>
      <top/>
      <bottom style="thin">
        <color rgb="FFC0C0C0"/>
      </bottom>
      <diagonal/>
    </border>
    <border>
      <left/>
      <right/>
      <top/>
      <bottom style="thin">
        <color theme="4" tint="0.39997558519241921"/>
      </bottom>
      <diagonal/>
    </border>
    <border>
      <left/>
      <right/>
      <top style="thin">
        <color theme="4" tint="0.39997558519241921"/>
      </top>
      <bottom/>
      <diagonal/>
    </border>
    <border>
      <left/>
      <right style="medium">
        <color rgb="FFC0C0C0"/>
      </right>
      <top/>
      <bottom style="medium">
        <color rgb="FFC0C0C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s>
  <cellStyleXfs count="11">
    <xf numFmtId="0" fontId="0" fillId="0" borderId="0"/>
    <xf numFmtId="43" fontId="6" fillId="0" borderId="0" applyFont="0" applyFill="0" applyBorder="0" applyAlignment="0" applyProtection="0"/>
    <xf numFmtId="0" fontId="11" fillId="0" borderId="0"/>
    <xf numFmtId="9" fontId="6" fillId="0" borderId="0" applyFont="0" applyFill="0" applyBorder="0" applyAlignment="0" applyProtection="0"/>
    <xf numFmtId="0" fontId="89" fillId="0" borderId="0"/>
    <xf numFmtId="0" fontId="89" fillId="0" borderId="0"/>
    <xf numFmtId="43" fontId="89" fillId="0" borderId="0" applyFont="0" applyFill="0" applyBorder="0" applyAlignment="0" applyProtection="0"/>
    <xf numFmtId="9" fontId="89" fillId="0" borderId="0" applyFont="0" applyFill="0" applyBorder="0" applyAlignment="0" applyProtection="0"/>
    <xf numFmtId="0" fontId="6" fillId="0" borderId="0"/>
    <xf numFmtId="43" fontId="6" fillId="0" borderId="0" applyFont="0" applyFill="0" applyBorder="0" applyAlignment="0" applyProtection="0"/>
    <xf numFmtId="9" fontId="6" fillId="0" borderId="0" applyFont="0" applyFill="0" applyBorder="0" applyAlignment="0" applyProtection="0"/>
  </cellStyleXfs>
  <cellXfs count="1263">
    <xf numFmtId="0" fontId="0" fillId="0" borderId="0" xfId="0"/>
    <xf numFmtId="0" fontId="1" fillId="0" borderId="1" xfId="0" applyFont="1" applyBorder="1" applyAlignment="1">
      <alignment vertical="center"/>
    </xf>
    <xf numFmtId="164" fontId="1" fillId="0" borderId="2" xfId="0" applyNumberFormat="1" applyFont="1" applyBorder="1" applyAlignment="1">
      <alignment vertical="center"/>
    </xf>
    <xf numFmtId="0" fontId="1" fillId="0" borderId="2" xfId="0" applyFont="1" applyBorder="1" applyAlignment="1">
      <alignment vertical="center"/>
    </xf>
    <xf numFmtId="165" fontId="1" fillId="0" borderId="3" xfId="0" applyNumberFormat="1" applyFont="1" applyBorder="1" applyAlignment="1">
      <alignment horizontal="center" vertical="center"/>
    </xf>
    <xf numFmtId="166" fontId="1" fillId="0" borderId="2" xfId="0" applyNumberFormat="1" applyFont="1" applyBorder="1" applyAlignment="1">
      <alignment horizontal="center" vertical="center"/>
    </xf>
    <xf numFmtId="167" fontId="1" fillId="0" borderId="4" xfId="0" applyNumberFormat="1" applyFont="1" applyBorder="1" applyAlignment="1">
      <alignment horizontal="center" vertical="center"/>
    </xf>
    <xf numFmtId="167" fontId="1" fillId="0" borderId="5" xfId="0" applyNumberFormat="1" applyFont="1" applyBorder="1" applyAlignment="1">
      <alignment horizontal="center" vertical="center"/>
    </xf>
    <xf numFmtId="0" fontId="0" fillId="0" borderId="6" xfId="0" applyBorder="1" applyAlignment="1">
      <alignment horizontal="left" vertical="center"/>
    </xf>
    <xf numFmtId="167" fontId="1" fillId="0" borderId="2" xfId="0" applyNumberFormat="1" applyFont="1" applyBorder="1" applyAlignment="1">
      <alignment horizontal="center" vertical="center"/>
    </xf>
    <xf numFmtId="166" fontId="1" fillId="0" borderId="8" xfId="0" applyNumberFormat="1" applyFont="1" applyBorder="1" applyAlignment="1">
      <alignment horizontal="center" vertical="center"/>
    </xf>
    <xf numFmtId="168" fontId="1" fillId="0" borderId="8" xfId="0" applyNumberFormat="1" applyFont="1" applyBorder="1" applyAlignment="1">
      <alignment horizontal="center" vertical="center"/>
    </xf>
    <xf numFmtId="1" fontId="1" fillId="0" borderId="8" xfId="0" applyNumberFormat="1" applyFont="1" applyBorder="1" applyAlignment="1">
      <alignment horizontal="center" vertical="center"/>
    </xf>
    <xf numFmtId="14" fontId="1" fillId="0" borderId="8" xfId="0" applyNumberFormat="1" applyFont="1" applyBorder="1" applyAlignment="1">
      <alignment horizontal="center" vertical="center"/>
    </xf>
    <xf numFmtId="1" fontId="1" fillId="0" borderId="8" xfId="0" applyNumberFormat="1" applyFont="1" applyBorder="1" applyAlignment="1">
      <alignment horizontal="left" vertical="center"/>
    </xf>
    <xf numFmtId="2" fontId="1" fillId="0" borderId="8" xfId="0" applyNumberFormat="1" applyFont="1" applyBorder="1" applyAlignment="1">
      <alignment horizontal="center" vertical="center"/>
    </xf>
    <xf numFmtId="2" fontId="1" fillId="0" borderId="9" xfId="0" applyNumberFormat="1" applyFont="1" applyBorder="1" applyAlignment="1">
      <alignment horizontal="center" vertical="center"/>
    </xf>
    <xf numFmtId="167" fontId="1" fillId="0" borderId="10" xfId="0" applyNumberFormat="1" applyFont="1" applyBorder="1" applyAlignment="1">
      <alignment horizontal="center" vertical="center"/>
    </xf>
    <xf numFmtId="167" fontId="1" fillId="0" borderId="11" xfId="0" applyNumberFormat="1" applyFont="1" applyBorder="1" applyAlignment="1">
      <alignment horizontal="center" vertical="center"/>
    </xf>
    <xf numFmtId="0" fontId="0" fillId="0" borderId="12" xfId="0" applyBorder="1"/>
    <xf numFmtId="0" fontId="1" fillId="0" borderId="8" xfId="0" applyFont="1" applyBorder="1" applyAlignment="1">
      <alignment horizontal="center" vertical="center"/>
    </xf>
    <xf numFmtId="14" fontId="1" fillId="0" borderId="9" xfId="0" applyNumberFormat="1" applyFont="1" applyBorder="1" applyAlignment="1">
      <alignment horizontal="center" vertical="center"/>
    </xf>
    <xf numFmtId="0" fontId="1" fillId="0" borderId="0" xfId="0" applyFont="1" applyAlignment="1">
      <alignment horizontal="left" vertical="center"/>
    </xf>
    <xf numFmtId="0" fontId="0" fillId="0" borderId="0" xfId="0" applyAlignment="1">
      <alignment horizontal="center"/>
    </xf>
    <xf numFmtId="164" fontId="2" fillId="7" borderId="24" xfId="0" applyNumberFormat="1" applyFont="1" applyFill="1" applyBorder="1" applyAlignment="1">
      <alignment horizontal="center" vertical="center"/>
    </xf>
    <xf numFmtId="0" fontId="2" fillId="7" borderId="18" xfId="0" applyFont="1" applyFill="1" applyBorder="1" applyAlignment="1">
      <alignment vertical="center"/>
    </xf>
    <xf numFmtId="0" fontId="2" fillId="7" borderId="18" xfId="0" applyFont="1" applyFill="1" applyBorder="1" applyAlignment="1">
      <alignment horizontal="center" vertical="center"/>
    </xf>
    <xf numFmtId="166" fontId="2" fillId="7" borderId="18" xfId="0" applyNumberFormat="1" applyFont="1" applyFill="1" applyBorder="1" applyAlignment="1">
      <alignment horizontal="center" vertical="center"/>
    </xf>
    <xf numFmtId="168" fontId="2" fillId="8" borderId="6" xfId="0" applyNumberFormat="1" applyFont="1" applyFill="1" applyBorder="1" applyAlignment="1">
      <alignment horizontal="center" vertical="center"/>
    </xf>
    <xf numFmtId="1" fontId="2" fillId="8" borderId="6" xfId="0" applyNumberFormat="1" applyFont="1" applyFill="1" applyBorder="1" applyAlignment="1">
      <alignment horizontal="center" vertical="center"/>
    </xf>
    <xf numFmtId="166" fontId="2" fillId="8" borderId="6" xfId="0" applyNumberFormat="1" applyFont="1" applyFill="1" applyBorder="1" applyAlignment="1">
      <alignment horizontal="center" vertical="center"/>
    </xf>
    <xf numFmtId="2" fontId="2" fillId="8" borderId="6" xfId="0" applyNumberFormat="1" applyFont="1" applyFill="1" applyBorder="1" applyAlignment="1">
      <alignment horizontal="center" vertical="center"/>
    </xf>
    <xf numFmtId="2" fontId="2" fillId="8" borderId="20" xfId="0" applyNumberFormat="1" applyFont="1" applyFill="1" applyBorder="1" applyAlignment="1">
      <alignment horizontal="center" vertical="center"/>
    </xf>
    <xf numFmtId="1" fontId="2" fillId="9" borderId="25" xfId="0" applyNumberFormat="1" applyFont="1" applyFill="1" applyBorder="1" applyAlignment="1">
      <alignment horizontal="center" vertical="center"/>
    </xf>
    <xf numFmtId="0" fontId="2" fillId="9" borderId="21" xfId="0" applyFont="1" applyFill="1" applyBorder="1" applyAlignment="1">
      <alignment horizontal="center" vertical="center"/>
    </xf>
    <xf numFmtId="170" fontId="2" fillId="9" borderId="6" xfId="0" applyNumberFormat="1" applyFont="1" applyFill="1" applyBorder="1" applyAlignment="1">
      <alignment horizontal="center" vertical="center"/>
    </xf>
    <xf numFmtId="14" fontId="2" fillId="9" borderId="6" xfId="0" applyNumberFormat="1" applyFont="1" applyFill="1" applyBorder="1" applyAlignment="1">
      <alignment horizontal="center" vertical="center"/>
    </xf>
    <xf numFmtId="14" fontId="2" fillId="9" borderId="20" xfId="0" applyNumberFormat="1" applyFont="1" applyFill="1" applyBorder="1" applyAlignment="1">
      <alignment horizontal="center" vertical="center"/>
    </xf>
    <xf numFmtId="0" fontId="4" fillId="7" borderId="17" xfId="0" applyFont="1" applyFill="1" applyBorder="1" applyAlignment="1">
      <alignment horizontal="left" vertical="center"/>
    </xf>
    <xf numFmtId="164" fontId="2" fillId="7" borderId="18" xfId="0" applyNumberFormat="1" applyFont="1" applyFill="1" applyBorder="1" applyAlignment="1">
      <alignment horizontal="center" vertical="center"/>
    </xf>
    <xf numFmtId="1" fontId="1" fillId="7" borderId="18" xfId="0" applyNumberFormat="1" applyFont="1" applyFill="1" applyBorder="1" applyAlignment="1">
      <alignment horizontal="center" vertical="center"/>
    </xf>
    <xf numFmtId="2" fontId="2" fillId="7" borderId="18" xfId="0" applyNumberFormat="1" applyFont="1" applyFill="1" applyBorder="1" applyAlignment="1">
      <alignment horizontal="center" vertical="center"/>
    </xf>
    <xf numFmtId="0" fontId="2" fillId="0" borderId="0" xfId="0" applyFont="1" applyAlignment="1">
      <alignment vertical="center"/>
    </xf>
    <xf numFmtId="2" fontId="5" fillId="7" borderId="18" xfId="0" applyNumberFormat="1" applyFont="1" applyFill="1" applyBorder="1" applyAlignment="1">
      <alignment horizontal="center" vertical="center"/>
    </xf>
    <xf numFmtId="164" fontId="1" fillId="7" borderId="18" xfId="0" applyNumberFormat="1" applyFont="1" applyFill="1" applyBorder="1" applyAlignment="1">
      <alignment horizontal="center" vertical="center"/>
    </xf>
    <xf numFmtId="0" fontId="0" fillId="0" borderId="0" xfId="0" applyAlignment="1">
      <alignment horizontal="left" vertical="center"/>
    </xf>
    <xf numFmtId="0" fontId="0" fillId="0" borderId="16" xfId="0" applyBorder="1"/>
    <xf numFmtId="2" fontId="3" fillId="4" borderId="28" xfId="0" applyNumberFormat="1" applyFont="1" applyFill="1" applyBorder="1" applyAlignment="1">
      <alignment horizontal="center" vertical="center" wrapText="1"/>
    </xf>
    <xf numFmtId="2" fontId="3" fillId="4" borderId="29" xfId="0" applyNumberFormat="1" applyFont="1" applyFill="1" applyBorder="1" applyAlignment="1">
      <alignment horizontal="center" vertical="center" wrapText="1"/>
    </xf>
    <xf numFmtId="0" fontId="0" fillId="10" borderId="29" xfId="0" applyFill="1" applyBorder="1"/>
    <xf numFmtId="0" fontId="0" fillId="10" borderId="30" xfId="0" applyFill="1" applyBorder="1"/>
    <xf numFmtId="0" fontId="0" fillId="10" borderId="28" xfId="0" applyFill="1" applyBorder="1"/>
    <xf numFmtId="0" fontId="0" fillId="10" borderId="31" xfId="0" applyFill="1" applyBorder="1"/>
    <xf numFmtId="0" fontId="2" fillId="7" borderId="34" xfId="0" applyFont="1" applyFill="1" applyBorder="1" applyAlignment="1">
      <alignment horizontal="left" vertical="center"/>
    </xf>
    <xf numFmtId="0" fontId="2" fillId="7" borderId="17" xfId="0" applyFont="1" applyFill="1" applyBorder="1" applyAlignment="1">
      <alignment horizontal="center" vertical="center"/>
    </xf>
    <xf numFmtId="164" fontId="2" fillId="7" borderId="35" xfId="0" applyNumberFormat="1" applyFont="1" applyFill="1" applyBorder="1" applyAlignment="1">
      <alignment horizontal="center" vertical="center"/>
    </xf>
    <xf numFmtId="166" fontId="2" fillId="7" borderId="36" xfId="0" applyNumberFormat="1" applyFont="1" applyFill="1" applyBorder="1" applyAlignment="1">
      <alignment horizontal="center" vertical="center"/>
    </xf>
    <xf numFmtId="164" fontId="2" fillId="7" borderId="36" xfId="0" applyNumberFormat="1" applyFont="1" applyFill="1" applyBorder="1" applyAlignment="1">
      <alignment horizontal="center" vertical="center"/>
    </xf>
    <xf numFmtId="164" fontId="2" fillId="7" borderId="34" xfId="0" applyNumberFormat="1" applyFont="1" applyFill="1" applyBorder="1" applyAlignment="1">
      <alignment horizontal="center" vertical="center"/>
    </xf>
    <xf numFmtId="2" fontId="1" fillId="0" borderId="2" xfId="1" applyNumberFormat="1" applyFont="1" applyBorder="1" applyAlignment="1">
      <alignment horizontal="center" vertical="center"/>
    </xf>
    <xf numFmtId="2" fontId="1" fillId="0" borderId="4" xfId="1" applyNumberFormat="1" applyFont="1" applyBorder="1" applyAlignment="1">
      <alignment horizontal="center" vertical="center"/>
    </xf>
    <xf numFmtId="14" fontId="8" fillId="0" borderId="3" xfId="0" applyNumberFormat="1" applyFont="1" applyBorder="1" applyAlignment="1">
      <alignment horizontal="center" vertical="center"/>
    </xf>
    <xf numFmtId="2" fontId="2" fillId="0" borderId="0" xfId="0" applyNumberFormat="1" applyFont="1" applyAlignment="1">
      <alignment vertical="center"/>
    </xf>
    <xf numFmtId="164" fontId="0" fillId="0" borderId="0" xfId="0" applyNumberFormat="1"/>
    <xf numFmtId="0" fontId="4" fillId="0" borderId="0" xfId="0" applyFont="1" applyAlignment="1">
      <alignment horizontal="left" vertical="center"/>
    </xf>
    <xf numFmtId="0" fontId="9" fillId="0" borderId="0" xfId="0" applyFont="1"/>
    <xf numFmtId="164" fontId="2" fillId="7" borderId="29" xfId="0" applyNumberFormat="1" applyFont="1" applyFill="1" applyBorder="1" applyAlignment="1">
      <alignment horizontal="center" vertical="center"/>
    </xf>
    <xf numFmtId="164" fontId="2" fillId="7" borderId="38" xfId="0" applyNumberFormat="1" applyFont="1" applyFill="1" applyBorder="1" applyAlignment="1">
      <alignment horizontal="center" vertical="center"/>
    </xf>
    <xf numFmtId="164" fontId="2" fillId="7" borderId="38" xfId="0" applyNumberFormat="1" applyFont="1" applyFill="1" applyBorder="1" applyAlignment="1">
      <alignment horizontal="left" vertical="center"/>
    </xf>
    <xf numFmtId="164" fontId="2" fillId="7" borderId="29" xfId="0" applyNumberFormat="1" applyFont="1" applyFill="1" applyBorder="1" applyAlignment="1">
      <alignment horizontal="left" vertical="center"/>
    </xf>
    <xf numFmtId="0" fontId="0" fillId="0" borderId="0" xfId="0" applyAlignment="1">
      <alignment horizontal="left"/>
    </xf>
    <xf numFmtId="164" fontId="3" fillId="3" borderId="38" xfId="0" applyNumberFormat="1" applyFont="1" applyFill="1" applyBorder="1" applyAlignment="1">
      <alignment horizontal="center" vertical="center" wrapText="1"/>
    </xf>
    <xf numFmtId="164" fontId="3" fillId="3" borderId="29" xfId="0" applyNumberFormat="1" applyFont="1" applyFill="1" applyBorder="1" applyAlignment="1">
      <alignment horizontal="center" vertical="center" wrapText="1"/>
    </xf>
    <xf numFmtId="164" fontId="3" fillId="3" borderId="40" xfId="0" applyNumberFormat="1" applyFont="1" applyFill="1" applyBorder="1" applyAlignment="1">
      <alignment horizontal="center" vertical="center" wrapText="1"/>
    </xf>
    <xf numFmtId="164" fontId="2" fillId="7" borderId="40" xfId="0" applyNumberFormat="1" applyFont="1" applyFill="1" applyBorder="1" applyAlignment="1">
      <alignment horizontal="center" vertical="center"/>
    </xf>
    <xf numFmtId="164" fontId="2" fillId="7" borderId="40" xfId="0" applyNumberFormat="1" applyFont="1" applyFill="1" applyBorder="1" applyAlignment="1">
      <alignment horizontal="left" vertical="center"/>
    </xf>
    <xf numFmtId="0" fontId="2" fillId="7" borderId="41" xfId="0" applyFont="1" applyFill="1" applyBorder="1" applyAlignment="1">
      <alignment vertical="center"/>
    </xf>
    <xf numFmtId="0" fontId="2" fillId="7" borderId="39" xfId="0" applyFont="1" applyFill="1" applyBorder="1" applyAlignment="1">
      <alignment vertical="center"/>
    </xf>
    <xf numFmtId="164" fontId="1" fillId="7" borderId="29" xfId="0" applyNumberFormat="1" applyFont="1" applyFill="1" applyBorder="1" applyAlignment="1">
      <alignment horizontal="center" vertical="center"/>
    </xf>
    <xf numFmtId="164" fontId="1" fillId="0" borderId="0" xfId="0" applyNumberFormat="1" applyFont="1" applyAlignment="1">
      <alignment horizontal="center" vertical="center"/>
    </xf>
    <xf numFmtId="2" fontId="1" fillId="0" borderId="2" xfId="0" applyNumberFormat="1" applyFont="1" applyBorder="1" applyAlignment="1">
      <alignment horizontal="center" vertical="center"/>
    </xf>
    <xf numFmtId="0" fontId="1" fillId="7" borderId="39" xfId="0" applyFont="1" applyFill="1" applyBorder="1"/>
    <xf numFmtId="0" fontId="1" fillId="0" borderId="0" xfId="0" applyFont="1"/>
    <xf numFmtId="166" fontId="2" fillId="8" borderId="19" xfId="0" applyNumberFormat="1" applyFont="1" applyFill="1" applyBorder="1" applyAlignment="1">
      <alignment horizontal="center" vertical="center"/>
    </xf>
    <xf numFmtId="164" fontId="1" fillId="0" borderId="8" xfId="0" applyNumberFormat="1" applyFont="1" applyBorder="1" applyAlignment="1">
      <alignment horizontal="center" vertical="center"/>
    </xf>
    <xf numFmtId="164" fontId="2" fillId="8" borderId="6" xfId="0" applyNumberFormat="1" applyFont="1" applyFill="1" applyBorder="1" applyAlignment="1">
      <alignment horizontal="center" vertical="center"/>
    </xf>
    <xf numFmtId="0" fontId="1" fillId="0" borderId="2" xfId="0" applyFont="1" applyBorder="1" applyAlignment="1">
      <alignment vertical="top"/>
    </xf>
    <xf numFmtId="0" fontId="2" fillId="7" borderId="18" xfId="0" applyFont="1" applyFill="1" applyBorder="1" applyAlignment="1">
      <alignment vertical="top"/>
    </xf>
    <xf numFmtId="0" fontId="0" fillId="0" borderId="0" xfId="0" applyAlignment="1">
      <alignment vertical="top"/>
    </xf>
    <xf numFmtId="0" fontId="1" fillId="0" borderId="2" xfId="0" applyFont="1" applyBorder="1" applyAlignment="1">
      <alignment horizontal="center" vertical="center"/>
    </xf>
    <xf numFmtId="0" fontId="0" fillId="0" borderId="0" xfId="0" applyAlignment="1">
      <alignment horizontal="center" vertical="center"/>
    </xf>
    <xf numFmtId="166" fontId="2" fillId="7" borderId="42" xfId="0" applyNumberFormat="1" applyFont="1" applyFill="1" applyBorder="1" applyAlignment="1">
      <alignment horizontal="center" vertical="center"/>
    </xf>
    <xf numFmtId="0" fontId="12" fillId="0" borderId="0" xfId="0" applyFont="1" applyAlignment="1">
      <alignment vertical="center"/>
    </xf>
    <xf numFmtId="43" fontId="2" fillId="7" borderId="29" xfId="0" applyNumberFormat="1" applyFont="1" applyFill="1" applyBorder="1" applyAlignment="1">
      <alignment horizontal="center" vertical="center"/>
    </xf>
    <xf numFmtId="164" fontId="1" fillId="0" borderId="7" xfId="0" applyNumberFormat="1" applyFont="1" applyBorder="1" applyAlignment="1">
      <alignment horizontal="center" vertical="center"/>
    </xf>
    <xf numFmtId="0" fontId="2" fillId="7" borderId="29" xfId="0" applyFont="1" applyFill="1" applyBorder="1" applyAlignment="1">
      <alignment vertical="center"/>
    </xf>
    <xf numFmtId="169" fontId="1" fillId="0" borderId="28" xfId="0" applyNumberFormat="1" applyFont="1" applyBorder="1" applyAlignment="1">
      <alignment horizontal="center" vertical="center"/>
    </xf>
    <xf numFmtId="169" fontId="1" fillId="0" borderId="29" xfId="0" applyNumberFormat="1" applyFont="1" applyBorder="1" applyAlignment="1">
      <alignment horizontal="center" vertical="center"/>
    </xf>
    <xf numFmtId="169" fontId="1" fillId="0" borderId="31" xfId="0" applyNumberFormat="1" applyFont="1" applyBorder="1" applyAlignment="1">
      <alignment horizontal="center" vertical="center"/>
    </xf>
    <xf numFmtId="0" fontId="4" fillId="7" borderId="18" xfId="0" applyFont="1" applyFill="1" applyBorder="1" applyAlignment="1">
      <alignment horizontal="left" vertical="center"/>
    </xf>
    <xf numFmtId="0" fontId="2" fillId="7" borderId="18" xfId="0" applyFont="1" applyFill="1" applyBorder="1" applyAlignment="1">
      <alignment horizontal="left" vertical="center"/>
    </xf>
    <xf numFmtId="0" fontId="2" fillId="7" borderId="29" xfId="0" applyFont="1" applyFill="1" applyBorder="1" applyAlignment="1">
      <alignment horizontal="center" vertical="center"/>
    </xf>
    <xf numFmtId="43" fontId="2" fillId="7" borderId="40" xfId="0" applyNumberFormat="1" applyFont="1" applyFill="1" applyBorder="1" applyAlignment="1">
      <alignment horizontal="center" vertical="center"/>
    </xf>
    <xf numFmtId="167" fontId="1" fillId="0" borderId="31" xfId="0" applyNumberFormat="1" applyFont="1" applyBorder="1" applyAlignment="1">
      <alignment horizontal="center" vertical="center"/>
    </xf>
    <xf numFmtId="166" fontId="2" fillId="7" borderId="43" xfId="0" applyNumberFormat="1" applyFont="1" applyFill="1" applyBorder="1" applyAlignment="1">
      <alignment horizontal="center" vertical="center"/>
    </xf>
    <xf numFmtId="166" fontId="2" fillId="7" borderId="48" xfId="0" applyNumberFormat="1" applyFont="1" applyFill="1" applyBorder="1" applyAlignment="1">
      <alignment horizontal="center" vertical="center"/>
    </xf>
    <xf numFmtId="166" fontId="2" fillId="7" borderId="32" xfId="0" applyNumberFormat="1" applyFont="1" applyFill="1" applyBorder="1" applyAlignment="1">
      <alignment horizontal="center" vertical="center"/>
    </xf>
    <xf numFmtId="166" fontId="2" fillId="7" borderId="47" xfId="0" applyNumberFormat="1" applyFont="1" applyFill="1" applyBorder="1" applyAlignment="1">
      <alignment horizontal="center" vertical="center"/>
    </xf>
    <xf numFmtId="0" fontId="2" fillId="7" borderId="29" xfId="0" applyFont="1" applyFill="1" applyBorder="1" applyAlignment="1">
      <alignment horizontal="left" vertical="center"/>
    </xf>
    <xf numFmtId="43" fontId="2" fillId="7" borderId="29" xfId="0" applyNumberFormat="1" applyFont="1" applyFill="1" applyBorder="1" applyAlignment="1">
      <alignment horizontal="left" vertical="center"/>
    </xf>
    <xf numFmtId="43" fontId="2" fillId="7" borderId="29" xfId="1" applyFont="1" applyFill="1" applyBorder="1" applyAlignment="1">
      <alignment horizontal="left" vertical="center"/>
    </xf>
    <xf numFmtId="9" fontId="2" fillId="7" borderId="30" xfId="3" applyFont="1" applyFill="1" applyBorder="1" applyAlignment="1">
      <alignment horizontal="center" vertical="center"/>
    </xf>
    <xf numFmtId="171" fontId="2" fillId="7" borderId="18" xfId="0" applyNumberFormat="1" applyFont="1" applyFill="1" applyBorder="1" applyAlignment="1">
      <alignment horizontal="center" vertical="center"/>
    </xf>
    <xf numFmtId="43" fontId="2" fillId="7" borderId="18" xfId="0" applyNumberFormat="1" applyFont="1" applyFill="1" applyBorder="1" applyAlignment="1">
      <alignment horizontal="left" vertical="center"/>
    </xf>
    <xf numFmtId="43" fontId="2" fillId="7" borderId="47" xfId="0" applyNumberFormat="1" applyFont="1" applyFill="1" applyBorder="1" applyAlignment="1">
      <alignment horizontal="center" vertical="center"/>
    </xf>
    <xf numFmtId="43" fontId="2" fillId="7" borderId="47" xfId="1" applyFont="1" applyFill="1" applyBorder="1" applyAlignment="1">
      <alignment horizontal="left" vertical="center"/>
    </xf>
    <xf numFmtId="164" fontId="2" fillId="8" borderId="40" xfId="3" applyNumberFormat="1" applyFont="1" applyFill="1" applyBorder="1" applyAlignment="1">
      <alignment horizontal="center" vertical="center"/>
    </xf>
    <xf numFmtId="164" fontId="2" fillId="8" borderId="40" xfId="0" applyNumberFormat="1" applyFont="1" applyFill="1" applyBorder="1" applyAlignment="1">
      <alignment horizontal="center" vertical="center"/>
    </xf>
    <xf numFmtId="0" fontId="0" fillId="10" borderId="44" xfId="0" applyFill="1" applyBorder="1"/>
    <xf numFmtId="0" fontId="0" fillId="10" borderId="50" xfId="0" applyFill="1" applyBorder="1"/>
    <xf numFmtId="164" fontId="2" fillId="7" borderId="51" xfId="0" applyNumberFormat="1" applyFont="1" applyFill="1" applyBorder="1" applyAlignment="1">
      <alignment horizontal="center" vertical="center"/>
    </xf>
    <xf numFmtId="1" fontId="1" fillId="7" borderId="51" xfId="0" applyNumberFormat="1" applyFont="1" applyFill="1" applyBorder="1" applyAlignment="1">
      <alignment horizontal="center" vertical="center"/>
    </xf>
    <xf numFmtId="166" fontId="2" fillId="7" borderId="51" xfId="0" applyNumberFormat="1" applyFont="1" applyFill="1" applyBorder="1" applyAlignment="1">
      <alignment horizontal="center" vertical="center"/>
    </xf>
    <xf numFmtId="0" fontId="2" fillId="0" borderId="41" xfId="0" applyFont="1" applyBorder="1" applyAlignment="1">
      <alignment vertical="center"/>
    </xf>
    <xf numFmtId="164" fontId="2" fillId="7" borderId="41" xfId="0" applyNumberFormat="1" applyFont="1" applyFill="1" applyBorder="1" applyAlignment="1">
      <alignment horizontal="center" vertical="center"/>
    </xf>
    <xf numFmtId="166" fontId="2" fillId="7" borderId="46" xfId="0" applyNumberFormat="1" applyFont="1" applyFill="1" applyBorder="1" applyAlignment="1">
      <alignment horizontal="center" vertical="center"/>
    </xf>
    <xf numFmtId="0" fontId="2" fillId="7" borderId="22" xfId="0" applyFont="1" applyFill="1" applyBorder="1" applyAlignment="1">
      <alignment horizontal="center" vertical="center"/>
    </xf>
    <xf numFmtId="164" fontId="2" fillId="7" borderId="43" xfId="0" applyNumberFormat="1" applyFont="1" applyFill="1" applyBorder="1" applyAlignment="1">
      <alignment horizontal="center" vertical="center"/>
    </xf>
    <xf numFmtId="164" fontId="2" fillId="7" borderId="23" xfId="0" applyNumberFormat="1" applyFont="1" applyFill="1" applyBorder="1" applyAlignment="1">
      <alignment horizontal="center" vertical="center"/>
    </xf>
    <xf numFmtId="164" fontId="2" fillId="7" borderId="53" xfId="0" applyNumberFormat="1" applyFont="1" applyFill="1" applyBorder="1" applyAlignment="1">
      <alignment horizontal="center" vertical="center"/>
    </xf>
    <xf numFmtId="164" fontId="2" fillId="7" borderId="48" xfId="0" applyNumberFormat="1" applyFont="1" applyFill="1" applyBorder="1" applyAlignment="1">
      <alignment horizontal="center" vertical="center"/>
    </xf>
    <xf numFmtId="164" fontId="2" fillId="7" borderId="32" xfId="0" applyNumberFormat="1" applyFont="1" applyFill="1" applyBorder="1" applyAlignment="1">
      <alignment horizontal="center" vertical="center"/>
    </xf>
    <xf numFmtId="0" fontId="1" fillId="7" borderId="32" xfId="0" applyFont="1" applyFill="1" applyBorder="1"/>
    <xf numFmtId="164" fontId="2" fillId="7" borderId="52" xfId="0" applyNumberFormat="1" applyFont="1" applyFill="1" applyBorder="1" applyAlignment="1">
      <alignment horizontal="center" vertical="center"/>
    </xf>
    <xf numFmtId="0" fontId="1" fillId="7" borderId="52" xfId="0" applyFont="1" applyFill="1" applyBorder="1"/>
    <xf numFmtId="164" fontId="2" fillId="7" borderId="54" xfId="0" applyNumberFormat="1" applyFont="1" applyFill="1" applyBorder="1" applyAlignment="1">
      <alignment horizontal="center" vertical="center"/>
    </xf>
    <xf numFmtId="1" fontId="1" fillId="7" borderId="54" xfId="0" applyNumberFormat="1" applyFont="1" applyFill="1" applyBorder="1" applyAlignment="1">
      <alignment horizontal="center" vertical="center"/>
    </xf>
    <xf numFmtId="166" fontId="2" fillId="7" borderId="23" xfId="0" applyNumberFormat="1" applyFont="1" applyFill="1" applyBorder="1" applyAlignment="1">
      <alignment horizontal="center" vertical="center"/>
    </xf>
    <xf numFmtId="166" fontId="2" fillId="7" borderId="55" xfId="0" applyNumberFormat="1" applyFont="1" applyFill="1" applyBorder="1" applyAlignment="1">
      <alignment horizontal="center" vertical="center"/>
    </xf>
    <xf numFmtId="0" fontId="2" fillId="7" borderId="55" xfId="0" applyFont="1" applyFill="1" applyBorder="1" applyAlignment="1">
      <alignment horizontal="center" vertical="center"/>
    </xf>
    <xf numFmtId="164" fontId="2" fillId="7" borderId="55" xfId="0" applyNumberFormat="1" applyFont="1" applyFill="1" applyBorder="1" applyAlignment="1">
      <alignment horizontal="center" vertical="center"/>
    </xf>
    <xf numFmtId="43" fontId="2" fillId="7" borderId="29" xfId="1" applyFont="1" applyFill="1" applyBorder="1" applyAlignment="1">
      <alignment horizontal="center" vertical="center"/>
    </xf>
    <xf numFmtId="172" fontId="2" fillId="8" borderId="6" xfId="0" applyNumberFormat="1" applyFont="1" applyFill="1" applyBorder="1" applyAlignment="1">
      <alignment horizontal="center" vertical="center"/>
    </xf>
    <xf numFmtId="170" fontId="2" fillId="8" borderId="6" xfId="0" applyNumberFormat="1" applyFont="1" applyFill="1" applyBorder="1" applyAlignment="1">
      <alignment horizontal="center" vertical="center"/>
    </xf>
    <xf numFmtId="43" fontId="2" fillId="7" borderId="40" xfId="1" applyFont="1" applyFill="1" applyBorder="1" applyAlignment="1">
      <alignment horizontal="center" vertical="center"/>
    </xf>
    <xf numFmtId="43" fontId="0" fillId="0" borderId="0" xfId="1" applyFont="1"/>
    <xf numFmtId="2" fontId="2" fillId="7" borderId="29" xfId="0" applyNumberFormat="1" applyFont="1" applyFill="1" applyBorder="1" applyAlignment="1">
      <alignment horizontal="center" vertical="center"/>
    </xf>
    <xf numFmtId="43" fontId="15" fillId="7" borderId="40" xfId="1" applyFont="1" applyFill="1" applyBorder="1" applyAlignment="1">
      <alignment horizontal="center" vertical="center"/>
    </xf>
    <xf numFmtId="0" fontId="0" fillId="10" borderId="57" xfId="0" applyFill="1" applyBorder="1"/>
    <xf numFmtId="0" fontId="0" fillId="10" borderId="58" xfId="0" applyFill="1" applyBorder="1"/>
    <xf numFmtId="43" fontId="1" fillId="0" borderId="2" xfId="1" applyFont="1" applyBorder="1" applyAlignment="1">
      <alignment horizontal="center" vertical="center"/>
    </xf>
    <xf numFmtId="169" fontId="1" fillId="0" borderId="13" xfId="0" applyNumberFormat="1" applyFont="1" applyBorder="1" applyAlignment="1">
      <alignment horizontal="center" vertical="center"/>
    </xf>
    <xf numFmtId="169" fontId="1" fillId="0" borderId="0" xfId="0" applyNumberFormat="1" applyFont="1" applyAlignment="1">
      <alignment horizontal="center" vertical="center"/>
    </xf>
    <xf numFmtId="43" fontId="3" fillId="3" borderId="29" xfId="0" applyNumberFormat="1" applyFont="1" applyFill="1" applyBorder="1" applyAlignment="1">
      <alignment horizontal="center" vertical="center" wrapText="1"/>
    </xf>
    <xf numFmtId="0" fontId="7" fillId="12" borderId="29" xfId="0" applyFont="1" applyFill="1" applyBorder="1" applyAlignment="1">
      <alignment horizontal="center" vertical="center" wrapText="1"/>
    </xf>
    <xf numFmtId="0" fontId="2" fillId="7" borderId="29" xfId="0" applyFont="1" applyFill="1" applyBorder="1" applyAlignment="1">
      <alignment vertical="center" wrapText="1"/>
    </xf>
    <xf numFmtId="166" fontId="2" fillId="7" borderId="29" xfId="0" applyNumberFormat="1" applyFont="1" applyFill="1" applyBorder="1" applyAlignment="1">
      <alignment horizontal="center" vertical="center"/>
    </xf>
    <xf numFmtId="171" fontId="2" fillId="7" borderId="29" xfId="0" applyNumberFormat="1" applyFont="1" applyFill="1" applyBorder="1" applyAlignment="1">
      <alignment horizontal="center" vertical="center"/>
    </xf>
    <xf numFmtId="9" fontId="2" fillId="7" borderId="29" xfId="3" applyFont="1" applyFill="1" applyBorder="1" applyAlignment="1">
      <alignment horizontal="center" vertical="center"/>
    </xf>
    <xf numFmtId="166" fontId="2" fillId="8" borderId="29" xfId="0" applyNumberFormat="1" applyFont="1" applyFill="1" applyBorder="1" applyAlignment="1">
      <alignment horizontal="center" vertical="center"/>
    </xf>
    <xf numFmtId="168" fontId="2" fillId="8" borderId="29" xfId="0" applyNumberFormat="1" applyFont="1" applyFill="1" applyBorder="1" applyAlignment="1">
      <alignment horizontal="center" vertical="center"/>
    </xf>
    <xf numFmtId="1" fontId="2" fillId="8" borderId="29" xfId="0" applyNumberFormat="1" applyFont="1" applyFill="1" applyBorder="1" applyAlignment="1">
      <alignment horizontal="center" vertical="center"/>
    </xf>
    <xf numFmtId="2" fontId="2" fillId="8" borderId="29" xfId="0" applyNumberFormat="1" applyFont="1" applyFill="1" applyBorder="1" applyAlignment="1">
      <alignment horizontal="center" vertical="center"/>
    </xf>
    <xf numFmtId="0" fontId="2" fillId="7" borderId="29" xfId="0" applyFont="1" applyFill="1" applyBorder="1" applyAlignment="1">
      <alignment vertical="top"/>
    </xf>
    <xf numFmtId="2" fontId="2" fillId="7" borderId="29" xfId="0" applyNumberFormat="1" applyFont="1" applyFill="1" applyBorder="1" applyAlignment="1">
      <alignment horizontal="center" vertical="center" wrapText="1"/>
    </xf>
    <xf numFmtId="2" fontId="2" fillId="7" borderId="29" xfId="1" applyNumberFormat="1" applyFont="1" applyFill="1" applyBorder="1" applyAlignment="1">
      <alignment horizontal="center" vertical="center"/>
    </xf>
    <xf numFmtId="0" fontId="1" fillId="7" borderId="29" xfId="0" applyFont="1" applyFill="1" applyBorder="1" applyAlignment="1">
      <alignment vertical="center"/>
    </xf>
    <xf numFmtId="172" fontId="2" fillId="8" borderId="29" xfId="0" applyNumberFormat="1" applyFont="1" applyFill="1" applyBorder="1" applyAlignment="1">
      <alignment horizontal="center" vertical="center"/>
    </xf>
    <xf numFmtId="0" fontId="2" fillId="7" borderId="29" xfId="0" applyFont="1" applyFill="1" applyBorder="1" applyAlignment="1">
      <alignment vertical="top" wrapText="1"/>
    </xf>
    <xf numFmtId="0" fontId="5" fillId="7" borderId="29" xfId="0" applyFont="1" applyFill="1" applyBorder="1" applyAlignment="1">
      <alignment vertical="center"/>
    </xf>
    <xf numFmtId="1" fontId="2" fillId="9" borderId="29" xfId="0" applyNumberFormat="1" applyFont="1" applyFill="1" applyBorder="1" applyAlignment="1">
      <alignment horizontal="center" vertical="center"/>
    </xf>
    <xf numFmtId="0" fontId="2" fillId="0" borderId="34" xfId="0" applyFont="1" applyBorder="1" applyAlignment="1">
      <alignment horizontal="left" vertical="center"/>
    </xf>
    <xf numFmtId="14" fontId="8" fillId="0" borderId="2" xfId="0" applyNumberFormat="1" applyFont="1" applyBorder="1" applyAlignment="1">
      <alignment horizontal="center" vertical="center"/>
    </xf>
    <xf numFmtId="165" fontId="1" fillId="0" borderId="2" xfId="0" applyNumberFormat="1" applyFont="1" applyBorder="1" applyAlignment="1">
      <alignment horizontal="center" vertical="center"/>
    </xf>
    <xf numFmtId="166" fontId="1" fillId="0" borderId="59" xfId="0" applyNumberFormat="1" applyFont="1" applyBorder="1" applyAlignment="1">
      <alignment horizontal="center" vertical="center"/>
    </xf>
    <xf numFmtId="166" fontId="1" fillId="0" borderId="60" xfId="0" applyNumberFormat="1" applyFont="1" applyBorder="1" applyAlignment="1">
      <alignment horizontal="center" vertical="center"/>
    </xf>
    <xf numFmtId="168" fontId="1" fillId="0" borderId="60" xfId="0" applyNumberFormat="1" applyFont="1" applyBorder="1" applyAlignment="1">
      <alignment horizontal="center" vertical="center"/>
    </xf>
    <xf numFmtId="1" fontId="1" fillId="0" borderId="60" xfId="0" applyNumberFormat="1" applyFont="1" applyBorder="1" applyAlignment="1">
      <alignment horizontal="center" vertical="center"/>
    </xf>
    <xf numFmtId="14" fontId="1" fillId="0" borderId="60" xfId="0" applyNumberFormat="1" applyFont="1" applyBorder="1" applyAlignment="1">
      <alignment horizontal="center" vertical="center"/>
    </xf>
    <xf numFmtId="1" fontId="1" fillId="0" borderId="60" xfId="0" applyNumberFormat="1" applyFont="1" applyBorder="1" applyAlignment="1">
      <alignment horizontal="left" vertical="center"/>
    </xf>
    <xf numFmtId="2" fontId="1" fillId="0" borderId="60" xfId="0" applyNumberFormat="1" applyFont="1" applyBorder="1" applyAlignment="1">
      <alignment horizontal="center" vertical="center"/>
    </xf>
    <xf numFmtId="2" fontId="1" fillId="0" borderId="61" xfId="0" applyNumberFormat="1" applyFont="1" applyBorder="1" applyAlignment="1">
      <alignment horizontal="center" vertical="center"/>
    </xf>
    <xf numFmtId="0" fontId="1" fillId="0" borderId="60" xfId="0" applyFont="1" applyBorder="1" applyAlignment="1">
      <alignment horizontal="center" vertical="center"/>
    </xf>
    <xf numFmtId="0" fontId="3" fillId="3" borderId="40" xfId="0" applyFont="1" applyFill="1" applyBorder="1" applyAlignment="1">
      <alignment horizontal="center" vertical="center" wrapText="1"/>
    </xf>
    <xf numFmtId="164" fontId="3" fillId="3" borderId="65" xfId="0" applyNumberFormat="1" applyFont="1" applyFill="1" applyBorder="1" applyAlignment="1">
      <alignment horizontal="center" vertical="center" wrapText="1"/>
    </xf>
    <xf numFmtId="2" fontId="3" fillId="3" borderId="66" xfId="0" applyNumberFormat="1" applyFont="1" applyFill="1" applyBorder="1" applyAlignment="1">
      <alignment horizontal="center" vertical="center" wrapText="1"/>
    </xf>
    <xf numFmtId="1" fontId="3" fillId="3" borderId="67" xfId="0" applyNumberFormat="1" applyFont="1" applyFill="1" applyBorder="1" applyAlignment="1">
      <alignment horizontal="center" vertical="center" wrapText="1"/>
    </xf>
    <xf numFmtId="0" fontId="3" fillId="3" borderId="68" xfId="0" applyFont="1" applyFill="1" applyBorder="1" applyAlignment="1">
      <alignment horizontal="center" vertical="center"/>
    </xf>
    <xf numFmtId="0" fontId="3" fillId="3" borderId="68" xfId="0" applyFont="1" applyFill="1" applyBorder="1" applyAlignment="1">
      <alignment horizontal="center" vertical="center" wrapText="1"/>
    </xf>
    <xf numFmtId="164" fontId="3" fillId="3" borderId="68" xfId="0" applyNumberFormat="1" applyFont="1" applyFill="1" applyBorder="1" applyAlignment="1">
      <alignment horizontal="center" vertical="center" wrapText="1"/>
    </xf>
    <xf numFmtId="2" fontId="3" fillId="3" borderId="68" xfId="1" applyNumberFormat="1" applyFont="1" applyFill="1" applyBorder="1" applyAlignment="1">
      <alignment horizontal="center" vertical="center" wrapText="1"/>
    </xf>
    <xf numFmtId="43" fontId="3" fillId="3" borderId="65" xfId="0" applyNumberFormat="1" applyFont="1" applyFill="1" applyBorder="1" applyAlignment="1">
      <alignment horizontal="center" vertical="center" wrapText="1"/>
    </xf>
    <xf numFmtId="43" fontId="3" fillId="3" borderId="68" xfId="1" applyFont="1" applyFill="1" applyBorder="1" applyAlignment="1">
      <alignment horizontal="center" vertical="center" wrapText="1"/>
    </xf>
    <xf numFmtId="43" fontId="3" fillId="13" borderId="40" xfId="1" applyFont="1" applyFill="1" applyBorder="1" applyAlignment="1">
      <alignment horizontal="center" vertical="center" wrapText="1"/>
    </xf>
    <xf numFmtId="43" fontId="3" fillId="13" borderId="30" xfId="0" applyNumberFormat="1" applyFont="1" applyFill="1" applyBorder="1" applyAlignment="1">
      <alignment horizontal="center" vertical="center" wrapText="1"/>
    </xf>
    <xf numFmtId="166" fontId="3" fillId="3" borderId="69" xfId="0" applyNumberFormat="1" applyFont="1" applyFill="1" applyBorder="1" applyAlignment="1">
      <alignment horizontal="center" vertical="center" wrapText="1"/>
    </xf>
    <xf numFmtId="166" fontId="3" fillId="3" borderId="70" xfId="0" applyNumberFormat="1" applyFont="1" applyFill="1" applyBorder="1" applyAlignment="1">
      <alignment horizontal="center" vertical="center" wrapText="1"/>
    </xf>
    <xf numFmtId="168" fontId="3" fillId="3" borderId="70" xfId="0" applyNumberFormat="1" applyFont="1" applyFill="1" applyBorder="1" applyAlignment="1">
      <alignment horizontal="center" vertical="center" wrapText="1"/>
    </xf>
    <xf numFmtId="170" fontId="3" fillId="5" borderId="70" xfId="0" applyNumberFormat="1" applyFont="1" applyFill="1" applyBorder="1" applyAlignment="1">
      <alignment horizontal="center" vertical="center" wrapText="1"/>
    </xf>
    <xf numFmtId="1" fontId="3" fillId="3" borderId="70" xfId="0" applyNumberFormat="1" applyFont="1" applyFill="1" applyBorder="1" applyAlignment="1">
      <alignment horizontal="center" vertical="center" wrapText="1"/>
    </xf>
    <xf numFmtId="168" fontId="3" fillId="6" borderId="70" xfId="0" applyNumberFormat="1" applyFont="1" applyFill="1" applyBorder="1" applyAlignment="1">
      <alignment horizontal="center" vertical="center" wrapText="1"/>
    </xf>
    <xf numFmtId="1" fontId="3" fillId="6" borderId="70" xfId="0" applyNumberFormat="1" applyFont="1" applyFill="1" applyBorder="1" applyAlignment="1">
      <alignment horizontal="center" vertical="center" wrapText="1"/>
    </xf>
    <xf numFmtId="172" fontId="3" fillId="5" borderId="70" xfId="0" applyNumberFormat="1" applyFont="1" applyFill="1" applyBorder="1" applyAlignment="1">
      <alignment horizontal="center" vertical="center" wrapText="1"/>
    </xf>
    <xf numFmtId="2" fontId="3" fillId="3" borderId="71" xfId="0" applyNumberFormat="1" applyFont="1" applyFill="1" applyBorder="1" applyAlignment="1">
      <alignment horizontal="center" vertical="center" wrapText="1"/>
    </xf>
    <xf numFmtId="1" fontId="3" fillId="3" borderId="68" xfId="0" applyNumberFormat="1" applyFont="1" applyFill="1" applyBorder="1" applyAlignment="1">
      <alignment horizontal="center" vertical="center" wrapText="1"/>
    </xf>
    <xf numFmtId="1" fontId="3" fillId="3" borderId="72" xfId="0" applyNumberFormat="1" applyFont="1" applyFill="1" applyBorder="1" applyAlignment="1">
      <alignment horizontal="center" vertical="center" wrapText="1"/>
    </xf>
    <xf numFmtId="2" fontId="3" fillId="3" borderId="73" xfId="0" applyNumberFormat="1" applyFont="1" applyFill="1" applyBorder="1" applyAlignment="1">
      <alignment horizontal="center" vertical="center" wrapText="1"/>
    </xf>
    <xf numFmtId="170" fontId="3" fillId="3" borderId="70" xfId="0" applyNumberFormat="1" applyFont="1" applyFill="1" applyBorder="1" applyAlignment="1">
      <alignment horizontal="center" vertical="center" wrapText="1"/>
    </xf>
    <xf numFmtId="14" fontId="3" fillId="3" borderId="70" xfId="0" applyNumberFormat="1" applyFont="1" applyFill="1" applyBorder="1" applyAlignment="1">
      <alignment horizontal="center" vertical="center" wrapText="1"/>
    </xf>
    <xf numFmtId="14" fontId="3" fillId="3" borderId="71" xfId="0" applyNumberFormat="1" applyFont="1" applyFill="1" applyBorder="1" applyAlignment="1">
      <alignment horizontal="center" vertical="center" wrapText="1"/>
    </xf>
    <xf numFmtId="2" fontId="3" fillId="4" borderId="30" xfId="0" applyNumberFormat="1" applyFont="1" applyFill="1" applyBorder="1" applyAlignment="1">
      <alignment horizontal="center" vertical="center" wrapText="1"/>
    </xf>
    <xf numFmtId="2" fontId="3" fillId="3" borderId="67" xfId="0" applyNumberFormat="1" applyFont="1" applyFill="1" applyBorder="1" applyAlignment="1">
      <alignment horizontal="center" vertical="center" wrapText="1"/>
    </xf>
    <xf numFmtId="2" fontId="3" fillId="3" borderId="65" xfId="0" applyNumberFormat="1" applyFont="1" applyFill="1" applyBorder="1" applyAlignment="1">
      <alignment horizontal="center" vertical="center" wrapText="1"/>
    </xf>
    <xf numFmtId="14" fontId="3" fillId="3" borderId="74" xfId="0" applyNumberFormat="1" applyFont="1" applyFill="1" applyBorder="1" applyAlignment="1">
      <alignment horizontal="center" vertical="center" wrapText="1"/>
    </xf>
    <xf numFmtId="14" fontId="3" fillId="3" borderId="75" xfId="0" applyNumberFormat="1" applyFont="1" applyFill="1" applyBorder="1" applyAlignment="1">
      <alignment horizontal="center" vertical="center" wrapText="1"/>
    </xf>
    <xf numFmtId="166" fontId="3" fillId="3" borderId="68" xfId="0" applyNumberFormat="1" applyFont="1" applyFill="1" applyBorder="1" applyAlignment="1">
      <alignment horizontal="center" vertical="center" wrapText="1"/>
    </xf>
    <xf numFmtId="166" fontId="3" fillId="3" borderId="76" xfId="0" applyNumberFormat="1" applyFont="1" applyFill="1" applyBorder="1" applyAlignment="1">
      <alignment horizontal="center" vertical="center" wrapText="1"/>
    </xf>
    <xf numFmtId="164" fontId="3" fillId="3" borderId="67" xfId="0" applyNumberFormat="1" applyFont="1" applyFill="1" applyBorder="1" applyAlignment="1">
      <alignment horizontal="center" vertical="center" wrapText="1"/>
    </xf>
    <xf numFmtId="164" fontId="7" fillId="12" borderId="29" xfId="0" applyNumberFormat="1" applyFont="1" applyFill="1" applyBorder="1" applyAlignment="1">
      <alignment horizontal="center" vertical="center" wrapText="1"/>
    </xf>
    <xf numFmtId="164" fontId="3" fillId="3" borderId="42" xfId="0" applyNumberFormat="1" applyFont="1" applyFill="1" applyBorder="1" applyAlignment="1">
      <alignment horizontal="center" vertical="center" wrapText="1"/>
    </xf>
    <xf numFmtId="164" fontId="3" fillId="3" borderId="41" xfId="0" applyNumberFormat="1" applyFont="1" applyFill="1" applyBorder="1" applyAlignment="1">
      <alignment horizontal="center" vertical="center" wrapText="1"/>
    </xf>
    <xf numFmtId="164" fontId="5" fillId="7" borderId="42" xfId="0" applyNumberFormat="1" applyFont="1" applyFill="1" applyBorder="1" applyAlignment="1">
      <alignment horizontal="center" vertical="center"/>
    </xf>
    <xf numFmtId="164" fontId="2" fillId="7" borderId="68" xfId="0" applyNumberFormat="1" applyFont="1" applyFill="1" applyBorder="1" applyAlignment="1">
      <alignment horizontal="center" vertical="center"/>
    </xf>
    <xf numFmtId="164" fontId="2" fillId="7" borderId="77" xfId="0" applyNumberFormat="1" applyFont="1" applyFill="1" applyBorder="1" applyAlignment="1">
      <alignment horizontal="center" vertical="center"/>
    </xf>
    <xf numFmtId="2" fontId="2" fillId="8" borderId="50" xfId="0" applyNumberFormat="1" applyFont="1" applyFill="1" applyBorder="1" applyAlignment="1">
      <alignment horizontal="center" vertical="center"/>
    </xf>
    <xf numFmtId="1" fontId="2" fillId="9" borderId="77" xfId="0" applyNumberFormat="1" applyFont="1" applyFill="1" applyBorder="1" applyAlignment="1">
      <alignment horizontal="center" vertical="center"/>
    </xf>
    <xf numFmtId="1" fontId="2" fillId="9" borderId="50" xfId="0" applyNumberFormat="1" applyFont="1" applyFill="1" applyBorder="1" applyAlignment="1">
      <alignment horizontal="center" vertical="center"/>
    </xf>
    <xf numFmtId="0" fontId="2" fillId="9" borderId="77" xfId="0" applyFont="1" applyFill="1" applyBorder="1" applyAlignment="1">
      <alignment horizontal="center" vertical="center"/>
    </xf>
    <xf numFmtId="170" fontId="2" fillId="9" borderId="70" xfId="0" applyNumberFormat="1" applyFont="1" applyFill="1" applyBorder="1" applyAlignment="1">
      <alignment horizontal="center" vertical="center"/>
    </xf>
    <xf numFmtId="14" fontId="2" fillId="9" borderId="70" xfId="0" applyNumberFormat="1" applyFont="1" applyFill="1" applyBorder="1" applyAlignment="1">
      <alignment horizontal="center" vertical="center"/>
    </xf>
    <xf numFmtId="14" fontId="2" fillId="9" borderId="50" xfId="0" applyNumberFormat="1" applyFont="1" applyFill="1" applyBorder="1" applyAlignment="1">
      <alignment horizontal="center" vertical="center"/>
    </xf>
    <xf numFmtId="0" fontId="4" fillId="7" borderId="77" xfId="0" applyFont="1" applyFill="1" applyBorder="1" applyAlignment="1">
      <alignment horizontal="left" vertical="center"/>
    </xf>
    <xf numFmtId="0" fontId="2" fillId="7" borderId="68" xfId="0" applyFont="1" applyFill="1" applyBorder="1" applyAlignment="1">
      <alignment horizontal="left" vertical="center"/>
    </xf>
    <xf numFmtId="1" fontId="1" fillId="7" borderId="68" xfId="0" applyNumberFormat="1" applyFont="1" applyFill="1" applyBorder="1" applyAlignment="1">
      <alignment horizontal="center" vertical="center"/>
    </xf>
    <xf numFmtId="166" fontId="2" fillId="7" borderId="68" xfId="0" applyNumberFormat="1" applyFont="1" applyFill="1" applyBorder="1" applyAlignment="1">
      <alignment horizontal="center" vertical="center"/>
    </xf>
    <xf numFmtId="166" fontId="2" fillId="7" borderId="76" xfId="0" applyNumberFormat="1" applyFont="1" applyFill="1" applyBorder="1" applyAlignment="1">
      <alignment horizontal="center" vertical="center"/>
    </xf>
    <xf numFmtId="0" fontId="2" fillId="7" borderId="67" xfId="0" applyFont="1" applyFill="1" applyBorder="1" applyAlignment="1">
      <alignment horizontal="center" vertical="center"/>
    </xf>
    <xf numFmtId="0" fontId="2" fillId="7" borderId="68" xfId="0" applyFont="1" applyFill="1" applyBorder="1" applyAlignment="1">
      <alignment horizontal="center" vertical="center"/>
    </xf>
    <xf numFmtId="164" fontId="2" fillId="7" borderId="65" xfId="0" applyNumberFormat="1" applyFont="1" applyFill="1" applyBorder="1" applyAlignment="1">
      <alignment horizontal="center" vertical="center"/>
    </xf>
    <xf numFmtId="0" fontId="2" fillId="7" borderId="76" xfId="0" applyFont="1" applyFill="1" applyBorder="1" applyAlignment="1">
      <alignment horizontal="center" vertical="center"/>
    </xf>
    <xf numFmtId="0" fontId="2" fillId="7" borderId="78" xfId="0" applyFont="1" applyFill="1" applyBorder="1" applyAlignment="1">
      <alignment horizontal="center" vertical="center"/>
    </xf>
    <xf numFmtId="2" fontId="2" fillId="7" borderId="77" xfId="0" applyNumberFormat="1" applyFont="1" applyFill="1" applyBorder="1" applyAlignment="1">
      <alignment horizontal="center" vertical="center"/>
    </xf>
    <xf numFmtId="164" fontId="2" fillId="7" borderId="42" xfId="0" applyNumberFormat="1" applyFont="1" applyFill="1" applyBorder="1" applyAlignment="1">
      <alignment horizontal="center" vertical="center"/>
    </xf>
    <xf numFmtId="164" fontId="2" fillId="7" borderId="76" xfId="0" applyNumberFormat="1" applyFont="1" applyFill="1" applyBorder="1" applyAlignment="1">
      <alignment horizontal="center" vertical="center"/>
    </xf>
    <xf numFmtId="164" fontId="2" fillId="7" borderId="78" xfId="0" applyNumberFormat="1" applyFont="1" applyFill="1" applyBorder="1" applyAlignment="1">
      <alignment horizontal="center" vertical="center"/>
    </xf>
    <xf numFmtId="164" fontId="1" fillId="7" borderId="68" xfId="0" applyNumberFormat="1" applyFont="1" applyFill="1" applyBorder="1" applyAlignment="1">
      <alignment horizontal="center" vertical="center"/>
    </xf>
    <xf numFmtId="164" fontId="2" fillId="11" borderId="68" xfId="0" applyNumberFormat="1" applyFont="1" applyFill="1" applyBorder="1" applyAlignment="1">
      <alignment horizontal="center" vertical="center"/>
    </xf>
    <xf numFmtId="0" fontId="4" fillId="7" borderId="68" xfId="0" applyFont="1" applyFill="1" applyBorder="1" applyAlignment="1">
      <alignment horizontal="left" vertical="center"/>
    </xf>
    <xf numFmtId="166" fontId="2" fillId="7" borderId="77" xfId="0" applyNumberFormat="1" applyFont="1" applyFill="1" applyBorder="1" applyAlignment="1">
      <alignment horizontal="center" vertical="center"/>
    </xf>
    <xf numFmtId="0" fontId="2" fillId="7" borderId="79" xfId="0" applyFont="1" applyFill="1" applyBorder="1" applyAlignment="1">
      <alignment horizontal="center" vertical="center"/>
    </xf>
    <xf numFmtId="166" fontId="2" fillId="7" borderId="67" xfId="0" applyNumberFormat="1" applyFont="1" applyFill="1" applyBorder="1" applyAlignment="1">
      <alignment horizontal="center" vertical="center"/>
    </xf>
    <xf numFmtId="166" fontId="2" fillId="7" borderId="53" xfId="0" applyNumberFormat="1" applyFont="1" applyFill="1" applyBorder="1" applyAlignment="1">
      <alignment horizontal="center" vertical="center"/>
    </xf>
    <xf numFmtId="166" fontId="2" fillId="7" borderId="80" xfId="0" applyNumberFormat="1" applyFont="1" applyFill="1" applyBorder="1" applyAlignment="1">
      <alignment horizontal="center" vertical="center"/>
    </xf>
    <xf numFmtId="164" fontId="2" fillId="7" borderId="81" xfId="0" applyNumberFormat="1" applyFont="1" applyFill="1" applyBorder="1" applyAlignment="1">
      <alignment horizontal="center" vertical="center"/>
    </xf>
    <xf numFmtId="0" fontId="2" fillId="7" borderId="83" xfId="0" applyFont="1" applyFill="1" applyBorder="1" applyAlignment="1">
      <alignment horizontal="center" vertical="center"/>
    </xf>
    <xf numFmtId="164" fontId="2" fillId="7" borderId="80" xfId="0" applyNumberFormat="1" applyFont="1" applyFill="1" applyBorder="1" applyAlignment="1">
      <alignment horizontal="center" vertical="center"/>
    </xf>
    <xf numFmtId="164" fontId="2" fillId="7" borderId="84" xfId="0" applyNumberFormat="1" applyFont="1" applyFill="1" applyBorder="1" applyAlignment="1">
      <alignment horizontal="center" vertical="center"/>
    </xf>
    <xf numFmtId="0" fontId="1" fillId="7" borderId="85" xfId="0" applyFont="1" applyFill="1" applyBorder="1"/>
    <xf numFmtId="164" fontId="2" fillId="7" borderId="79" xfId="0" applyNumberFormat="1" applyFont="1" applyFill="1" applyBorder="1" applyAlignment="1">
      <alignment horizontal="center" vertical="center"/>
    </xf>
    <xf numFmtId="164" fontId="2" fillId="7" borderId="86" xfId="0" applyNumberFormat="1" applyFont="1" applyFill="1" applyBorder="1" applyAlignment="1">
      <alignment horizontal="center" vertical="center"/>
    </xf>
    <xf numFmtId="166" fontId="2" fillId="7" borderId="40" xfId="0" applyNumberFormat="1" applyFont="1" applyFill="1" applyBorder="1" applyAlignment="1">
      <alignment horizontal="center" vertical="center"/>
    </xf>
    <xf numFmtId="43" fontId="0" fillId="0" borderId="0" xfId="0" applyNumberFormat="1"/>
    <xf numFmtId="0" fontId="19" fillId="6" borderId="0" xfId="0" applyFont="1" applyFill="1" applyAlignment="1">
      <alignment horizontal="center" vertical="center"/>
    </xf>
    <xf numFmtId="0" fontId="18" fillId="0" borderId="0" xfId="0" applyFont="1" applyAlignment="1">
      <alignment horizontal="center"/>
    </xf>
    <xf numFmtId="0" fontId="19" fillId="0" borderId="0" xfId="0" applyFont="1"/>
    <xf numFmtId="0" fontId="18" fillId="0" borderId="0" xfId="0" pivotButton="1" applyFont="1" applyAlignment="1">
      <alignment horizontal="center"/>
    </xf>
    <xf numFmtId="0" fontId="0" fillId="0" borderId="0" xfId="0" applyAlignment="1">
      <alignment horizontal="left" indent="1"/>
    </xf>
    <xf numFmtId="0" fontId="2" fillId="7" borderId="0" xfId="0" applyFont="1" applyFill="1" applyAlignment="1">
      <alignment vertical="center"/>
    </xf>
    <xf numFmtId="0" fontId="20" fillId="0" borderId="0" xfId="0" applyFont="1" applyAlignment="1">
      <alignment horizontal="right"/>
    </xf>
    <xf numFmtId="14" fontId="20" fillId="6" borderId="0" xfId="0" applyNumberFormat="1" applyFont="1" applyFill="1"/>
    <xf numFmtId="14" fontId="20" fillId="17" borderId="0" xfId="0" applyNumberFormat="1" applyFont="1" applyFill="1"/>
    <xf numFmtId="0" fontId="0" fillId="0" borderId="92" xfId="0" applyBorder="1"/>
    <xf numFmtId="0" fontId="0" fillId="0" borderId="92" xfId="0" applyBorder="1" applyAlignment="1">
      <alignment horizontal="left"/>
    </xf>
    <xf numFmtId="0" fontId="0" fillId="0" borderId="92" xfId="0" applyBorder="1" applyAlignment="1">
      <alignment horizontal="left" vertical="center"/>
    </xf>
    <xf numFmtId="0" fontId="19" fillId="17" borderId="0" xfId="0" applyFont="1" applyFill="1" applyAlignment="1">
      <alignment horizontal="center" vertical="center"/>
    </xf>
    <xf numFmtId="0" fontId="0" fillId="0" borderId="92" xfId="0" applyBorder="1" applyAlignment="1">
      <alignment horizontal="center"/>
    </xf>
    <xf numFmtId="9" fontId="0" fillId="0" borderId="92" xfId="3" applyFont="1" applyBorder="1" applyAlignment="1">
      <alignment horizontal="center"/>
    </xf>
    <xf numFmtId="9" fontId="19" fillId="0" borderId="92" xfId="3" applyFont="1" applyBorder="1" applyAlignment="1">
      <alignment horizontal="center"/>
    </xf>
    <xf numFmtId="173" fontId="19" fillId="0" borderId="92" xfId="3" applyNumberFormat="1" applyFont="1" applyBorder="1" applyAlignment="1">
      <alignment horizontal="center"/>
    </xf>
    <xf numFmtId="0" fontId="0" fillId="0" borderId="92" xfId="3" applyNumberFormat="1" applyFont="1" applyFill="1" applyBorder="1" applyAlignment="1">
      <alignment horizontal="center"/>
    </xf>
    <xf numFmtId="0" fontId="0" fillId="0" borderId="92" xfId="0" applyBorder="1" applyAlignment="1">
      <alignment horizontal="center" vertical="center"/>
    </xf>
    <xf numFmtId="164" fontId="2" fillId="7" borderId="17" xfId="0" applyNumberFormat="1" applyFont="1" applyFill="1" applyBorder="1" applyAlignment="1">
      <alignment horizontal="center" vertical="center"/>
    </xf>
    <xf numFmtId="43" fontId="2" fillId="7" borderId="40" xfId="0" applyNumberFormat="1" applyFont="1" applyFill="1" applyBorder="1" applyAlignment="1">
      <alignment horizontal="left" vertical="center"/>
    </xf>
    <xf numFmtId="43" fontId="2" fillId="7" borderId="40" xfId="1" applyFont="1" applyFill="1" applyBorder="1" applyAlignment="1">
      <alignment horizontal="left" vertical="center"/>
    </xf>
    <xf numFmtId="0" fontId="21" fillId="19" borderId="92" xfId="0" applyFont="1" applyFill="1" applyBorder="1" applyAlignment="1">
      <alignment horizontal="center" vertical="center"/>
    </xf>
    <xf numFmtId="0" fontId="22" fillId="0" borderId="0" xfId="0" applyFont="1"/>
    <xf numFmtId="14" fontId="22" fillId="0" borderId="0" xfId="0" applyNumberFormat="1" applyFont="1"/>
    <xf numFmtId="0" fontId="22" fillId="0" borderId="0" xfId="0" applyFont="1" applyAlignment="1">
      <alignment horizontal="right"/>
    </xf>
    <xf numFmtId="0" fontId="0" fillId="20" borderId="0" xfId="0" applyFill="1"/>
    <xf numFmtId="10" fontId="0" fillId="8" borderId="90" xfId="0" applyNumberFormat="1" applyFill="1" applyBorder="1" applyAlignment="1">
      <alignment vertical="center"/>
    </xf>
    <xf numFmtId="43" fontId="0" fillId="18" borderId="0" xfId="1" applyFont="1" applyFill="1"/>
    <xf numFmtId="43" fontId="0" fillId="20" borderId="0" xfId="1" applyFont="1" applyFill="1"/>
    <xf numFmtId="0" fontId="21" fillId="19" borderId="93" xfId="0" applyFont="1" applyFill="1" applyBorder="1" applyAlignment="1">
      <alignment horizontal="center" vertical="center"/>
    </xf>
    <xf numFmtId="43" fontId="18" fillId="0" borderId="0" xfId="0" applyNumberFormat="1" applyFont="1" applyAlignment="1">
      <alignment horizontal="center"/>
    </xf>
    <xf numFmtId="0" fontId="24" fillId="21" borderId="0" xfId="0" applyFont="1" applyFill="1"/>
    <xf numFmtId="164" fontId="1" fillId="22" borderId="0" xfId="0" applyNumberFormat="1" applyFont="1" applyFill="1" applyAlignment="1">
      <alignment horizontal="center" vertical="center" wrapText="1"/>
    </xf>
    <xf numFmtId="0" fontId="0" fillId="22" borderId="0" xfId="0" applyFill="1" applyAlignment="1">
      <alignment vertical="center"/>
    </xf>
    <xf numFmtId="0" fontId="0" fillId="22" borderId="0" xfId="0" applyFill="1" applyAlignment="1">
      <alignment horizontal="center" vertical="center" wrapText="1"/>
    </xf>
    <xf numFmtId="14" fontId="1" fillId="0" borderId="0" xfId="0" applyNumberFormat="1" applyFont="1" applyAlignment="1">
      <alignment horizontal="center" vertical="center"/>
    </xf>
    <xf numFmtId="14" fontId="3" fillId="4" borderId="29" xfId="0" applyNumberFormat="1" applyFont="1" applyFill="1" applyBorder="1" applyAlignment="1">
      <alignment horizontal="center" vertical="center" wrapText="1"/>
    </xf>
    <xf numFmtId="14" fontId="0" fillId="10" borderId="29" xfId="0" applyNumberFormat="1" applyFill="1" applyBorder="1"/>
    <xf numFmtId="14" fontId="0" fillId="0" borderId="0" xfId="0" applyNumberFormat="1"/>
    <xf numFmtId="14" fontId="1" fillId="0" borderId="13" xfId="0" applyNumberFormat="1" applyFont="1" applyBorder="1" applyAlignment="1">
      <alignment horizontal="center" vertical="center"/>
    </xf>
    <xf numFmtId="14" fontId="3" fillId="4" borderId="30" xfId="0" applyNumberFormat="1" applyFont="1" applyFill="1" applyBorder="1" applyAlignment="1">
      <alignment horizontal="center" vertical="center" wrapText="1"/>
    </xf>
    <xf numFmtId="14" fontId="0" fillId="10" borderId="30" xfId="0" applyNumberFormat="1" applyFill="1" applyBorder="1"/>
    <xf numFmtId="14" fontId="4" fillId="0" borderId="17" xfId="0" applyNumberFormat="1" applyFont="1" applyBorder="1" applyAlignment="1">
      <alignment horizontal="left" vertical="center"/>
    </xf>
    <xf numFmtId="14" fontId="2" fillId="10" borderId="30" xfId="0" applyNumberFormat="1" applyFont="1" applyFill="1" applyBorder="1" applyAlignment="1">
      <alignment horizontal="center" vertical="center"/>
    </xf>
    <xf numFmtId="22" fontId="0" fillId="0" borderId="0" xfId="0" applyNumberFormat="1" applyAlignment="1">
      <alignment horizontal="left"/>
    </xf>
    <xf numFmtId="14" fontId="0" fillId="0" borderId="0" xfId="0" applyNumberFormat="1" applyAlignment="1">
      <alignment horizontal="left"/>
    </xf>
    <xf numFmtId="0" fontId="1" fillId="0" borderId="1" xfId="0" applyFont="1" applyBorder="1" applyAlignment="1">
      <alignment horizontal="center" vertical="center"/>
    </xf>
    <xf numFmtId="0" fontId="2" fillId="23" borderId="41" xfId="0" applyFont="1" applyFill="1" applyBorder="1" applyAlignment="1">
      <alignment horizontal="center" vertical="center"/>
    </xf>
    <xf numFmtId="0" fontId="2" fillId="23" borderId="41" xfId="0" applyFont="1" applyFill="1" applyBorder="1" applyAlignment="1">
      <alignment vertical="center"/>
    </xf>
    <xf numFmtId="0" fontId="2" fillId="23" borderId="29" xfId="0" applyFont="1" applyFill="1" applyBorder="1" applyAlignment="1">
      <alignment horizontal="center" vertical="center"/>
    </xf>
    <xf numFmtId="0" fontId="2" fillId="23" borderId="29" xfId="0" applyFont="1" applyFill="1" applyBorder="1" applyAlignment="1">
      <alignment vertical="center"/>
    </xf>
    <xf numFmtId="0" fontId="0" fillId="10" borderId="44" xfId="0" applyFill="1" applyBorder="1" applyAlignment="1">
      <alignment vertical="center"/>
    </xf>
    <xf numFmtId="0" fontId="0" fillId="10" borderId="29" xfId="0" applyFill="1" applyBorder="1" applyAlignment="1">
      <alignment vertical="center"/>
    </xf>
    <xf numFmtId="14" fontId="0" fillId="10" borderId="29" xfId="0" applyNumberFormat="1" applyFill="1" applyBorder="1" applyAlignment="1">
      <alignment vertical="center"/>
    </xf>
    <xf numFmtId="0" fontId="0" fillId="10" borderId="50" xfId="0" applyFill="1" applyBorder="1" applyAlignment="1">
      <alignment vertical="center"/>
    </xf>
    <xf numFmtId="14" fontId="0" fillId="10" borderId="30" xfId="0" applyNumberFormat="1" applyFill="1" applyBorder="1" applyAlignment="1">
      <alignment vertical="center"/>
    </xf>
    <xf numFmtId="0" fontId="1" fillId="7" borderId="39" xfId="0" applyFont="1" applyFill="1" applyBorder="1" applyAlignment="1">
      <alignment vertical="center"/>
    </xf>
    <xf numFmtId="0" fontId="0" fillId="0" borderId="0" xfId="0" applyAlignment="1">
      <alignment vertical="center"/>
    </xf>
    <xf numFmtId="0" fontId="2" fillId="23" borderId="91" xfId="0" applyFont="1" applyFill="1" applyBorder="1" applyAlignment="1">
      <alignment horizontal="center" vertical="center"/>
    </xf>
    <xf numFmtId="0" fontId="2" fillId="23" borderId="94" xfId="0" applyFont="1" applyFill="1" applyBorder="1" applyAlignment="1">
      <alignment vertical="center"/>
    </xf>
    <xf numFmtId="0" fontId="2" fillId="7" borderId="29" xfId="0" applyFont="1" applyFill="1" applyBorder="1" applyAlignment="1">
      <alignment horizontal="center" vertical="center" wrapText="1"/>
    </xf>
    <xf numFmtId="4" fontId="2" fillId="23" borderId="29" xfId="0" applyNumberFormat="1" applyFont="1" applyFill="1" applyBorder="1" applyAlignment="1">
      <alignment horizontal="right" vertical="center"/>
    </xf>
    <xf numFmtId="15" fontId="2" fillId="23" borderId="29" xfId="0" applyNumberFormat="1" applyFont="1" applyFill="1" applyBorder="1" applyAlignment="1">
      <alignment horizontal="center" vertical="center"/>
    </xf>
    <xf numFmtId="0" fontId="2" fillId="23" borderId="77" xfId="0" applyFont="1" applyFill="1" applyBorder="1" applyAlignment="1">
      <alignment horizontal="center" vertical="center"/>
    </xf>
    <xf numFmtId="0" fontId="2" fillId="23" borderId="29" xfId="0" applyFont="1" applyFill="1" applyBorder="1" applyAlignment="1">
      <alignment vertical="top"/>
    </xf>
    <xf numFmtId="0" fontId="2" fillId="23" borderId="29" xfId="0" applyFont="1" applyFill="1" applyBorder="1" applyAlignment="1">
      <alignment horizontal="left" vertical="center"/>
    </xf>
    <xf numFmtId="0" fontId="2" fillId="23" borderId="29" xfId="0" applyFont="1" applyFill="1" applyBorder="1" applyAlignment="1">
      <alignment horizontal="right" vertical="center"/>
    </xf>
    <xf numFmtId="15" fontId="2" fillId="24" borderId="29" xfId="0" applyNumberFormat="1" applyFont="1" applyFill="1" applyBorder="1" applyAlignment="1">
      <alignment horizontal="center" vertical="center"/>
    </xf>
    <xf numFmtId="0" fontId="2" fillId="24" borderId="29" xfId="0" applyFont="1" applyFill="1" applyBorder="1" applyAlignment="1">
      <alignment horizontal="center" vertical="center"/>
    </xf>
    <xf numFmtId="15" fontId="2" fillId="25" borderId="29" xfId="0" applyNumberFormat="1" applyFont="1" applyFill="1" applyBorder="1" applyAlignment="1">
      <alignment horizontal="center" vertical="center"/>
    </xf>
    <xf numFmtId="15" fontId="2" fillId="26" borderId="29" xfId="0" applyNumberFormat="1" applyFont="1" applyFill="1" applyBorder="1" applyAlignment="1">
      <alignment horizontal="center" vertical="center"/>
    </xf>
    <xf numFmtId="0" fontId="2" fillId="24" borderId="50" xfId="0" applyFont="1" applyFill="1" applyBorder="1" applyAlignment="1">
      <alignment horizontal="center" vertical="center"/>
    </xf>
    <xf numFmtId="0" fontId="2" fillId="27" borderId="95" xfId="0" applyFont="1" applyFill="1" applyBorder="1" applyAlignment="1">
      <alignment horizontal="center" vertical="center"/>
    </xf>
    <xf numFmtId="0" fontId="25" fillId="26" borderId="30" xfId="0" applyFont="1" applyFill="1" applyBorder="1"/>
    <xf numFmtId="0" fontId="25" fillId="26" borderId="44" xfId="0" applyFont="1" applyFill="1" applyBorder="1"/>
    <xf numFmtId="0" fontId="25" fillId="26" borderId="29" xfId="0" applyFont="1" applyFill="1" applyBorder="1"/>
    <xf numFmtId="0" fontId="25" fillId="26" borderId="50" xfId="0" applyFont="1" applyFill="1" applyBorder="1"/>
    <xf numFmtId="0" fontId="2" fillId="23" borderId="96" xfId="0" applyFont="1" applyFill="1" applyBorder="1" applyAlignment="1">
      <alignment horizontal="center" vertical="center"/>
    </xf>
    <xf numFmtId="0" fontId="2" fillId="23" borderId="40" xfId="0" applyFont="1" applyFill="1" applyBorder="1" applyAlignment="1">
      <alignment horizontal="center" vertical="center"/>
    </xf>
    <xf numFmtId="0" fontId="2" fillId="23" borderId="38" xfId="0" applyFont="1" applyFill="1" applyBorder="1" applyAlignment="1">
      <alignment horizontal="center" vertical="center"/>
    </xf>
    <xf numFmtId="0" fontId="2" fillId="23" borderId="91" xfId="0" applyFont="1" applyFill="1" applyBorder="1"/>
    <xf numFmtId="0" fontId="2" fillId="23" borderId="94" xfId="0" applyFont="1" applyFill="1" applyBorder="1"/>
    <xf numFmtId="0" fontId="2" fillId="23" borderId="91" xfId="0" applyFont="1" applyFill="1" applyBorder="1" applyAlignment="1">
      <alignment horizontal="center"/>
    </xf>
    <xf numFmtId="0" fontId="2" fillId="23" borderId="94" xfId="0" applyFont="1" applyFill="1" applyBorder="1" applyAlignment="1">
      <alignment horizontal="center"/>
    </xf>
    <xf numFmtId="0" fontId="2" fillId="23" borderId="94" xfId="0" applyFont="1" applyFill="1" applyBorder="1" applyAlignment="1">
      <alignment horizontal="left"/>
    </xf>
    <xf numFmtId="0" fontId="2" fillId="23" borderId="29" xfId="0" applyFont="1" applyFill="1" applyBorder="1"/>
    <xf numFmtId="0" fontId="2" fillId="23" borderId="41" xfId="0" applyFont="1" applyFill="1" applyBorder="1"/>
    <xf numFmtId="0" fontId="2" fillId="23" borderId="29" xfId="0" applyFont="1" applyFill="1" applyBorder="1" applyAlignment="1">
      <alignment horizontal="center"/>
    </xf>
    <xf numFmtId="4" fontId="2" fillId="23" borderId="29" xfId="0" applyNumberFormat="1" applyFont="1" applyFill="1" applyBorder="1"/>
    <xf numFmtId="0" fontId="27" fillId="0" borderId="0" xfId="0" applyFont="1"/>
    <xf numFmtId="43" fontId="18" fillId="0" borderId="0" xfId="0" applyNumberFormat="1" applyFont="1"/>
    <xf numFmtId="0" fontId="18" fillId="0" borderId="0" xfId="0" applyFont="1" applyAlignment="1">
      <alignment horizontal="left"/>
    </xf>
    <xf numFmtId="0" fontId="0" fillId="0" borderId="0" xfId="0" applyAlignment="1">
      <alignment horizontal="left" indent="2"/>
    </xf>
    <xf numFmtId="0" fontId="0" fillId="29" borderId="0" xfId="0" applyFill="1"/>
    <xf numFmtId="0" fontId="0" fillId="4" borderId="0" xfId="0" applyFill="1"/>
    <xf numFmtId="0" fontId="0" fillId="0" borderId="0" xfId="0" applyAlignment="1">
      <alignment horizontal="right"/>
    </xf>
    <xf numFmtId="0" fontId="28" fillId="0" borderId="0" xfId="0" applyFont="1"/>
    <xf numFmtId="0" fontId="29" fillId="0" borderId="0" xfId="0" applyFont="1"/>
    <xf numFmtId="0" fontId="29" fillId="0" borderId="0" xfId="0" applyFont="1" applyAlignment="1">
      <alignment horizontal="center" vertical="center"/>
    </xf>
    <xf numFmtId="0" fontId="21" fillId="19" borderId="37" xfId="0" applyFont="1" applyFill="1" applyBorder="1" applyAlignment="1">
      <alignment horizontal="center" vertical="center" wrapText="1"/>
    </xf>
    <xf numFmtId="43" fontId="19" fillId="0" borderId="0" xfId="1" applyFont="1"/>
    <xf numFmtId="0" fontId="0" fillId="0" borderId="89" xfId="0" applyBorder="1"/>
    <xf numFmtId="0" fontId="0" fillId="0" borderId="89" xfId="0" applyBorder="1" applyAlignment="1">
      <alignment horizontal="center"/>
    </xf>
    <xf numFmtId="0" fontId="9" fillId="0" borderId="0" xfId="0" applyFont="1" applyAlignment="1">
      <alignment wrapText="1"/>
    </xf>
    <xf numFmtId="0" fontId="21" fillId="19" borderId="92" xfId="0" applyFont="1" applyFill="1" applyBorder="1" applyAlignment="1">
      <alignment horizontal="center" vertical="center" wrapText="1"/>
    </xf>
    <xf numFmtId="0" fontId="30" fillId="31" borderId="92" xfId="0" applyFont="1" applyFill="1" applyBorder="1" applyAlignment="1">
      <alignment horizontal="center" vertical="center" wrapText="1"/>
    </xf>
    <xf numFmtId="0" fontId="30" fillId="8" borderId="92" xfId="0" applyFont="1" applyFill="1" applyBorder="1" applyAlignment="1">
      <alignment horizontal="center" vertical="center" wrapText="1"/>
    </xf>
    <xf numFmtId="2" fontId="0" fillId="0" borderId="92" xfId="0" applyNumberFormat="1" applyBorder="1"/>
    <xf numFmtId="2" fontId="0" fillId="8" borderId="92" xfId="0" applyNumberFormat="1" applyFill="1" applyBorder="1"/>
    <xf numFmtId="0" fontId="19" fillId="0" borderId="92" xfId="0" applyFont="1" applyBorder="1"/>
    <xf numFmtId="2" fontId="19" fillId="0" borderId="92" xfId="0" applyNumberFormat="1" applyFont="1" applyBorder="1"/>
    <xf numFmtId="2" fontId="19" fillId="8" borderId="92" xfId="0" applyNumberFormat="1" applyFont="1" applyFill="1" applyBorder="1"/>
    <xf numFmtId="43" fontId="0" fillId="0" borderId="92" xfId="1" applyFont="1" applyBorder="1"/>
    <xf numFmtId="43" fontId="19" fillId="0" borderId="92" xfId="1" applyFont="1" applyBorder="1"/>
    <xf numFmtId="0" fontId="26" fillId="19" borderId="92" xfId="0" applyFont="1" applyFill="1" applyBorder="1" applyAlignment="1">
      <alignment horizontal="center" vertical="center"/>
    </xf>
    <xf numFmtId="0" fontId="26" fillId="19" borderId="92" xfId="0" applyFont="1" applyFill="1" applyBorder="1" applyAlignment="1">
      <alignment horizontal="center" vertical="center" wrapText="1"/>
    </xf>
    <xf numFmtId="43" fontId="0" fillId="0" borderId="92" xfId="0" applyNumberFormat="1" applyBorder="1"/>
    <xf numFmtId="43" fontId="19" fillId="0" borderId="92" xfId="0" applyNumberFormat="1" applyFont="1" applyBorder="1"/>
    <xf numFmtId="43" fontId="0" fillId="33" borderId="92" xfId="1" applyFont="1" applyFill="1" applyBorder="1"/>
    <xf numFmtId="43" fontId="19" fillId="33" borderId="92" xfId="1" applyFont="1" applyFill="1" applyBorder="1"/>
    <xf numFmtId="0" fontId="30" fillId="33" borderId="92" xfId="0" applyFont="1" applyFill="1" applyBorder="1" applyAlignment="1">
      <alignment horizontal="center" vertical="center" wrapText="1"/>
    </xf>
    <xf numFmtId="0" fontId="21" fillId="19" borderId="89" xfId="0" applyFont="1" applyFill="1" applyBorder="1" applyAlignment="1">
      <alignment horizontal="center" vertical="center" wrapText="1"/>
    </xf>
    <xf numFmtId="43" fontId="21" fillId="19" borderId="89" xfId="1" applyFont="1" applyFill="1" applyBorder="1" applyAlignment="1">
      <alignment horizontal="center" vertical="center" wrapText="1"/>
    </xf>
    <xf numFmtId="14" fontId="22" fillId="0" borderId="0" xfId="1" applyNumberFormat="1" applyFont="1"/>
    <xf numFmtId="0" fontId="0" fillId="0" borderId="106" xfId="0" applyBorder="1"/>
    <xf numFmtId="0" fontId="0" fillId="0" borderId="104" xfId="0" applyBorder="1"/>
    <xf numFmtId="0" fontId="21" fillId="19" borderId="13" xfId="0" applyFont="1" applyFill="1" applyBorder="1" applyAlignment="1">
      <alignment horizontal="center" vertical="center"/>
    </xf>
    <xf numFmtId="0" fontId="0" fillId="0" borderId="107" xfId="0" applyBorder="1"/>
    <xf numFmtId="0" fontId="19" fillId="0" borderId="97" xfId="0" applyFont="1" applyBorder="1"/>
    <xf numFmtId="0" fontId="21" fillId="19" borderId="99" xfId="0" applyFont="1" applyFill="1" applyBorder="1" applyAlignment="1">
      <alignment horizontal="center" vertical="center"/>
    </xf>
    <xf numFmtId="0" fontId="21" fillId="19" borderId="100" xfId="0" applyFont="1" applyFill="1" applyBorder="1" applyAlignment="1">
      <alignment horizontal="center" vertical="center"/>
    </xf>
    <xf numFmtId="43" fontId="21" fillId="19" borderId="92" xfId="1" applyFont="1" applyFill="1" applyBorder="1" applyAlignment="1">
      <alignment horizontal="center" vertical="center" wrapText="1"/>
    </xf>
    <xf numFmtId="0" fontId="19" fillId="34" borderId="0" xfId="0" applyFont="1" applyFill="1" applyAlignment="1">
      <alignment horizontal="center" vertical="center"/>
    </xf>
    <xf numFmtId="0" fontId="31" fillId="0" borderId="0" xfId="0" applyFont="1"/>
    <xf numFmtId="174" fontId="0" fillId="0" borderId="105" xfId="0" applyNumberFormat="1" applyBorder="1"/>
    <xf numFmtId="0" fontId="32" fillId="0" borderId="0" xfId="0" applyFont="1"/>
    <xf numFmtId="10" fontId="0" fillId="34" borderId="92" xfId="3" applyNumberFormat="1" applyFont="1" applyFill="1" applyBorder="1"/>
    <xf numFmtId="10" fontId="19" fillId="34" borderId="92" xfId="3" applyNumberFormat="1" applyFont="1" applyFill="1" applyBorder="1"/>
    <xf numFmtId="43" fontId="0" fillId="18" borderId="92" xfId="1" applyFont="1" applyFill="1" applyBorder="1"/>
    <xf numFmtId="43" fontId="19" fillId="18" borderId="92" xfId="1" applyFont="1" applyFill="1" applyBorder="1"/>
    <xf numFmtId="2" fontId="3" fillId="3" borderId="68" xfId="0" applyNumberFormat="1" applyFont="1" applyFill="1" applyBorder="1" applyAlignment="1">
      <alignment horizontal="center" vertical="center" wrapText="1"/>
    </xf>
    <xf numFmtId="2" fontId="2" fillId="7" borderId="41" xfId="0" applyNumberFormat="1" applyFont="1" applyFill="1" applyBorder="1" applyAlignment="1">
      <alignment horizontal="left" vertical="center"/>
    </xf>
    <xf numFmtId="1" fontId="2" fillId="7" borderId="41" xfId="0" applyNumberFormat="1" applyFont="1" applyFill="1" applyBorder="1" applyAlignment="1">
      <alignment horizontal="left" vertical="center"/>
    </xf>
    <xf numFmtId="2" fontId="5" fillId="7" borderId="41" xfId="0" applyNumberFormat="1" applyFont="1" applyFill="1" applyBorder="1" applyAlignment="1">
      <alignment horizontal="left" vertical="center"/>
    </xf>
    <xf numFmtId="2" fontId="2" fillId="11" borderId="41" xfId="0" applyNumberFormat="1" applyFont="1" applyFill="1" applyBorder="1" applyAlignment="1">
      <alignment horizontal="left" vertical="center"/>
    </xf>
    <xf numFmtId="2" fontId="2" fillId="7" borderId="41" xfId="0" applyNumberFormat="1" applyFont="1" applyFill="1" applyBorder="1" applyAlignment="1">
      <alignment horizontal="left" vertical="center" wrapText="1"/>
    </xf>
    <xf numFmtId="2" fontId="2" fillId="15" borderId="41" xfId="0" applyNumberFormat="1" applyFont="1" applyFill="1" applyBorder="1" applyAlignment="1">
      <alignment horizontal="left" vertical="center"/>
    </xf>
    <xf numFmtId="0" fontId="1" fillId="7" borderId="41" xfId="0" applyFont="1" applyFill="1" applyBorder="1" applyAlignment="1">
      <alignment horizontal="left" vertical="center"/>
    </xf>
    <xf numFmtId="2" fontId="2" fillId="4" borderId="41" xfId="0" applyNumberFormat="1" applyFont="1" applyFill="1" applyBorder="1" applyAlignment="1">
      <alignment horizontal="left" vertical="center"/>
    </xf>
    <xf numFmtId="2" fontId="4" fillId="7" borderId="41" xfId="0" applyNumberFormat="1" applyFont="1" applyFill="1" applyBorder="1" applyAlignment="1">
      <alignment horizontal="left" vertical="center"/>
    </xf>
    <xf numFmtId="0" fontId="2" fillId="23" borderId="41" xfId="0" applyFont="1" applyFill="1" applyBorder="1" applyAlignment="1">
      <alignment horizontal="left" vertical="center"/>
    </xf>
    <xf numFmtId="0" fontId="2" fillId="23" borderId="94" xfId="0" applyFont="1" applyFill="1" applyBorder="1" applyAlignment="1">
      <alignment horizontal="left" vertical="center"/>
    </xf>
    <xf numFmtId="0" fontId="2" fillId="7" borderId="94" xfId="0" applyFont="1" applyFill="1" applyBorder="1" applyAlignment="1">
      <alignment horizontal="left" vertical="center"/>
    </xf>
    <xf numFmtId="0" fontId="2" fillId="7" borderId="94" xfId="0" applyFont="1" applyFill="1" applyBorder="1" applyAlignment="1">
      <alignment horizontal="left"/>
    </xf>
    <xf numFmtId="0" fontId="16" fillId="0" borderId="0" xfId="0" applyFont="1" applyAlignment="1">
      <alignment horizontal="left"/>
    </xf>
    <xf numFmtId="0" fontId="27" fillId="0" borderId="0" xfId="0" applyFont="1" applyAlignment="1">
      <alignment vertical="center"/>
    </xf>
    <xf numFmtId="0" fontId="27" fillId="0" borderId="0" xfId="0" applyFont="1" applyAlignment="1">
      <alignment vertical="center" wrapText="1"/>
    </xf>
    <xf numFmtId="0" fontId="27" fillId="0" borderId="0" xfId="0" applyFont="1" applyAlignment="1">
      <alignment horizontal="center" vertical="center"/>
    </xf>
    <xf numFmtId="0" fontId="21" fillId="19" borderId="112" xfId="0" applyFont="1" applyFill="1" applyBorder="1" applyAlignment="1">
      <alignment horizontal="center" vertical="center"/>
    </xf>
    <xf numFmtId="174" fontId="0" fillId="0" borderId="113" xfId="0" applyNumberFormat="1" applyBorder="1"/>
    <xf numFmtId="9" fontId="2" fillId="7" borderId="29" xfId="3" applyFont="1" applyFill="1" applyBorder="1" applyAlignment="1">
      <alignment vertical="center"/>
    </xf>
    <xf numFmtId="175" fontId="0" fillId="30" borderId="0" xfId="0" applyNumberFormat="1" applyFill="1" applyAlignment="1">
      <alignment horizontal="left"/>
    </xf>
    <xf numFmtId="0" fontId="0" fillId="0" borderId="93" xfId="0" applyBorder="1"/>
    <xf numFmtId="0" fontId="34" fillId="2" borderId="0" xfId="0" applyFont="1" applyFill="1" applyAlignment="1">
      <alignment horizontal="center" vertical="center" wrapText="1" readingOrder="1"/>
    </xf>
    <xf numFmtId="0" fontId="34" fillId="35" borderId="92" xfId="0" applyFont="1" applyFill="1" applyBorder="1" applyAlignment="1">
      <alignment horizontal="center" vertical="center" wrapText="1" readingOrder="1"/>
    </xf>
    <xf numFmtId="0" fontId="9" fillId="0" borderId="0" xfId="0" applyFont="1" applyAlignment="1">
      <alignment horizontal="center" vertical="center"/>
    </xf>
    <xf numFmtId="43" fontId="9" fillId="0" borderId="0" xfId="0" applyNumberFormat="1" applyFont="1" applyAlignment="1">
      <alignment horizontal="center" vertical="center"/>
    </xf>
    <xf numFmtId="0" fontId="27" fillId="0" borderId="37" xfId="0" applyFont="1" applyBorder="1" applyAlignment="1">
      <alignment horizontal="center" vertical="center"/>
    </xf>
    <xf numFmtId="43" fontId="27" fillId="0" borderId="0" xfId="1" applyFont="1" applyFill="1" applyBorder="1" applyAlignment="1">
      <alignment horizontal="center" vertical="center"/>
    </xf>
    <xf numFmtId="0" fontId="17" fillId="0" borderId="0" xfId="0" applyFont="1" applyAlignment="1">
      <alignment horizontal="left" vertical="center"/>
    </xf>
    <xf numFmtId="0" fontId="19" fillId="0" borderId="0" xfId="0" applyFont="1" applyAlignment="1">
      <alignment horizontal="center"/>
    </xf>
    <xf numFmtId="0" fontId="21" fillId="19" borderId="116" xfId="0" applyFont="1" applyFill="1" applyBorder="1" applyAlignment="1">
      <alignment horizontal="center" vertical="center" wrapText="1"/>
    </xf>
    <xf numFmtId="0" fontId="19" fillId="0" borderId="0" xfId="0" applyFont="1" applyAlignment="1">
      <alignment horizontal="center" vertical="center"/>
    </xf>
    <xf numFmtId="43" fontId="0" fillId="0" borderId="0" xfId="1" applyFont="1" applyFill="1"/>
    <xf numFmtId="0" fontId="21" fillId="0" borderId="0" xfId="0" applyFont="1" applyAlignment="1">
      <alignment horizontal="center" vertical="center" wrapText="1"/>
    </xf>
    <xf numFmtId="43" fontId="19" fillId="0" borderId="0" xfId="1" applyFont="1" applyAlignment="1">
      <alignment horizontal="center"/>
    </xf>
    <xf numFmtId="0" fontId="0" fillId="33" borderId="92" xfId="0" applyFill="1" applyBorder="1" applyAlignment="1">
      <alignment horizontal="center" vertical="center"/>
    </xf>
    <xf numFmtId="0" fontId="19" fillId="0" borderId="92" xfId="0" applyFont="1" applyBorder="1" applyAlignment="1">
      <alignment horizontal="center" vertical="center"/>
    </xf>
    <xf numFmtId="0" fontId="19" fillId="33" borderId="92" xfId="0" applyFont="1" applyFill="1" applyBorder="1" applyAlignment="1">
      <alignment horizontal="center" vertical="center"/>
    </xf>
    <xf numFmtId="166" fontId="2" fillId="7" borderId="29" xfId="0" applyNumberFormat="1" applyFont="1" applyFill="1" applyBorder="1" applyAlignment="1">
      <alignment horizontal="center" vertical="center" wrapText="1"/>
    </xf>
    <xf numFmtId="43" fontId="0" fillId="0" borderId="37" xfId="1" applyFont="1" applyBorder="1"/>
    <xf numFmtId="43" fontId="19" fillId="32" borderId="37" xfId="1" applyFont="1" applyFill="1" applyBorder="1" applyAlignment="1">
      <alignment horizontal="center" vertical="center" wrapText="1"/>
    </xf>
    <xf numFmtId="0" fontId="3" fillId="3" borderId="70" xfId="0" applyFont="1" applyFill="1" applyBorder="1" applyAlignment="1">
      <alignment horizontal="center" vertical="center" wrapText="1"/>
    </xf>
    <xf numFmtId="0" fontId="2" fillId="8" borderId="29" xfId="0" applyFont="1" applyFill="1" applyBorder="1" applyAlignment="1">
      <alignment horizontal="center" vertical="center"/>
    </xf>
    <xf numFmtId="14" fontId="3" fillId="4" borderId="70" xfId="0" applyNumberFormat="1" applyFont="1" applyFill="1" applyBorder="1" applyAlignment="1">
      <alignment horizontal="center" vertical="center" wrapText="1"/>
    </xf>
    <xf numFmtId="0" fontId="37" fillId="0" borderId="0" xfId="0" applyFont="1"/>
    <xf numFmtId="0" fontId="37" fillId="0" borderId="0" xfId="0" applyFont="1" applyAlignment="1">
      <alignment horizontal="right"/>
    </xf>
    <xf numFmtId="0" fontId="38" fillId="0" borderId="0" xfId="0" applyFont="1" applyAlignment="1">
      <alignment horizontal="center"/>
    </xf>
    <xf numFmtId="0" fontId="39" fillId="0" borderId="0" xfId="0" applyFont="1" applyAlignment="1">
      <alignment horizontal="center" vertical="center" wrapText="1"/>
    </xf>
    <xf numFmtId="164" fontId="2" fillId="7" borderId="45" xfId="0" applyNumberFormat="1" applyFont="1" applyFill="1" applyBorder="1" applyAlignment="1">
      <alignment horizontal="center" vertical="center"/>
    </xf>
    <xf numFmtId="2" fontId="2" fillId="7" borderId="41" xfId="0" applyNumberFormat="1" applyFont="1" applyFill="1" applyBorder="1" applyAlignment="1">
      <alignment horizontal="center" vertical="center"/>
    </xf>
    <xf numFmtId="0" fontId="2" fillId="7" borderId="94" xfId="0" applyFont="1" applyFill="1" applyBorder="1" applyAlignment="1">
      <alignment vertical="center"/>
    </xf>
    <xf numFmtId="43" fontId="2" fillId="23" borderId="29" xfId="0" applyNumberFormat="1" applyFont="1" applyFill="1" applyBorder="1" applyAlignment="1">
      <alignment horizontal="left" vertical="center"/>
    </xf>
    <xf numFmtId="174" fontId="0" fillId="0" borderId="92" xfId="0" applyNumberFormat="1" applyBorder="1"/>
    <xf numFmtId="0" fontId="34" fillId="35" borderId="14" xfId="0" applyFont="1" applyFill="1" applyBorder="1" applyAlignment="1">
      <alignment horizontal="center" vertical="center" wrapText="1" readingOrder="1"/>
    </xf>
    <xf numFmtId="176" fontId="0" fillId="0" borderId="0" xfId="1" applyNumberFormat="1" applyFont="1"/>
    <xf numFmtId="43" fontId="2" fillId="7" borderId="29" xfId="1" applyFont="1" applyFill="1" applyBorder="1" applyAlignment="1">
      <alignment horizontal="left" vertical="center" wrapText="1"/>
    </xf>
    <xf numFmtId="0" fontId="9" fillId="0" borderId="0" xfId="0" applyFont="1" applyAlignment="1">
      <alignment horizontal="left"/>
    </xf>
    <xf numFmtId="43" fontId="0" fillId="0" borderId="92" xfId="1" applyFont="1" applyBorder="1" applyAlignment="1">
      <alignment horizontal="right"/>
    </xf>
    <xf numFmtId="43" fontId="19" fillId="0" borderId="92" xfId="1" applyFont="1" applyBorder="1" applyAlignment="1">
      <alignment horizontal="right"/>
    </xf>
    <xf numFmtId="0" fontId="9" fillId="0" borderId="0" xfId="0" applyFont="1" applyAlignment="1">
      <alignment horizontal="right" vertical="center"/>
    </xf>
    <xf numFmtId="0" fontId="28" fillId="0" borderId="0" xfId="0" applyFont="1" applyAlignment="1">
      <alignment horizontal="right"/>
    </xf>
    <xf numFmtId="0" fontId="28" fillId="0" borderId="0" xfId="0" applyFont="1" applyAlignment="1">
      <alignment horizontal="center"/>
    </xf>
    <xf numFmtId="0" fontId="12" fillId="18" borderId="0" xfId="0" applyFont="1" applyFill="1"/>
    <xf numFmtId="0" fontId="0" fillId="36" borderId="0" xfId="0" applyFill="1"/>
    <xf numFmtId="43" fontId="2" fillId="7" borderId="29" xfId="0" applyNumberFormat="1" applyFont="1" applyFill="1" applyBorder="1" applyAlignment="1">
      <alignment horizontal="left" vertical="center" wrapText="1"/>
    </xf>
    <xf numFmtId="164" fontId="3" fillId="4" borderId="70" xfId="0" applyNumberFormat="1" applyFont="1" applyFill="1" applyBorder="1" applyAlignment="1">
      <alignment horizontal="center" vertical="center" wrapText="1"/>
    </xf>
    <xf numFmtId="164" fontId="2" fillId="8" borderId="29" xfId="0" applyNumberFormat="1" applyFont="1" applyFill="1" applyBorder="1" applyAlignment="1">
      <alignment horizontal="center" vertical="center"/>
    </xf>
    <xf numFmtId="2" fontId="4" fillId="11" borderId="41" xfId="0" applyNumberFormat="1" applyFont="1" applyFill="1" applyBorder="1" applyAlignment="1">
      <alignment horizontal="left" vertical="center"/>
    </xf>
    <xf numFmtId="2" fontId="2" fillId="23" borderId="29" xfId="0" applyNumberFormat="1" applyFont="1" applyFill="1" applyBorder="1" applyAlignment="1">
      <alignment horizontal="center" vertical="center"/>
    </xf>
    <xf numFmtId="0" fontId="27" fillId="14" borderId="0" xfId="0" applyFont="1" applyFill="1" applyAlignment="1">
      <alignment vertical="center"/>
    </xf>
    <xf numFmtId="0" fontId="27" fillId="14" borderId="0" xfId="0" applyFont="1" applyFill="1" applyAlignment="1">
      <alignment horizontal="center" vertical="center"/>
    </xf>
    <xf numFmtId="0" fontId="9" fillId="14" borderId="0" xfId="0" applyFont="1" applyFill="1"/>
    <xf numFmtId="0" fontId="0" fillId="14" borderId="0" xfId="0" applyFill="1"/>
    <xf numFmtId="0" fontId="40" fillId="0" borderId="0" xfId="0" applyFont="1"/>
    <xf numFmtId="0" fontId="16" fillId="0" borderId="0" xfId="0" applyFont="1"/>
    <xf numFmtId="0" fontId="41" fillId="37" borderId="0" xfId="0" applyFont="1" applyFill="1" applyAlignment="1">
      <alignment wrapText="1"/>
    </xf>
    <xf numFmtId="0" fontId="42" fillId="38" borderId="13" xfId="0" applyFont="1" applyFill="1" applyBorder="1" applyAlignment="1">
      <alignment wrapText="1"/>
    </xf>
    <xf numFmtId="0" fontId="16" fillId="0" borderId="106" xfId="0" applyFont="1" applyBorder="1" applyAlignment="1">
      <alignment wrapText="1"/>
    </xf>
    <xf numFmtId="0" fontId="16" fillId="0" borderId="16" xfId="0" applyFont="1" applyBorder="1" applyAlignment="1">
      <alignment wrapText="1"/>
    </xf>
    <xf numFmtId="0" fontId="41" fillId="0" borderId="97" xfId="0" applyFont="1" applyBorder="1" applyAlignment="1">
      <alignment wrapText="1"/>
    </xf>
    <xf numFmtId="0" fontId="42" fillId="38" borderId="122" xfId="0" applyFont="1" applyFill="1" applyBorder="1" applyAlignment="1">
      <alignment horizontal="center" vertical="center"/>
    </xf>
    <xf numFmtId="0" fontId="42" fillId="38" borderId="123" xfId="0" applyFont="1" applyFill="1" applyBorder="1" applyAlignment="1">
      <alignment horizontal="center" vertical="center"/>
    </xf>
    <xf numFmtId="0" fontId="16" fillId="41" borderId="0" xfId="0" applyFont="1" applyFill="1"/>
    <xf numFmtId="4" fontId="16" fillId="0" borderId="0" xfId="0" applyNumberFormat="1" applyFont="1"/>
    <xf numFmtId="0" fontId="46" fillId="42" borderId="0" xfId="0" applyFont="1" applyFill="1"/>
    <xf numFmtId="4" fontId="47" fillId="0" borderId="0" xfId="0" applyNumberFormat="1" applyFont="1"/>
    <xf numFmtId="0" fontId="16" fillId="0" borderId="0" xfId="0" applyFont="1" applyAlignment="1">
      <alignment wrapText="1"/>
    </xf>
    <xf numFmtId="0" fontId="45" fillId="0" borderId="14" xfId="0" applyFont="1" applyBorder="1" applyAlignment="1">
      <alignment horizontal="center" vertical="center"/>
    </xf>
    <xf numFmtId="0" fontId="45" fillId="0" borderId="14" xfId="0" applyFont="1" applyBorder="1" applyAlignment="1">
      <alignment horizontal="center" vertical="center" wrapText="1"/>
    </xf>
    <xf numFmtId="0" fontId="41" fillId="0" borderId="126" xfId="0" applyFont="1" applyBorder="1"/>
    <xf numFmtId="0" fontId="16" fillId="0" borderId="126" xfId="0" applyFont="1" applyBorder="1"/>
    <xf numFmtId="0" fontId="45" fillId="0" borderId="127" xfId="0" applyFont="1" applyBorder="1" applyAlignment="1">
      <alignment horizontal="center" vertical="center"/>
    </xf>
    <xf numFmtId="0" fontId="0" fillId="0" borderId="126" xfId="0" applyBorder="1"/>
    <xf numFmtId="43" fontId="16" fillId="0" borderId="128" xfId="0" applyNumberFormat="1" applyFont="1" applyBorder="1"/>
    <xf numFmtId="43" fontId="45" fillId="0" borderId="129" xfId="0" applyNumberFormat="1" applyFont="1" applyBorder="1" applyAlignment="1">
      <alignment horizontal="center" vertical="center"/>
    </xf>
    <xf numFmtId="43" fontId="16" fillId="0" borderId="128" xfId="0" applyNumberFormat="1" applyFont="1" applyBorder="1" applyAlignment="1">
      <alignment vertical="center"/>
    </xf>
    <xf numFmtId="43" fontId="0" fillId="0" borderId="128" xfId="0" applyNumberFormat="1" applyBorder="1"/>
    <xf numFmtId="0" fontId="41" fillId="11" borderId="0" xfId="0" applyFont="1" applyFill="1" applyAlignment="1">
      <alignment horizontal="right" wrapText="1"/>
    </xf>
    <xf numFmtId="43" fontId="41" fillId="11" borderId="128" xfId="0" applyNumberFormat="1" applyFont="1" applyFill="1" applyBorder="1"/>
    <xf numFmtId="0" fontId="41" fillId="11" borderId="0" xfId="0" applyFont="1" applyFill="1" applyAlignment="1">
      <alignment horizontal="right" vertical="center" wrapText="1"/>
    </xf>
    <xf numFmtId="43" fontId="16" fillId="0" borderId="0" xfId="0" applyNumberFormat="1" applyFont="1"/>
    <xf numFmtId="0" fontId="0" fillId="0" borderId="126" xfId="0" applyBorder="1" applyAlignment="1">
      <alignment horizontal="center" vertical="center"/>
    </xf>
    <xf numFmtId="43" fontId="16" fillId="0" borderId="128" xfId="0" applyNumberFormat="1" applyFont="1" applyBorder="1" applyAlignment="1">
      <alignment horizontal="center" vertical="center"/>
    </xf>
    <xf numFmtId="43" fontId="0" fillId="0" borderId="128" xfId="0" applyNumberFormat="1" applyBorder="1" applyAlignment="1">
      <alignment horizontal="center" vertical="center"/>
    </xf>
    <xf numFmtId="0" fontId="16" fillId="0" borderId="128" xfId="0" applyFont="1" applyBorder="1"/>
    <xf numFmtId="0" fontId="45" fillId="0" borderId="129" xfId="0" applyFont="1" applyBorder="1" applyAlignment="1">
      <alignment horizontal="center" vertical="center"/>
    </xf>
    <xf numFmtId="0" fontId="0" fillId="0" borderId="128" xfId="0" applyBorder="1"/>
    <xf numFmtId="0" fontId="45" fillId="0" borderId="127" xfId="0" applyFont="1" applyBorder="1" applyAlignment="1">
      <alignment horizontal="center" vertical="center" indent="2"/>
    </xf>
    <xf numFmtId="0" fontId="0" fillId="0" borderId="33" xfId="0" applyBorder="1" applyAlignment="1">
      <alignment horizontal="center" vertical="center"/>
    </xf>
    <xf numFmtId="0" fontId="16" fillId="0" borderId="126" xfId="0" quotePrefix="1" applyFont="1" applyBorder="1" applyAlignment="1">
      <alignment horizontal="center" vertical="center"/>
    </xf>
    <xf numFmtId="14" fontId="0" fillId="0" borderId="0" xfId="1" applyNumberFormat="1" applyFont="1"/>
    <xf numFmtId="0" fontId="50" fillId="0" borderId="0" xfId="0" applyFont="1"/>
    <xf numFmtId="43" fontId="50" fillId="0" borderId="0" xfId="1" applyFont="1"/>
    <xf numFmtId="0" fontId="50" fillId="0" borderId="0" xfId="0" applyFont="1" applyAlignment="1">
      <alignment horizontal="center"/>
    </xf>
    <xf numFmtId="43" fontId="50" fillId="0" borderId="0" xfId="0" applyNumberFormat="1" applyFont="1"/>
    <xf numFmtId="0" fontId="19" fillId="4" borderId="0" xfId="1" applyNumberFormat="1" applyFont="1" applyFill="1" applyAlignment="1">
      <alignment horizontal="center" vertical="center"/>
    </xf>
    <xf numFmtId="43" fontId="19" fillId="4" borderId="0" xfId="1" applyFont="1" applyFill="1" applyAlignment="1">
      <alignment horizontal="center" vertical="center"/>
    </xf>
    <xf numFmtId="0" fontId="21" fillId="44" borderId="0" xfId="0" applyFont="1" applyFill="1"/>
    <xf numFmtId="0" fontId="26" fillId="44" borderId="0" xfId="0" applyFont="1" applyFill="1"/>
    <xf numFmtId="0" fontId="21" fillId="44" borderId="0" xfId="0" applyFont="1" applyFill="1" applyAlignment="1">
      <alignment horizontal="center" vertical="center"/>
    </xf>
    <xf numFmtId="43" fontId="21" fillId="44" borderId="0" xfId="1" applyFont="1" applyFill="1" applyBorder="1" applyAlignment="1">
      <alignment horizontal="center" vertical="center"/>
    </xf>
    <xf numFmtId="43" fontId="19" fillId="0" borderId="0" xfId="1" applyFont="1" applyBorder="1" applyAlignment="1">
      <alignment horizontal="center"/>
    </xf>
    <xf numFmtId="0" fontId="19" fillId="6" borderId="0" xfId="1" applyNumberFormat="1" applyFont="1" applyFill="1" applyBorder="1" applyAlignment="1">
      <alignment horizontal="center" vertical="center"/>
    </xf>
    <xf numFmtId="43" fontId="19" fillId="6" borderId="0" xfId="1" applyFont="1" applyFill="1" applyBorder="1" applyAlignment="1">
      <alignment horizontal="center" vertical="center"/>
    </xf>
    <xf numFmtId="0" fontId="0" fillId="0" borderId="118" xfId="0" applyBorder="1"/>
    <xf numFmtId="0" fontId="19" fillId="0" borderId="118" xfId="0" applyFont="1" applyBorder="1" applyAlignment="1">
      <alignment horizontal="center"/>
    </xf>
    <xf numFmtId="43" fontId="19" fillId="0" borderId="118" xfId="1" applyFont="1" applyBorder="1" applyAlignment="1">
      <alignment horizontal="center"/>
    </xf>
    <xf numFmtId="0" fontId="0" fillId="0" borderId="118" xfId="0" applyBorder="1" applyAlignment="1">
      <alignment horizontal="center"/>
    </xf>
    <xf numFmtId="43" fontId="0" fillId="0" borderId="118" xfId="1" applyFont="1" applyBorder="1"/>
    <xf numFmtId="0" fontId="19" fillId="6" borderId="118" xfId="1" applyNumberFormat="1" applyFont="1" applyFill="1" applyBorder="1" applyAlignment="1">
      <alignment horizontal="center" vertical="center"/>
    </xf>
    <xf numFmtId="43" fontId="19" fillId="6" borderId="118" xfId="1" applyFont="1" applyFill="1" applyBorder="1" applyAlignment="1">
      <alignment horizontal="center" vertical="center"/>
    </xf>
    <xf numFmtId="0" fontId="19" fillId="30" borderId="118" xfId="1" applyNumberFormat="1" applyFont="1" applyFill="1" applyBorder="1" applyAlignment="1">
      <alignment horizontal="center" vertical="center"/>
    </xf>
    <xf numFmtId="43" fontId="19" fillId="30" borderId="118" xfId="1" applyFont="1" applyFill="1" applyBorder="1" applyAlignment="1">
      <alignment horizontal="center" vertical="center"/>
    </xf>
    <xf numFmtId="0" fontId="0" fillId="0" borderId="87" xfId="0" applyBorder="1"/>
    <xf numFmtId="0" fontId="0" fillId="0" borderId="87" xfId="0" applyBorder="1" applyAlignment="1">
      <alignment horizontal="center"/>
    </xf>
    <xf numFmtId="43" fontId="0" fillId="0" borderId="87" xfId="1" applyFont="1" applyBorder="1"/>
    <xf numFmtId="0" fontId="21" fillId="44" borderId="16" xfId="0" applyFont="1" applyFill="1" applyBorder="1" applyAlignment="1">
      <alignment horizontal="center" vertical="center"/>
    </xf>
    <xf numFmtId="43" fontId="21" fillId="44" borderId="26" xfId="1" applyFont="1" applyFill="1" applyBorder="1" applyAlignment="1">
      <alignment horizontal="center" vertical="center"/>
    </xf>
    <xf numFmtId="0" fontId="0" fillId="0" borderId="106" xfId="0" applyBorder="1" applyAlignment="1">
      <alignment horizontal="center"/>
    </xf>
    <xf numFmtId="43" fontId="0" fillId="0" borderId="131" xfId="1" applyFont="1" applyBorder="1"/>
    <xf numFmtId="0" fontId="0" fillId="0" borderId="104" xfId="0" applyBorder="1" applyAlignment="1">
      <alignment horizontal="center"/>
    </xf>
    <xf numFmtId="43" fontId="0" fillId="0" borderId="132" xfId="1" applyFont="1" applyBorder="1"/>
    <xf numFmtId="0" fontId="19" fillId="4" borderId="133" xfId="1" applyNumberFormat="1" applyFont="1" applyFill="1" applyBorder="1" applyAlignment="1">
      <alignment horizontal="center" vertical="center"/>
    </xf>
    <xf numFmtId="43" fontId="19" fillId="4" borderId="134" xfId="1" applyFont="1" applyFill="1" applyBorder="1" applyAlignment="1">
      <alignment horizontal="center" vertical="center"/>
    </xf>
    <xf numFmtId="0" fontId="19" fillId="6" borderId="16" xfId="0" applyFont="1" applyFill="1" applyBorder="1" applyAlignment="1">
      <alignment horizontal="center"/>
    </xf>
    <xf numFmtId="43" fontId="19" fillId="6" borderId="26" xfId="1" applyFont="1" applyFill="1" applyBorder="1" applyAlignment="1">
      <alignment horizontal="center"/>
    </xf>
    <xf numFmtId="0" fontId="19" fillId="6" borderId="106" xfId="0" applyFont="1" applyFill="1" applyBorder="1" applyAlignment="1">
      <alignment horizontal="center"/>
    </xf>
    <xf numFmtId="43" fontId="19" fillId="6" borderId="131" xfId="1" applyFont="1" applyFill="1" applyBorder="1" applyAlignment="1">
      <alignment horizontal="center"/>
    </xf>
    <xf numFmtId="0" fontId="19" fillId="28" borderId="92" xfId="0" applyFont="1" applyFill="1" applyBorder="1" applyAlignment="1">
      <alignment horizontal="center"/>
    </xf>
    <xf numFmtId="0" fontId="21" fillId="46" borderId="92" xfId="0" applyFont="1" applyFill="1" applyBorder="1" applyAlignment="1">
      <alignment horizontal="center"/>
    </xf>
    <xf numFmtId="0" fontId="21" fillId="46" borderId="92" xfId="0" applyFont="1" applyFill="1" applyBorder="1" applyAlignment="1">
      <alignment horizontal="center" vertical="center"/>
    </xf>
    <xf numFmtId="43" fontId="21" fillId="46" borderId="92" xfId="1" applyFont="1" applyFill="1" applyBorder="1" applyAlignment="1">
      <alignment horizontal="center"/>
    </xf>
    <xf numFmtId="0" fontId="21" fillId="44" borderId="92" xfId="0" applyFont="1" applyFill="1" applyBorder="1"/>
    <xf numFmtId="0" fontId="0" fillId="0" borderId="92" xfId="1" applyNumberFormat="1" applyFont="1" applyBorder="1" applyAlignment="1">
      <alignment horizontal="center" vertical="center"/>
    </xf>
    <xf numFmtId="43" fontId="0" fillId="0" borderId="92" xfId="1" applyFont="1" applyBorder="1" applyAlignment="1">
      <alignment horizontal="center"/>
    </xf>
    <xf numFmtId="43" fontId="0" fillId="0" borderId="92" xfId="1" applyFont="1" applyBorder="1" applyAlignment="1">
      <alignment horizontal="center" vertical="center"/>
    </xf>
    <xf numFmtId="43" fontId="0" fillId="45" borderId="0" xfId="1" applyFont="1" applyFill="1" applyBorder="1"/>
    <xf numFmtId="43" fontId="21" fillId="45" borderId="0" xfId="1" applyFont="1" applyFill="1" applyBorder="1" applyAlignment="1">
      <alignment horizontal="center" vertical="center"/>
    </xf>
    <xf numFmtId="43" fontId="19" fillId="45" borderId="0" xfId="1" applyFont="1" applyFill="1" applyBorder="1" applyAlignment="1">
      <alignment horizontal="center"/>
    </xf>
    <xf numFmtId="43" fontId="19" fillId="45" borderId="0" xfId="1" applyFont="1" applyFill="1" applyBorder="1" applyAlignment="1">
      <alignment horizontal="center" vertical="center"/>
    </xf>
    <xf numFmtId="0" fontId="21" fillId="45" borderId="0" xfId="0" applyFont="1" applyFill="1"/>
    <xf numFmtId="43" fontId="21" fillId="45" borderId="0" xfId="1" applyFont="1" applyFill="1" applyBorder="1" applyAlignment="1">
      <alignment horizontal="center"/>
    </xf>
    <xf numFmtId="0" fontId="0" fillId="45" borderId="0" xfId="1" applyNumberFormat="1" applyFont="1" applyFill="1" applyBorder="1" applyAlignment="1">
      <alignment horizontal="center" vertical="center"/>
    </xf>
    <xf numFmtId="0" fontId="19" fillId="45" borderId="0" xfId="0" applyFont="1" applyFill="1" applyAlignment="1">
      <alignment horizontal="center"/>
    </xf>
    <xf numFmtId="0" fontId="0" fillId="46" borderId="92" xfId="0" applyFill="1" applyBorder="1"/>
    <xf numFmtId="0" fontId="0" fillId="6" borderId="92" xfId="0" applyFill="1" applyBorder="1"/>
    <xf numFmtId="0" fontId="19" fillId="6" borderId="92" xfId="0" applyFont="1" applyFill="1" applyBorder="1" applyAlignment="1">
      <alignment horizontal="center"/>
    </xf>
    <xf numFmtId="0" fontId="19" fillId="4" borderId="92" xfId="0" applyFont="1" applyFill="1" applyBorder="1" applyAlignment="1">
      <alignment horizontal="center" vertical="center"/>
    </xf>
    <xf numFmtId="0" fontId="19" fillId="4" borderId="92" xfId="0" applyFont="1" applyFill="1" applyBorder="1" applyAlignment="1">
      <alignment horizontal="left"/>
    </xf>
    <xf numFmtId="14" fontId="0" fillId="11" borderId="0" xfId="0" applyNumberFormat="1" applyFill="1" applyAlignment="1">
      <alignment horizontal="center"/>
    </xf>
    <xf numFmtId="0" fontId="43" fillId="0" borderId="109" xfId="0" applyFont="1" applyBorder="1" applyAlignment="1">
      <alignment horizontal="center"/>
    </xf>
    <xf numFmtId="0" fontId="43" fillId="0" borderId="119" xfId="0" applyFont="1" applyBorder="1" applyAlignment="1">
      <alignment horizontal="center"/>
    </xf>
    <xf numFmtId="0" fontId="43" fillId="0" borderId="118" xfId="0" applyFont="1" applyBorder="1" applyAlignment="1">
      <alignment horizontal="center"/>
    </xf>
    <xf numFmtId="0" fontId="0" fillId="0" borderId="109" xfId="0" applyBorder="1" applyAlignment="1">
      <alignment horizontal="center"/>
    </xf>
    <xf numFmtId="0" fontId="16" fillId="0" borderId="109" xfId="0" applyFont="1" applyBorder="1" applyAlignment="1">
      <alignment horizontal="center"/>
    </xf>
    <xf numFmtId="0" fontId="16" fillId="0" borderId="119" xfId="0" applyFont="1" applyBorder="1" applyAlignment="1">
      <alignment horizontal="center"/>
    </xf>
    <xf numFmtId="0" fontId="16" fillId="0" borderId="118" xfId="0" applyFont="1" applyBorder="1" applyAlignment="1">
      <alignment horizontal="center"/>
    </xf>
    <xf numFmtId="0" fontId="44" fillId="0" borderId="119" xfId="0" applyFont="1" applyBorder="1" applyAlignment="1">
      <alignment horizontal="center"/>
    </xf>
    <xf numFmtId="0" fontId="43" fillId="0" borderId="124" xfId="0" applyFont="1" applyBorder="1" applyAlignment="1">
      <alignment horizontal="center"/>
    </xf>
    <xf numFmtId="0" fontId="43" fillId="0" borderId="116" xfId="0" applyFont="1" applyBorder="1" applyAlignment="1">
      <alignment horizontal="center"/>
    </xf>
    <xf numFmtId="0" fontId="43" fillId="0" borderId="0" xfId="0" applyFont="1" applyAlignment="1">
      <alignment horizontal="center"/>
    </xf>
    <xf numFmtId="0" fontId="41" fillId="0" borderId="108" xfId="0" applyFont="1" applyBorder="1" applyAlignment="1">
      <alignment horizontal="center"/>
    </xf>
    <xf numFmtId="0" fontId="41" fillId="0" borderId="97" xfId="0" applyFont="1" applyBorder="1" applyAlignment="1">
      <alignment horizontal="center"/>
    </xf>
    <xf numFmtId="0" fontId="0" fillId="0" borderId="97" xfId="0" applyBorder="1" applyAlignment="1">
      <alignment horizontal="center"/>
    </xf>
    <xf numFmtId="0" fontId="33" fillId="0" borderId="109" xfId="1" applyNumberFormat="1" applyFont="1" applyBorder="1" applyAlignment="1">
      <alignment horizontal="center" vertical="center"/>
    </xf>
    <xf numFmtId="0" fontId="33" fillId="0" borderId="90" xfId="0" applyFont="1" applyBorder="1" applyAlignment="1">
      <alignment horizontal="center" vertical="center"/>
    </xf>
    <xf numFmtId="0" fontId="33" fillId="0" borderId="111" xfId="0" applyFont="1" applyBorder="1" applyAlignment="1">
      <alignment horizontal="center" vertical="center"/>
    </xf>
    <xf numFmtId="0" fontId="0" fillId="0" borderId="103" xfId="1" applyNumberFormat="1" applyFont="1" applyBorder="1" applyAlignment="1">
      <alignment horizontal="center" vertical="center"/>
    </xf>
    <xf numFmtId="0" fontId="33" fillId="0" borderId="92" xfId="0" applyFont="1" applyBorder="1" applyAlignment="1">
      <alignment horizontal="center" vertical="center"/>
    </xf>
    <xf numFmtId="0" fontId="33" fillId="0" borderId="103" xfId="1" applyNumberFormat="1" applyFont="1" applyBorder="1" applyAlignment="1">
      <alignment horizontal="center" vertical="center"/>
    </xf>
    <xf numFmtId="0" fontId="33" fillId="0" borderId="33" xfId="0" applyFont="1" applyBorder="1" applyAlignment="1">
      <alignment horizontal="center" vertical="center"/>
    </xf>
    <xf numFmtId="0" fontId="12" fillId="0" borderId="92" xfId="0" applyFont="1" applyBorder="1" applyAlignment="1">
      <alignment horizontal="center" vertical="center"/>
    </xf>
    <xf numFmtId="0" fontId="33" fillId="0" borderId="101" xfId="1" applyNumberFormat="1" applyFont="1" applyBorder="1" applyAlignment="1">
      <alignment horizontal="center" vertical="center"/>
    </xf>
    <xf numFmtId="0" fontId="33" fillId="0" borderId="89" xfId="0" applyFont="1" applyBorder="1" applyAlignment="1">
      <alignment horizontal="center" vertical="center"/>
    </xf>
    <xf numFmtId="0" fontId="33" fillId="0" borderId="63" xfId="0" applyFont="1" applyBorder="1" applyAlignment="1">
      <alignment horizontal="center" vertical="center"/>
    </xf>
    <xf numFmtId="0" fontId="0" fillId="0" borderId="108" xfId="1" applyNumberFormat="1" applyFont="1" applyBorder="1" applyAlignment="1">
      <alignment horizontal="center" vertical="center"/>
    </xf>
    <xf numFmtId="0" fontId="0" fillId="0" borderId="97" xfId="1" applyNumberFormat="1" applyFont="1" applyBorder="1" applyAlignment="1">
      <alignment horizontal="center" vertical="center"/>
    </xf>
    <xf numFmtId="0" fontId="0" fillId="0" borderId="0" xfId="1" applyNumberFormat="1" applyFont="1" applyAlignment="1">
      <alignment horizontal="center" vertical="center"/>
    </xf>
    <xf numFmtId="0" fontId="0" fillId="0" borderId="109" xfId="0" applyBorder="1" applyAlignment="1">
      <alignment vertical="center"/>
    </xf>
    <xf numFmtId="174" fontId="0" fillId="0" borderId="105" xfId="0" applyNumberFormat="1" applyBorder="1" applyAlignment="1">
      <alignment vertical="center"/>
    </xf>
    <xf numFmtId="0" fontId="0" fillId="0" borderId="97" xfId="0" applyBorder="1" applyAlignment="1">
      <alignment vertical="center"/>
    </xf>
    <xf numFmtId="174" fontId="0" fillId="0" borderId="113" xfId="0" applyNumberFormat="1" applyBorder="1" applyAlignment="1">
      <alignment vertical="center"/>
    </xf>
    <xf numFmtId="0" fontId="0" fillId="0" borderId="16" xfId="0" applyBorder="1" applyAlignment="1">
      <alignment vertical="center"/>
    </xf>
    <xf numFmtId="174" fontId="0" fillId="0" borderId="26" xfId="0" applyNumberFormat="1" applyBorder="1" applyAlignment="1">
      <alignment vertical="center"/>
    </xf>
    <xf numFmtId="0" fontId="52" fillId="0" borderId="0" xfId="0" applyFont="1"/>
    <xf numFmtId="43" fontId="19" fillId="6" borderId="92" xfId="1" applyFont="1" applyFill="1" applyBorder="1" applyAlignment="1">
      <alignment horizontal="center"/>
    </xf>
    <xf numFmtId="43" fontId="19" fillId="28" borderId="92" xfId="1" applyFont="1" applyFill="1" applyBorder="1" applyAlignment="1">
      <alignment horizontal="center"/>
    </xf>
    <xf numFmtId="43" fontId="19" fillId="4" borderId="92" xfId="1" applyFont="1" applyFill="1" applyBorder="1" applyAlignment="1">
      <alignment horizontal="center" vertical="center"/>
    </xf>
    <xf numFmtId="0" fontId="0" fillId="47" borderId="0" xfId="0" applyFill="1"/>
    <xf numFmtId="0" fontId="0" fillId="47" borderId="0" xfId="0" applyFill="1" applyAlignment="1">
      <alignment horizontal="center"/>
    </xf>
    <xf numFmtId="43" fontId="0" fillId="47" borderId="0" xfId="1" applyFont="1" applyFill="1"/>
    <xf numFmtId="43" fontId="0" fillId="47" borderId="0" xfId="1" applyFont="1" applyFill="1" applyBorder="1"/>
    <xf numFmtId="14" fontId="54" fillId="47" borderId="0" xfId="0" applyNumberFormat="1" applyFont="1" applyFill="1"/>
    <xf numFmtId="0" fontId="16" fillId="40" borderId="0" xfId="0" applyFont="1" applyFill="1"/>
    <xf numFmtId="0" fontId="16" fillId="48" borderId="0" xfId="0" applyFont="1" applyFill="1"/>
    <xf numFmtId="0" fontId="45" fillId="40" borderId="1" xfId="0" applyFont="1" applyFill="1" applyBorder="1"/>
    <xf numFmtId="0" fontId="45" fillId="40" borderId="2" xfId="0" applyFont="1" applyFill="1" applyBorder="1"/>
    <xf numFmtId="0" fontId="16" fillId="40" borderId="2" xfId="0" applyFont="1" applyFill="1" applyBorder="1"/>
    <xf numFmtId="0" fontId="16" fillId="40" borderId="16" xfId="0" applyFont="1" applyFill="1" applyBorder="1"/>
    <xf numFmtId="0" fontId="16" fillId="40" borderId="133" xfId="0" applyFont="1" applyFill="1" applyBorder="1"/>
    <xf numFmtId="0" fontId="16" fillId="40" borderId="123" xfId="0" applyFont="1" applyFill="1" applyBorder="1"/>
    <xf numFmtId="0" fontId="16" fillId="49" borderId="125" xfId="0" applyFont="1" applyFill="1" applyBorder="1"/>
    <xf numFmtId="0" fontId="16" fillId="49" borderId="0" xfId="0" applyFont="1" applyFill="1"/>
    <xf numFmtId="0" fontId="16" fillId="49" borderId="0" xfId="0" applyFont="1" applyFill="1" applyAlignment="1">
      <alignment horizontal="right"/>
    </xf>
    <xf numFmtId="0" fontId="0" fillId="2" borderId="0" xfId="0" applyFill="1"/>
    <xf numFmtId="0" fontId="1" fillId="51" borderId="92" xfId="0" applyFont="1" applyFill="1" applyBorder="1" applyAlignment="1">
      <alignment horizontal="center"/>
    </xf>
    <xf numFmtId="43" fontId="0" fillId="51" borderId="90" xfId="0" applyNumberFormat="1" applyFill="1" applyBorder="1" applyAlignment="1">
      <alignment horizontal="center" vertical="center"/>
    </xf>
    <xf numFmtId="43" fontId="0" fillId="51" borderId="92" xfId="0" applyNumberFormat="1" applyFill="1" applyBorder="1" applyAlignment="1">
      <alignment horizontal="center" vertical="center"/>
    </xf>
    <xf numFmtId="43" fontId="2" fillId="51" borderId="92" xfId="0" applyNumberFormat="1" applyFont="1" applyFill="1" applyBorder="1" applyAlignment="1">
      <alignment horizontal="center" vertical="center"/>
    </xf>
    <xf numFmtId="0" fontId="27" fillId="51" borderId="90" xfId="0" applyFont="1" applyFill="1" applyBorder="1" applyAlignment="1">
      <alignment horizontal="center" vertical="center"/>
    </xf>
    <xf numFmtId="177" fontId="0" fillId="51" borderId="90" xfId="0" applyNumberFormat="1" applyFill="1" applyBorder="1" applyAlignment="1">
      <alignment horizontal="center" vertical="center"/>
    </xf>
    <xf numFmtId="177" fontId="0" fillId="51" borderId="92" xfId="0" applyNumberFormat="1" applyFill="1" applyBorder="1" applyAlignment="1">
      <alignment horizontal="center" vertical="center"/>
    </xf>
    <xf numFmtId="177" fontId="2" fillId="51" borderId="92" xfId="0" applyNumberFormat="1" applyFont="1" applyFill="1" applyBorder="1" applyAlignment="1">
      <alignment horizontal="center" vertical="center"/>
    </xf>
    <xf numFmtId="177" fontId="0" fillId="51" borderId="90" xfId="0" applyNumberFormat="1" applyFill="1" applyBorder="1"/>
    <xf numFmtId="177" fontId="0" fillId="51" borderId="92" xfId="0" applyNumberFormat="1" applyFill="1" applyBorder="1"/>
    <xf numFmtId="177" fontId="2" fillId="51" borderId="92" xfId="0" applyNumberFormat="1" applyFont="1" applyFill="1" applyBorder="1" applyAlignment="1">
      <alignment vertical="center"/>
    </xf>
    <xf numFmtId="177" fontId="0" fillId="51" borderId="92" xfId="0" applyNumberFormat="1" applyFill="1" applyBorder="1" applyAlignment="1">
      <alignment vertical="center"/>
    </xf>
    <xf numFmtId="0" fontId="2" fillId="7" borderId="68" xfId="0" applyFont="1" applyFill="1" applyBorder="1" applyAlignment="1">
      <alignment horizontal="left" vertical="center" wrapText="1"/>
    </xf>
    <xf numFmtId="0" fontId="2" fillId="7" borderId="29" xfId="0" applyFont="1" applyFill="1" applyBorder="1" applyAlignment="1">
      <alignment horizontal="right" vertical="center"/>
    </xf>
    <xf numFmtId="0" fontId="19" fillId="34" borderId="92" xfId="0" applyFont="1" applyFill="1" applyBorder="1"/>
    <xf numFmtId="0" fontId="27" fillId="0" borderId="0" xfId="0" applyFont="1" applyAlignment="1">
      <alignment horizontal="right"/>
    </xf>
    <xf numFmtId="0" fontId="17" fillId="0" borderId="0" xfId="0" applyFont="1" applyAlignment="1">
      <alignment horizontal="left"/>
    </xf>
    <xf numFmtId="0" fontId="57" fillId="0" borderId="0" xfId="0" applyFont="1" applyAlignment="1">
      <alignment horizontal="left" vertical="center"/>
    </xf>
    <xf numFmtId="0" fontId="57" fillId="0" borderId="0" xfId="0" applyFont="1" applyAlignment="1">
      <alignment horizontal="left"/>
    </xf>
    <xf numFmtId="0" fontId="58" fillId="0" borderId="0" xfId="0" applyFont="1" applyAlignment="1">
      <alignment horizontal="center" vertical="center"/>
    </xf>
    <xf numFmtId="14" fontId="0" fillId="0" borderId="0" xfId="0" applyNumberFormat="1" applyAlignment="1">
      <alignment horizontal="center" vertical="center"/>
    </xf>
    <xf numFmtId="0" fontId="21" fillId="46" borderId="0" xfId="0" applyFont="1" applyFill="1" applyAlignment="1">
      <alignment horizontal="center" vertical="center"/>
    </xf>
    <xf numFmtId="0" fontId="60" fillId="36" borderId="0" xfId="0" applyFont="1" applyFill="1" applyAlignment="1">
      <alignment horizontal="center" vertical="center"/>
    </xf>
    <xf numFmtId="0" fontId="55" fillId="36" borderId="0" xfId="0" applyFont="1" applyFill="1" applyAlignment="1">
      <alignment horizontal="right"/>
    </xf>
    <xf numFmtId="0" fontId="28" fillId="36" borderId="0" xfId="0" applyFont="1" applyFill="1" applyAlignment="1">
      <alignment horizontal="center"/>
    </xf>
    <xf numFmtId="43" fontId="0" fillId="36" borderId="0" xfId="1" applyFont="1" applyFill="1"/>
    <xf numFmtId="0" fontId="61" fillId="0" borderId="0" xfId="0" applyFont="1" applyAlignment="1">
      <alignment horizontal="left" vertical="center" readingOrder="1"/>
    </xf>
    <xf numFmtId="14" fontId="16" fillId="0" borderId="0" xfId="0" applyNumberFormat="1" applyFont="1"/>
    <xf numFmtId="4" fontId="47" fillId="0" borderId="0" xfId="0" applyNumberFormat="1" applyFont="1" applyAlignment="1">
      <alignment horizontal="left" wrapText="1"/>
    </xf>
    <xf numFmtId="2" fontId="16" fillId="0" borderId="0" xfId="0" applyNumberFormat="1" applyFont="1" applyAlignment="1">
      <alignment horizontal="left" wrapText="1"/>
    </xf>
    <xf numFmtId="43" fontId="63" fillId="0" borderId="0" xfId="1" applyFont="1" applyAlignment="1">
      <alignment horizontal="left"/>
    </xf>
    <xf numFmtId="43" fontId="63" fillId="0" borderId="0" xfId="0" applyNumberFormat="1" applyFont="1" applyAlignment="1">
      <alignment horizontal="left"/>
    </xf>
    <xf numFmtId="43" fontId="16" fillId="0" borderId="0" xfId="1" applyFont="1" applyAlignment="1">
      <alignment horizontal="left" vertical="center"/>
    </xf>
    <xf numFmtId="43" fontId="47" fillId="0" borderId="0" xfId="1" applyFont="1" applyAlignment="1">
      <alignment horizontal="left" vertical="center"/>
    </xf>
    <xf numFmtId="43" fontId="0" fillId="2" borderId="0" xfId="1" applyFont="1" applyFill="1"/>
    <xf numFmtId="0" fontId="19" fillId="2" borderId="0" xfId="0" applyFont="1" applyFill="1"/>
    <xf numFmtId="0" fontId="19" fillId="0" borderId="92" xfId="0" applyFont="1" applyBorder="1" applyAlignment="1">
      <alignment horizontal="center"/>
    </xf>
    <xf numFmtId="0" fontId="53" fillId="2" borderId="0" xfId="0" applyFont="1" applyFill="1"/>
    <xf numFmtId="0" fontId="27" fillId="2" borderId="0" xfId="0" applyFont="1" applyFill="1"/>
    <xf numFmtId="0" fontId="0" fillId="2" borderId="92" xfId="0" applyFill="1" applyBorder="1" applyAlignment="1">
      <alignment horizontal="center" vertical="center"/>
    </xf>
    <xf numFmtId="0" fontId="9" fillId="2" borderId="92" xfId="0" applyFont="1" applyFill="1" applyBorder="1" applyAlignment="1">
      <alignment horizontal="center" vertical="center"/>
    </xf>
    <xf numFmtId="0" fontId="0" fillId="2" borderId="92" xfId="1" applyNumberFormat="1" applyFont="1" applyFill="1" applyBorder="1" applyAlignment="1">
      <alignment horizontal="center" vertical="center"/>
    </xf>
    <xf numFmtId="0" fontId="9" fillId="2" borderId="92" xfId="1" applyNumberFormat="1" applyFont="1" applyFill="1" applyBorder="1" applyAlignment="1">
      <alignment horizontal="center" vertical="center"/>
    </xf>
    <xf numFmtId="43" fontId="9" fillId="2" borderId="92" xfId="1" applyFont="1" applyFill="1" applyBorder="1" applyAlignment="1">
      <alignment horizontal="center" vertical="center"/>
    </xf>
    <xf numFmtId="43" fontId="0" fillId="2" borderId="92" xfId="1" applyFont="1" applyFill="1" applyBorder="1" applyAlignment="1">
      <alignment horizontal="center" vertical="center"/>
    </xf>
    <xf numFmtId="0" fontId="0" fillId="0" borderId="106" xfId="0" applyBorder="1" applyAlignment="1">
      <alignment horizontal="center" vertical="center"/>
    </xf>
    <xf numFmtId="0" fontId="0" fillId="0" borderId="118" xfId="0" applyBorder="1" applyAlignment="1">
      <alignment horizontal="center" vertical="center"/>
    </xf>
    <xf numFmtId="0" fontId="0" fillId="0" borderId="104" xfId="0" applyBorder="1" applyAlignment="1">
      <alignment horizontal="center" vertical="center"/>
    </xf>
    <xf numFmtId="0" fontId="0" fillId="0" borderId="87" xfId="0" applyBorder="1" applyAlignment="1">
      <alignment horizontal="center" vertical="center"/>
    </xf>
    <xf numFmtId="0" fontId="19" fillId="6" borderId="16" xfId="0" applyFont="1" applyFill="1" applyBorder="1" applyAlignment="1">
      <alignment horizontal="center" vertical="center"/>
    </xf>
    <xf numFmtId="43" fontId="19" fillId="6" borderId="26" xfId="1" applyFont="1" applyFill="1" applyBorder="1" applyAlignment="1">
      <alignment horizontal="center" vertical="center"/>
    </xf>
    <xf numFmtId="0" fontId="19" fillId="6" borderId="106" xfId="0" applyFont="1" applyFill="1" applyBorder="1" applyAlignment="1">
      <alignment horizontal="center" vertical="center"/>
    </xf>
    <xf numFmtId="0" fontId="19" fillId="6" borderId="118" xfId="0" applyFont="1" applyFill="1" applyBorder="1" applyAlignment="1">
      <alignment horizontal="center" vertical="center"/>
    </xf>
    <xf numFmtId="43" fontId="19" fillId="6" borderId="131" xfId="1" applyFont="1" applyFill="1" applyBorder="1" applyAlignment="1">
      <alignment horizontal="center" vertical="center"/>
    </xf>
    <xf numFmtId="0" fontId="0" fillId="6" borderId="118" xfId="0" applyFill="1" applyBorder="1" applyAlignment="1">
      <alignment horizontal="center" vertical="center"/>
    </xf>
    <xf numFmtId="43" fontId="0" fillId="0" borderId="118" xfId="1" applyFont="1" applyBorder="1" applyAlignment="1">
      <alignment horizontal="center" vertical="center"/>
    </xf>
    <xf numFmtId="43" fontId="0" fillId="0" borderId="131" xfId="1" applyFont="1" applyBorder="1" applyAlignment="1">
      <alignment horizontal="center" vertical="center"/>
    </xf>
    <xf numFmtId="43" fontId="0" fillId="0" borderId="87" xfId="1" applyFont="1" applyBorder="1" applyAlignment="1">
      <alignment horizontal="center" vertical="center"/>
    </xf>
    <xf numFmtId="43" fontId="0" fillId="0" borderId="132" xfId="1" applyFont="1" applyBorder="1" applyAlignment="1">
      <alignment horizontal="center" vertical="center"/>
    </xf>
    <xf numFmtId="43" fontId="0" fillId="6" borderId="118" xfId="1" applyFont="1" applyFill="1" applyBorder="1" applyAlignment="1">
      <alignment horizontal="center" vertical="center"/>
    </xf>
    <xf numFmtId="10" fontId="26" fillId="32" borderId="0" xfId="3" applyNumberFormat="1" applyFont="1" applyFill="1" applyAlignment="1">
      <alignment horizontal="center"/>
    </xf>
    <xf numFmtId="0" fontId="29" fillId="2" borderId="92" xfId="0" applyFont="1" applyFill="1" applyBorder="1" applyAlignment="1">
      <alignment horizontal="center" vertical="center" wrapText="1"/>
    </xf>
    <xf numFmtId="2" fontId="2" fillId="7" borderId="138" xfId="1" applyNumberFormat="1" applyFont="1" applyFill="1" applyBorder="1" applyAlignment="1">
      <alignment horizontal="center" vertical="center"/>
    </xf>
    <xf numFmtId="1" fontId="2" fillId="9" borderId="138" xfId="0" applyNumberFormat="1" applyFont="1" applyFill="1" applyBorder="1" applyAlignment="1">
      <alignment horizontal="center" vertical="center"/>
    </xf>
    <xf numFmtId="1" fontId="2" fillId="9" borderId="139" xfId="0" applyNumberFormat="1" applyFont="1" applyFill="1" applyBorder="1" applyAlignment="1">
      <alignment horizontal="center" vertical="center"/>
    </xf>
    <xf numFmtId="1" fontId="2" fillId="9" borderId="140" xfId="0" applyNumberFormat="1" applyFont="1" applyFill="1" applyBorder="1" applyAlignment="1">
      <alignment horizontal="center" vertical="center"/>
    </xf>
    <xf numFmtId="171" fontId="2" fillId="7" borderId="139" xfId="0" applyNumberFormat="1" applyFont="1" applyFill="1" applyBorder="1" applyAlignment="1">
      <alignment horizontal="center" vertical="center"/>
    </xf>
    <xf numFmtId="0" fontId="0" fillId="3" borderId="90" xfId="0" applyFill="1" applyBorder="1" applyAlignment="1">
      <alignment horizontal="center" vertical="center"/>
    </xf>
    <xf numFmtId="0" fontId="0" fillId="3" borderId="92" xfId="0" applyFill="1" applyBorder="1" applyAlignment="1">
      <alignment horizontal="center" vertical="center"/>
    </xf>
    <xf numFmtId="0" fontId="2" fillId="3" borderId="92" xfId="0" applyFont="1" applyFill="1" applyBorder="1" applyAlignment="1">
      <alignment horizontal="center" vertical="center"/>
    </xf>
    <xf numFmtId="16" fontId="0" fillId="3" borderId="92" xfId="0" applyNumberFormat="1" applyFill="1" applyBorder="1" applyAlignment="1">
      <alignment horizontal="center" vertical="center"/>
    </xf>
    <xf numFmtId="0" fontId="10" fillId="7" borderId="29" xfId="0" applyFont="1" applyFill="1" applyBorder="1" applyAlignment="1">
      <alignment vertical="center"/>
    </xf>
    <xf numFmtId="2" fontId="0" fillId="0" borderId="92" xfId="0" applyNumberFormat="1" applyBorder="1" applyAlignment="1">
      <alignment horizontal="center" vertical="center"/>
    </xf>
    <xf numFmtId="0" fontId="0" fillId="0" borderId="90" xfId="0" applyBorder="1" applyAlignment="1">
      <alignment horizontal="center"/>
    </xf>
    <xf numFmtId="0" fontId="0" fillId="0" borderId="90" xfId="0" applyBorder="1" applyAlignment="1">
      <alignment horizontal="center" vertical="center"/>
    </xf>
    <xf numFmtId="0" fontId="65" fillId="3" borderId="141" xfId="0" applyFont="1" applyFill="1" applyBorder="1" applyAlignment="1">
      <alignment horizontal="center" vertical="center"/>
    </xf>
    <xf numFmtId="0" fontId="30" fillId="0" borderId="143" xfId="0" applyFont="1" applyBorder="1" applyAlignment="1">
      <alignment horizontal="center" vertical="center" wrapText="1"/>
    </xf>
    <xf numFmtId="0" fontId="65" fillId="3" borderId="145" xfId="0" applyFont="1" applyFill="1" applyBorder="1" applyAlignment="1">
      <alignment horizontal="center" vertical="center" wrapText="1"/>
    </xf>
    <xf numFmtId="0" fontId="65" fillId="3" borderId="142" xfId="0" applyFont="1" applyFill="1" applyBorder="1" applyAlignment="1">
      <alignment horizontal="center" vertical="center" wrapText="1"/>
    </xf>
    <xf numFmtId="0" fontId="65" fillId="3" borderId="146" xfId="0" applyFont="1" applyFill="1" applyBorder="1" applyAlignment="1">
      <alignment horizontal="center" vertical="center" wrapText="1"/>
    </xf>
    <xf numFmtId="0" fontId="65" fillId="3" borderId="118" xfId="0" applyFont="1" applyFill="1" applyBorder="1" applyAlignment="1">
      <alignment horizontal="center" vertical="center" wrapText="1"/>
    </xf>
    <xf numFmtId="0" fontId="0" fillId="0" borderId="144" xfId="0" applyBorder="1"/>
    <xf numFmtId="0" fontId="0" fillId="0" borderId="147" xfId="0" applyBorder="1"/>
    <xf numFmtId="0" fontId="0" fillId="30" borderId="92" xfId="0" applyFill="1" applyBorder="1" applyAlignment="1">
      <alignment horizontal="center" vertical="center"/>
    </xf>
    <xf numFmtId="2" fontId="0" fillId="30" borderId="92" xfId="0" applyNumberFormat="1" applyFill="1" applyBorder="1" applyAlignment="1">
      <alignment horizontal="center" vertical="center"/>
    </xf>
    <xf numFmtId="2" fontId="66" fillId="30" borderId="92" xfId="0" applyNumberFormat="1" applyFont="1" applyFill="1" applyBorder="1" applyAlignment="1">
      <alignment horizontal="center" vertical="center"/>
    </xf>
    <xf numFmtId="0" fontId="0" fillId="47" borderId="149" xfId="0" applyFill="1" applyBorder="1" applyAlignment="1">
      <alignment horizontal="center"/>
    </xf>
    <xf numFmtId="0" fontId="0" fillId="47" borderId="14" xfId="0" applyFill="1" applyBorder="1" applyAlignment="1">
      <alignment horizontal="center" vertical="center"/>
    </xf>
    <xf numFmtId="0" fontId="0" fillId="47" borderId="92" xfId="0" applyFill="1" applyBorder="1" applyAlignment="1">
      <alignment horizontal="center" vertical="center"/>
    </xf>
    <xf numFmtId="2" fontId="0" fillId="47" borderId="92" xfId="0" applyNumberFormat="1" applyFill="1" applyBorder="1" applyAlignment="1">
      <alignment horizontal="center" vertical="center"/>
    </xf>
    <xf numFmtId="0" fontId="0" fillId="47" borderId="148" xfId="0" applyFill="1" applyBorder="1" applyAlignment="1">
      <alignment horizontal="center"/>
    </xf>
    <xf numFmtId="2" fontId="67" fillId="47" borderId="92" xfId="0" applyNumberFormat="1" applyFont="1" applyFill="1" applyBorder="1" applyAlignment="1">
      <alignment horizontal="center" vertical="center"/>
    </xf>
    <xf numFmtId="0" fontId="0" fillId="2" borderId="97" xfId="0" applyFill="1" applyBorder="1" applyAlignment="1">
      <alignment horizontal="center" vertical="center"/>
    </xf>
    <xf numFmtId="0" fontId="0" fillId="2" borderId="137" xfId="0" applyFill="1" applyBorder="1" applyAlignment="1">
      <alignment horizontal="center" vertical="center"/>
    </xf>
    <xf numFmtId="0" fontId="0" fillId="2" borderId="27" xfId="0" applyFill="1" applyBorder="1" applyAlignment="1">
      <alignment horizontal="center" vertical="center"/>
    </xf>
    <xf numFmtId="0" fontId="0" fillId="2" borderId="1" xfId="1" applyNumberFormat="1" applyFont="1" applyFill="1" applyBorder="1" applyAlignment="1">
      <alignment horizontal="center" vertical="center"/>
    </xf>
    <xf numFmtId="0" fontId="0" fillId="2" borderId="13" xfId="1" applyNumberFormat="1" applyFont="1" applyFill="1" applyBorder="1" applyAlignment="1">
      <alignment horizontal="center" vertical="center"/>
    </xf>
    <xf numFmtId="0" fontId="0" fillId="2" borderId="26" xfId="0" applyFill="1" applyBorder="1" applyAlignment="1">
      <alignment horizontal="center" vertical="center"/>
    </xf>
    <xf numFmtId="0" fontId="0" fillId="2" borderId="135" xfId="0" applyFill="1" applyBorder="1" applyAlignment="1">
      <alignment horizontal="center" vertical="center"/>
    </xf>
    <xf numFmtId="0" fontId="0" fillId="2" borderId="16" xfId="1" applyNumberFormat="1" applyFont="1" applyFill="1" applyBorder="1" applyAlignment="1">
      <alignment horizontal="center" vertical="center"/>
    </xf>
    <xf numFmtId="0" fontId="0" fillId="2" borderId="135" xfId="1" applyNumberFormat="1" applyFont="1" applyFill="1" applyBorder="1" applyAlignment="1">
      <alignment horizontal="center" vertical="center"/>
    </xf>
    <xf numFmtId="0" fontId="0" fillId="2" borderId="134" xfId="0" applyFill="1" applyBorder="1" applyAlignment="1">
      <alignment horizontal="center" vertical="center"/>
    </xf>
    <xf numFmtId="0" fontId="0" fillId="2" borderId="113" xfId="1" applyNumberFormat="1" applyFont="1" applyFill="1" applyBorder="1" applyAlignment="1">
      <alignment horizontal="center" vertical="center"/>
    </xf>
    <xf numFmtId="0" fontId="0" fillId="2" borderId="137" xfId="1" applyNumberFormat="1" applyFont="1" applyFill="1" applyBorder="1" applyAlignment="1">
      <alignment horizontal="center" vertical="center"/>
    </xf>
    <xf numFmtId="0" fontId="29" fillId="2" borderId="13" xfId="0" applyFont="1" applyFill="1" applyBorder="1" applyAlignment="1">
      <alignment horizontal="center" vertical="center" wrapText="1"/>
    </xf>
    <xf numFmtId="0" fontId="0" fillId="2" borderId="136" xfId="0" applyFill="1" applyBorder="1" applyAlignment="1">
      <alignment horizontal="center" vertical="center"/>
    </xf>
    <xf numFmtId="0" fontId="29" fillId="2" borderId="135" xfId="0" applyFont="1" applyFill="1" applyBorder="1" applyAlignment="1">
      <alignment horizontal="center" vertical="center" wrapText="1"/>
    </xf>
    <xf numFmtId="43" fontId="0" fillId="2" borderId="27" xfId="1" applyFont="1" applyFill="1" applyBorder="1" applyAlignment="1">
      <alignment horizontal="center" vertical="center"/>
    </xf>
    <xf numFmtId="43" fontId="0" fillId="2" borderId="16" xfId="1" applyFont="1" applyFill="1" applyBorder="1" applyAlignment="1">
      <alignment horizontal="center" vertical="center"/>
    </xf>
    <xf numFmtId="43" fontId="0" fillId="2" borderId="135" xfId="1" applyFont="1" applyFill="1" applyBorder="1" applyAlignment="1">
      <alignment horizontal="center" vertical="center"/>
    </xf>
    <xf numFmtId="43" fontId="0" fillId="2" borderId="97" xfId="1" applyFont="1" applyFill="1" applyBorder="1" applyAlignment="1">
      <alignment horizontal="center" vertical="center"/>
    </xf>
    <xf numFmtId="43" fontId="0" fillId="2" borderId="113" xfId="1" applyFont="1" applyFill="1" applyBorder="1" applyAlignment="1">
      <alignment horizontal="center" vertical="center"/>
    </xf>
    <xf numFmtId="43" fontId="0" fillId="2" borderId="137" xfId="1" applyFont="1" applyFill="1" applyBorder="1" applyAlignment="1">
      <alignment horizontal="center" vertical="center"/>
    </xf>
    <xf numFmtId="0" fontId="36" fillId="0" borderId="92" xfId="0" applyFont="1" applyBorder="1" applyAlignment="1">
      <alignment horizontal="center" vertical="center" wrapText="1"/>
    </xf>
    <xf numFmtId="0" fontId="36" fillId="0" borderId="92" xfId="0" applyFont="1" applyBorder="1" applyAlignment="1">
      <alignment horizontal="center" vertical="center"/>
    </xf>
    <xf numFmtId="0" fontId="32" fillId="0" borderId="92" xfId="0" applyFont="1" applyBorder="1" applyAlignment="1">
      <alignment horizontal="center" vertical="center"/>
    </xf>
    <xf numFmtId="0" fontId="0" fillId="0" borderId="0" xfId="0" quotePrefix="1"/>
    <xf numFmtId="2" fontId="1" fillId="7" borderId="41" xfId="0" applyNumberFormat="1" applyFont="1" applyFill="1" applyBorder="1" applyAlignment="1">
      <alignment horizontal="left" vertical="center"/>
    </xf>
    <xf numFmtId="166" fontId="2" fillId="7" borderId="138" xfId="0" applyNumberFormat="1" applyFont="1" applyFill="1" applyBorder="1" applyAlignment="1">
      <alignment horizontal="center" vertical="center"/>
    </xf>
    <xf numFmtId="171" fontId="2" fillId="7" borderId="40" xfId="0" applyNumberFormat="1" applyFont="1" applyFill="1" applyBorder="1" applyAlignment="1">
      <alignment horizontal="center" vertical="center"/>
    </xf>
    <xf numFmtId="0" fontId="27" fillId="36" borderId="0" xfId="0" applyFont="1" applyFill="1" applyAlignment="1">
      <alignment horizontal="right"/>
    </xf>
    <xf numFmtId="0" fontId="2" fillId="23" borderId="0" xfId="0" applyFont="1" applyFill="1"/>
    <xf numFmtId="0" fontId="2" fillId="23" borderId="18" xfId="0" applyFont="1" applyFill="1" applyBorder="1" applyAlignment="1">
      <alignment horizontal="center"/>
    </xf>
    <xf numFmtId="0" fontId="2" fillId="7" borderId="91" xfId="0" applyFont="1" applyFill="1" applyBorder="1" applyAlignment="1">
      <alignment horizontal="center" vertical="center"/>
    </xf>
    <xf numFmtId="43" fontId="2" fillId="7" borderId="18" xfId="0" applyNumberFormat="1" applyFont="1" applyFill="1" applyBorder="1" applyAlignment="1">
      <alignment horizontal="center" vertical="center"/>
    </xf>
    <xf numFmtId="166" fontId="2" fillId="7" borderId="0" xfId="0" applyNumberFormat="1" applyFont="1" applyFill="1" applyAlignment="1">
      <alignment horizontal="center" vertical="center"/>
    </xf>
    <xf numFmtId="2" fontId="2" fillId="7" borderId="18" xfId="1" applyNumberFormat="1" applyFont="1" applyFill="1" applyBorder="1" applyAlignment="1">
      <alignment horizontal="center" vertical="center"/>
    </xf>
    <xf numFmtId="14" fontId="2" fillId="8" borderId="6" xfId="0" applyNumberFormat="1" applyFont="1" applyFill="1" applyBorder="1" applyAlignment="1">
      <alignment horizontal="center" vertical="center"/>
    </xf>
    <xf numFmtId="0" fontId="2" fillId="8" borderId="6" xfId="0" applyFont="1" applyFill="1" applyBorder="1" applyAlignment="1">
      <alignment horizontal="center" vertical="center"/>
    </xf>
    <xf numFmtId="14" fontId="0" fillId="10" borderId="50" xfId="0" applyNumberFormat="1" applyFill="1" applyBorder="1"/>
    <xf numFmtId="10" fontId="0" fillId="6" borderId="0" xfId="3" applyNumberFormat="1" applyFont="1" applyFill="1" applyAlignment="1">
      <alignment vertical="top"/>
    </xf>
    <xf numFmtId="10" fontId="19" fillId="6" borderId="0" xfId="3" applyNumberFormat="1" applyFont="1" applyFill="1" applyAlignment="1">
      <alignment vertical="top"/>
    </xf>
    <xf numFmtId="10" fontId="9" fillId="0" borderId="0" xfId="3" applyNumberFormat="1" applyFont="1"/>
    <xf numFmtId="1" fontId="0" fillId="0" borderId="0" xfId="0" applyNumberFormat="1" applyAlignment="1">
      <alignment vertical="center"/>
    </xf>
    <xf numFmtId="166" fontId="2" fillId="7" borderId="150" xfId="0" applyNumberFormat="1" applyFont="1" applyFill="1" applyBorder="1" applyAlignment="1">
      <alignment horizontal="center" vertical="center"/>
    </xf>
    <xf numFmtId="166" fontId="2" fillId="7" borderId="29" xfId="0" quotePrefix="1" applyNumberFormat="1" applyFont="1" applyFill="1" applyBorder="1" applyAlignment="1">
      <alignment horizontal="center" vertical="center"/>
    </xf>
    <xf numFmtId="2" fontId="2" fillId="7" borderId="29" xfId="1" applyNumberFormat="1" applyFont="1" applyFill="1" applyBorder="1" applyAlignment="1">
      <alignment horizontal="center" vertical="center" wrapText="1"/>
    </xf>
    <xf numFmtId="43" fontId="2" fillId="7" borderId="29" xfId="1" applyFont="1" applyFill="1" applyBorder="1" applyAlignment="1">
      <alignment horizontal="right" vertical="center"/>
    </xf>
    <xf numFmtId="43" fontId="2" fillId="7" borderId="29" xfId="1" applyFont="1" applyFill="1" applyBorder="1" applyAlignment="1">
      <alignment horizontal="right"/>
    </xf>
    <xf numFmtId="2" fontId="70" fillId="8" borderId="92" xfId="0" applyNumberFormat="1" applyFont="1" applyFill="1" applyBorder="1"/>
    <xf numFmtId="0" fontId="34" fillId="46" borderId="92" xfId="0" applyFont="1" applyFill="1" applyBorder="1" applyAlignment="1">
      <alignment vertical="center" wrapText="1" readingOrder="1"/>
    </xf>
    <xf numFmtId="0" fontId="71" fillId="2" borderId="92" xfId="0" applyFont="1" applyFill="1" applyBorder="1" applyAlignment="1">
      <alignment horizontal="center" vertical="center" wrapText="1" readingOrder="1"/>
    </xf>
    <xf numFmtId="0" fontId="75" fillId="0" borderId="0" xfId="0" applyFont="1" applyAlignment="1">
      <alignment vertical="center" wrapText="1" readingOrder="1"/>
    </xf>
    <xf numFmtId="0" fontId="76" fillId="0" borderId="0" xfId="0" applyFont="1"/>
    <xf numFmtId="0" fontId="77" fillId="0" borderId="92" xfId="0" applyFont="1" applyBorder="1" applyAlignment="1">
      <alignment vertical="center" wrapText="1" readingOrder="1"/>
    </xf>
    <xf numFmtId="0" fontId="12" fillId="0" borderId="92" xfId="0" applyFont="1" applyBorder="1"/>
    <xf numFmtId="0" fontId="78" fillId="36" borderId="92" xfId="0" applyFont="1" applyFill="1" applyBorder="1" applyAlignment="1">
      <alignment horizontal="center" vertical="center" wrapText="1" readingOrder="1"/>
    </xf>
    <xf numFmtId="0" fontId="78" fillId="4" borderId="92" xfId="0" applyFont="1" applyFill="1" applyBorder="1" applyAlignment="1">
      <alignment horizontal="center" vertical="center" wrapText="1" readingOrder="1"/>
    </xf>
    <xf numFmtId="0" fontId="78" fillId="34" borderId="92" xfId="0" applyFont="1" applyFill="1" applyBorder="1" applyAlignment="1">
      <alignment horizontal="center" vertical="center" wrapText="1" readingOrder="1"/>
    </xf>
    <xf numFmtId="0" fontId="69" fillId="0" borderId="2" xfId="0" applyFont="1" applyBorder="1" applyAlignment="1">
      <alignment horizontal="center" vertical="center"/>
    </xf>
    <xf numFmtId="0" fontId="34" fillId="46" borderId="103" xfId="0" applyFont="1" applyFill="1" applyBorder="1" applyAlignment="1">
      <alignment vertical="center" wrapText="1" readingOrder="1"/>
    </xf>
    <xf numFmtId="0" fontId="72" fillId="0" borderId="0" xfId="0" applyFont="1" applyAlignment="1">
      <alignment horizontal="center" vertical="center"/>
    </xf>
    <xf numFmtId="0" fontId="34" fillId="46" borderId="99" xfId="0" applyFont="1" applyFill="1" applyBorder="1" applyAlignment="1">
      <alignment vertical="center" wrapText="1" readingOrder="1"/>
    </xf>
    <xf numFmtId="0" fontId="34" fillId="46" borderId="100" xfId="0" applyFont="1" applyFill="1" applyBorder="1" applyAlignment="1">
      <alignment vertical="center" wrapText="1" readingOrder="1"/>
    </xf>
    <xf numFmtId="0" fontId="71" fillId="2" borderId="100" xfId="0" applyFont="1" applyFill="1" applyBorder="1" applyAlignment="1">
      <alignment horizontal="center" vertical="center" wrapText="1" readingOrder="1"/>
    </xf>
    <xf numFmtId="0" fontId="72" fillId="0" borderId="123" xfId="0" applyFont="1" applyBorder="1" applyAlignment="1">
      <alignment horizontal="center" vertical="center"/>
    </xf>
    <xf numFmtId="10" fontId="74" fillId="0" borderId="92" xfId="3" applyNumberFormat="1" applyFont="1" applyFill="1" applyBorder="1" applyAlignment="1">
      <alignment vertical="center" wrapText="1" readingOrder="1"/>
    </xf>
    <xf numFmtId="0" fontId="81" fillId="0" borderId="92" xfId="0" applyFont="1" applyBorder="1"/>
    <xf numFmtId="0" fontId="18" fillId="0" borderId="92" xfId="0" applyFont="1" applyBorder="1"/>
    <xf numFmtId="0" fontId="82" fillId="0" borderId="0" xfId="0" applyFont="1"/>
    <xf numFmtId="0" fontId="78" fillId="18" borderId="92" xfId="0" applyFont="1" applyFill="1" applyBorder="1" applyAlignment="1">
      <alignment horizontal="center" vertical="center" wrapText="1" readingOrder="1"/>
    </xf>
    <xf numFmtId="10" fontId="18" fillId="0" borderId="92" xfId="3" applyNumberFormat="1" applyFont="1" applyFill="1" applyBorder="1"/>
    <xf numFmtId="10" fontId="0" fillId="0" borderId="92" xfId="3" applyNumberFormat="1" applyFont="1" applyFill="1" applyBorder="1"/>
    <xf numFmtId="0" fontId="83" fillId="0" borderId="0" xfId="0" applyFont="1"/>
    <xf numFmtId="10" fontId="71" fillId="29" borderId="92" xfId="3" applyNumberFormat="1" applyFont="1" applyFill="1" applyBorder="1" applyAlignment="1">
      <alignment vertical="center" wrapText="1" readingOrder="1"/>
    </xf>
    <xf numFmtId="10" fontId="71" fillId="0" borderId="92" xfId="3" applyNumberFormat="1" applyFont="1" applyFill="1" applyBorder="1" applyAlignment="1">
      <alignment vertical="center" wrapText="1" readingOrder="1"/>
    </xf>
    <xf numFmtId="10" fontId="71" fillId="0" borderId="92" xfId="3" applyNumberFormat="1" applyFont="1" applyBorder="1" applyAlignment="1">
      <alignment vertical="center" wrapText="1" readingOrder="1"/>
    </xf>
    <xf numFmtId="14" fontId="2" fillId="23" borderId="29" xfId="0" applyNumberFormat="1" applyFont="1" applyFill="1" applyBorder="1" applyAlignment="1">
      <alignment horizontal="center" vertical="center"/>
    </xf>
    <xf numFmtId="1" fontId="49" fillId="3" borderId="92" xfId="0" applyNumberFormat="1" applyFont="1" applyFill="1" applyBorder="1" applyAlignment="1" applyProtection="1">
      <alignment horizontal="center" vertical="center" wrapText="1"/>
      <protection hidden="1"/>
    </xf>
    <xf numFmtId="0" fontId="0" fillId="0" borderId="92" xfId="0" applyBorder="1" applyAlignment="1" applyProtection="1">
      <alignment horizontal="center" vertical="center"/>
      <protection hidden="1"/>
    </xf>
    <xf numFmtId="2" fontId="49" fillId="3" borderId="92" xfId="0" applyNumberFormat="1" applyFont="1" applyFill="1" applyBorder="1" applyAlignment="1" applyProtection="1">
      <alignment horizontal="center" vertical="center" wrapText="1"/>
      <protection hidden="1"/>
    </xf>
    <xf numFmtId="0" fontId="49" fillId="3" borderId="92" xfId="0" applyFont="1" applyFill="1" applyBorder="1" applyAlignment="1" applyProtection="1">
      <alignment horizontal="center" vertical="center" wrapText="1"/>
      <protection hidden="1"/>
    </xf>
    <xf numFmtId="43" fontId="49" fillId="3" borderId="92" xfId="1" applyFont="1" applyFill="1" applyBorder="1" applyAlignment="1" applyProtection="1">
      <alignment horizontal="center" vertical="center" wrapText="1"/>
      <protection hidden="1"/>
    </xf>
    <xf numFmtId="176" fontId="49" fillId="3" borderId="92" xfId="1" applyNumberFormat="1" applyFont="1" applyFill="1" applyBorder="1" applyAlignment="1" applyProtection="1">
      <alignment horizontal="center" vertical="center" wrapText="1"/>
      <protection hidden="1"/>
    </xf>
    <xf numFmtId="164" fontId="49" fillId="3" borderId="92" xfId="0" applyNumberFormat="1" applyFont="1" applyFill="1" applyBorder="1" applyAlignment="1" applyProtection="1">
      <alignment horizontal="center" vertical="center" wrapText="1"/>
      <protection hidden="1"/>
    </xf>
    <xf numFmtId="167" fontId="49" fillId="4" borderId="92" xfId="0" applyNumberFormat="1" applyFont="1" applyFill="1" applyBorder="1" applyAlignment="1" applyProtection="1">
      <alignment horizontal="center" vertical="center" wrapText="1"/>
      <protection hidden="1"/>
    </xf>
    <xf numFmtId="167" fontId="5" fillId="6" borderId="92" xfId="0" applyNumberFormat="1" applyFont="1" applyFill="1" applyBorder="1" applyAlignment="1">
      <alignment horizontal="center" vertical="center" wrapText="1"/>
    </xf>
    <xf numFmtId="0" fontId="0" fillId="0" borderId="92" xfId="0" applyBorder="1" applyAlignment="1" applyProtection="1">
      <alignment vertical="center"/>
      <protection hidden="1"/>
    </xf>
    <xf numFmtId="0" fontId="0" fillId="0" borderId="92" xfId="0" applyBorder="1" applyAlignment="1" applyProtection="1">
      <alignment vertical="center" wrapText="1"/>
      <protection hidden="1"/>
    </xf>
    <xf numFmtId="43" fontId="0" fillId="0" borderId="92" xfId="1" applyFont="1" applyBorder="1" applyAlignment="1" applyProtection="1">
      <alignment vertical="center"/>
      <protection hidden="1"/>
    </xf>
    <xf numFmtId="176" fontId="0" fillId="0" borderId="92" xfId="1" applyNumberFormat="1" applyFont="1" applyBorder="1" applyAlignment="1" applyProtection="1">
      <alignment vertical="center"/>
      <protection hidden="1"/>
    </xf>
    <xf numFmtId="0" fontId="0" fillId="0" borderId="92" xfId="0" applyBorder="1" applyAlignment="1">
      <alignment vertical="center" wrapText="1"/>
    </xf>
    <xf numFmtId="43" fontId="0" fillId="0" borderId="92" xfId="1" applyFont="1" applyFill="1" applyBorder="1" applyAlignment="1" applyProtection="1">
      <alignment vertical="center"/>
      <protection hidden="1"/>
    </xf>
    <xf numFmtId="0" fontId="19" fillId="0" borderId="92" xfId="0" applyFont="1" applyBorder="1" applyAlignment="1" applyProtection="1">
      <alignment vertical="center"/>
      <protection hidden="1"/>
    </xf>
    <xf numFmtId="167" fontId="0" fillId="0" borderId="92" xfId="0" applyNumberFormat="1" applyBorder="1" applyAlignment="1" applyProtection="1">
      <alignment vertical="center"/>
      <protection hidden="1"/>
    </xf>
    <xf numFmtId="43" fontId="49" fillId="3" borderId="92" xfId="0" applyNumberFormat="1" applyFont="1" applyFill="1" applyBorder="1" applyAlignment="1" applyProtection="1">
      <alignment horizontal="center" vertical="center" wrapText="1"/>
      <protection hidden="1"/>
    </xf>
    <xf numFmtId="43" fontId="49" fillId="13" borderId="92" xfId="1" applyFont="1" applyFill="1" applyBorder="1" applyAlignment="1" applyProtection="1">
      <alignment horizontal="center" vertical="center" wrapText="1"/>
      <protection hidden="1"/>
    </xf>
    <xf numFmtId="43" fontId="49" fillId="13" borderId="92" xfId="0" applyNumberFormat="1" applyFont="1" applyFill="1" applyBorder="1" applyAlignment="1" applyProtection="1">
      <alignment horizontal="center" vertical="center" wrapText="1"/>
      <protection hidden="1"/>
    </xf>
    <xf numFmtId="167" fontId="49" fillId="3" borderId="92" xfId="0" applyNumberFormat="1" applyFont="1" applyFill="1" applyBorder="1" applyAlignment="1" applyProtection="1">
      <alignment horizontal="center" vertical="center" wrapText="1"/>
      <protection hidden="1"/>
    </xf>
    <xf numFmtId="0" fontId="0" fillId="0" borderId="92" xfId="0" applyBorder="1" applyAlignment="1">
      <alignment horizontal="left" vertical="center" wrapText="1"/>
    </xf>
    <xf numFmtId="0" fontId="0" fillId="0" borderId="92" xfId="0" applyBorder="1" applyAlignment="1">
      <alignment vertical="center"/>
    </xf>
    <xf numFmtId="0" fontId="9" fillId="0" borderId="92" xfId="0" applyFont="1" applyBorder="1" applyAlignment="1" applyProtection="1">
      <alignment horizontal="center" vertical="center"/>
      <protection hidden="1"/>
    </xf>
    <xf numFmtId="0" fontId="9" fillId="0" borderId="92" xfId="0" applyFont="1" applyBorder="1" applyAlignment="1" applyProtection="1">
      <alignment vertical="center"/>
      <protection hidden="1"/>
    </xf>
    <xf numFmtId="0" fontId="9" fillId="0" borderId="92" xfId="0" applyFont="1" applyBorder="1" applyAlignment="1" applyProtection="1">
      <alignment vertical="center" wrapText="1"/>
      <protection hidden="1"/>
    </xf>
    <xf numFmtId="43" fontId="9" fillId="0" borderId="92" xfId="1" applyFont="1" applyBorder="1" applyAlignment="1" applyProtection="1">
      <alignment vertical="center"/>
      <protection hidden="1"/>
    </xf>
    <xf numFmtId="176" fontId="9" fillId="0" borderId="92" xfId="1" applyNumberFormat="1" applyFont="1" applyBorder="1" applyAlignment="1" applyProtection="1">
      <alignment vertical="center"/>
      <protection hidden="1"/>
    </xf>
    <xf numFmtId="167" fontId="9" fillId="0" borderId="92" xfId="0" applyNumberFormat="1" applyFont="1" applyBorder="1" applyAlignment="1" applyProtection="1">
      <alignment vertical="center"/>
      <protection hidden="1"/>
    </xf>
    <xf numFmtId="0" fontId="9" fillId="0" borderId="92" xfId="0" applyFont="1" applyBorder="1" applyAlignment="1">
      <alignment horizontal="left" vertical="center"/>
    </xf>
    <xf numFmtId="0" fontId="9" fillId="0" borderId="92" xfId="0" applyFont="1" applyBorder="1" applyAlignment="1">
      <alignment vertical="center"/>
    </xf>
    <xf numFmtId="167" fontId="9" fillId="0" borderId="92" xfId="0" applyNumberFormat="1" applyFont="1" applyBorder="1" applyAlignment="1" applyProtection="1">
      <alignment horizontal="center" vertical="center"/>
      <protection hidden="1"/>
    </xf>
    <xf numFmtId="0" fontId="27" fillId="0" borderId="92" xfId="0" applyFont="1" applyBorder="1" applyAlignment="1" applyProtection="1">
      <alignment vertical="center"/>
      <protection hidden="1"/>
    </xf>
    <xf numFmtId="0" fontId="84" fillId="36" borderId="92" xfId="0" applyFont="1" applyFill="1" applyBorder="1" applyAlignment="1">
      <alignment vertical="center"/>
    </xf>
    <xf numFmtId="0" fontId="0" fillId="43" borderId="92" xfId="0" applyFill="1" applyBorder="1" applyAlignment="1" applyProtection="1">
      <alignment vertical="center"/>
      <protection hidden="1"/>
    </xf>
    <xf numFmtId="167" fontId="0" fillId="43" borderId="92" xfId="0" applyNumberFormat="1" applyFill="1" applyBorder="1" applyAlignment="1" applyProtection="1">
      <alignment vertical="center"/>
      <protection hidden="1"/>
    </xf>
    <xf numFmtId="0" fontId="85" fillId="0" borderId="0" xfId="0" applyFont="1" applyAlignment="1">
      <alignment vertical="center"/>
    </xf>
    <xf numFmtId="0" fontId="16" fillId="53" borderId="113" xfId="0" applyFont="1" applyFill="1" applyBorder="1" applyAlignment="1">
      <alignment vertical="center"/>
    </xf>
    <xf numFmtId="0" fontId="86" fillId="0" borderId="137" xfId="0" applyFont="1" applyBorder="1" applyAlignment="1">
      <alignment horizontal="right" vertical="center"/>
    </xf>
    <xf numFmtId="0" fontId="16" fillId="53" borderId="135" xfId="0" applyFont="1" applyFill="1" applyBorder="1" applyAlignment="1">
      <alignment vertical="center"/>
    </xf>
    <xf numFmtId="0" fontId="86" fillId="0" borderId="134" xfId="0" applyFont="1" applyBorder="1" applyAlignment="1">
      <alignment horizontal="right" vertical="center"/>
    </xf>
    <xf numFmtId="0" fontId="28" fillId="0" borderId="0" xfId="0" applyFont="1" applyAlignment="1">
      <alignment vertical="center"/>
    </xf>
    <xf numFmtId="14" fontId="9" fillId="0" borderId="0" xfId="0" applyNumberFormat="1" applyFont="1" applyAlignment="1">
      <alignment horizontal="center" vertical="center"/>
    </xf>
    <xf numFmtId="0" fontId="0" fillId="36" borderId="0" xfId="0" applyFill="1" applyAlignment="1">
      <alignment horizontal="center"/>
    </xf>
    <xf numFmtId="0" fontId="0" fillId="36" borderId="0" xfId="0" applyFill="1" applyAlignment="1">
      <alignment horizontal="center" vertical="center"/>
    </xf>
    <xf numFmtId="14" fontId="0" fillId="36" borderId="0" xfId="0" applyNumberFormat="1" applyFill="1" applyAlignment="1">
      <alignment horizontal="center" vertical="center"/>
    </xf>
    <xf numFmtId="0" fontId="0" fillId="0" borderId="64" xfId="0" applyBorder="1" applyAlignment="1">
      <alignment horizontal="center" vertical="center"/>
    </xf>
    <xf numFmtId="2" fontId="56" fillId="34" borderId="37" xfId="0" applyNumberFormat="1" applyFont="1" applyFill="1" applyBorder="1" applyAlignment="1">
      <alignment horizontal="center" vertical="center"/>
    </xf>
    <xf numFmtId="0" fontId="0" fillId="0" borderId="116" xfId="0" applyBorder="1" applyAlignment="1">
      <alignment horizontal="center" vertical="center"/>
    </xf>
    <xf numFmtId="2" fontId="56" fillId="36" borderId="37" xfId="0" applyNumberFormat="1" applyFont="1" applyFill="1" applyBorder="1" applyAlignment="1">
      <alignment horizontal="center" vertical="center"/>
    </xf>
    <xf numFmtId="0" fontId="0" fillId="36" borderId="116" xfId="0" applyFill="1" applyBorder="1" applyAlignment="1">
      <alignment horizontal="center" vertical="center"/>
    </xf>
    <xf numFmtId="2" fontId="56" fillId="36" borderId="111" xfId="0" applyNumberFormat="1" applyFont="1" applyFill="1" applyBorder="1" applyAlignment="1">
      <alignment horizontal="center" vertical="center"/>
    </xf>
    <xf numFmtId="0" fontId="0" fillId="36" borderId="118" xfId="0" applyFill="1" applyBorder="1" applyAlignment="1">
      <alignment horizontal="center"/>
    </xf>
    <xf numFmtId="14" fontId="0" fillId="36" borderId="118" xfId="0" applyNumberFormat="1" applyFill="1" applyBorder="1" applyAlignment="1">
      <alignment horizontal="center" vertical="center"/>
    </xf>
    <xf numFmtId="0" fontId="0" fillId="36" borderId="119" xfId="0" applyFill="1" applyBorder="1" applyAlignment="1">
      <alignment horizontal="center" vertical="center"/>
    </xf>
    <xf numFmtId="164" fontId="87" fillId="7" borderId="77" xfId="0" applyNumberFormat="1" applyFont="1" applyFill="1" applyBorder="1" applyAlignment="1">
      <alignment horizontal="center" vertical="center"/>
    </xf>
    <xf numFmtId="2" fontId="87" fillId="7" borderId="41" xfId="0" applyNumberFormat="1" applyFont="1" applyFill="1" applyBorder="1" applyAlignment="1">
      <alignment horizontal="left" vertical="center"/>
    </xf>
    <xf numFmtId="0" fontId="87" fillId="7" borderId="29" xfId="0" applyFont="1" applyFill="1" applyBorder="1" applyAlignment="1">
      <alignment vertical="top"/>
    </xf>
    <xf numFmtId="0" fontId="87" fillId="7" borderId="29" xfId="0" applyFont="1" applyFill="1" applyBorder="1" applyAlignment="1">
      <alignment horizontal="center" vertical="center"/>
    </xf>
    <xf numFmtId="166" fontId="87" fillId="7" borderId="29" xfId="0" applyNumberFormat="1" applyFont="1" applyFill="1" applyBorder="1" applyAlignment="1">
      <alignment horizontal="center" vertical="center"/>
    </xf>
    <xf numFmtId="43" fontId="87" fillId="7" borderId="29" xfId="1" applyFont="1" applyFill="1" applyBorder="1" applyAlignment="1">
      <alignment horizontal="center" vertical="center"/>
    </xf>
    <xf numFmtId="166" fontId="87" fillId="7" borderId="0" xfId="0" applyNumberFormat="1" applyFont="1" applyFill="1" applyAlignment="1">
      <alignment horizontal="center" vertical="center"/>
    </xf>
    <xf numFmtId="2" fontId="5" fillId="7" borderId="41" xfId="0" applyNumberFormat="1" applyFont="1" applyFill="1" applyBorder="1" applyAlignment="1">
      <alignment horizontal="center" vertical="center"/>
    </xf>
    <xf numFmtId="43" fontId="2" fillId="7" borderId="29" xfId="0" applyNumberFormat="1" applyFont="1" applyFill="1" applyBorder="1" applyAlignment="1">
      <alignment horizontal="center" vertical="center" wrapText="1"/>
    </xf>
    <xf numFmtId="2" fontId="16" fillId="0" borderId="128" xfId="0" applyNumberFormat="1" applyFont="1" applyBorder="1"/>
    <xf numFmtId="0" fontId="0" fillId="17" borderId="0" xfId="0" applyFill="1"/>
    <xf numFmtId="0" fontId="0" fillId="2" borderId="151" xfId="0" applyFill="1" applyBorder="1"/>
    <xf numFmtId="0" fontId="0" fillId="2" borderId="152" xfId="0" applyFill="1" applyBorder="1"/>
    <xf numFmtId="0" fontId="0" fillId="2" borderId="153" xfId="0" applyFill="1" applyBorder="1"/>
    <xf numFmtId="0" fontId="88" fillId="2" borderId="0" xfId="0" applyFont="1" applyFill="1"/>
    <xf numFmtId="14" fontId="19" fillId="17" borderId="0" xfId="0" applyNumberFormat="1" applyFont="1" applyFill="1"/>
    <xf numFmtId="2" fontId="2" fillId="36" borderId="41" xfId="0" applyNumberFormat="1" applyFont="1" applyFill="1" applyBorder="1" applyAlignment="1">
      <alignment horizontal="left" vertical="center"/>
    </xf>
    <xf numFmtId="0" fontId="2" fillId="36" borderId="29" xfId="0" applyFont="1" applyFill="1" applyBorder="1" applyAlignment="1">
      <alignment vertical="center"/>
    </xf>
    <xf numFmtId="0" fontId="2" fillId="36" borderId="29" xfId="0" applyFont="1" applyFill="1" applyBorder="1" applyAlignment="1">
      <alignment vertical="center" wrapText="1"/>
    </xf>
    <xf numFmtId="0" fontId="45" fillId="0" borderId="87" xfId="0" applyFont="1" applyBorder="1" applyAlignment="1">
      <alignment horizontal="center" vertical="center"/>
    </xf>
    <xf numFmtId="0" fontId="45" fillId="0" borderId="87" xfId="0" applyFont="1" applyBorder="1" applyAlignment="1">
      <alignment horizontal="center" vertical="center" wrapText="1"/>
    </xf>
    <xf numFmtId="0" fontId="2" fillId="0" borderId="0" xfId="0" applyFont="1" applyAlignment="1">
      <alignment horizontal="left" vertical="center" wrapText="1"/>
    </xf>
    <xf numFmtId="0" fontId="41" fillId="0" borderId="0" xfId="0" applyFont="1" applyAlignment="1">
      <alignment horizontal="right" vertical="center" wrapText="1"/>
    </xf>
    <xf numFmtId="0" fontId="41" fillId="0" borderId="0" xfId="0" applyFont="1" applyAlignment="1">
      <alignment horizontal="right" wrapText="1"/>
    </xf>
    <xf numFmtId="0" fontId="0" fillId="0" borderId="37" xfId="0" applyBorder="1" applyAlignment="1">
      <alignment horizontal="center" vertical="center"/>
    </xf>
    <xf numFmtId="0" fontId="0" fillId="0" borderId="116" xfId="0" applyBorder="1"/>
    <xf numFmtId="2" fontId="2" fillId="0" borderId="0" xfId="0" applyNumberFormat="1" applyFont="1" applyAlignment="1">
      <alignment horizontal="left" vertical="center"/>
    </xf>
    <xf numFmtId="2" fontId="2" fillId="0" borderId="0" xfId="0" applyNumberFormat="1" applyFont="1" applyAlignment="1">
      <alignment horizontal="center" vertical="center"/>
    </xf>
    <xf numFmtId="0" fontId="2" fillId="0" borderId="0" xfId="0" applyFont="1" applyAlignment="1">
      <alignment horizontal="center" vertical="center"/>
    </xf>
    <xf numFmtId="4" fontId="0" fillId="0" borderId="0" xfId="0" applyNumberFormat="1"/>
    <xf numFmtId="0" fontId="2" fillId="0" borderId="0" xfId="0" applyFont="1" applyAlignment="1">
      <alignment vertical="center" wrapText="1"/>
    </xf>
    <xf numFmtId="0" fontId="16" fillId="0" borderId="37" xfId="0" quotePrefix="1" applyFont="1" applyBorder="1" applyAlignment="1">
      <alignment horizontal="center" vertical="center"/>
    </xf>
    <xf numFmtId="14" fontId="45" fillId="0" borderId="87" xfId="0" applyNumberFormat="1" applyFont="1" applyBorder="1" applyAlignment="1">
      <alignment horizontal="center" vertical="center" wrapText="1"/>
    </xf>
    <xf numFmtId="14" fontId="2" fillId="7" borderId="29" xfId="0" applyNumberFormat="1" applyFont="1" applyFill="1" applyBorder="1" applyAlignment="1">
      <alignment horizontal="right" vertical="center"/>
    </xf>
    <xf numFmtId="14" fontId="2" fillId="36" borderId="29" xfId="0" applyNumberFormat="1" applyFont="1" applyFill="1" applyBorder="1" applyAlignment="1">
      <alignment horizontal="right" vertical="center"/>
    </xf>
    <xf numFmtId="2" fontId="2" fillId="36" borderId="29" xfId="1" applyNumberFormat="1" applyFont="1" applyFill="1" applyBorder="1" applyAlignment="1">
      <alignment horizontal="center" vertical="center"/>
    </xf>
    <xf numFmtId="2" fontId="0" fillId="2" borderId="152" xfId="0" applyNumberFormat="1" applyFill="1" applyBorder="1"/>
    <xf numFmtId="2" fontId="0" fillId="2" borderId="153" xfId="0" applyNumberFormat="1" applyFill="1" applyBorder="1"/>
    <xf numFmtId="14" fontId="16" fillId="41" borderId="0" xfId="0" applyNumberFormat="1" applyFont="1" applyFill="1"/>
    <xf numFmtId="0" fontId="16" fillId="0" borderId="0" xfId="0" applyFont="1" applyAlignment="1">
      <alignment horizontal="left" vertical="center"/>
    </xf>
    <xf numFmtId="43" fontId="0" fillId="2" borderId="151" xfId="1" applyFont="1" applyFill="1" applyBorder="1"/>
    <xf numFmtId="43" fontId="0" fillId="2" borderId="152" xfId="1" applyFont="1" applyFill="1" applyBorder="1"/>
    <xf numFmtId="43" fontId="0" fillId="2" borderId="135" xfId="1" applyFont="1" applyFill="1" applyBorder="1"/>
    <xf numFmtId="164" fontId="1" fillId="0" borderId="60" xfId="0" applyNumberFormat="1" applyFont="1" applyBorder="1" applyAlignment="1">
      <alignment horizontal="center" vertical="center"/>
    </xf>
    <xf numFmtId="164" fontId="2" fillId="0" borderId="0" xfId="0" applyNumberFormat="1" applyFont="1" applyAlignment="1">
      <alignment vertical="center" wrapText="1"/>
    </xf>
    <xf numFmtId="14" fontId="16" fillId="0" borderId="0" xfId="0" applyNumberFormat="1" applyFont="1" applyAlignment="1">
      <alignment horizontal="center"/>
    </xf>
    <xf numFmtId="14" fontId="2" fillId="7" borderId="29" xfId="0" applyNumberFormat="1" applyFont="1" applyFill="1" applyBorder="1" applyAlignment="1">
      <alignment horizontal="center" vertical="center"/>
    </xf>
    <xf numFmtId="14" fontId="0" fillId="0" borderId="0" xfId="0" applyNumberFormat="1" applyAlignment="1">
      <alignment horizontal="center"/>
    </xf>
    <xf numFmtId="164" fontId="2" fillId="7" borderId="91" xfId="0" applyNumberFormat="1" applyFont="1" applyFill="1" applyBorder="1" applyAlignment="1">
      <alignment horizontal="center" vertical="center"/>
    </xf>
    <xf numFmtId="2" fontId="2" fillId="7" borderId="94" xfId="0" applyNumberFormat="1" applyFont="1" applyFill="1" applyBorder="1" applyAlignment="1">
      <alignment horizontal="left" vertical="center"/>
    </xf>
    <xf numFmtId="0" fontId="2" fillId="7" borderId="91" xfId="0" applyFont="1" applyFill="1" applyBorder="1" applyAlignment="1">
      <alignment vertical="center" wrapText="1"/>
    </xf>
    <xf numFmtId="0" fontId="2" fillId="7" borderId="91" xfId="0" applyFont="1" applyFill="1" applyBorder="1" applyAlignment="1">
      <alignment vertical="center"/>
    </xf>
    <xf numFmtId="0" fontId="0" fillId="10" borderId="28" xfId="0" applyFill="1" applyBorder="1" applyAlignment="1">
      <alignment vertical="center"/>
    </xf>
    <xf numFmtId="0" fontId="0" fillId="10" borderId="31" xfId="0" applyFill="1" applyBorder="1" applyAlignment="1">
      <alignment vertical="center"/>
    </xf>
    <xf numFmtId="0" fontId="2" fillId="23" borderId="68" xfId="0" applyFont="1" applyFill="1" applyBorder="1"/>
    <xf numFmtId="0" fontId="2" fillId="7" borderId="77" xfId="0" applyFont="1" applyFill="1" applyBorder="1" applyAlignment="1">
      <alignment horizontal="left" vertical="center"/>
    </xf>
    <xf numFmtId="0" fontId="1" fillId="7" borderId="38" xfId="0" applyFont="1" applyFill="1" applyBorder="1"/>
    <xf numFmtId="164" fontId="2" fillId="7" borderId="56" xfId="0" applyNumberFormat="1" applyFont="1" applyFill="1" applyBorder="1" applyAlignment="1">
      <alignment horizontal="center" vertical="center"/>
    </xf>
    <xf numFmtId="0" fontId="1" fillId="7" borderId="29" xfId="0" applyFont="1" applyFill="1" applyBorder="1"/>
    <xf numFmtId="164" fontId="2" fillId="7" borderId="39" xfId="0" applyNumberFormat="1" applyFont="1" applyFill="1" applyBorder="1" applyAlignment="1">
      <alignment horizontal="center" vertical="center"/>
    </xf>
    <xf numFmtId="2" fontId="2" fillId="7" borderId="29" xfId="0" applyNumberFormat="1" applyFont="1" applyFill="1" applyBorder="1" applyAlignment="1">
      <alignment horizontal="left" vertical="center"/>
    </xf>
    <xf numFmtId="166" fontId="2" fillId="7" borderId="41" xfId="0" applyNumberFormat="1" applyFont="1" applyFill="1" applyBorder="1" applyAlignment="1">
      <alignment horizontal="center" vertical="center"/>
    </xf>
    <xf numFmtId="0" fontId="0" fillId="0" borderId="0" xfId="0" pivotButton="1"/>
    <xf numFmtId="0" fontId="0" fillId="0" borderId="0" xfId="0" applyAlignment="1">
      <alignment horizontal="left" vertical="top" wrapText="1"/>
    </xf>
    <xf numFmtId="0" fontId="0" fillId="0" borderId="0" xfId="0" applyAlignment="1">
      <alignment vertical="top" wrapText="1"/>
    </xf>
    <xf numFmtId="0" fontId="0" fillId="0" borderId="0" xfId="0" pivotButton="1" applyAlignment="1">
      <alignment vertical="top" wrapText="1"/>
    </xf>
    <xf numFmtId="0" fontId="19" fillId="54" borderId="157" xfId="0" applyFont="1" applyFill="1" applyBorder="1" applyAlignment="1">
      <alignment vertical="top" wrapText="1"/>
    </xf>
    <xf numFmtId="0" fontId="19" fillId="54" borderId="158" xfId="0" applyFont="1" applyFill="1" applyBorder="1" applyAlignment="1">
      <alignment horizontal="left"/>
    </xf>
    <xf numFmtId="4" fontId="19" fillId="54" borderId="158" xfId="0" applyNumberFormat="1" applyFont="1" applyFill="1" applyBorder="1"/>
    <xf numFmtId="4" fontId="0" fillId="0" borderId="0" xfId="0" applyNumberFormat="1" applyAlignment="1">
      <alignment horizontal="center"/>
    </xf>
    <xf numFmtId="0" fontId="0" fillId="0" borderId="0" xfId="0" pivotButton="1" applyAlignment="1">
      <alignment horizontal="center"/>
    </xf>
    <xf numFmtId="0" fontId="0" fillId="0" borderId="0" xfId="0" applyAlignment="1">
      <alignment horizontal="center" vertical="top" wrapText="1"/>
    </xf>
    <xf numFmtId="0" fontId="19" fillId="54" borderId="157" xfId="0" applyFont="1" applyFill="1" applyBorder="1" applyAlignment="1">
      <alignment horizontal="center" vertical="top" wrapText="1"/>
    </xf>
    <xf numFmtId="4" fontId="19" fillId="54" borderId="158" xfId="0" applyNumberFormat="1" applyFont="1" applyFill="1" applyBorder="1" applyAlignment="1">
      <alignment horizontal="center"/>
    </xf>
    <xf numFmtId="1" fontId="2" fillId="9" borderId="67" xfId="0" applyNumberFormat="1" applyFont="1" applyFill="1" applyBorder="1" applyAlignment="1">
      <alignment horizontal="center" vertical="center"/>
    </xf>
    <xf numFmtId="1" fontId="2" fillId="9" borderId="68" xfId="0" applyNumberFormat="1" applyFont="1" applyFill="1" applyBorder="1" applyAlignment="1">
      <alignment horizontal="center" vertical="center"/>
    </xf>
    <xf numFmtId="1" fontId="2" fillId="9" borderId="65" xfId="0" applyNumberFormat="1" applyFont="1" applyFill="1" applyBorder="1" applyAlignment="1">
      <alignment horizontal="center" vertical="center"/>
    </xf>
    <xf numFmtId="1" fontId="2" fillId="9" borderId="72" xfId="0" applyNumberFormat="1" applyFont="1" applyFill="1" applyBorder="1" applyAlignment="1">
      <alignment horizontal="center" vertical="center"/>
    </xf>
    <xf numFmtId="0" fontId="2" fillId="9" borderId="73" xfId="0" applyFont="1" applyFill="1" applyBorder="1" applyAlignment="1">
      <alignment horizontal="center" vertical="center"/>
    </xf>
    <xf numFmtId="0" fontId="4" fillId="7" borderId="29" xfId="0" applyFont="1" applyFill="1" applyBorder="1" applyAlignment="1">
      <alignment vertical="center"/>
    </xf>
    <xf numFmtId="14" fontId="4" fillId="7" borderId="29" xfId="0" applyNumberFormat="1" applyFont="1" applyFill="1" applyBorder="1" applyAlignment="1">
      <alignment horizontal="center" vertical="center"/>
    </xf>
    <xf numFmtId="2" fontId="4" fillId="7" borderId="29" xfId="1" applyNumberFormat="1" applyFont="1" applyFill="1" applyBorder="1" applyAlignment="1">
      <alignment horizontal="center" vertical="center"/>
    </xf>
    <xf numFmtId="43" fontId="0" fillId="0" borderId="92" xfId="1" applyFont="1" applyBorder="1" applyAlignment="1" applyProtection="1">
      <alignment vertical="center" wrapText="1"/>
      <protection hidden="1"/>
    </xf>
    <xf numFmtId="0" fontId="0" fillId="0" borderId="29" xfId="0" applyBorder="1" applyAlignment="1">
      <alignment horizontal="center"/>
    </xf>
    <xf numFmtId="174" fontId="0" fillId="0" borderId="111" xfId="0" applyNumberFormat="1" applyBorder="1" applyAlignment="1">
      <alignment vertical="center"/>
    </xf>
    <xf numFmtId="43" fontId="0" fillId="0" borderId="90" xfId="0" applyNumberFormat="1" applyBorder="1"/>
    <xf numFmtId="43" fontId="0" fillId="0" borderId="89" xfId="0" applyNumberFormat="1" applyBorder="1"/>
    <xf numFmtId="10" fontId="30" fillId="34" borderId="0" xfId="3" applyNumberFormat="1" applyFont="1" applyFill="1" applyBorder="1" applyAlignment="1">
      <alignment horizontal="center" vertical="center" wrapText="1"/>
    </xf>
    <xf numFmtId="0" fontId="30" fillId="34" borderId="0" xfId="0" applyFont="1" applyFill="1" applyAlignment="1">
      <alignment horizontal="center" vertical="center" wrapText="1"/>
    </xf>
    <xf numFmtId="164" fontId="2" fillId="24" borderId="29" xfId="0" applyNumberFormat="1" applyFont="1" applyFill="1" applyBorder="1" applyAlignment="1">
      <alignment horizontal="center" vertical="center"/>
    </xf>
    <xf numFmtId="164" fontId="87" fillId="8" borderId="29" xfId="0" applyNumberFormat="1" applyFont="1" applyFill="1" applyBorder="1" applyAlignment="1">
      <alignment horizontal="center" vertical="center"/>
    </xf>
    <xf numFmtId="164" fontId="3" fillId="3" borderId="70" xfId="0" applyNumberFormat="1" applyFont="1" applyFill="1" applyBorder="1" applyAlignment="1">
      <alignment horizontal="center" vertical="center" wrapText="1"/>
    </xf>
    <xf numFmtId="0" fontId="2" fillId="7" borderId="41" xfId="0" applyFont="1" applyFill="1" applyBorder="1" applyAlignment="1">
      <alignment horizontal="left" vertical="center"/>
    </xf>
    <xf numFmtId="164" fontId="1" fillId="0" borderId="0" xfId="0" applyNumberFormat="1" applyFont="1" applyAlignment="1">
      <alignment horizontal="left" vertical="center"/>
    </xf>
    <xf numFmtId="0" fontId="2" fillId="7" borderId="82" xfId="0" applyFont="1" applyFill="1" applyBorder="1" applyAlignment="1">
      <alignment horizontal="left" vertical="center"/>
    </xf>
    <xf numFmtId="0" fontId="2" fillId="7" borderId="41" xfId="0" applyFont="1" applyFill="1" applyBorder="1" applyAlignment="1">
      <alignment horizontal="left" vertical="center" wrapText="1"/>
    </xf>
    <xf numFmtId="164" fontId="2" fillId="7" borderId="41" xfId="0" applyNumberFormat="1" applyFont="1" applyFill="1" applyBorder="1" applyAlignment="1">
      <alignment horizontal="left" vertical="center"/>
    </xf>
    <xf numFmtId="0" fontId="2" fillId="7" borderId="29" xfId="0" applyFont="1" applyFill="1" applyBorder="1" applyAlignment="1">
      <alignment horizontal="left" vertical="center" wrapText="1"/>
    </xf>
    <xf numFmtId="0" fontId="16" fillId="0" borderId="0" xfId="0" applyFont="1" applyAlignment="1">
      <alignment horizontal="center"/>
    </xf>
    <xf numFmtId="0" fontId="86" fillId="0" borderId="0" xfId="0" applyFont="1"/>
    <xf numFmtId="0" fontId="2" fillId="55" borderId="94" xfId="0" applyFont="1" applyFill="1" applyBorder="1" applyAlignment="1">
      <alignment horizontal="left"/>
    </xf>
    <xf numFmtId="0" fontId="2" fillId="55" borderId="94" xfId="0" applyFont="1" applyFill="1" applyBorder="1"/>
    <xf numFmtId="2" fontId="2" fillId="0" borderId="41" xfId="0" applyNumberFormat="1" applyFont="1" applyBorder="1" applyAlignment="1">
      <alignment horizontal="left" vertical="center"/>
    </xf>
    <xf numFmtId="0" fontId="2" fillId="0" borderId="29" xfId="0" applyFont="1" applyBorder="1" applyAlignment="1">
      <alignment vertical="center" wrapText="1"/>
    </xf>
    <xf numFmtId="0" fontId="2" fillId="0" borderId="29" xfId="0" applyFont="1" applyBorder="1" applyAlignment="1">
      <alignment vertical="center"/>
    </xf>
    <xf numFmtId="14" fontId="2" fillId="0" borderId="29" xfId="0" applyNumberFormat="1" applyFont="1" applyBorder="1" applyAlignment="1">
      <alignment horizontal="right" vertical="center"/>
    </xf>
    <xf numFmtId="2" fontId="2" fillId="0" borderId="29" xfId="1" applyNumberFormat="1" applyFont="1" applyFill="1" applyBorder="1" applyAlignment="1">
      <alignment horizontal="center" vertical="center"/>
    </xf>
    <xf numFmtId="0" fontId="2" fillId="0" borderId="94" xfId="0" applyFont="1" applyBorder="1"/>
    <xf numFmtId="0" fontId="2" fillId="0" borderId="91" xfId="0" applyFont="1" applyBorder="1"/>
    <xf numFmtId="0" fontId="90" fillId="0" borderId="0" xfId="4" applyFont="1"/>
    <xf numFmtId="0" fontId="90" fillId="0" borderId="0" xfId="4" applyFont="1" applyAlignment="1">
      <alignment horizontal="center" vertical="center"/>
    </xf>
    <xf numFmtId="0" fontId="90" fillId="0" borderId="0" xfId="4" applyFont="1" applyAlignment="1">
      <alignment vertical="center"/>
    </xf>
    <xf numFmtId="0" fontId="91" fillId="0" borderId="92" xfId="4" applyFont="1" applyBorder="1" applyAlignment="1">
      <alignment horizontal="center" vertical="center" wrapText="1"/>
    </xf>
    <xf numFmtId="0" fontId="93" fillId="0" borderId="160" xfId="4" applyFont="1" applyBorder="1" applyAlignment="1">
      <alignment horizontal="left" vertical="center" wrapText="1" readingOrder="1"/>
    </xf>
    <xf numFmtId="0" fontId="93" fillId="0" borderId="160" xfId="4" applyFont="1" applyBorder="1" applyAlignment="1">
      <alignment horizontal="left" vertical="top" wrapText="1" readingOrder="1"/>
    </xf>
    <xf numFmtId="0" fontId="93" fillId="0" borderId="161" xfId="4" applyFont="1" applyBorder="1" applyAlignment="1">
      <alignment horizontal="left" vertical="center" wrapText="1" readingOrder="1"/>
    </xf>
    <xf numFmtId="0" fontId="93" fillId="0" borderId="161" xfId="4" applyFont="1" applyBorder="1" applyAlignment="1">
      <alignment horizontal="left" vertical="top" wrapText="1" readingOrder="1"/>
    </xf>
    <xf numFmtId="0" fontId="93" fillId="0" borderId="162" xfId="4" applyFont="1" applyBorder="1" applyAlignment="1">
      <alignment horizontal="left" vertical="center" wrapText="1" readingOrder="1"/>
    </xf>
    <xf numFmtId="0" fontId="93" fillId="0" borderId="162" xfId="4" applyFont="1" applyBorder="1" applyAlignment="1">
      <alignment horizontal="left" vertical="top" wrapText="1" readingOrder="1"/>
    </xf>
    <xf numFmtId="0" fontId="45" fillId="0" borderId="14" xfId="0" applyFont="1" applyBorder="1" applyAlignment="1">
      <alignment horizontal="left" vertical="center"/>
    </xf>
    <xf numFmtId="43" fontId="16" fillId="0" borderId="0" xfId="0" applyNumberFormat="1" applyFont="1" applyAlignment="1">
      <alignment horizontal="left"/>
    </xf>
    <xf numFmtId="4" fontId="47" fillId="0" borderId="0" xfId="0" applyNumberFormat="1" applyFont="1" applyAlignment="1">
      <alignment horizontal="left"/>
    </xf>
    <xf numFmtId="2" fontId="16" fillId="0" borderId="0" xfId="0" applyNumberFormat="1" applyFont="1" applyAlignment="1">
      <alignment horizontal="left"/>
    </xf>
    <xf numFmtId="0" fontId="4" fillId="7" borderId="29" xfId="0" applyFont="1" applyFill="1" applyBorder="1" applyAlignment="1">
      <alignment horizontal="left" vertical="center"/>
    </xf>
    <xf numFmtId="2" fontId="49" fillId="4" borderId="30" xfId="0" applyNumberFormat="1" applyFont="1" applyFill="1" applyBorder="1" applyAlignment="1">
      <alignment horizontal="center" vertical="center" wrapText="1"/>
    </xf>
    <xf numFmtId="2" fontId="49" fillId="4" borderId="28" xfId="0" applyNumberFormat="1" applyFont="1" applyFill="1" applyBorder="1" applyAlignment="1">
      <alignment horizontal="center" vertical="center" wrapText="1"/>
    </xf>
    <xf numFmtId="2" fontId="49" fillId="4" borderId="29" xfId="0" applyNumberFormat="1" applyFont="1" applyFill="1" applyBorder="1" applyAlignment="1">
      <alignment horizontal="center" vertical="center" wrapText="1"/>
    </xf>
    <xf numFmtId="14" fontId="49" fillId="4" borderId="29" xfId="0" applyNumberFormat="1" applyFont="1" applyFill="1" applyBorder="1" applyAlignment="1">
      <alignment horizontal="center" vertical="center" wrapText="1"/>
    </xf>
    <xf numFmtId="14" fontId="49" fillId="4" borderId="30" xfId="0" applyNumberFormat="1" applyFont="1" applyFill="1" applyBorder="1" applyAlignment="1">
      <alignment horizontal="center" vertical="center" wrapText="1"/>
    </xf>
    <xf numFmtId="2" fontId="2" fillId="9" borderId="71" xfId="0" applyNumberFormat="1" applyFont="1" applyFill="1" applyBorder="1" applyAlignment="1">
      <alignment horizontal="center" vertical="center"/>
    </xf>
    <xf numFmtId="2" fontId="2" fillId="9" borderId="50" xfId="1" applyNumberFormat="1" applyFont="1" applyFill="1" applyBorder="1" applyAlignment="1">
      <alignment horizontal="center" vertical="center"/>
    </xf>
    <xf numFmtId="0" fontId="21" fillId="19" borderId="163" xfId="0" applyFont="1" applyFill="1" applyBorder="1" applyAlignment="1">
      <alignment horizontal="center" vertical="center"/>
    </xf>
    <xf numFmtId="0" fontId="33" fillId="0" borderId="119" xfId="1" applyNumberFormat="1" applyFont="1" applyBorder="1" applyAlignment="1">
      <alignment horizontal="center" vertical="center"/>
    </xf>
    <xf numFmtId="0" fontId="0" fillId="0" borderId="14" xfId="1" applyNumberFormat="1" applyFont="1" applyBorder="1" applyAlignment="1">
      <alignment horizontal="center" vertical="center"/>
    </xf>
    <xf numFmtId="0" fontId="33" fillId="0" borderId="14" xfId="1" applyNumberFormat="1" applyFont="1" applyBorder="1" applyAlignment="1">
      <alignment horizontal="center" vertical="center"/>
    </xf>
    <xf numFmtId="0" fontId="0" fillId="0" borderId="164" xfId="0" applyBorder="1"/>
    <xf numFmtId="0" fontId="0" fillId="0" borderId="152" xfId="0" applyBorder="1"/>
    <xf numFmtId="0" fontId="19" fillId="0" borderId="135" xfId="0" applyFont="1" applyBorder="1"/>
    <xf numFmtId="174" fontId="0" fillId="0" borderId="118" xfId="0" applyNumberFormat="1" applyBorder="1" applyAlignment="1">
      <alignment vertical="center"/>
    </xf>
    <xf numFmtId="174" fontId="0" fillId="0" borderId="137" xfId="0" applyNumberFormat="1" applyBorder="1" applyAlignment="1">
      <alignment vertical="center"/>
    </xf>
    <xf numFmtId="0" fontId="0" fillId="0" borderId="164" xfId="0" applyBorder="1" applyAlignment="1">
      <alignment vertical="center"/>
    </xf>
    <xf numFmtId="0" fontId="0" fillId="0" borderId="113" xfId="0" applyBorder="1" applyAlignment="1">
      <alignment vertical="center"/>
    </xf>
    <xf numFmtId="0" fontId="0" fillId="0" borderId="64" xfId="1" applyNumberFormat="1" applyFont="1" applyBorder="1" applyAlignment="1">
      <alignment horizontal="center" vertical="center"/>
    </xf>
    <xf numFmtId="0" fontId="0" fillId="0" borderId="113" xfId="1" applyNumberFormat="1" applyFont="1" applyBorder="1" applyAlignment="1">
      <alignment horizontal="center" vertical="center"/>
    </xf>
    <xf numFmtId="43" fontId="0" fillId="0" borderId="0" xfId="1" applyFont="1" applyBorder="1"/>
    <xf numFmtId="0" fontId="30" fillId="56" borderId="92" xfId="0" applyFont="1" applyFill="1" applyBorder="1" applyAlignment="1">
      <alignment horizontal="center" vertical="center" wrapText="1"/>
    </xf>
    <xf numFmtId="43" fontId="0" fillId="56" borderId="92" xfId="1" applyFont="1" applyFill="1" applyBorder="1"/>
    <xf numFmtId="0" fontId="69" fillId="0" borderId="0" xfId="0" applyFont="1" applyAlignment="1">
      <alignment horizontal="center"/>
    </xf>
    <xf numFmtId="0" fontId="36" fillId="0" borderId="33" xfId="0" applyFont="1" applyBorder="1" applyAlignment="1">
      <alignment horizontal="center" vertical="center"/>
    </xf>
    <xf numFmtId="0" fontId="36" fillId="0" borderId="92" xfId="0" applyFont="1" applyBorder="1" applyAlignment="1">
      <alignment horizontal="left" vertical="center"/>
    </xf>
    <xf numFmtId="164" fontId="2" fillId="23" borderId="29" xfId="0" applyNumberFormat="1" applyFont="1" applyFill="1" applyBorder="1" applyAlignment="1">
      <alignment horizontal="center" vertical="center"/>
    </xf>
    <xf numFmtId="164" fontId="2" fillId="23" borderId="91" xfId="0" applyNumberFormat="1" applyFont="1" applyFill="1" applyBorder="1" applyAlignment="1">
      <alignment horizontal="center"/>
    </xf>
    <xf numFmtId="164" fontId="1" fillId="0" borderId="1" xfId="0" applyNumberFormat="1" applyFont="1" applyBorder="1" applyAlignment="1">
      <alignment vertical="center"/>
    </xf>
    <xf numFmtId="4" fontId="0" fillId="0" borderId="0" xfId="0" applyNumberFormat="1" applyAlignment="1">
      <alignment horizontal="left"/>
    </xf>
    <xf numFmtId="0" fontId="89" fillId="0" borderId="0" xfId="4"/>
    <xf numFmtId="164" fontId="2" fillId="23" borderId="68" xfId="0" applyNumberFormat="1" applyFont="1" applyFill="1" applyBorder="1" applyAlignment="1">
      <alignment horizontal="center"/>
    </xf>
    <xf numFmtId="164" fontId="2" fillId="23" borderId="68" xfId="0" applyNumberFormat="1" applyFont="1" applyFill="1" applyBorder="1" applyAlignment="1">
      <alignment horizontal="center" vertical="center"/>
    </xf>
    <xf numFmtId="0" fontId="2" fillId="23" borderId="41" xfId="0" applyFont="1" applyFill="1" applyBorder="1" applyAlignment="1">
      <alignment horizontal="left"/>
    </xf>
    <xf numFmtId="2" fontId="2" fillId="7" borderId="41" xfId="1" applyNumberFormat="1" applyFont="1" applyFill="1" applyBorder="1" applyAlignment="1">
      <alignment horizontal="center" vertical="center"/>
    </xf>
    <xf numFmtId="170" fontId="2" fillId="23" borderId="29" xfId="0" applyNumberFormat="1" applyFont="1" applyFill="1" applyBorder="1" applyAlignment="1">
      <alignment horizontal="right" vertical="center"/>
    </xf>
    <xf numFmtId="171" fontId="2" fillId="7" borderId="41" xfId="0" applyNumberFormat="1" applyFont="1" applyFill="1" applyBorder="1" applyAlignment="1">
      <alignment horizontal="center" vertical="center"/>
    </xf>
    <xf numFmtId="43" fontId="2" fillId="7" borderId="41" xfId="0" applyNumberFormat="1" applyFont="1" applyFill="1" applyBorder="1" applyAlignment="1">
      <alignment horizontal="left" vertical="center"/>
    </xf>
    <xf numFmtId="22" fontId="2" fillId="7" borderId="29" xfId="0" applyNumberFormat="1" applyFont="1" applyFill="1" applyBorder="1" applyAlignment="1">
      <alignment horizontal="center" vertical="center"/>
    </xf>
    <xf numFmtId="0" fontId="21" fillId="52" borderId="0" xfId="0" applyFont="1" applyFill="1" applyAlignment="1">
      <alignment horizontal="center" vertical="center"/>
    </xf>
    <xf numFmtId="0" fontId="0" fillId="0" borderId="117" xfId="0" applyBorder="1" applyAlignment="1">
      <alignment horizontal="center" vertical="center"/>
    </xf>
    <xf numFmtId="14" fontId="12" fillId="0" borderId="117" xfId="0" applyNumberFormat="1" applyFont="1" applyBorder="1" applyAlignment="1">
      <alignment horizontal="center" vertical="center"/>
    </xf>
    <xf numFmtId="14" fontId="12" fillId="0" borderId="0" xfId="0" applyNumberFormat="1" applyFont="1" applyAlignment="1">
      <alignment horizontal="center" vertical="center"/>
    </xf>
    <xf numFmtId="2" fontId="4" fillId="7" borderId="29" xfId="0" applyNumberFormat="1" applyFont="1" applyFill="1" applyBorder="1" applyAlignment="1">
      <alignment horizontal="center" vertical="center"/>
    </xf>
    <xf numFmtId="0" fontId="21" fillId="32" borderId="0" xfId="0" applyFont="1" applyFill="1" applyAlignment="1">
      <alignment wrapText="1"/>
    </xf>
    <xf numFmtId="0" fontId="36" fillId="0" borderId="118" xfId="0" applyFont="1" applyBorder="1" applyAlignment="1">
      <alignment vertical="center"/>
    </xf>
    <xf numFmtId="0" fontId="36" fillId="34" borderId="118" xfId="0" applyFont="1" applyFill="1" applyBorder="1" applyAlignment="1">
      <alignment vertical="center" wrapText="1"/>
    </xf>
    <xf numFmtId="0" fontId="27" fillId="0" borderId="0" xfId="0" applyFont="1" applyAlignment="1">
      <alignment wrapText="1"/>
    </xf>
    <xf numFmtId="0" fontId="9" fillId="0" borderId="0" xfId="0" applyFont="1" applyAlignment="1">
      <alignment vertical="center"/>
    </xf>
    <xf numFmtId="0" fontId="89" fillId="0" borderId="0" xfId="4" applyAlignment="1">
      <alignment vertical="center"/>
    </xf>
    <xf numFmtId="166" fontId="2" fillId="8" borderId="68" xfId="0" applyNumberFormat="1" applyFont="1" applyFill="1" applyBorder="1" applyAlignment="1">
      <alignment horizontal="center" vertical="center"/>
    </xf>
    <xf numFmtId="164" fontId="2" fillId="34" borderId="29" xfId="0" applyNumberFormat="1" applyFont="1" applyFill="1" applyBorder="1" applyAlignment="1">
      <alignment horizontal="center" vertical="center"/>
    </xf>
    <xf numFmtId="0" fontId="10" fillId="7" borderId="159" xfId="0" applyFont="1" applyFill="1" applyBorder="1" applyAlignment="1">
      <alignment horizontal="left"/>
    </xf>
    <xf numFmtId="0" fontId="0" fillId="14" borderId="92" xfId="0" applyFill="1" applyBorder="1"/>
    <xf numFmtId="0" fontId="0" fillId="6" borderId="0" xfId="0" applyFill="1"/>
    <xf numFmtId="0" fontId="96" fillId="19" borderId="89" xfId="0" applyFont="1" applyFill="1" applyBorder="1" applyAlignment="1">
      <alignment horizontal="center" vertical="center"/>
    </xf>
    <xf numFmtId="43" fontId="96" fillId="19" borderId="89" xfId="1" applyFont="1" applyFill="1" applyBorder="1" applyAlignment="1">
      <alignment horizontal="center" vertical="center" wrapText="1"/>
    </xf>
    <xf numFmtId="0" fontId="96" fillId="19" borderId="89" xfId="0" applyFont="1" applyFill="1" applyBorder="1" applyAlignment="1">
      <alignment horizontal="center" vertical="center" wrapText="1"/>
    </xf>
    <xf numFmtId="0" fontId="96" fillId="19" borderId="93" xfId="0" applyFont="1" applyFill="1" applyBorder="1" applyAlignment="1">
      <alignment horizontal="center" vertical="center" wrapText="1"/>
    </xf>
    <xf numFmtId="0" fontId="96" fillId="19" borderId="92" xfId="0" applyFont="1" applyFill="1" applyBorder="1" applyAlignment="1">
      <alignment horizontal="center" vertical="center" wrapText="1"/>
    </xf>
    <xf numFmtId="43" fontId="0" fillId="58" borderId="0" xfId="1" applyFont="1" applyFill="1"/>
    <xf numFmtId="0" fontId="26" fillId="57" borderId="0" xfId="0" applyFont="1" applyFill="1"/>
    <xf numFmtId="14" fontId="0" fillId="10" borderId="31" xfId="0" applyNumberFormat="1" applyFill="1" applyBorder="1"/>
    <xf numFmtId="0" fontId="55" fillId="0" borderId="0" xfId="0" applyFont="1" applyAlignment="1">
      <alignment horizontal="right"/>
    </xf>
    <xf numFmtId="0" fontId="54" fillId="0" borderId="0" xfId="0" applyFont="1" applyAlignment="1">
      <alignment horizontal="center"/>
    </xf>
    <xf numFmtId="43" fontId="0" fillId="0" borderId="0" xfId="1" applyFont="1" applyFill="1" applyBorder="1"/>
    <xf numFmtId="2" fontId="2" fillId="0" borderId="2" xfId="1" applyNumberFormat="1" applyFont="1" applyBorder="1" applyAlignment="1">
      <alignment horizontal="center" vertical="center"/>
    </xf>
    <xf numFmtId="0" fontId="0" fillId="10" borderId="44" xfId="0" applyFill="1" applyBorder="1" applyAlignment="1">
      <alignment horizontal="left"/>
    </xf>
    <xf numFmtId="0" fontId="0" fillId="10" borderId="28" xfId="0" applyFill="1" applyBorder="1" applyAlignment="1">
      <alignment horizontal="left"/>
    </xf>
    <xf numFmtId="174" fontId="0" fillId="2" borderId="92" xfId="0" applyNumberFormat="1" applyFill="1" applyBorder="1"/>
    <xf numFmtId="4" fontId="0" fillId="2" borderId="92" xfId="0" applyNumberFormat="1" applyFill="1" applyBorder="1"/>
    <xf numFmtId="4" fontId="0" fillId="2" borderId="89" xfId="0" applyNumberFormat="1" applyFill="1" applyBorder="1"/>
    <xf numFmtId="164" fontId="2" fillId="7" borderId="77" xfId="0" applyNumberFormat="1" applyFont="1" applyFill="1" applyBorder="1" applyAlignment="1">
      <alignment horizontal="left" vertical="center"/>
    </xf>
    <xf numFmtId="43" fontId="0" fillId="8" borderId="92" xfId="1" applyFont="1" applyFill="1" applyBorder="1" applyAlignment="1">
      <alignment vertical="center"/>
    </xf>
    <xf numFmtId="43" fontId="19" fillId="8" borderId="92" xfId="1" applyFont="1" applyFill="1" applyBorder="1" applyAlignment="1">
      <alignment vertical="center"/>
    </xf>
    <xf numFmtId="0" fontId="39" fillId="11" borderId="0" xfId="0" applyFont="1" applyFill="1" applyAlignment="1">
      <alignment horizontal="center"/>
    </xf>
    <xf numFmtId="0" fontId="54" fillId="0" borderId="0" xfId="0" applyFont="1" applyAlignment="1">
      <alignment horizontal="center" vertical="center"/>
    </xf>
    <xf numFmtId="0" fontId="97" fillId="0" borderId="0" xfId="0" applyFont="1"/>
    <xf numFmtId="0" fontId="98" fillId="0" borderId="49" xfId="0" applyFont="1" applyBorder="1" applyAlignment="1">
      <alignment horizontal="left" vertical="center"/>
    </xf>
    <xf numFmtId="43" fontId="98" fillId="0" borderId="0" xfId="1" applyFont="1" applyAlignment="1">
      <alignment horizontal="left" vertical="center"/>
    </xf>
    <xf numFmtId="0" fontId="98" fillId="0" borderId="62" xfId="0" applyFont="1" applyBorder="1"/>
    <xf numFmtId="0" fontId="98" fillId="0" borderId="0" xfId="0" applyFont="1"/>
    <xf numFmtId="14" fontId="98" fillId="0" borderId="0" xfId="1" applyNumberFormat="1" applyFont="1"/>
    <xf numFmtId="43" fontId="98" fillId="0" borderId="0" xfId="1" applyFont="1"/>
    <xf numFmtId="166" fontId="98" fillId="0" borderId="0" xfId="0" applyNumberFormat="1" applyFont="1" applyAlignment="1">
      <alignment horizontal="center"/>
    </xf>
    <xf numFmtId="43" fontId="98" fillId="0" borderId="0" xfId="1" applyFont="1" applyAlignment="1">
      <alignment horizontal="center" vertical="center"/>
    </xf>
    <xf numFmtId="164" fontId="98" fillId="0" borderId="0" xfId="0" applyNumberFormat="1" applyFont="1" applyAlignment="1">
      <alignment horizontal="center"/>
    </xf>
    <xf numFmtId="0" fontId="98" fillId="0" borderId="0" xfId="0" applyFont="1" applyAlignment="1">
      <alignment horizontal="center"/>
    </xf>
    <xf numFmtId="14" fontId="98" fillId="0" borderId="0" xfId="0" applyNumberFormat="1" applyFont="1" applyAlignment="1">
      <alignment horizontal="center" vertical="center"/>
    </xf>
    <xf numFmtId="43" fontId="98" fillId="0" borderId="0" xfId="0" applyNumberFormat="1" applyFont="1" applyAlignment="1">
      <alignment horizontal="center" vertical="center"/>
    </xf>
    <xf numFmtId="0" fontId="98" fillId="22" borderId="0" xfId="0" applyFont="1" applyFill="1" applyAlignment="1">
      <alignment horizontal="center" vertical="center" wrapText="1"/>
    </xf>
    <xf numFmtId="43" fontId="99" fillId="32" borderId="37" xfId="1" applyFont="1" applyFill="1" applyBorder="1" applyAlignment="1">
      <alignment horizontal="center" vertical="center" wrapText="1"/>
    </xf>
    <xf numFmtId="43" fontId="99" fillId="32" borderId="0" xfId="1" applyFont="1" applyFill="1" applyBorder="1" applyAlignment="1">
      <alignment horizontal="center" vertical="center" wrapText="1"/>
    </xf>
    <xf numFmtId="0" fontId="100" fillId="0" borderId="0" xfId="0" applyFont="1" applyAlignment="1">
      <alignment horizontal="center" vertical="center"/>
    </xf>
    <xf numFmtId="176" fontId="99" fillId="0" borderId="0" xfId="1" applyNumberFormat="1" applyFont="1" applyAlignment="1">
      <alignment horizontal="center" vertical="center" wrapText="1"/>
    </xf>
    <xf numFmtId="0" fontId="99" fillId="0" borderId="0" xfId="0" applyFont="1" applyAlignment="1">
      <alignment horizontal="center" vertical="center" wrapText="1"/>
    </xf>
    <xf numFmtId="177" fontId="98" fillId="22" borderId="92" xfId="0" applyNumberFormat="1" applyFont="1" applyFill="1" applyBorder="1" applyAlignment="1">
      <alignment horizontal="center" vertical="center" wrapText="1"/>
    </xf>
    <xf numFmtId="43" fontId="98" fillId="50" borderId="92" xfId="0" applyNumberFormat="1" applyFont="1" applyFill="1" applyBorder="1" applyAlignment="1">
      <alignment horizontal="center" vertical="center" wrapText="1"/>
    </xf>
    <xf numFmtId="177" fontId="98" fillId="18" borderId="92" xfId="0" applyNumberFormat="1" applyFont="1" applyFill="1" applyBorder="1" applyAlignment="1">
      <alignment horizontal="center" vertical="center" wrapText="1"/>
    </xf>
    <xf numFmtId="0" fontId="99" fillId="3" borderId="92" xfId="0" applyFont="1" applyFill="1" applyBorder="1" applyAlignment="1">
      <alignment horizontal="center" vertical="center" wrapText="1"/>
    </xf>
    <xf numFmtId="164" fontId="98" fillId="16" borderId="92" xfId="0" applyNumberFormat="1" applyFont="1" applyFill="1" applyBorder="1" applyAlignment="1">
      <alignment horizontal="center" vertical="center" wrapText="1"/>
    </xf>
    <xf numFmtId="0" fontId="98" fillId="10" borderId="30" xfId="0" applyFont="1" applyFill="1" applyBorder="1"/>
    <xf numFmtId="0" fontId="98" fillId="10" borderId="44" xfId="0" applyFont="1" applyFill="1" applyBorder="1"/>
    <xf numFmtId="0" fontId="98" fillId="10" borderId="29" xfId="0" applyFont="1" applyFill="1" applyBorder="1"/>
    <xf numFmtId="14" fontId="98" fillId="10" borderId="29" xfId="0" applyNumberFormat="1" applyFont="1" applyFill="1" applyBorder="1"/>
    <xf numFmtId="0" fontId="98" fillId="10" borderId="50" xfId="0" applyFont="1" applyFill="1" applyBorder="1"/>
    <xf numFmtId="43" fontId="98" fillId="0" borderId="37" xfId="1" applyFont="1" applyBorder="1"/>
    <xf numFmtId="43" fontId="98" fillId="0" borderId="0" xfId="1" applyFont="1" applyBorder="1"/>
    <xf numFmtId="43" fontId="98" fillId="0" borderId="0" xfId="0" applyNumberFormat="1" applyFont="1"/>
    <xf numFmtId="176" fontId="98" fillId="0" borderId="0" xfId="1" applyNumberFormat="1" applyFont="1"/>
    <xf numFmtId="177" fontId="98" fillId="51" borderId="92" xfId="0" applyNumberFormat="1" applyFont="1" applyFill="1" applyBorder="1" applyAlignment="1">
      <alignment horizontal="center" vertical="center"/>
    </xf>
    <xf numFmtId="43" fontId="98" fillId="51" borderId="92" xfId="0" applyNumberFormat="1" applyFont="1" applyFill="1" applyBorder="1" applyAlignment="1">
      <alignment horizontal="center" vertical="center"/>
    </xf>
    <xf numFmtId="0" fontId="98" fillId="3" borderId="92" xfId="0" applyFont="1" applyFill="1" applyBorder="1" applyAlignment="1">
      <alignment horizontal="center" vertical="center"/>
    </xf>
    <xf numFmtId="0" fontId="101" fillId="51" borderId="90" xfId="0" applyFont="1" applyFill="1" applyBorder="1" applyAlignment="1">
      <alignment horizontal="center" vertical="center"/>
    </xf>
    <xf numFmtId="177" fontId="98" fillId="51" borderId="92" xfId="0" applyNumberFormat="1" applyFont="1" applyFill="1" applyBorder="1"/>
    <xf numFmtId="14" fontId="98" fillId="10" borderId="30" xfId="0" applyNumberFormat="1" applyFont="1" applyFill="1" applyBorder="1"/>
    <xf numFmtId="0" fontId="98" fillId="10" borderId="28" xfId="0" applyFont="1" applyFill="1" applyBorder="1"/>
    <xf numFmtId="0" fontId="98" fillId="10" borderId="44" xfId="0" applyFont="1" applyFill="1" applyBorder="1" applyAlignment="1">
      <alignment vertical="center"/>
    </xf>
    <xf numFmtId="0" fontId="98" fillId="10" borderId="29" xfId="0" applyFont="1" applyFill="1" applyBorder="1" applyAlignment="1">
      <alignment vertical="center"/>
    </xf>
    <xf numFmtId="14" fontId="98" fillId="10" borderId="29" xfId="0" applyNumberFormat="1" applyFont="1" applyFill="1" applyBorder="1" applyAlignment="1">
      <alignment vertical="center"/>
    </xf>
    <xf numFmtId="0" fontId="98" fillId="10" borderId="50" xfId="0" applyFont="1" applyFill="1" applyBorder="1" applyAlignment="1">
      <alignment vertical="center"/>
    </xf>
    <xf numFmtId="14" fontId="98" fillId="10" borderId="30" xfId="0" applyNumberFormat="1" applyFont="1" applyFill="1" applyBorder="1" applyAlignment="1">
      <alignment vertical="center"/>
    </xf>
    <xf numFmtId="177" fontId="98" fillId="51" borderId="92" xfId="0" applyNumberFormat="1" applyFont="1" applyFill="1" applyBorder="1" applyAlignment="1">
      <alignment vertical="center"/>
    </xf>
    <xf numFmtId="0" fontId="98" fillId="0" borderId="0" xfId="0" applyFont="1" applyAlignment="1">
      <alignment vertical="center"/>
    </xf>
    <xf numFmtId="1" fontId="98" fillId="0" borderId="0" xfId="0" applyNumberFormat="1" applyFont="1" applyAlignment="1">
      <alignment vertical="center"/>
    </xf>
    <xf numFmtId="0" fontId="98" fillId="10" borderId="31" xfId="0" applyFont="1" applyFill="1" applyBorder="1"/>
    <xf numFmtId="164" fontId="98" fillId="0" borderId="0" xfId="0" applyNumberFormat="1" applyFont="1"/>
    <xf numFmtId="0" fontId="102" fillId="0" borderId="0" xfId="0" applyFont="1"/>
    <xf numFmtId="14" fontId="98" fillId="10" borderId="31" xfId="0" applyNumberFormat="1" applyFont="1" applyFill="1" applyBorder="1"/>
    <xf numFmtId="164" fontId="98" fillId="0" borderId="16" xfId="0" applyNumberFormat="1" applyFont="1" applyBorder="1"/>
    <xf numFmtId="2" fontId="98" fillId="0" borderId="0" xfId="0" applyNumberFormat="1" applyFont="1"/>
    <xf numFmtId="0" fontId="98" fillId="10" borderId="28" xfId="0" applyFont="1" applyFill="1" applyBorder="1" applyAlignment="1">
      <alignment horizontal="center"/>
    </xf>
    <xf numFmtId="0" fontId="97" fillId="0" borderId="0" xfId="0" applyFont="1" applyAlignment="1">
      <alignment horizontal="left"/>
    </xf>
    <xf numFmtId="0" fontId="98" fillId="0" borderId="0" xfId="0" applyFont="1" applyAlignment="1">
      <alignment vertical="top"/>
    </xf>
    <xf numFmtId="2" fontId="98" fillId="0" borderId="0" xfId="1" applyNumberFormat="1" applyFont="1" applyAlignment="1">
      <alignment horizontal="center" vertical="center"/>
    </xf>
    <xf numFmtId="2" fontId="48" fillId="0" borderId="0" xfId="1" applyNumberFormat="1" applyFont="1" applyAlignment="1">
      <alignment horizontal="center" vertical="center"/>
    </xf>
    <xf numFmtId="0" fontId="48" fillId="0" borderId="0" xfId="0" applyFont="1"/>
    <xf numFmtId="0" fontId="98" fillId="0" borderId="0" xfId="0" applyFont="1" applyAlignment="1">
      <alignment horizontal="left" vertical="center"/>
    </xf>
    <xf numFmtId="0" fontId="98" fillId="0" borderId="0" xfId="0" applyFont="1" applyAlignment="1">
      <alignment horizontal="left"/>
    </xf>
    <xf numFmtId="43" fontId="98" fillId="0" borderId="0" xfId="1" applyFont="1" applyAlignment="1">
      <alignment horizontal="left"/>
    </xf>
    <xf numFmtId="166" fontId="98" fillId="0" borderId="0" xfId="0" applyNumberFormat="1" applyFont="1"/>
    <xf numFmtId="170" fontId="98" fillId="0" borderId="0" xfId="0" applyNumberFormat="1" applyFont="1"/>
    <xf numFmtId="14" fontId="98" fillId="0" borderId="0" xfId="0" applyNumberFormat="1" applyFont="1"/>
    <xf numFmtId="0" fontId="98" fillId="0" borderId="18" xfId="0" applyFont="1" applyBorder="1"/>
    <xf numFmtId="177" fontId="98" fillId="0" borderId="0" xfId="0" applyNumberFormat="1" applyFont="1" applyAlignment="1">
      <alignment horizontal="center" vertical="center"/>
    </xf>
    <xf numFmtId="0" fontId="98" fillId="0" borderId="0" xfId="0" applyFont="1" applyAlignment="1">
      <alignment horizontal="center" vertical="center"/>
    </xf>
    <xf numFmtId="177" fontId="98" fillId="0" borderId="0" xfId="0" applyNumberFormat="1" applyFont="1"/>
    <xf numFmtId="14" fontId="103" fillId="0" borderId="0" xfId="0" applyNumberFormat="1" applyFont="1"/>
    <xf numFmtId="172" fontId="98" fillId="0" borderId="0" xfId="0" applyNumberFormat="1" applyFont="1"/>
    <xf numFmtId="14" fontId="98" fillId="0" borderId="27" xfId="0" applyNumberFormat="1" applyFont="1" applyBorder="1"/>
    <xf numFmtId="0" fontId="103" fillId="0" borderId="0" xfId="0" applyFont="1"/>
    <xf numFmtId="2" fontId="98" fillId="0" borderId="0" xfId="0" applyNumberFormat="1" applyFont="1" applyAlignment="1">
      <alignment horizontal="left"/>
    </xf>
    <xf numFmtId="171" fontId="98" fillId="0" borderId="0" xfId="0" applyNumberFormat="1" applyFont="1"/>
    <xf numFmtId="0" fontId="98" fillId="0" borderId="26" xfId="0" applyFont="1" applyBorder="1"/>
    <xf numFmtId="2" fontId="98" fillId="0" borderId="26" xfId="0" applyNumberFormat="1" applyFont="1" applyBorder="1"/>
    <xf numFmtId="0" fontId="98" fillId="0" borderId="27" xfId="0" applyFont="1" applyBorder="1"/>
    <xf numFmtId="8" fontId="2" fillId="7" borderId="29" xfId="0" applyNumberFormat="1" applyFont="1" applyFill="1" applyBorder="1" applyAlignment="1">
      <alignment horizontal="center" vertical="center"/>
    </xf>
    <xf numFmtId="43" fontId="2" fillId="7" borderId="29" xfId="0" applyNumberFormat="1" applyFont="1" applyFill="1" applyBorder="1" applyAlignment="1">
      <alignment horizontal="right" vertical="center"/>
    </xf>
    <xf numFmtId="0" fontId="2" fillId="23" borderId="91" xfId="0" applyFont="1" applyFill="1" applyBorder="1" applyAlignment="1">
      <alignment horizontal="left"/>
    </xf>
    <xf numFmtId="0" fontId="87" fillId="23" borderId="29" xfId="0" applyFont="1" applyFill="1" applyBorder="1"/>
    <xf numFmtId="15" fontId="2" fillId="24" borderId="29" xfId="0" applyNumberFormat="1" applyFont="1" applyFill="1" applyBorder="1"/>
    <xf numFmtId="0" fontId="92" fillId="0" borderId="160" xfId="4" applyFont="1" applyBorder="1" applyAlignment="1">
      <alignment horizontal="left" vertical="top" wrapText="1" readingOrder="1"/>
    </xf>
    <xf numFmtId="0" fontId="92" fillId="0" borderId="161" xfId="4" applyFont="1" applyBorder="1" applyAlignment="1">
      <alignment horizontal="left" vertical="top" wrapText="1" readingOrder="1"/>
    </xf>
    <xf numFmtId="0" fontId="93" fillId="0" borderId="160" xfId="4" applyFont="1" applyBorder="1" applyAlignment="1">
      <alignment horizontal="left" vertical="top" wrapText="1" readingOrder="1"/>
    </xf>
    <xf numFmtId="0" fontId="93" fillId="0" borderId="161" xfId="4" applyFont="1" applyBorder="1" applyAlignment="1">
      <alignment horizontal="left" vertical="top" wrapText="1" readingOrder="1"/>
    </xf>
    <xf numFmtId="0" fontId="92" fillId="0" borderId="162" xfId="4" applyFont="1" applyBorder="1" applyAlignment="1">
      <alignment horizontal="left" vertical="top" wrapText="1" readingOrder="1"/>
    </xf>
    <xf numFmtId="0" fontId="93" fillId="0" borderId="162" xfId="4" applyFont="1" applyBorder="1" applyAlignment="1">
      <alignment horizontal="left" vertical="top" wrapText="1" readingOrder="1"/>
    </xf>
    <xf numFmtId="164" fontId="2" fillId="0" borderId="37" xfId="0" applyNumberFormat="1" applyFont="1" applyBorder="1" applyAlignment="1">
      <alignment horizontal="center" vertical="center" wrapText="1"/>
    </xf>
    <xf numFmtId="164" fontId="2" fillId="0" borderId="0" xfId="0" applyNumberFormat="1" applyFont="1" applyAlignment="1">
      <alignment horizontal="center" vertical="center" wrapText="1"/>
    </xf>
    <xf numFmtId="164" fontId="1" fillId="2" borderId="37" xfId="0" applyNumberFormat="1" applyFont="1" applyFill="1" applyBorder="1" applyAlignment="1">
      <alignment horizontal="center" vertical="center" wrapText="1"/>
    </xf>
    <xf numFmtId="164" fontId="1" fillId="2" borderId="0" xfId="0" applyNumberFormat="1" applyFont="1" applyFill="1" applyAlignment="1">
      <alignment horizontal="center" vertical="center" wrapText="1"/>
    </xf>
    <xf numFmtId="164" fontId="1" fillId="2" borderId="116" xfId="0" applyNumberFormat="1" applyFont="1" applyFill="1" applyBorder="1" applyAlignment="1">
      <alignment horizontal="center" vertical="center" wrapText="1"/>
    </xf>
    <xf numFmtId="164" fontId="2" fillId="0" borderId="33" xfId="0" applyNumberFormat="1" applyFont="1" applyBorder="1" applyAlignment="1">
      <alignment horizontal="center" vertical="center"/>
    </xf>
    <xf numFmtId="164" fontId="2" fillId="0" borderId="14" xfId="0" applyNumberFormat="1" applyFont="1" applyBorder="1" applyAlignment="1">
      <alignment horizontal="center" vertical="center"/>
    </xf>
    <xf numFmtId="164" fontId="2" fillId="0" borderId="116" xfId="0" applyNumberFormat="1" applyFont="1" applyBorder="1" applyAlignment="1">
      <alignment horizontal="center" vertical="center" wrapText="1"/>
    </xf>
    <xf numFmtId="164" fontId="2" fillId="0" borderId="88" xfId="0" applyNumberFormat="1" applyFont="1" applyBorder="1" applyAlignment="1">
      <alignment horizontal="center" vertical="center" wrapText="1"/>
    </xf>
    <xf numFmtId="164" fontId="2" fillId="0" borderId="15" xfId="0" applyNumberFormat="1" applyFont="1" applyBorder="1" applyAlignment="1">
      <alignment horizontal="center" vertical="center" wrapText="1"/>
    </xf>
    <xf numFmtId="164" fontId="2" fillId="0" borderId="154" xfId="0" applyNumberFormat="1" applyFont="1" applyBorder="1" applyAlignment="1">
      <alignment horizontal="center" vertical="center" wrapText="1"/>
    </xf>
    <xf numFmtId="164" fontId="1" fillId="2" borderId="156" xfId="0" applyNumberFormat="1" applyFont="1" applyFill="1" applyBorder="1" applyAlignment="1">
      <alignment horizontal="center" vertical="center" wrapText="1"/>
    </xf>
    <xf numFmtId="164" fontId="1" fillId="2" borderId="154" xfId="0" applyNumberFormat="1" applyFont="1" applyFill="1" applyBorder="1" applyAlignment="1">
      <alignment horizontal="center" vertical="center" wrapText="1"/>
    </xf>
    <xf numFmtId="164" fontId="1" fillId="2" borderId="155" xfId="0" applyNumberFormat="1" applyFont="1" applyFill="1" applyBorder="1" applyAlignment="1">
      <alignment horizontal="center" vertical="center" wrapText="1"/>
    </xf>
    <xf numFmtId="164" fontId="2" fillId="0" borderId="156" xfId="0" applyNumberFormat="1" applyFont="1" applyBorder="1" applyAlignment="1">
      <alignment horizontal="center" vertical="center"/>
    </xf>
    <xf numFmtId="164" fontId="2" fillId="0" borderId="154" xfId="0" applyNumberFormat="1" applyFont="1" applyBorder="1" applyAlignment="1">
      <alignment horizontal="center" vertical="center"/>
    </xf>
    <xf numFmtId="164" fontId="2" fillId="0" borderId="156" xfId="0" applyNumberFormat="1" applyFont="1" applyBorder="1" applyAlignment="1">
      <alignment horizontal="center" vertical="center" wrapText="1"/>
    </xf>
    <xf numFmtId="164" fontId="2" fillId="0" borderId="155" xfId="0" applyNumberFormat="1" applyFont="1" applyBorder="1" applyAlignment="1">
      <alignment horizontal="center" vertical="center" wrapText="1"/>
    </xf>
    <xf numFmtId="43" fontId="69" fillId="8" borderId="33" xfId="0" applyNumberFormat="1" applyFont="1" applyFill="1" applyBorder="1" applyAlignment="1">
      <alignment horizontal="center" vertical="center"/>
    </xf>
    <xf numFmtId="43" fontId="69" fillId="8" borderId="14" xfId="0" applyNumberFormat="1" applyFont="1" applyFill="1" applyBorder="1" applyAlignment="1">
      <alignment horizontal="center" vertical="center"/>
    </xf>
    <xf numFmtId="0" fontId="95" fillId="0" borderId="92" xfId="0" applyFont="1" applyBorder="1" applyAlignment="1">
      <alignment horizontal="center" vertical="center"/>
    </xf>
    <xf numFmtId="0" fontId="21" fillId="44" borderId="118" xfId="0" applyFont="1" applyFill="1" applyBorder="1" applyAlignment="1">
      <alignment horizontal="center"/>
    </xf>
    <xf numFmtId="0" fontId="19" fillId="0" borderId="89" xfId="0" applyFont="1" applyBorder="1" applyAlignment="1">
      <alignment horizontal="center" vertical="center"/>
    </xf>
    <xf numFmtId="0" fontId="19" fillId="0" borderId="90" xfId="0" applyFont="1" applyBorder="1" applyAlignment="1">
      <alignment horizontal="center" vertical="center"/>
    </xf>
    <xf numFmtId="0" fontId="69" fillId="0" borderId="1" xfId="0" applyFont="1" applyBorder="1" applyAlignment="1">
      <alignment horizontal="center" vertical="center"/>
    </xf>
    <xf numFmtId="0" fontId="69" fillId="0" borderId="133" xfId="0" applyFont="1" applyBorder="1" applyAlignment="1">
      <alignment horizontal="center" vertical="center"/>
    </xf>
    <xf numFmtId="10" fontId="69" fillId="8" borderId="13" xfId="3" applyNumberFormat="1" applyFont="1" applyFill="1" applyBorder="1" applyAlignment="1">
      <alignment horizontal="center" vertical="center"/>
    </xf>
    <xf numFmtId="10" fontId="69" fillId="8" borderId="135" xfId="3" applyNumberFormat="1" applyFont="1" applyFill="1" applyBorder="1" applyAlignment="1">
      <alignment horizontal="center" vertical="center"/>
    </xf>
    <xf numFmtId="0" fontId="28" fillId="0" borderId="1" xfId="0" quotePrefix="1" applyFont="1" applyBorder="1" applyAlignment="1">
      <alignment horizontal="left" vertical="center" wrapText="1"/>
    </xf>
    <xf numFmtId="0" fontId="28" fillId="0" borderId="2" xfId="0" quotePrefix="1" applyFont="1" applyBorder="1" applyAlignment="1">
      <alignment horizontal="left" vertical="center" wrapText="1"/>
    </xf>
    <xf numFmtId="0" fontId="28" fillId="0" borderId="130" xfId="0" quotePrefix="1" applyFont="1" applyBorder="1" applyAlignment="1">
      <alignment horizontal="left" vertical="center" wrapText="1"/>
    </xf>
    <xf numFmtId="0" fontId="28" fillId="0" borderId="16" xfId="0" quotePrefix="1" applyFont="1" applyBorder="1" applyAlignment="1">
      <alignment horizontal="left" vertical="center" wrapText="1"/>
    </xf>
    <xf numFmtId="0" fontId="28" fillId="0" borderId="0" xfId="0" quotePrefix="1" applyFont="1" applyAlignment="1">
      <alignment horizontal="left" vertical="center" wrapText="1"/>
    </xf>
    <xf numFmtId="0" fontId="28" fillId="0" borderId="26" xfId="0" quotePrefix="1" applyFont="1" applyBorder="1" applyAlignment="1">
      <alignment horizontal="left" vertical="center" wrapText="1"/>
    </xf>
    <xf numFmtId="0" fontId="28" fillId="0" borderId="133" xfId="0" quotePrefix="1" applyFont="1" applyBorder="1" applyAlignment="1">
      <alignment horizontal="left" vertical="center" wrapText="1"/>
    </xf>
    <xf numFmtId="0" fontId="28" fillId="0" borderId="123" xfId="0" quotePrefix="1" applyFont="1" applyBorder="1" applyAlignment="1">
      <alignment horizontal="left" vertical="center" wrapText="1"/>
    </xf>
    <xf numFmtId="0" fontId="28" fillId="0" borderId="134" xfId="0" quotePrefix="1" applyFont="1" applyBorder="1" applyAlignment="1">
      <alignment horizontal="left" vertical="center" wrapText="1"/>
    </xf>
    <xf numFmtId="0" fontId="21" fillId="32" borderId="0" xfId="0" applyFont="1" applyFill="1" applyAlignment="1">
      <alignment horizontal="center" vertical="center" wrapText="1"/>
    </xf>
    <xf numFmtId="0" fontId="34" fillId="35" borderId="92" xfId="0" applyFont="1" applyFill="1" applyBorder="1" applyAlignment="1">
      <alignment horizontal="center" vertical="center" wrapText="1" readingOrder="1"/>
    </xf>
    <xf numFmtId="0" fontId="35" fillId="59" borderId="92" xfId="0" applyFont="1" applyFill="1" applyBorder="1" applyAlignment="1">
      <alignment horizontal="center" vertical="center" wrapText="1" readingOrder="1"/>
    </xf>
    <xf numFmtId="0" fontId="30" fillId="0" borderId="0" xfId="0" applyFont="1" applyAlignment="1">
      <alignment horizontal="left" vertical="center"/>
    </xf>
    <xf numFmtId="0" fontId="80" fillId="0" borderId="26" xfId="0" applyFont="1" applyBorder="1" applyAlignment="1">
      <alignment horizontal="center" vertical="center"/>
    </xf>
    <xf numFmtId="10" fontId="69" fillId="18" borderId="13" xfId="3" applyNumberFormat="1" applyFont="1" applyFill="1" applyBorder="1" applyAlignment="1">
      <alignment horizontal="center" vertical="center"/>
    </xf>
    <xf numFmtId="10" fontId="69" fillId="18" borderId="135" xfId="3" applyNumberFormat="1" applyFont="1" applyFill="1" applyBorder="1" applyAlignment="1">
      <alignment horizontal="center" vertical="center"/>
    </xf>
    <xf numFmtId="0" fontId="73" fillId="0" borderId="98" xfId="0" applyFont="1" applyBorder="1" applyAlignment="1">
      <alignment horizontal="center" vertical="center"/>
    </xf>
    <xf numFmtId="0" fontId="73" fillId="0" borderId="102" xfId="0" applyFont="1" applyBorder="1" applyAlignment="1">
      <alignment horizontal="center" vertical="center"/>
    </xf>
    <xf numFmtId="0" fontId="69" fillId="0" borderId="102" xfId="0" applyFont="1" applyBorder="1" applyAlignment="1">
      <alignment horizontal="center"/>
    </xf>
    <xf numFmtId="0" fontId="36" fillId="0" borderId="0" xfId="0" applyFont="1" applyAlignment="1">
      <alignment horizontal="center"/>
    </xf>
    <xf numFmtId="2" fontId="69" fillId="8" borderId="33" xfId="0" applyNumberFormat="1" applyFont="1" applyFill="1" applyBorder="1" applyAlignment="1">
      <alignment horizontal="center" vertical="center"/>
    </xf>
    <xf numFmtId="2" fontId="69" fillId="8" borderId="14" xfId="0" applyNumberFormat="1" applyFont="1" applyFill="1" applyBorder="1" applyAlignment="1">
      <alignment horizontal="center" vertical="center"/>
    </xf>
    <xf numFmtId="2" fontId="69" fillId="56" borderId="92" xfId="0" applyNumberFormat="1" applyFont="1" applyFill="1" applyBorder="1" applyAlignment="1">
      <alignment horizontal="center" vertical="center"/>
    </xf>
    <xf numFmtId="0" fontId="34" fillId="35" borderId="89" xfId="0" applyFont="1" applyFill="1" applyBorder="1" applyAlignment="1">
      <alignment horizontal="center" vertical="center" wrapText="1" readingOrder="1"/>
    </xf>
    <xf numFmtId="0" fontId="34" fillId="35" borderId="90" xfId="0" applyFont="1" applyFill="1" applyBorder="1" applyAlignment="1">
      <alignment horizontal="center" vertical="center" wrapText="1" readingOrder="1"/>
    </xf>
    <xf numFmtId="0" fontId="34" fillId="35" borderId="33" xfId="0" applyFont="1" applyFill="1" applyBorder="1" applyAlignment="1">
      <alignment horizontal="center" vertical="center" wrapText="1" readingOrder="1"/>
    </xf>
    <xf numFmtId="0" fontId="34" fillId="35" borderId="14" xfId="0" applyFont="1" applyFill="1" applyBorder="1" applyAlignment="1">
      <alignment horizontal="center" vertical="center" wrapText="1" readingOrder="1"/>
    </xf>
    <xf numFmtId="0" fontId="19" fillId="0" borderId="89" xfId="0" applyFont="1" applyBorder="1" applyAlignment="1">
      <alignment horizontal="center" vertical="center" wrapText="1"/>
    </xf>
    <xf numFmtId="0" fontId="19" fillId="0" borderId="90" xfId="0" applyFont="1" applyBorder="1" applyAlignment="1">
      <alignment horizontal="center" vertical="center" wrapText="1"/>
    </xf>
    <xf numFmtId="0" fontId="0" fillId="0" borderId="33" xfId="0" applyBorder="1" applyAlignment="1">
      <alignment horizontal="center"/>
    </xf>
    <xf numFmtId="0" fontId="0" fillId="0" borderId="14" xfId="0" applyBorder="1" applyAlignment="1">
      <alignment horizontal="center"/>
    </xf>
    <xf numFmtId="0" fontId="0" fillId="0" borderId="33" xfId="0" applyBorder="1" applyAlignment="1">
      <alignment horizontal="center" vertical="center"/>
    </xf>
    <xf numFmtId="0" fontId="0" fillId="0" borderId="14" xfId="0" applyBorder="1" applyAlignment="1">
      <alignment horizontal="center" vertical="center"/>
    </xf>
    <xf numFmtId="10" fontId="0" fillId="8" borderId="33" xfId="3" applyNumberFormat="1" applyFont="1" applyFill="1" applyBorder="1" applyAlignment="1">
      <alignment horizontal="center" wrapText="1"/>
    </xf>
    <xf numFmtId="10" fontId="0" fillId="8" borderId="14" xfId="3" applyNumberFormat="1" applyFont="1" applyFill="1" applyBorder="1" applyAlignment="1">
      <alignment horizontal="center" wrapText="1"/>
    </xf>
    <xf numFmtId="10" fontId="0" fillId="8" borderId="33" xfId="3" applyNumberFormat="1" applyFont="1" applyFill="1" applyBorder="1" applyAlignment="1">
      <alignment horizontal="center"/>
    </xf>
    <xf numFmtId="10" fontId="0" fillId="8" borderId="14" xfId="3" applyNumberFormat="1" applyFont="1" applyFill="1" applyBorder="1" applyAlignment="1">
      <alignment horizontal="center"/>
    </xf>
    <xf numFmtId="0" fontId="0" fillId="0" borderId="87" xfId="0" applyBorder="1" applyAlignment="1">
      <alignment horizontal="center" wrapText="1"/>
    </xf>
    <xf numFmtId="0" fontId="0" fillId="0" borderId="14" xfId="0" applyBorder="1" applyAlignment="1">
      <alignment horizontal="center" wrapText="1"/>
    </xf>
    <xf numFmtId="0" fontId="0" fillId="0" borderId="33" xfId="0" applyBorder="1" applyAlignment="1">
      <alignment horizontal="center" vertical="center" wrapText="1"/>
    </xf>
    <xf numFmtId="0" fontId="0" fillId="0" borderId="14" xfId="0" applyBorder="1" applyAlignment="1">
      <alignment horizontal="center" vertical="center" wrapText="1"/>
    </xf>
    <xf numFmtId="0" fontId="23" fillId="0" borderId="92" xfId="0" applyFont="1" applyBorder="1" applyAlignment="1">
      <alignment horizontal="center" vertical="center" wrapText="1"/>
    </xf>
    <xf numFmtId="0" fontId="21" fillId="19" borderId="33" xfId="0" applyFont="1" applyFill="1" applyBorder="1" applyAlignment="1">
      <alignment horizontal="center"/>
    </xf>
    <xf numFmtId="0" fontId="21" fillId="19" borderId="87" xfId="0" applyFont="1" applyFill="1" applyBorder="1" applyAlignment="1">
      <alignment horizontal="center"/>
    </xf>
    <xf numFmtId="0" fontId="21" fillId="19" borderId="14" xfId="0" applyFont="1" applyFill="1" applyBorder="1" applyAlignment="1">
      <alignment horizontal="center"/>
    </xf>
    <xf numFmtId="0" fontId="29" fillId="2" borderId="13" xfId="0" applyFont="1" applyFill="1" applyBorder="1" applyAlignment="1">
      <alignment horizontal="center" vertical="center" wrapText="1"/>
    </xf>
    <xf numFmtId="0" fontId="29" fillId="2" borderId="135" xfId="0" applyFont="1" applyFill="1" applyBorder="1" applyAlignment="1">
      <alignment horizontal="center" vertical="center"/>
    </xf>
    <xf numFmtId="43" fontId="29" fillId="2" borderId="97" xfId="1" applyFont="1" applyFill="1" applyBorder="1" applyAlignment="1">
      <alignment horizontal="center" vertical="center"/>
    </xf>
    <xf numFmtId="43" fontId="29" fillId="2" borderId="137" xfId="1" applyFont="1" applyFill="1" applyBorder="1" applyAlignment="1">
      <alignment horizontal="center" vertical="center"/>
    </xf>
    <xf numFmtId="0" fontId="19" fillId="4" borderId="63" xfId="0" applyFont="1" applyFill="1" applyBorder="1" applyAlignment="1">
      <alignment horizontal="left"/>
    </xf>
    <xf numFmtId="0" fontId="19" fillId="4" borderId="117" xfId="0" applyFont="1" applyFill="1" applyBorder="1" applyAlignment="1">
      <alignment horizontal="left"/>
    </xf>
    <xf numFmtId="43" fontId="29" fillId="2" borderId="92" xfId="1" applyFont="1" applyFill="1" applyBorder="1" applyAlignment="1">
      <alignment horizontal="center" vertical="center"/>
    </xf>
    <xf numFmtId="0" fontId="29" fillId="2" borderId="92" xfId="0" applyFont="1" applyFill="1" applyBorder="1" applyAlignment="1">
      <alignment horizontal="center" vertical="center" wrapText="1"/>
    </xf>
    <xf numFmtId="0" fontId="29" fillId="2" borderId="92" xfId="0" applyFont="1" applyFill="1" applyBorder="1" applyAlignment="1">
      <alignment horizontal="center" vertical="center"/>
    </xf>
    <xf numFmtId="0" fontId="29" fillId="20" borderId="1" xfId="0" applyFont="1" applyFill="1" applyBorder="1" applyAlignment="1">
      <alignment horizontal="center" vertical="center"/>
    </xf>
    <xf numFmtId="0" fontId="29" fillId="20" borderId="2" xfId="0" applyFont="1" applyFill="1" applyBorder="1" applyAlignment="1">
      <alignment horizontal="center" vertical="center"/>
    </xf>
    <xf numFmtId="0" fontId="29" fillId="20" borderId="130" xfId="0" applyFont="1" applyFill="1" applyBorder="1" applyAlignment="1">
      <alignment horizontal="center" vertical="center"/>
    </xf>
    <xf numFmtId="0" fontId="29" fillId="4" borderId="1" xfId="0" applyFont="1" applyFill="1" applyBorder="1" applyAlignment="1">
      <alignment horizontal="center"/>
    </xf>
    <xf numFmtId="0" fontId="29" fillId="4" borderId="130" xfId="0" applyFont="1" applyFill="1" applyBorder="1" applyAlignment="1">
      <alignment horizontal="center"/>
    </xf>
    <xf numFmtId="0" fontId="29" fillId="20" borderId="97" xfId="0" applyFont="1" applyFill="1" applyBorder="1" applyAlignment="1">
      <alignment horizontal="center" vertical="center"/>
    </xf>
    <xf numFmtId="0" fontId="29" fillId="20" borderId="137" xfId="0" applyFont="1" applyFill="1" applyBorder="1" applyAlignment="1">
      <alignment horizontal="center" vertical="center"/>
    </xf>
    <xf numFmtId="0" fontId="51" fillId="0" borderId="0" xfId="0" applyFont="1" applyAlignment="1">
      <alignment horizontal="center"/>
    </xf>
    <xf numFmtId="0" fontId="29" fillId="4" borderId="0" xfId="0" applyFont="1" applyFill="1" applyAlignment="1">
      <alignment horizontal="center"/>
    </xf>
    <xf numFmtId="0" fontId="0" fillId="0" borderId="0" xfId="0" applyAlignment="1">
      <alignment horizontal="center" wrapText="1"/>
    </xf>
    <xf numFmtId="0" fontId="38" fillId="0" borderId="0" xfId="0" quotePrefix="1" applyFont="1" applyAlignment="1">
      <alignment horizontal="left"/>
    </xf>
    <xf numFmtId="0" fontId="38" fillId="0" borderId="0" xfId="0" applyFont="1" applyAlignment="1">
      <alignment horizontal="left"/>
    </xf>
    <xf numFmtId="10" fontId="9" fillId="0" borderId="0" xfId="3" applyNumberFormat="1" applyFont="1" applyFill="1" applyBorder="1" applyAlignment="1">
      <alignment horizontal="right" wrapText="1"/>
    </xf>
    <xf numFmtId="0" fontId="29" fillId="2" borderId="135" xfId="0" applyFont="1" applyFill="1" applyBorder="1" applyAlignment="1">
      <alignment horizontal="center" vertical="center" wrapText="1"/>
    </xf>
    <xf numFmtId="0" fontId="29" fillId="2" borderId="89" xfId="0" applyFont="1" applyFill="1" applyBorder="1" applyAlignment="1">
      <alignment horizontal="center" vertical="center" wrapText="1"/>
    </xf>
    <xf numFmtId="0" fontId="29" fillId="2" borderId="90" xfId="0" applyFont="1" applyFill="1" applyBorder="1" applyAlignment="1">
      <alignment horizontal="center" vertical="center" wrapText="1"/>
    </xf>
    <xf numFmtId="0" fontId="0" fillId="2" borderId="33" xfId="0" applyFill="1" applyBorder="1" applyAlignment="1">
      <alignment horizontal="center" vertical="center"/>
    </xf>
    <xf numFmtId="0" fontId="0" fillId="2" borderId="14" xfId="0" applyFill="1" applyBorder="1" applyAlignment="1">
      <alignment horizontal="center" vertical="center"/>
    </xf>
    <xf numFmtId="0" fontId="21" fillId="19" borderId="11" xfId="0" applyFont="1" applyFill="1" applyBorder="1" applyAlignment="1">
      <alignment horizontal="center" vertical="center" wrapText="1"/>
    </xf>
    <xf numFmtId="0" fontId="21" fillId="19" borderId="110" xfId="0" applyFont="1" applyFill="1" applyBorder="1" applyAlignment="1">
      <alignment horizontal="center" vertical="center" wrapText="1"/>
    </xf>
    <xf numFmtId="0" fontId="21" fillId="19" borderId="98" xfId="0" applyFont="1" applyFill="1" applyBorder="1" applyAlignment="1">
      <alignment horizontal="center" vertical="center"/>
    </xf>
    <xf numFmtId="0" fontId="21" fillId="19" borderId="102" xfId="0" applyFont="1" applyFill="1" applyBorder="1" applyAlignment="1">
      <alignment horizontal="center" vertical="center"/>
    </xf>
    <xf numFmtId="0" fontId="21" fillId="32" borderId="114" xfId="0" applyFont="1" applyFill="1" applyBorder="1" applyAlignment="1">
      <alignment horizontal="center" vertical="center" wrapText="1"/>
    </xf>
    <xf numFmtId="0" fontId="21" fillId="32" borderId="115" xfId="0" applyFont="1" applyFill="1" applyBorder="1" applyAlignment="1">
      <alignment horizontal="center" vertical="center" wrapText="1"/>
    </xf>
    <xf numFmtId="0" fontId="36" fillId="34" borderId="118" xfId="0" applyFont="1" applyFill="1" applyBorder="1" applyAlignment="1">
      <alignment horizontal="center" vertical="center"/>
    </xf>
    <xf numFmtId="0" fontId="42" fillId="39" borderId="114" xfId="0" applyFont="1" applyFill="1" applyBorder="1" applyAlignment="1">
      <alignment horizontal="center" vertical="center" wrapText="1"/>
    </xf>
    <xf numFmtId="0" fontId="42" fillId="39" borderId="120" xfId="0" applyFont="1" applyFill="1" applyBorder="1" applyAlignment="1">
      <alignment horizontal="center" vertical="center" wrapText="1"/>
    </xf>
    <xf numFmtId="0" fontId="42" fillId="38" borderId="11" xfId="0" applyFont="1" applyFill="1" applyBorder="1" applyAlignment="1">
      <alignment horizontal="center" vertical="center" wrapText="1"/>
    </xf>
    <xf numFmtId="0" fontId="42" fillId="38" borderId="121" xfId="0" applyFont="1" applyFill="1" applyBorder="1" applyAlignment="1">
      <alignment horizontal="center" vertical="center" wrapText="1"/>
    </xf>
    <xf numFmtId="0" fontId="42" fillId="38" borderId="98" xfId="0" applyFont="1" applyFill="1" applyBorder="1" applyAlignment="1">
      <alignment horizontal="center" vertical="center"/>
    </xf>
    <xf numFmtId="0" fontId="42" fillId="38" borderId="102" xfId="0" applyFont="1" applyFill="1" applyBorder="1" applyAlignment="1">
      <alignment horizontal="center" vertical="center"/>
    </xf>
    <xf numFmtId="0" fontId="21" fillId="32" borderId="13" xfId="0" applyFont="1" applyFill="1" applyBorder="1" applyAlignment="1">
      <alignment horizontal="center" vertical="center" wrapText="1"/>
    </xf>
    <xf numFmtId="0" fontId="21" fillId="32" borderId="135" xfId="0" applyFont="1" applyFill="1" applyBorder="1" applyAlignment="1">
      <alignment horizontal="center" vertical="center" wrapText="1"/>
    </xf>
    <xf numFmtId="0" fontId="21" fillId="19" borderId="130" xfId="0" applyFont="1" applyFill="1" applyBorder="1" applyAlignment="1">
      <alignment horizontal="center" vertical="center" wrapText="1"/>
    </xf>
    <xf numFmtId="0" fontId="21" fillId="19" borderId="134" xfId="0" applyFont="1" applyFill="1" applyBorder="1" applyAlignment="1">
      <alignment horizontal="center" vertical="center" wrapText="1"/>
    </xf>
    <xf numFmtId="0" fontId="21" fillId="4" borderId="13" xfId="0" applyFont="1" applyFill="1" applyBorder="1" applyAlignment="1">
      <alignment horizontal="center" vertical="center" wrapText="1"/>
    </xf>
    <xf numFmtId="0" fontId="21" fillId="4" borderId="27" xfId="0" applyFont="1" applyFill="1" applyBorder="1" applyAlignment="1">
      <alignment horizontal="center" vertical="center" wrapText="1"/>
    </xf>
    <xf numFmtId="0" fontId="21" fillId="4" borderId="135" xfId="0" applyFont="1" applyFill="1" applyBorder="1" applyAlignment="1">
      <alignment horizontal="center" vertical="center" wrapText="1"/>
    </xf>
  </cellXfs>
  <cellStyles count="11">
    <cellStyle name="Comma" xfId="1" builtinId="3"/>
    <cellStyle name="Comma 2" xfId="9" xr:uid="{81C913FF-1C4D-4999-819F-78144633AB15}"/>
    <cellStyle name="Comma 2 2" xfId="6" xr:uid="{376B13C1-4574-425E-8234-D8571A840E3C}"/>
    <cellStyle name="Normal" xfId="0" builtinId="0"/>
    <cellStyle name="Normal 2" xfId="2" xr:uid="{2248BD07-6AC8-4444-AB05-D24E38424C74}"/>
    <cellStyle name="Normal 2 2" xfId="5" xr:uid="{B626891A-AE27-4D7C-B8BB-7AAD5416558B}"/>
    <cellStyle name="Normal 3" xfId="4" xr:uid="{B1CF7B1A-296B-4720-B530-F2E6D5AA92D6}"/>
    <cellStyle name="Normal 4" xfId="8" xr:uid="{F977A750-A38A-46B3-AB2C-72EC331BD359}"/>
    <cellStyle name="Percent" xfId="3" builtinId="5"/>
    <cellStyle name="Percent 2" xfId="7" xr:uid="{C9743AA2-A77B-4EFB-8C79-3C2E8171FF26}"/>
    <cellStyle name="Percent 3" xfId="10" xr:uid="{81011AE4-4896-450C-BA57-5A4057802F76}"/>
  </cellStyles>
  <dxfs count="13132">
    <dxf>
      <fill>
        <patternFill>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35" formatCode="_(* #,##0.00_);_(* \(#,##0.00\);_(* &quot;-&quot;??_);_(@_)"/>
    </dxf>
    <dxf>
      <font>
        <sz val="12"/>
      </font>
      <alignment horizontal="center"/>
    </dxf>
    <dxf>
      <alignment horizontal="center"/>
    </dxf>
    <dxf>
      <alignment horizontal="center"/>
    </dxf>
    <dxf>
      <alignment horizontal="center"/>
    </dxf>
    <dxf>
      <font>
        <sz val="12"/>
      </font>
    </dxf>
    <dxf>
      <font>
        <sz val="12"/>
      </font>
    </dxf>
    <dxf>
      <font>
        <sz val="12"/>
      </font>
    </dxf>
    <dxf>
      <font>
        <sz val="12"/>
      </font>
    </dxf>
    <dxf>
      <numFmt numFmtId="35" formatCode="_(* #,##0.00_);_(* \(#,##0.00\);_(* &quot;-&quot;??_);_(@_)"/>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9"/>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2"/>
      </font>
    </dxf>
    <dxf>
      <font>
        <color theme="0" tint="-4.9989318521683403E-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9" tint="0.79998168889431442"/>
      </font>
      <fill>
        <patternFill patternType="none">
          <bgColor auto="1"/>
        </patternFill>
      </fill>
    </dxf>
    <dxf>
      <font>
        <color theme="9" tint="0.79998168889431442"/>
      </font>
      <fill>
        <patternFill>
          <bgColor rgb="FFCCFFCC"/>
        </patternFill>
      </fill>
    </dxf>
    <dxf>
      <font>
        <color rgb="FFC0C0C0"/>
      </font>
    </dxf>
    <dxf>
      <font>
        <color theme="2"/>
      </font>
    </dxf>
    <dxf>
      <font>
        <color theme="2"/>
      </font>
    </dxf>
    <dxf>
      <font>
        <color theme="2"/>
      </font>
    </dxf>
    <dxf>
      <font>
        <color theme="0" tint="-4.9989318521683403E-2"/>
      </font>
    </dxf>
    <dxf>
      <font>
        <b/>
        <i val="0"/>
        <color rgb="FFFF0000"/>
      </font>
    </dxf>
    <dxf>
      <fill>
        <patternFill>
          <bgColor theme="5" tint="0.79998168889431442"/>
        </patternFill>
      </fill>
    </dxf>
    <dxf>
      <fill>
        <patternFill patternType="solid">
          <bgColor rgb="FFFF7C80"/>
        </patternFill>
      </fill>
    </dxf>
    <dxf>
      <font>
        <b/>
        <i val="0"/>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2"/>
      </font>
    </dxf>
    <dxf>
      <font>
        <color theme="0" tint="-4.9989318521683403E-2"/>
      </font>
    </dxf>
    <dxf>
      <font>
        <color rgb="FF9C0006"/>
      </font>
      <fill>
        <patternFill>
          <bgColor rgb="FFFFC7CE"/>
        </patternFill>
      </fill>
    </dxf>
    <dxf>
      <font>
        <color theme="9" tint="0.79998168889431442"/>
      </font>
      <fill>
        <patternFill patternType="none">
          <bgColor auto="1"/>
        </patternFill>
      </fill>
    </dxf>
    <dxf>
      <font>
        <color theme="9" tint="0.79998168889431442"/>
      </font>
      <fill>
        <patternFill>
          <bgColor rgb="FFCCFFCC"/>
        </patternFill>
      </fill>
    </dxf>
    <dxf>
      <font>
        <color rgb="FFC0C0C0"/>
      </font>
    </dxf>
    <dxf>
      <font>
        <color theme="2"/>
      </font>
    </dxf>
    <dxf>
      <font>
        <color theme="2"/>
      </font>
    </dxf>
    <dxf>
      <font>
        <b/>
        <i val="0"/>
        <color rgb="FFFF0000"/>
      </font>
    </dxf>
    <dxf>
      <fill>
        <patternFill>
          <bgColor theme="5" tint="0.79998168889431442"/>
        </patternFill>
      </fill>
    </dxf>
    <dxf>
      <fill>
        <patternFill patternType="solid">
          <bgColor rgb="FFFF7C80"/>
        </patternFill>
      </fill>
    </dxf>
    <dxf>
      <font>
        <b/>
        <i val="0"/>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2"/>
      </font>
    </dxf>
    <dxf>
      <font>
        <color theme="0" tint="-4.9989318521683403E-2"/>
      </font>
    </dxf>
    <dxf>
      <font>
        <color rgb="FFC0C0C0"/>
      </font>
    </dxf>
    <dxf>
      <font>
        <color theme="2"/>
      </font>
    </dxf>
    <dxf>
      <font>
        <color theme="2"/>
      </font>
    </dxf>
    <dxf>
      <fill>
        <patternFill>
          <bgColor theme="5" tint="0.79998168889431442"/>
        </patternFill>
      </fill>
    </dxf>
    <dxf>
      <fill>
        <patternFill patternType="solid">
          <bgColor rgb="FFFF7C8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2"/>
      </font>
    </dxf>
    <dxf>
      <font>
        <color theme="0" tint="-4.9989318521683403E-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9" tint="0.79998168889431442"/>
      </font>
      <fill>
        <patternFill patternType="none">
          <bgColor auto="1"/>
        </patternFill>
      </fill>
    </dxf>
    <dxf>
      <font>
        <color theme="9" tint="0.79998168889431442"/>
      </font>
      <fill>
        <patternFill>
          <bgColor rgb="FFCCFFCC"/>
        </patternFill>
      </fill>
    </dxf>
    <dxf>
      <font>
        <color rgb="FF9C0006"/>
      </font>
      <fill>
        <patternFill>
          <bgColor rgb="FFFFC7CE"/>
        </patternFill>
      </fill>
    </dxf>
    <dxf>
      <font>
        <color theme="9" tint="0.79998168889431442"/>
      </font>
      <fill>
        <patternFill patternType="none">
          <bgColor auto="1"/>
        </patternFill>
      </fill>
    </dxf>
    <dxf>
      <font>
        <color theme="9" tint="0.79998168889431442"/>
      </font>
      <fill>
        <patternFill>
          <bgColor rgb="FFCCFFCC"/>
        </patternFill>
      </fill>
    </dxf>
    <dxf>
      <font>
        <color rgb="FFC0C0C0"/>
      </font>
    </dxf>
    <dxf>
      <font>
        <color theme="2"/>
      </font>
    </dxf>
    <dxf>
      <font>
        <color theme="2"/>
      </font>
    </dxf>
    <dxf>
      <font>
        <color theme="2"/>
      </font>
    </dxf>
    <dxf>
      <font>
        <color theme="0" tint="-4.9989318521683403E-2"/>
      </font>
    </dxf>
    <dxf>
      <font>
        <color rgb="FFC0C0C0"/>
      </font>
    </dxf>
    <dxf>
      <font>
        <color theme="2"/>
      </font>
    </dxf>
    <dxf>
      <font>
        <color theme="2"/>
      </font>
    </dxf>
    <dxf>
      <font>
        <b/>
        <i val="0"/>
        <color rgb="FFFF0000"/>
      </font>
    </dxf>
    <dxf>
      <fill>
        <patternFill>
          <bgColor theme="5" tint="0.79998168889431442"/>
        </patternFill>
      </fill>
    </dxf>
    <dxf>
      <fill>
        <patternFill patternType="solid">
          <bgColor rgb="FFFF7C80"/>
        </patternFill>
      </fill>
    </dxf>
    <dxf>
      <font>
        <b/>
        <i val="0"/>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2"/>
      </font>
    </dxf>
    <dxf>
      <font>
        <color theme="0" tint="-4.9989318521683403E-2"/>
      </font>
    </dxf>
    <dxf>
      <font>
        <color rgb="FF9C0006"/>
      </font>
      <fill>
        <patternFill>
          <bgColor rgb="FFFFC7CE"/>
        </patternFill>
      </fill>
    </dxf>
    <dxf>
      <font>
        <color theme="9" tint="0.79998168889431442"/>
      </font>
      <fill>
        <patternFill patternType="none">
          <bgColor auto="1"/>
        </patternFill>
      </fill>
    </dxf>
    <dxf>
      <font>
        <color theme="9" tint="0.79998168889431442"/>
      </font>
      <fill>
        <patternFill>
          <bgColor rgb="FFCCFFCC"/>
        </patternFill>
      </fill>
    </dxf>
    <dxf>
      <font>
        <color rgb="FFC0C0C0"/>
      </font>
    </dxf>
    <dxf>
      <font>
        <color theme="2"/>
      </font>
    </dxf>
    <dxf>
      <font>
        <color theme="2"/>
      </font>
    </dxf>
    <dxf>
      <font>
        <b/>
        <i val="0"/>
        <color rgb="FFFF0000"/>
      </font>
    </dxf>
    <dxf>
      <fill>
        <patternFill>
          <bgColor theme="5" tint="0.79998168889431442"/>
        </patternFill>
      </fill>
    </dxf>
    <dxf>
      <fill>
        <patternFill patternType="solid">
          <bgColor rgb="FFFF7C80"/>
        </patternFill>
      </fill>
    </dxf>
    <dxf>
      <font>
        <b/>
        <i val="0"/>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C0C0C0"/>
      </font>
    </dxf>
    <dxf>
      <font>
        <color theme="2"/>
      </font>
    </dxf>
    <dxf>
      <font>
        <color theme="2"/>
      </font>
    </dxf>
    <dxf>
      <font>
        <color theme="2"/>
      </font>
    </dxf>
    <dxf>
      <font>
        <color theme="0" tint="-4.9989318521683403E-2"/>
      </font>
    </dxf>
    <dxf>
      <fill>
        <patternFill>
          <bgColor theme="5" tint="0.79998168889431442"/>
        </patternFill>
      </fill>
    </dxf>
    <dxf>
      <fill>
        <patternFill patternType="solid">
          <bgColor rgb="FFFF7C8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9" tint="0.79998168889431442"/>
      </font>
      <fill>
        <patternFill patternType="none">
          <bgColor auto="1"/>
        </patternFill>
      </fill>
    </dxf>
    <dxf>
      <font>
        <color theme="9" tint="0.79998168889431442"/>
      </font>
      <fill>
        <patternFill>
          <bgColor rgb="FFCCFFCC"/>
        </patternFill>
      </fill>
    </dxf>
    <dxf>
      <font>
        <b/>
        <i val="0"/>
        <color rgb="FFFF0000"/>
      </font>
    </dxf>
    <dxf>
      <fill>
        <patternFill>
          <bgColor theme="5" tint="0.79998168889431442"/>
        </patternFill>
      </fill>
    </dxf>
    <dxf>
      <fill>
        <patternFill patternType="solid">
          <bgColor rgb="FFFF7C80"/>
        </patternFill>
      </fill>
    </dxf>
    <dxf>
      <font>
        <b/>
        <i val="0"/>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9" tint="0.79998168889431442"/>
      </font>
      <fill>
        <patternFill patternType="none">
          <bgColor auto="1"/>
        </patternFill>
      </fill>
    </dxf>
    <dxf>
      <font>
        <color theme="9" tint="0.79998168889431442"/>
      </font>
      <fill>
        <patternFill>
          <bgColor rgb="FFCCFFCC"/>
        </patternFill>
      </fill>
    </dxf>
    <dxf>
      <font>
        <color theme="2"/>
      </font>
    </dxf>
    <dxf>
      <font>
        <color theme="0" tint="-4.9989318521683403E-2"/>
      </font>
    </dxf>
    <dxf>
      <font>
        <color rgb="FFC0C0C0"/>
      </font>
    </dxf>
    <dxf>
      <font>
        <color theme="2"/>
      </font>
    </dxf>
    <dxf>
      <font>
        <color theme="2"/>
      </font>
    </dxf>
    <dxf>
      <font>
        <b/>
        <i val="0"/>
        <color rgb="FFFF0000"/>
      </font>
    </dxf>
    <dxf>
      <fill>
        <patternFill>
          <bgColor theme="5" tint="0.79998168889431442"/>
        </patternFill>
      </fill>
    </dxf>
    <dxf>
      <fill>
        <patternFill patternType="solid">
          <bgColor rgb="FFFF7C80"/>
        </patternFill>
      </fill>
    </dxf>
    <dxf>
      <font>
        <b/>
        <i val="0"/>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9" tint="0.79998168889431442"/>
      </font>
      <fill>
        <patternFill patternType="none">
          <bgColor auto="1"/>
        </patternFill>
      </fill>
    </dxf>
    <dxf>
      <font>
        <color theme="9" tint="0.79998168889431442"/>
      </font>
      <fill>
        <patternFill>
          <bgColor rgb="FFCCFFCC"/>
        </patternFill>
      </fill>
    </dxf>
    <dxf>
      <font>
        <color rgb="FF9C0006"/>
      </font>
      <fill>
        <patternFill>
          <bgColor rgb="FFFFC7CE"/>
        </patternFill>
      </fill>
    </dxf>
    <dxf>
      <font>
        <color rgb="FFC0C0C0"/>
      </font>
    </dxf>
    <dxf>
      <font>
        <color theme="2"/>
      </font>
    </dxf>
    <dxf>
      <font>
        <color theme="2"/>
      </font>
    </dxf>
    <dxf>
      <font>
        <color theme="2"/>
      </font>
    </dxf>
    <dxf>
      <font>
        <color theme="0" tint="-4.9989318521683403E-2"/>
      </font>
    </dxf>
    <dxf>
      <font>
        <b/>
        <i val="0"/>
        <color rgb="FFFF0000"/>
      </font>
    </dxf>
    <dxf>
      <fill>
        <patternFill>
          <bgColor theme="5" tint="0.79998168889431442"/>
        </patternFill>
      </fill>
    </dxf>
    <dxf>
      <fill>
        <patternFill patternType="solid">
          <bgColor rgb="FFFF7C80"/>
        </patternFill>
      </fill>
    </dxf>
    <dxf>
      <font>
        <b/>
        <i val="0"/>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9" tint="0.79998168889431442"/>
      </font>
      <fill>
        <patternFill patternType="none">
          <bgColor auto="1"/>
        </patternFill>
      </fill>
    </dxf>
    <dxf>
      <font>
        <color theme="9" tint="0.79998168889431442"/>
      </font>
      <fill>
        <patternFill>
          <bgColor rgb="FFCCFFCC"/>
        </patternFill>
      </fill>
    </dxf>
    <dxf>
      <font>
        <color rgb="FF9C0006"/>
      </font>
      <fill>
        <patternFill>
          <bgColor rgb="FFFFC7CE"/>
        </patternFill>
      </fill>
    </dxf>
    <dxf>
      <font>
        <color rgb="FFC0C0C0"/>
      </font>
    </dxf>
    <dxf>
      <font>
        <color theme="2"/>
      </font>
    </dxf>
    <dxf>
      <font>
        <color theme="2"/>
      </font>
    </dxf>
    <dxf>
      <font>
        <color theme="2"/>
      </font>
    </dxf>
    <dxf>
      <font>
        <color theme="0" tint="-4.9989318521683403E-2"/>
      </font>
    </dxf>
    <dxf>
      <font>
        <color rgb="FFC0C0C0"/>
      </font>
    </dxf>
    <dxf>
      <font>
        <color theme="2"/>
      </font>
    </dxf>
    <dxf>
      <font>
        <color theme="2"/>
      </font>
    </dxf>
    <dxf>
      <font>
        <color theme="2"/>
      </font>
    </dxf>
    <dxf>
      <font>
        <color theme="0" tint="-4.9989318521683403E-2"/>
      </font>
    </dxf>
    <dxf>
      <font>
        <color rgb="FFC0C0C0"/>
      </font>
    </dxf>
    <dxf>
      <font>
        <color theme="2"/>
      </font>
    </dxf>
    <dxf>
      <font>
        <color theme="2"/>
      </font>
    </dxf>
    <dxf>
      <font>
        <color theme="2"/>
      </font>
    </dxf>
    <dxf>
      <font>
        <color theme="0" tint="-4.9989318521683403E-2"/>
      </font>
    </dxf>
    <dxf>
      <font>
        <color rgb="FFC0C0C0"/>
      </font>
    </dxf>
    <dxf>
      <font>
        <color theme="2"/>
      </font>
    </dxf>
    <dxf>
      <font>
        <color theme="2"/>
      </font>
    </dxf>
    <dxf>
      <font>
        <color theme="2"/>
      </font>
    </dxf>
    <dxf>
      <font>
        <color theme="0" tint="-4.9989318521683403E-2"/>
      </font>
    </dxf>
    <dxf>
      <font>
        <b/>
        <i val="0"/>
        <color rgb="FFFF0000"/>
      </font>
    </dxf>
    <dxf>
      <fill>
        <patternFill>
          <bgColor theme="5" tint="0.79998168889431442"/>
        </patternFill>
      </fill>
    </dxf>
    <dxf>
      <font>
        <b/>
        <i val="0"/>
        <color rgb="FFFF0000"/>
      </font>
    </dxf>
    <dxf>
      <fill>
        <patternFill patternType="solid">
          <bgColor rgb="FFFF7C80"/>
        </patternFill>
      </fill>
    </dxf>
    <dxf>
      <fill>
        <patternFill>
          <bgColor theme="5" tint="0.79998168889431442"/>
        </patternFill>
      </fill>
    </dxf>
    <dxf>
      <fill>
        <patternFill patternType="solid">
          <bgColor rgb="FFFF7C80"/>
        </patternFill>
      </fill>
    </dxf>
    <dxf>
      <font>
        <b/>
        <i val="0"/>
        <color rgb="FFFF0000"/>
      </font>
    </dxf>
    <dxf>
      <font>
        <b/>
        <i val="0"/>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wrapText="1"/>
    </dxf>
    <dxf>
      <alignment wrapText="1"/>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4" formatCode="#,##0.00"/>
    </dxf>
    <dxf>
      <alignment wrapText="1"/>
    </dxf>
    <dxf>
      <alignment wrapText="1"/>
    </dxf>
    <dxf>
      <alignment wrapText="1"/>
    </dxf>
    <dxf>
      <alignment wrapText="1"/>
    </dxf>
    <dxf>
      <alignment wrapText="1"/>
    </dxf>
    <dxf>
      <alignment vertical="top"/>
    </dxf>
    <dxf>
      <alignment vertical="top"/>
    </dxf>
    <dxf>
      <alignment vertical="top"/>
    </dxf>
    <dxf>
      <alignment vertical="top"/>
    </dxf>
    <dxf>
      <alignment vertical="top"/>
    </dxf>
  </dxfs>
  <tableStyles count="0" defaultTableStyle="TableStyleMedium2" defaultPivotStyle="PivotStyleLight16"/>
  <colors>
    <mruColors>
      <color rgb="FFCCFFCC"/>
      <color rgb="FFCCECFF"/>
      <color rgb="FFC0C0C0"/>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theme" Target="theme/theme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pivotCacheDefinition" Target="pivotCache/pivotCacheDefinition2.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microsoft.com/office/2017/10/relationships/person" Target="persons/perso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PCA</a:t>
            </a:r>
            <a:r>
              <a:rPr lang="en-US" b="1" baseline="0"/>
              <a:t> COUNT TARGET AND ACCOMPLISMENT</a:t>
            </a:r>
            <a:endParaRPr lang="en-US" b="1"/>
          </a:p>
        </c:rich>
      </c:tx>
      <c:overlay val="0"/>
      <c:spPr>
        <a:noFill/>
        <a:ln>
          <a:noFill/>
        </a:ln>
        <a:effectLst/>
      </c:spPr>
    </c:title>
    <c:autoTitleDeleted val="0"/>
    <c:plotArea>
      <c:layout>
        <c:manualLayout>
          <c:layoutTarget val="inner"/>
          <c:xMode val="edge"/>
          <c:yMode val="edge"/>
          <c:x val="2.2336318363280146E-2"/>
          <c:y val="7.2477665020421134E-2"/>
          <c:w val="0.95488606011411781"/>
          <c:h val="0.76616061567424021"/>
        </c:manualLayout>
      </c:layout>
      <c:barChart>
        <c:barDir val="col"/>
        <c:grouping val="clustered"/>
        <c:varyColors val="0"/>
        <c:ser>
          <c:idx val="10"/>
          <c:order val="2"/>
          <c:tx>
            <c:strRef>
              <c:f>'PCA SUMMARY'!$A$18</c:f>
              <c:strCache>
                <c:ptCount val="1"/>
                <c:pt idx="0">
                  <c:v>RECEIVED</c:v>
                </c:pt>
              </c:strCache>
            </c:strRef>
          </c:tx>
          <c:spPr>
            <a:solidFill>
              <a:schemeClr val="accent2"/>
            </a:solidFill>
            <a:ln>
              <a:noFill/>
            </a:ln>
            <a:effectLst/>
          </c:spPr>
          <c:invertIfNegative val="0"/>
          <c:dLbls>
            <c:dLbl>
              <c:idx val="0"/>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52B-4983-802F-BB3A9E191F48}"/>
                </c:ext>
              </c:extLst>
            </c:dLbl>
            <c:dLbl>
              <c:idx val="1"/>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52B-4983-802F-BB3A9E191F48}"/>
                </c:ext>
              </c:extLst>
            </c:dLbl>
            <c:dLbl>
              <c:idx val="2"/>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52B-4983-802F-BB3A9E191F48}"/>
                </c:ext>
              </c:extLst>
            </c:dLbl>
            <c:dLbl>
              <c:idx val="3"/>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52B-4983-802F-BB3A9E191F48}"/>
                </c:ext>
              </c:extLst>
            </c:dLbl>
            <c:dLbl>
              <c:idx val="4"/>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52B-4983-802F-BB3A9E191F48}"/>
                </c:ext>
              </c:extLst>
            </c:dLbl>
            <c:dLbl>
              <c:idx val="5"/>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52B-4983-802F-BB3A9E191F48}"/>
                </c:ext>
              </c:extLst>
            </c:dLbl>
            <c:dLbl>
              <c:idx val="6"/>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4FC-4B6E-8E27-EB3049A1CFF0}"/>
                </c:ext>
              </c:extLst>
            </c:dLbl>
            <c:dLbl>
              <c:idx val="7"/>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146-4463-B35E-4C72F4F93E16}"/>
                </c:ext>
              </c:extLst>
            </c:dLbl>
            <c:spPr>
              <a:noFill/>
              <a:ln>
                <a:noFill/>
              </a:ln>
              <a:effectLst/>
            </c:spPr>
            <c:txPr>
              <a:bodyPr wrap="square" lIns="38100" tIns="19050" rIns="38100" bIns="19050" anchor="ctr">
                <a:spAutoFit/>
              </a:bodyPr>
              <a:lstStyle/>
              <a:p>
                <a:pPr>
                  <a:defRPr b="1">
                    <a:solidFill>
                      <a:sysClr val="windowText" lastClr="000000"/>
                    </a:solidFill>
                  </a:defRPr>
                </a:pPr>
                <a:endParaRPr lang="en-US"/>
              </a:p>
            </c:txPr>
            <c:dLblPos val="inEnd"/>
            <c:showLegendKey val="0"/>
            <c:showVal val="0"/>
            <c:showCatName val="0"/>
            <c:showSerName val="0"/>
            <c:showPercent val="0"/>
            <c:showBubbleSize val="0"/>
            <c:extLst>
              <c:ext xmlns:c15="http://schemas.microsoft.com/office/drawing/2012/chart" uri="{CE6537A1-D6FC-4f65-9D91-7224C49458BB}">
                <c15:showLeaderLines val="1"/>
              </c:ext>
            </c:extLst>
          </c:dLbls>
          <c:val>
            <c:numRef>
              <c:f>'PCA SUMMARY'!$B$18:$M$18</c:f>
              <c:numCache>
                <c:formatCode>General</c:formatCode>
                <c:ptCount val="12"/>
                <c:pt idx="0">
                  <c:v>57</c:v>
                </c:pt>
                <c:pt idx="1">
                  <c:v>53</c:v>
                </c:pt>
                <c:pt idx="2">
                  <c:v>44</c:v>
                </c:pt>
                <c:pt idx="3">
                  <c:v>51</c:v>
                </c:pt>
                <c:pt idx="4">
                  <c:v>52</c:v>
                </c:pt>
                <c:pt idx="5">
                  <c:v>57</c:v>
                </c:pt>
                <c:pt idx="6">
                  <c:v>47</c:v>
                </c:pt>
                <c:pt idx="7">
                  <c:v>25</c:v>
                </c:pt>
                <c:pt idx="8">
                  <c:v>0</c:v>
                </c:pt>
                <c:pt idx="9">
                  <c:v>0</c:v>
                </c:pt>
                <c:pt idx="10">
                  <c:v>0</c:v>
                </c:pt>
                <c:pt idx="11">
                  <c:v>0</c:v>
                </c:pt>
              </c:numCache>
            </c:numRef>
          </c:val>
          <c:extLst>
            <c:ext xmlns:c16="http://schemas.microsoft.com/office/drawing/2014/chart" uri="{C3380CC4-5D6E-409C-BE32-E72D297353CC}">
              <c16:uniqueId val="{00000002-6F06-4F4E-8F35-E2052E6A3AAC}"/>
            </c:ext>
          </c:extLst>
        </c:ser>
        <c:ser>
          <c:idx val="2"/>
          <c:order val="3"/>
          <c:tx>
            <c:strRef>
              <c:f>'PCA SUMMARY'!$A$14</c:f>
              <c:strCache>
                <c:ptCount val="1"/>
                <c:pt idx="0">
                  <c:v>COMPLETED (Revenue)</c:v>
                </c:pt>
              </c:strCache>
            </c:strRef>
          </c:tx>
          <c:spPr>
            <a:solidFill>
              <a:schemeClr val="accent6"/>
            </a:solidFill>
            <a:ln>
              <a:noFill/>
            </a:ln>
            <a:effectLst/>
          </c:spPr>
          <c:invertIfNegative val="0"/>
          <c:dLbls>
            <c:dLbl>
              <c:idx val="0"/>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CEC-486E-AAEC-5D5C92A66173}"/>
                </c:ext>
              </c:extLst>
            </c:dLbl>
            <c:dLbl>
              <c:idx val="1"/>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72B-4C01-8738-D9B5DF269A68}"/>
                </c:ext>
              </c:extLst>
            </c:dLbl>
            <c:dLbl>
              <c:idx val="2"/>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BAF-4A25-A012-80E07D2263E5}"/>
                </c:ext>
              </c:extLst>
            </c:dLbl>
            <c:dLbl>
              <c:idx val="3"/>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F-D181-4623-8088-95851A23E7EF}"/>
                </c:ext>
              </c:extLst>
            </c:dLbl>
            <c:dLbl>
              <c:idx val="4"/>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F72-4018-8017-58DBB241EE37}"/>
                </c:ext>
              </c:extLst>
            </c:dLbl>
            <c:dLbl>
              <c:idx val="5"/>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F06-4F4E-8F35-E2052E6A3AAC}"/>
                </c:ext>
              </c:extLst>
            </c:dLbl>
            <c:dLbl>
              <c:idx val="6"/>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4FC-4B6E-8E27-EB3049A1CFF0}"/>
                </c:ext>
              </c:extLst>
            </c:dLbl>
            <c:dLbl>
              <c:idx val="7"/>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146-4463-B35E-4C72F4F93E1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'PCA SUMMARY'!$B$10:$M$10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'PCA SUMMARY'!$B$14:$M$14</c:f>
              <c:numCache>
                <c:formatCode>General</c:formatCode>
                <c:ptCount val="12"/>
                <c:pt idx="0">
                  <c:v>43</c:v>
                </c:pt>
                <c:pt idx="1">
                  <c:v>42</c:v>
                </c:pt>
                <c:pt idx="2">
                  <c:v>54</c:v>
                </c:pt>
                <c:pt idx="3">
                  <c:v>32</c:v>
                </c:pt>
                <c:pt idx="4">
                  <c:v>55</c:v>
                </c:pt>
                <c:pt idx="5">
                  <c:v>45</c:v>
                </c:pt>
                <c:pt idx="6">
                  <c:v>51</c:v>
                </c:pt>
                <c:pt idx="7">
                  <c:v>31</c:v>
                </c:pt>
                <c:pt idx="8">
                  <c:v>0</c:v>
                </c:pt>
                <c:pt idx="9">
                  <c:v>0</c:v>
                </c:pt>
                <c:pt idx="10">
                  <c:v>0</c:v>
                </c:pt>
                <c:pt idx="11">
                  <c:v>0</c:v>
                </c:pt>
              </c:numCache>
            </c:numRef>
          </c:val>
          <c:extLst>
            <c:ext xmlns:c16="http://schemas.microsoft.com/office/drawing/2014/chart" uri="{C3380CC4-5D6E-409C-BE32-E72D297353CC}">
              <c16:uniqueId val="{00000002-1CEC-486E-AAEC-5D5C92A66173}"/>
            </c:ext>
          </c:extLst>
        </c:ser>
        <c:ser>
          <c:idx val="3"/>
          <c:order val="4"/>
          <c:tx>
            <c:strRef>
              <c:f>'PCA SUMMARY'!$A$16</c:f>
              <c:strCache>
                <c:ptCount val="1"/>
                <c:pt idx="0">
                  <c:v>COMPLETED (released 2024 &amp; prior)</c:v>
                </c:pt>
              </c:strCache>
            </c:strRef>
          </c:tx>
          <c:spPr>
            <a:solidFill>
              <a:schemeClr val="accent6">
                <a:lumMod val="40000"/>
                <a:lumOff val="60000"/>
              </a:schemeClr>
            </a:solidFill>
          </c:spPr>
          <c:invertIfNegative val="0"/>
          <c:dLbls>
            <c:dLbl>
              <c:idx val="0"/>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CEC-486E-AAEC-5D5C92A66173}"/>
                </c:ext>
              </c:extLst>
            </c:dLbl>
            <c:dLbl>
              <c:idx val="1"/>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72B-4C01-8738-D9B5DF269A68}"/>
                </c:ext>
              </c:extLst>
            </c:dLbl>
            <c:dLbl>
              <c:idx val="2"/>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BAF-4A25-A012-80E07D2263E5}"/>
                </c:ext>
              </c:extLst>
            </c:dLbl>
            <c:dLbl>
              <c:idx val="3"/>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1-D181-4623-8088-95851A23E7EF}"/>
                </c:ext>
              </c:extLst>
            </c:dLbl>
            <c:dLbl>
              <c:idx val="4"/>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F72-4018-8017-58DBB241EE37}"/>
                </c:ext>
              </c:extLst>
            </c:dLbl>
            <c:dLbl>
              <c:idx val="5"/>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23-4A71-BD00-E612029854C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'PCA SUMMARY'!$B$10:$M$10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'PCA SUMMARY'!$B$16:$M$16</c:f>
              <c:numCache>
                <c:formatCode>General</c:formatCode>
                <c:ptCount val="12"/>
                <c:pt idx="0">
                  <c:v>34</c:v>
                </c:pt>
                <c:pt idx="1">
                  <c:v>12</c:v>
                </c:pt>
                <c:pt idx="2">
                  <c:v>15</c:v>
                </c:pt>
                <c:pt idx="3">
                  <c:v>6</c:v>
                </c:pt>
                <c:pt idx="4">
                  <c:v>8</c:v>
                </c:pt>
                <c:pt idx="5">
                  <c:v>3</c:v>
                </c:pt>
                <c:pt idx="6">
                  <c:v>0</c:v>
                </c:pt>
                <c:pt idx="7">
                  <c:v>0</c:v>
                </c:pt>
                <c:pt idx="8">
                  <c:v>0</c:v>
                </c:pt>
                <c:pt idx="9">
                  <c:v>0</c:v>
                </c:pt>
                <c:pt idx="10">
                  <c:v>0</c:v>
                </c:pt>
                <c:pt idx="11">
                  <c:v>0</c:v>
                </c:pt>
              </c:numCache>
            </c:numRef>
          </c:val>
          <c:extLst>
            <c:ext xmlns:c16="http://schemas.microsoft.com/office/drawing/2014/chart" uri="{C3380CC4-5D6E-409C-BE32-E72D297353CC}">
              <c16:uniqueId val="{00000003-1CEC-486E-AAEC-5D5C92A66173}"/>
            </c:ext>
          </c:extLst>
        </c:ser>
        <c:ser>
          <c:idx val="7"/>
          <c:order val="8"/>
          <c:tx>
            <c:strRef>
              <c:f>'PCA SUMMARY'!$A$17</c:f>
              <c:strCache>
                <c:ptCount val="1"/>
                <c:pt idx="0">
                  <c:v>COMPLETED (Non-Revenue)</c:v>
                </c:pt>
              </c:strCache>
            </c:strRef>
          </c:tx>
          <c:spPr>
            <a:solidFill>
              <a:schemeClr val="accent3"/>
            </a:solidFill>
            <a:ln>
              <a:solidFill>
                <a:schemeClr val="accent3"/>
              </a:solidFill>
            </a:ln>
          </c:spPr>
          <c:invertIfNegative val="0"/>
          <c:dLbls>
            <c:dLbl>
              <c:idx val="0"/>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1CEC-486E-AAEC-5D5C92A66173}"/>
                </c:ext>
              </c:extLst>
            </c:dLbl>
            <c:dLbl>
              <c:idx val="1"/>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72B-4C01-8738-D9B5DF269A68}"/>
                </c:ext>
              </c:extLst>
            </c:dLbl>
            <c:dLbl>
              <c:idx val="2"/>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BAF-4A25-A012-80E07D2263E5}"/>
                </c:ext>
              </c:extLst>
            </c:dLbl>
            <c:dLbl>
              <c:idx val="3"/>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2-D181-4623-8088-95851A23E7EF}"/>
                </c:ext>
              </c:extLst>
            </c:dLbl>
            <c:dLbl>
              <c:idx val="4"/>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F72-4018-8017-58DBB241EE37}"/>
                </c:ext>
              </c:extLst>
            </c:dLbl>
            <c:dLbl>
              <c:idx val="5"/>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F06-4F4E-8F35-E2052E6A3AAC}"/>
                </c:ext>
              </c:extLst>
            </c:dLbl>
            <c:dLbl>
              <c:idx val="6"/>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4FC-4B6E-8E27-EB3049A1CFF0}"/>
                </c:ext>
              </c:extLst>
            </c:dLbl>
            <c:dLbl>
              <c:idx val="7"/>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146-4463-B35E-4C72F4F93E16}"/>
                </c:ext>
              </c:extLst>
            </c:dLbl>
            <c:spPr>
              <a:noFill/>
              <a:ln>
                <a:noFill/>
              </a:ln>
              <a:effectLst/>
            </c:spPr>
            <c:txPr>
              <a:bodyPr wrap="square" lIns="38100" tIns="19050" rIns="38100" bIns="19050" anchor="ctr">
                <a:spAutoFit/>
              </a:bodyPr>
              <a:lstStyle/>
              <a:p>
                <a:pPr>
                  <a:defRPr b="1">
                    <a:solidFill>
                      <a:sysClr val="windowText" lastClr="000000"/>
                    </a:solidFill>
                  </a:defRPr>
                </a:pPr>
                <a:endParaRPr lang="en-US"/>
              </a:p>
            </c:txPr>
            <c:dLblPos val="inEnd"/>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'PCA SUMMARY'!$B$10:$M$10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'PCA SUMMARY'!$B$17:$M$17</c:f>
              <c:numCache>
                <c:formatCode>General</c:formatCode>
                <c:ptCount val="12"/>
                <c:pt idx="0">
                  <c:v>20</c:v>
                </c:pt>
                <c:pt idx="1">
                  <c:v>19</c:v>
                </c:pt>
                <c:pt idx="2">
                  <c:v>28</c:v>
                </c:pt>
                <c:pt idx="3">
                  <c:v>32</c:v>
                </c:pt>
                <c:pt idx="4">
                  <c:v>27</c:v>
                </c:pt>
                <c:pt idx="5">
                  <c:v>30</c:v>
                </c:pt>
                <c:pt idx="6">
                  <c:v>27</c:v>
                </c:pt>
                <c:pt idx="7">
                  <c:v>14</c:v>
                </c:pt>
                <c:pt idx="8">
                  <c:v>0</c:v>
                </c:pt>
                <c:pt idx="9">
                  <c:v>0</c:v>
                </c:pt>
                <c:pt idx="10">
                  <c:v>0</c:v>
                </c:pt>
                <c:pt idx="11">
                  <c:v>0</c:v>
                </c:pt>
              </c:numCache>
            </c:numRef>
          </c:val>
          <c:extLst>
            <c:ext xmlns:c16="http://schemas.microsoft.com/office/drawing/2014/chart" uri="{C3380CC4-5D6E-409C-BE32-E72D297353CC}">
              <c16:uniqueId val="{00000007-1CEC-486E-AAEC-5D5C92A66173}"/>
            </c:ext>
          </c:extLst>
        </c:ser>
        <c:ser>
          <c:idx val="9"/>
          <c:order val="10"/>
          <c:tx>
            <c:v>COMPLETED UG/SLEM</c:v>
          </c:tx>
          <c:spPr>
            <a:ln w="28575" cap="rnd">
              <a:solidFill>
                <a:schemeClr val="accent4">
                  <a:lumMod val="60000"/>
                </a:schemeClr>
              </a:solidFill>
              <a:round/>
            </a:ln>
            <a:effectLst/>
          </c:spPr>
          <c:invertIfNegative val="0"/>
          <c:dLbls>
            <c:dLbl>
              <c:idx val="0"/>
              <c:layout>
                <c:manualLayout>
                  <c:x val="0"/>
                  <c:y val="7.112777853386046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5-D181-4623-8088-95851A23E7EF}"/>
                </c:ext>
              </c:extLst>
            </c:dLbl>
            <c:dLbl>
              <c:idx val="1"/>
              <c:layout>
                <c:manualLayout>
                  <c:x val="0"/>
                  <c:y val="3.556388926693023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6-D181-4623-8088-95851A23E7EF}"/>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964-4A6B-A5A5-A8C33515DF9C}"/>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964-4A6B-A5A5-A8C33515DF9C}"/>
                </c:ext>
              </c:extLst>
            </c:dLbl>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F0A-4F19-8337-C741C6EC3533}"/>
                </c:ext>
              </c:extLst>
            </c:dLbl>
            <c:dLbl>
              <c:idx val="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A6-4E96-B3C3-309B977E062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'PCA SUMMARY'!$B$15:$M$15</c:f>
              <c:numCache>
                <c:formatCode>General</c:formatCode>
                <c:ptCount val="12"/>
                <c:pt idx="0">
                  <c:v>1</c:v>
                </c:pt>
                <c:pt idx="1">
                  <c:v>1</c:v>
                </c:pt>
                <c:pt idx="2">
                  <c:v>2</c:v>
                </c:pt>
                <c:pt idx="3">
                  <c:v>0</c:v>
                </c:pt>
                <c:pt idx="4">
                  <c:v>1</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34-D181-4623-8088-95851A23E7EF}"/>
            </c:ext>
          </c:extLst>
        </c:ser>
        <c:dLbls>
          <c:showLegendKey val="0"/>
          <c:showVal val="0"/>
          <c:showCatName val="0"/>
          <c:showSerName val="0"/>
          <c:showPercent val="0"/>
          <c:showBubbleSize val="0"/>
        </c:dLbls>
        <c:gapWidth val="165"/>
        <c:overlap val="-14"/>
        <c:axId val="851528991"/>
        <c:axId val="851531071"/>
      </c:barChart>
      <c:lineChart>
        <c:grouping val="standard"/>
        <c:varyColors val="0"/>
        <c:ser>
          <c:idx val="1"/>
          <c:order val="1"/>
          <c:tx>
            <c:strRef>
              <c:f>'PCA SUMMARY'!$A$12</c:f>
              <c:strCache>
                <c:ptCount val="1"/>
                <c:pt idx="0">
                  <c:v>Monthly Target</c:v>
                </c:pt>
              </c:strCache>
            </c:strRef>
          </c:tx>
          <c:spPr>
            <a:ln w="28575" cap="rnd">
              <a:solidFill>
                <a:schemeClr val="bg2">
                  <a:lumMod val="75000"/>
                </a:schemeClr>
              </a:solidFill>
              <a:prstDash val="sysDash"/>
              <a:round/>
            </a:ln>
            <a:effectLst/>
          </c:spPr>
          <c:marker>
            <c:symbol val="none"/>
          </c:marker>
          <c:dLbls>
            <c:dLbl>
              <c:idx val="11"/>
              <c:layout>
                <c:manualLayout>
                  <c:x val="-3.541540811842369E-2"/>
                  <c:y val="-3.6552117339552256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E-1CEC-486E-AAEC-5D5C92A6617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'PCA SUMMARY'!$B$10:$M$10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'PCA SUMMARY'!$B$12:$M$12</c:f>
              <c:numCache>
                <c:formatCode>General</c:formatCode>
                <c:ptCount val="12"/>
                <c:pt idx="0">
                  <c:v>51</c:v>
                </c:pt>
                <c:pt idx="1">
                  <c:v>51</c:v>
                </c:pt>
                <c:pt idx="2">
                  <c:v>51</c:v>
                </c:pt>
                <c:pt idx="3">
                  <c:v>51</c:v>
                </c:pt>
                <c:pt idx="4">
                  <c:v>51</c:v>
                </c:pt>
                <c:pt idx="5">
                  <c:v>51</c:v>
                </c:pt>
                <c:pt idx="6">
                  <c:v>51</c:v>
                </c:pt>
                <c:pt idx="7">
                  <c:v>51</c:v>
                </c:pt>
                <c:pt idx="8">
                  <c:v>51</c:v>
                </c:pt>
                <c:pt idx="9">
                  <c:v>51</c:v>
                </c:pt>
                <c:pt idx="10">
                  <c:v>51</c:v>
                </c:pt>
                <c:pt idx="11">
                  <c:v>51</c:v>
                </c:pt>
              </c:numCache>
            </c:numRef>
          </c:val>
          <c:smooth val="0"/>
          <c:extLst>
            <c:ext xmlns:c16="http://schemas.microsoft.com/office/drawing/2014/chart" uri="{C3380CC4-5D6E-409C-BE32-E72D297353CC}">
              <c16:uniqueId val="{00000001-1CEC-486E-AAEC-5D5C92A66173}"/>
            </c:ext>
          </c:extLst>
        </c:ser>
        <c:ser>
          <c:idx val="8"/>
          <c:order val="9"/>
          <c:tx>
            <c:strRef>
              <c:f>'PCA SUMMARY'!$A$23</c:f>
              <c:strCache>
                <c:ptCount val="1"/>
                <c:pt idx="0">
                  <c:v>REMAINING 2024 AGEING PCA</c:v>
                </c:pt>
              </c:strCache>
            </c:strRef>
          </c:tx>
          <c:spPr>
            <a:ln w="28575" cap="rnd">
              <a:solidFill>
                <a:schemeClr val="accent3">
                  <a:lumMod val="60000"/>
                </a:schemeClr>
              </a:solidFill>
              <a:round/>
            </a:ln>
            <a:effectLst/>
          </c:spPr>
          <c:marker>
            <c:symbol val="none"/>
          </c:marker>
          <c:dLbls>
            <c:dLbl>
              <c:idx val="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72B-4C01-8738-D9B5DF269A68}"/>
                </c:ext>
              </c:extLst>
            </c:dLbl>
            <c:dLbl>
              <c:idx val="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72B-4C01-8738-D9B5DF269A68}"/>
                </c:ext>
              </c:extLst>
            </c:dLbl>
            <c:dLbl>
              <c:idx val="2"/>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BAF-4A25-A012-80E07D2263E5}"/>
                </c:ext>
              </c:extLst>
            </c:dLbl>
            <c:dLbl>
              <c:idx val="3"/>
              <c:layout>
                <c:manualLayout>
                  <c:x val="-1.1353317468359837E-2"/>
                  <c:y val="-3.06144201000677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7-D181-4623-8088-95851A23E7EF}"/>
                </c:ext>
              </c:extLst>
            </c:dLbl>
            <c:dLbl>
              <c:idx val="4"/>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F72-4018-8017-58DBB241EE37}"/>
                </c:ext>
              </c:extLst>
            </c:dLbl>
            <c:dLbl>
              <c:idx val="5"/>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23-4A71-BD00-E612029854C7}"/>
                </c:ext>
              </c:extLst>
            </c:dLbl>
            <c:dLbl>
              <c:idx val="6"/>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2C-47E5-A043-147F25B41487}"/>
                </c:ext>
              </c:extLst>
            </c:dLbl>
            <c:spPr>
              <a:noFill/>
              <a:ln>
                <a:noFill/>
              </a:ln>
              <a:effectLst/>
            </c:spPr>
            <c:txPr>
              <a:bodyPr rot="0" spcFirstLastPara="1" vertOverflow="ellipsis" vert="horz" wrap="square" lIns="38100" tIns="19050" rIns="38100" bIns="19050" anchor="t" anchorCtr="1">
                <a:spAutoFit/>
              </a:bodyPr>
              <a:lstStyle/>
              <a:p>
                <a:pPr>
                  <a:defRPr sz="1100" b="1" i="0" u="none" strike="noStrike" kern="1200" baseline="0">
                    <a:solidFill>
                      <a:srgbClr val="FF00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'PCA SUMMARY'!$B$10:$M$10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'PCA SUMMARY'!$B$23:$M$23</c:f>
              <c:numCache>
                <c:formatCode>General</c:formatCode>
                <c:ptCount val="12"/>
                <c:pt idx="0">
                  <c:v>77</c:v>
                </c:pt>
                <c:pt idx="1">
                  <c:v>61</c:v>
                </c:pt>
                <c:pt idx="2">
                  <c:v>42</c:v>
                </c:pt>
                <c:pt idx="3">
                  <c:v>33</c:v>
                </c:pt>
                <c:pt idx="4">
                  <c:v>25</c:v>
                </c:pt>
                <c:pt idx="5">
                  <c:v>22</c:v>
                </c:pt>
                <c:pt idx="6">
                  <c:v>22</c:v>
                </c:pt>
              </c:numCache>
            </c:numRef>
          </c:val>
          <c:smooth val="0"/>
          <c:extLst>
            <c:ext xmlns:c16="http://schemas.microsoft.com/office/drawing/2014/chart" uri="{C3380CC4-5D6E-409C-BE32-E72D297353CC}">
              <c16:uniqueId val="{00000008-1CEC-486E-AAEC-5D5C92A66173}"/>
            </c:ext>
          </c:extLst>
        </c:ser>
        <c:dLbls>
          <c:showLegendKey val="0"/>
          <c:showVal val="0"/>
          <c:showCatName val="0"/>
          <c:showSerName val="0"/>
          <c:showPercent val="0"/>
          <c:showBubbleSize val="0"/>
        </c:dLbls>
        <c:marker val="1"/>
        <c:smooth val="0"/>
        <c:axId val="851528991"/>
        <c:axId val="851531071"/>
      </c:lineChart>
      <c:lineChart>
        <c:grouping val="standard"/>
        <c:varyColors val="0"/>
        <c:ser>
          <c:idx val="4"/>
          <c:order val="5"/>
          <c:tx>
            <c:strRef>
              <c:f>'PCA SUMMARY'!$A$19</c:f>
              <c:strCache>
                <c:ptCount val="1"/>
                <c:pt idx="0">
                  <c:v>YTD STRETCH</c:v>
                </c:pt>
              </c:strCache>
            </c:strRef>
          </c:tx>
          <c:spPr>
            <a:ln w="9525" cap="rnd">
              <a:solidFill>
                <a:schemeClr val="accent5"/>
              </a:solidFill>
              <a:prstDash val="sysDash"/>
              <a:round/>
            </a:ln>
            <a:effectLst/>
          </c:spPr>
          <c:marker>
            <c:symbol val="none"/>
          </c:marker>
          <c:dLbls>
            <c:dLbl>
              <c:idx val="11"/>
              <c:layout>
                <c:manualLayout>
                  <c:x val="0"/>
                  <c:y val="-2.15808939418012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EB7-40BD-95B7-BD7D4CE6972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'PCA SUMMARY'!$B$10:$M$10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'PCA SUMMARY'!$B$19:$M$19</c:f>
              <c:numCache>
                <c:formatCode>General</c:formatCode>
                <c:ptCount val="12"/>
                <c:pt idx="0">
                  <c:v>52</c:v>
                </c:pt>
                <c:pt idx="1">
                  <c:v>104</c:v>
                </c:pt>
                <c:pt idx="2">
                  <c:v>156</c:v>
                </c:pt>
                <c:pt idx="3">
                  <c:v>208</c:v>
                </c:pt>
                <c:pt idx="4">
                  <c:v>260</c:v>
                </c:pt>
                <c:pt idx="5">
                  <c:v>312</c:v>
                </c:pt>
                <c:pt idx="6">
                  <c:v>364</c:v>
                </c:pt>
                <c:pt idx="7">
                  <c:v>416</c:v>
                </c:pt>
                <c:pt idx="8">
                  <c:v>468</c:v>
                </c:pt>
                <c:pt idx="9">
                  <c:v>520</c:v>
                </c:pt>
                <c:pt idx="10">
                  <c:v>572</c:v>
                </c:pt>
                <c:pt idx="11">
                  <c:v>624</c:v>
                </c:pt>
              </c:numCache>
            </c:numRef>
          </c:val>
          <c:smooth val="0"/>
          <c:extLst>
            <c:ext xmlns:c16="http://schemas.microsoft.com/office/drawing/2014/chart" uri="{C3380CC4-5D6E-409C-BE32-E72D297353CC}">
              <c16:uniqueId val="{00000004-1CEC-486E-AAEC-5D5C92A66173}"/>
            </c:ext>
          </c:extLst>
        </c:ser>
        <c:ser>
          <c:idx val="5"/>
          <c:order val="6"/>
          <c:tx>
            <c:strRef>
              <c:f>'PCA SUMMARY'!$A$20</c:f>
              <c:strCache>
                <c:ptCount val="1"/>
                <c:pt idx="0">
                  <c:v>YTD TARGET</c:v>
                </c:pt>
              </c:strCache>
            </c:strRef>
          </c:tx>
          <c:spPr>
            <a:ln w="12700" cap="rnd">
              <a:solidFill>
                <a:srgbClr val="00B0F0"/>
              </a:solidFill>
              <a:round/>
            </a:ln>
            <a:effectLst/>
          </c:spPr>
          <c:marker>
            <c:symbol val="none"/>
          </c:marker>
          <c:cat>
            <c:strRef>
              <c:f>'PCA SUMMARY'!$B$10:$M$10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'PCA SUMMARY'!$B$20:$M$20</c:f>
              <c:numCache>
                <c:formatCode>General</c:formatCode>
                <c:ptCount val="12"/>
                <c:pt idx="0">
                  <c:v>51</c:v>
                </c:pt>
                <c:pt idx="1">
                  <c:v>102</c:v>
                </c:pt>
                <c:pt idx="2">
                  <c:v>153</c:v>
                </c:pt>
                <c:pt idx="3">
                  <c:v>204</c:v>
                </c:pt>
                <c:pt idx="4">
                  <c:v>255</c:v>
                </c:pt>
                <c:pt idx="5">
                  <c:v>306</c:v>
                </c:pt>
                <c:pt idx="6">
                  <c:v>357</c:v>
                </c:pt>
                <c:pt idx="7">
                  <c:v>408</c:v>
                </c:pt>
                <c:pt idx="8">
                  <c:v>459</c:v>
                </c:pt>
                <c:pt idx="9">
                  <c:v>510</c:v>
                </c:pt>
                <c:pt idx="10">
                  <c:v>561</c:v>
                </c:pt>
                <c:pt idx="11">
                  <c:v>612</c:v>
                </c:pt>
              </c:numCache>
            </c:numRef>
          </c:val>
          <c:smooth val="0"/>
          <c:extLst>
            <c:ext xmlns:c16="http://schemas.microsoft.com/office/drawing/2014/chart" uri="{C3380CC4-5D6E-409C-BE32-E72D297353CC}">
              <c16:uniqueId val="{00000005-1CEC-486E-AAEC-5D5C92A66173}"/>
            </c:ext>
          </c:extLst>
        </c:ser>
        <c:ser>
          <c:idx val="6"/>
          <c:order val="7"/>
          <c:tx>
            <c:strRef>
              <c:f>'PCA SUMMARY'!$A$21</c:f>
              <c:strCache>
                <c:ptCount val="1"/>
                <c:pt idx="0">
                  <c:v>YTD ACTUAL</c:v>
                </c:pt>
              </c:strCache>
            </c:strRef>
          </c:tx>
          <c:spPr>
            <a:ln w="28575" cap="rnd">
              <a:solidFill>
                <a:schemeClr val="accent1">
                  <a:lumMod val="60000"/>
                </a:schemeClr>
              </a:solidFill>
              <a:round/>
            </a:ln>
            <a:effectLst/>
          </c:spPr>
          <c:marker>
            <c:symbol val="none"/>
          </c:marker>
          <c:dLbls>
            <c:dLbl>
              <c:idx val="1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820-44CC-A170-98E69A32D532}"/>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strRef>
              <c:f>'PCA SUMMARY'!$B$10:$M$10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'PCA SUMMARY'!$B$21:$M$21</c:f>
              <c:numCache>
                <c:formatCode>General</c:formatCode>
                <c:ptCount val="12"/>
                <c:pt idx="0">
                  <c:v>44</c:v>
                </c:pt>
                <c:pt idx="1">
                  <c:v>87</c:v>
                </c:pt>
                <c:pt idx="2">
                  <c:v>143</c:v>
                </c:pt>
                <c:pt idx="3">
                  <c:v>175</c:v>
                </c:pt>
                <c:pt idx="4">
                  <c:v>231</c:v>
                </c:pt>
                <c:pt idx="5">
                  <c:v>277</c:v>
                </c:pt>
                <c:pt idx="6">
                  <c:v>328</c:v>
                </c:pt>
                <c:pt idx="7">
                  <c:v>359</c:v>
                </c:pt>
                <c:pt idx="8">
                  <c:v>359</c:v>
                </c:pt>
                <c:pt idx="9">
                  <c:v>359</c:v>
                </c:pt>
                <c:pt idx="10">
                  <c:v>359</c:v>
                </c:pt>
                <c:pt idx="11">
                  <c:v>359</c:v>
                </c:pt>
              </c:numCache>
            </c:numRef>
          </c:val>
          <c:smooth val="0"/>
          <c:extLst>
            <c:ext xmlns:c16="http://schemas.microsoft.com/office/drawing/2014/chart" uri="{C3380CC4-5D6E-409C-BE32-E72D297353CC}">
              <c16:uniqueId val="{00000006-1CEC-486E-AAEC-5D5C92A66173}"/>
            </c:ext>
          </c:extLst>
        </c:ser>
        <c:dLbls>
          <c:showLegendKey val="0"/>
          <c:showVal val="0"/>
          <c:showCatName val="0"/>
          <c:showSerName val="0"/>
          <c:showPercent val="0"/>
          <c:showBubbleSize val="0"/>
        </c:dLbls>
        <c:marker val="1"/>
        <c:smooth val="0"/>
        <c:axId val="851516511"/>
        <c:axId val="851512351"/>
        <c:extLst>
          <c:ext xmlns:c15="http://schemas.microsoft.com/office/drawing/2012/chart" uri="{02D57815-91ED-43cb-92C2-25804820EDAC}">
            <c15:filteredLineSeries>
              <c15:ser>
                <c:idx val="0"/>
                <c:order val="0"/>
                <c:tx>
                  <c:strRef>
                    <c:extLst>
                      <c:ext uri="{02D57815-91ED-43cb-92C2-25804820EDAC}">
                        <c15:formulaRef>
                          <c15:sqref>'PCA SUMMARY'!$A$11</c15:sqref>
                        </c15:formulaRef>
                      </c:ext>
                    </c:extLst>
                    <c:strCache>
                      <c:ptCount val="1"/>
                      <c:pt idx="0">
                        <c:v>Monthly Stretch</c:v>
                      </c:pt>
                    </c:strCache>
                  </c:strRef>
                </c:tx>
                <c:spPr>
                  <a:ln w="28575" cap="rnd">
                    <a:solidFill>
                      <a:schemeClr val="accent1"/>
                    </a:solidFill>
                    <a:round/>
                  </a:ln>
                  <a:effectLst/>
                </c:spPr>
                <c:marker>
                  <c:symbol val="none"/>
                </c:marker>
                <c:dLbls>
                  <c:dLbl>
                    <c:idx val="9"/>
                    <c:layout>
                      <c:manualLayout>
                        <c:x val="-1.9560524305222114E-3"/>
                        <c:y val="-0.10121052633072884"/>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0-F17D-4CEB-AD4D-584738B2571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'PCA SUMMARY'!$B$10:$M$10</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'PCA SUMMARY'!$B$11:$M$11</c15:sqref>
                        </c15:formulaRef>
                      </c:ext>
                    </c:extLst>
                    <c:numCache>
                      <c:formatCode>General</c:formatCode>
                      <c:ptCount val="12"/>
                      <c:pt idx="0">
                        <c:v>52</c:v>
                      </c:pt>
                      <c:pt idx="1">
                        <c:v>52</c:v>
                      </c:pt>
                      <c:pt idx="2">
                        <c:v>52</c:v>
                      </c:pt>
                      <c:pt idx="3">
                        <c:v>52</c:v>
                      </c:pt>
                      <c:pt idx="4">
                        <c:v>52</c:v>
                      </c:pt>
                      <c:pt idx="5">
                        <c:v>52</c:v>
                      </c:pt>
                      <c:pt idx="6">
                        <c:v>52</c:v>
                      </c:pt>
                      <c:pt idx="7">
                        <c:v>52</c:v>
                      </c:pt>
                      <c:pt idx="8">
                        <c:v>52</c:v>
                      </c:pt>
                      <c:pt idx="9">
                        <c:v>52</c:v>
                      </c:pt>
                      <c:pt idx="10">
                        <c:v>52</c:v>
                      </c:pt>
                      <c:pt idx="11">
                        <c:v>52</c:v>
                      </c:pt>
                    </c:numCache>
                  </c:numRef>
                </c:val>
                <c:smooth val="0"/>
                <c:extLst>
                  <c:ext xmlns:c16="http://schemas.microsoft.com/office/drawing/2014/chart" uri="{C3380CC4-5D6E-409C-BE32-E72D297353CC}">
                    <c16:uniqueId val="{00000000-1CEC-486E-AAEC-5D5C92A66173}"/>
                  </c:ext>
                </c:extLst>
              </c15:ser>
            </c15:filteredLineSeries>
          </c:ext>
        </c:extLst>
      </c:lineChart>
      <c:catAx>
        <c:axId val="851528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531071"/>
        <c:crosses val="autoZero"/>
        <c:auto val="1"/>
        <c:lblAlgn val="ctr"/>
        <c:lblOffset val="100"/>
        <c:noMultiLvlLbl val="0"/>
      </c:catAx>
      <c:valAx>
        <c:axId val="851531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528991"/>
        <c:crosses val="autoZero"/>
        <c:crossBetween val="between"/>
      </c:valAx>
      <c:valAx>
        <c:axId val="85151235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516511"/>
        <c:crosses val="max"/>
        <c:crossBetween val="between"/>
      </c:valAx>
      <c:catAx>
        <c:axId val="851516511"/>
        <c:scaling>
          <c:orientation val="minMax"/>
        </c:scaling>
        <c:delete val="1"/>
        <c:axPos val="b"/>
        <c:numFmt formatCode="General" sourceLinked="1"/>
        <c:majorTickMark val="out"/>
        <c:minorTickMark val="none"/>
        <c:tickLblPos val="nextTo"/>
        <c:crossAx val="851512351"/>
        <c:crosses val="autoZero"/>
        <c:auto val="1"/>
        <c:lblAlgn val="ctr"/>
        <c:lblOffset val="100"/>
        <c:noMultiLvlLbl val="0"/>
      </c:catAx>
      <c:spPr>
        <a:noFill/>
        <a:ln>
          <a:noFill/>
        </a:ln>
        <a:effectLst/>
      </c:spPr>
    </c:plotArea>
    <c:legend>
      <c:legendPos val="b"/>
      <c:layout>
        <c:manualLayout>
          <c:xMode val="edge"/>
          <c:yMode val="edge"/>
          <c:x val="7.0854044295784874E-3"/>
          <c:y val="0.8472767468788247"/>
          <c:w val="0.99173474662775507"/>
          <c:h val="0.128766812344043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image" Target="../media/image6.jpe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5.png"/><Relationship Id="rId5" Type="http://schemas.openxmlformats.org/officeDocument/2006/relationships/image" Target="../media/image4.jpeg"/><Relationship Id="rId4" Type="http://schemas.openxmlformats.org/officeDocument/2006/relationships/image" Target="../media/image3.jpeg"/></Relationships>
</file>

<file path=xl/drawings/_rels/drawing2.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xdr:from>
      <xdr:col>14</xdr:col>
      <xdr:colOff>285861</xdr:colOff>
      <xdr:row>0</xdr:row>
      <xdr:rowOff>69189</xdr:rowOff>
    </xdr:from>
    <xdr:to>
      <xdr:col>20</xdr:col>
      <xdr:colOff>894194</xdr:colOff>
      <xdr:row>5</xdr:row>
      <xdr:rowOff>79120</xdr:rowOff>
    </xdr:to>
    <xdr:grpSp>
      <xdr:nvGrpSpPr>
        <xdr:cNvPr id="61" name="Group 1">
          <a:extLst>
            <a:ext uri="{FF2B5EF4-FFF2-40B4-BE49-F238E27FC236}">
              <a16:creationId xmlns:a16="http://schemas.microsoft.com/office/drawing/2014/main" id="{B1C180EA-9E24-47E3-AFC2-C9DAF94E8839}"/>
            </a:ext>
          </a:extLst>
        </xdr:cNvPr>
        <xdr:cNvGrpSpPr/>
      </xdr:nvGrpSpPr>
      <xdr:grpSpPr>
        <a:xfrm>
          <a:off x="15301743" y="69189"/>
          <a:ext cx="6424186" cy="928813"/>
          <a:chOff x="6485555" y="2685680"/>
          <a:chExt cx="5808900" cy="1130915"/>
        </a:xfrm>
      </xdr:grpSpPr>
      <xdr:sp macro="" textlink="">
        <xdr:nvSpPr>
          <xdr:cNvPr id="62" name="TextBox 10">
            <a:extLst>
              <a:ext uri="{FF2B5EF4-FFF2-40B4-BE49-F238E27FC236}">
                <a16:creationId xmlns:a16="http://schemas.microsoft.com/office/drawing/2014/main" id="{E80E0FD9-1F54-4810-AA22-5529B7C2DD51}"/>
              </a:ext>
            </a:extLst>
          </xdr:cNvPr>
          <xdr:cNvSpPr txBox="1"/>
        </xdr:nvSpPr>
        <xdr:spPr>
          <a:xfrm>
            <a:off x="7392517" y="2685680"/>
            <a:ext cx="4901938" cy="1130915"/>
          </a:xfrm>
          <a:prstGeom prst="rect">
            <a:avLst/>
          </a:prstGeom>
          <a:solidFill>
            <a:sysClr val="window" lastClr="FFFFFF"/>
          </a:solidFill>
          <a:ln>
            <a:solidFill>
              <a:sysClr val="windowText" lastClr="000000"/>
            </a:solidFill>
          </a:ln>
        </xdr:spPr>
        <xdr:txBody>
          <a:bodyPr wrap="square" rtlCol="0">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US" sz="1200" b="1"/>
              <a:t>Scope:</a:t>
            </a:r>
            <a:r>
              <a:rPr lang="en-US" sz="1200" b="1" baseline="0"/>
              <a:t> </a:t>
            </a:r>
            <a:r>
              <a:rPr lang="en-US" sz="1200"/>
              <a:t>At least WTMRL as of January 1, 2025 </a:t>
            </a:r>
          </a:p>
          <a:p>
            <a:r>
              <a:rPr lang="en-US" sz="1200" b="1"/>
              <a:t>Category: </a:t>
            </a:r>
            <a:r>
              <a:rPr lang="en-US" sz="1200"/>
              <a:t>NEW (CC-type)</a:t>
            </a:r>
          </a:p>
          <a:p>
            <a:pPr marL="0" marR="0" lvl="0" indent="0" algn="l" defTabSz="457200" rtl="0" eaLnBrk="1" fontAlgn="auto" latinLnBrk="0" hangingPunct="1">
              <a:lnSpc>
                <a:spcPct val="100000"/>
              </a:lnSpc>
              <a:spcBef>
                <a:spcPts val="0"/>
              </a:spcBef>
              <a:spcAft>
                <a:spcPts val="0"/>
              </a:spcAft>
              <a:buClrTx/>
              <a:buSzTx/>
              <a:buFontTx/>
              <a:buNone/>
              <a:tabLst/>
              <a:defRPr/>
            </a:pPr>
            <a:r>
              <a:rPr lang="en-US" sz="1200" b="1"/>
              <a:t>EAM Status: </a:t>
            </a:r>
            <a:r>
              <a:rPr lang="en-US" sz="1100"/>
              <a:t>FCOMP 2025 and consider in computation that all on-going projects </a:t>
            </a:r>
            <a:r>
              <a:rPr lang="en-US" sz="1400" kern="1200">
                <a:solidFill>
                  <a:schemeClr val="tx1"/>
                </a:solidFill>
                <a:effectLst/>
                <a:latin typeface="+mn-lt"/>
                <a:ea typeface="+mn-ea"/>
                <a:cs typeface="+mn-cs"/>
              </a:rPr>
              <a:t>(less than FCOMP and beyond SPT)</a:t>
            </a:r>
            <a:endParaRPr lang="en-US" sz="1400">
              <a:effectLst/>
            </a:endParaRPr>
          </a:p>
        </xdr:txBody>
      </xdr:sp>
      <xdr:pic>
        <xdr:nvPicPr>
          <xdr:cNvPr id="63" name="Graphic 19" descr="Lightbulb with solid fill">
            <a:extLst>
              <a:ext uri="{FF2B5EF4-FFF2-40B4-BE49-F238E27FC236}">
                <a16:creationId xmlns:a16="http://schemas.microsoft.com/office/drawing/2014/main" id="{9426DD86-DEA3-414F-99E7-E444E6FA211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485555" y="2766495"/>
            <a:ext cx="914400" cy="914400"/>
          </a:xfrm>
          <a:prstGeom prst="rect">
            <a:avLst/>
          </a:prstGeom>
        </xdr:spPr>
      </xdr:pic>
    </xdr:grpSp>
    <xdr:clientData/>
  </xdr:twoCellAnchor>
  <xdr:twoCellAnchor>
    <xdr:from>
      <xdr:col>0</xdr:col>
      <xdr:colOff>0</xdr:colOff>
      <xdr:row>33</xdr:row>
      <xdr:rowOff>54429</xdr:rowOff>
    </xdr:from>
    <xdr:to>
      <xdr:col>13</xdr:col>
      <xdr:colOff>357908</xdr:colOff>
      <xdr:row>56</xdr:row>
      <xdr:rowOff>172359</xdr:rowOff>
    </xdr:to>
    <xdr:graphicFrame macro="">
      <xdr:nvGraphicFramePr>
        <xdr:cNvPr id="3" name="Chart 1">
          <a:extLst>
            <a:ext uri="{FF2B5EF4-FFF2-40B4-BE49-F238E27FC236}">
              <a16:creationId xmlns:a16="http://schemas.microsoft.com/office/drawing/2014/main" id="{EE0F371B-B292-B4DD-198E-6E982754C55D}"/>
            </a:ext>
            <a:ext uri="{147F2762-F138-4A5C-976F-8EAC2B608ADB}">
              <a16:predDERef xmlns:a16="http://schemas.microsoft.com/office/drawing/2014/main" pred="{B1C180EA-9E24-47E3-AFC2-C9DAF94E88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35</xdr:col>
      <xdr:colOff>91540</xdr:colOff>
      <xdr:row>1</xdr:row>
      <xdr:rowOff>10722</xdr:rowOff>
    </xdr:from>
    <xdr:to>
      <xdr:col>38</xdr:col>
      <xdr:colOff>1028468</xdr:colOff>
      <xdr:row>6</xdr:row>
      <xdr:rowOff>100368</xdr:rowOff>
    </xdr:to>
    <xdr:sp macro="" textlink="">
      <xdr:nvSpPr>
        <xdr:cNvPr id="15" name="TextBox 10">
          <a:extLst>
            <a:ext uri="{FF2B5EF4-FFF2-40B4-BE49-F238E27FC236}">
              <a16:creationId xmlns:a16="http://schemas.microsoft.com/office/drawing/2014/main" id="{BA971551-42AF-CA19-8C10-A36096F88D5A}"/>
            </a:ext>
          </a:extLst>
        </xdr:cNvPr>
        <xdr:cNvSpPr txBox="1"/>
      </xdr:nvSpPr>
      <xdr:spPr>
        <a:xfrm>
          <a:off x="35882449" y="160813"/>
          <a:ext cx="3834837" cy="1013282"/>
        </a:xfrm>
        <a:prstGeom prst="rect">
          <a:avLst/>
        </a:prstGeom>
        <a:solidFill>
          <a:sysClr val="window" lastClr="FFFFFF"/>
        </a:solidFill>
        <a:ln>
          <a:solidFill>
            <a:sysClr val="windowText" lastClr="000000"/>
          </a:solidFill>
        </a:ln>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US" sz="1200" b="1"/>
            <a:t>Scope:</a:t>
          </a:r>
          <a:r>
            <a:rPr lang="en-US" sz="1200" b="1" baseline="0"/>
            <a:t> </a:t>
          </a:r>
        </a:p>
        <a:p>
          <a:r>
            <a:rPr lang="en-US" sz="1200"/>
            <a:t>- FCOMP Date and COMP Date are in the current year</a:t>
          </a:r>
        </a:p>
        <a:p>
          <a:r>
            <a:rPr lang="en-US" sz="1200"/>
            <a:t>- FCOMP Date is in the current year, not yet COMP and is already beyond the SPT</a:t>
          </a:r>
        </a:p>
        <a:p>
          <a:r>
            <a:rPr lang="en-US" sz="1200" b="1"/>
            <a:t>Category: </a:t>
          </a:r>
          <a:r>
            <a:rPr lang="en-US" sz="1200"/>
            <a:t>NEW (CC-type)</a:t>
          </a:r>
        </a:p>
      </xdr:txBody>
    </xdr:sp>
    <xdr:clientData/>
  </xdr:twoCellAnchor>
  <xdr:twoCellAnchor editAs="oneCell">
    <xdr:from>
      <xdr:col>21</xdr:col>
      <xdr:colOff>290953</xdr:colOff>
      <xdr:row>65</xdr:row>
      <xdr:rowOff>22947</xdr:rowOff>
    </xdr:from>
    <xdr:to>
      <xdr:col>28</xdr:col>
      <xdr:colOff>501291</xdr:colOff>
      <xdr:row>77</xdr:row>
      <xdr:rowOff>319633</xdr:rowOff>
    </xdr:to>
    <xdr:pic>
      <xdr:nvPicPr>
        <xdr:cNvPr id="2" name="Picture 1">
          <a:extLst>
            <a:ext uri="{FF2B5EF4-FFF2-40B4-BE49-F238E27FC236}">
              <a16:creationId xmlns:a16="http://schemas.microsoft.com/office/drawing/2014/main" id="{1E364C20-FC68-5200-F63B-DED100E0DEC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3069310" y="13004161"/>
          <a:ext cx="7068340" cy="24535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158750</xdr:colOff>
      <xdr:row>100</xdr:row>
      <xdr:rowOff>47212</xdr:rowOff>
    </xdr:from>
    <xdr:to>
      <xdr:col>5</xdr:col>
      <xdr:colOff>223943</xdr:colOff>
      <xdr:row>115</xdr:row>
      <xdr:rowOff>104044</xdr:rowOff>
    </xdr:to>
    <xdr:pic>
      <xdr:nvPicPr>
        <xdr:cNvPr id="16" name="Picture 2">
          <a:extLst>
            <a:ext uri="{FF2B5EF4-FFF2-40B4-BE49-F238E27FC236}">
              <a16:creationId xmlns:a16="http://schemas.microsoft.com/office/drawing/2014/main" id="{A601E7A8-5A69-1092-A0F6-54229E4C7A15}"/>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r="9666"/>
        <a:stretch/>
      </xdr:blipFill>
      <xdr:spPr bwMode="auto">
        <a:xfrm>
          <a:off x="158750" y="20909848"/>
          <a:ext cx="6871772" cy="28392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119</xdr:row>
      <xdr:rowOff>31337</xdr:rowOff>
    </xdr:from>
    <xdr:to>
      <xdr:col>7</xdr:col>
      <xdr:colOff>910364</xdr:colOff>
      <xdr:row>138</xdr:row>
      <xdr:rowOff>71302</xdr:rowOff>
    </xdr:to>
    <xdr:pic>
      <xdr:nvPicPr>
        <xdr:cNvPr id="14" name="Picture 3">
          <a:extLst>
            <a:ext uri="{FF2B5EF4-FFF2-40B4-BE49-F238E27FC236}">
              <a16:creationId xmlns:a16="http://schemas.microsoft.com/office/drawing/2014/main" id="{D4C0C117-B478-07B2-BE04-E0AA333064CF}"/>
            </a:ext>
          </a:extLst>
        </xdr:cNvPr>
        <xdr:cNvPicPr>
          <a:picLocks noChangeAspect="1"/>
        </xdr:cNvPicPr>
      </xdr:nvPicPr>
      <xdr:blipFill>
        <a:blip xmlns:r="http://schemas.openxmlformats.org/officeDocument/2006/relationships" r:embed="rId6"/>
        <a:stretch>
          <a:fillRect/>
        </a:stretch>
      </xdr:blipFill>
      <xdr:spPr>
        <a:xfrm>
          <a:off x="0" y="24415337"/>
          <a:ext cx="9618305" cy="3549782"/>
        </a:xfrm>
        <a:prstGeom prst="rect">
          <a:avLst/>
        </a:prstGeom>
      </xdr:spPr>
    </xdr:pic>
    <xdr:clientData/>
  </xdr:twoCellAnchor>
  <xdr:twoCellAnchor editAs="oneCell">
    <xdr:from>
      <xdr:col>21</xdr:col>
      <xdr:colOff>272145</xdr:colOff>
      <xdr:row>77</xdr:row>
      <xdr:rowOff>148884</xdr:rowOff>
    </xdr:from>
    <xdr:to>
      <xdr:col>28</xdr:col>
      <xdr:colOff>404576</xdr:colOff>
      <xdr:row>101</xdr:row>
      <xdr:rowOff>17611</xdr:rowOff>
    </xdr:to>
    <xdr:pic>
      <xdr:nvPicPr>
        <xdr:cNvPr id="5" name="Picture 4">
          <a:extLst>
            <a:ext uri="{FF2B5EF4-FFF2-40B4-BE49-F238E27FC236}">
              <a16:creationId xmlns:a16="http://schemas.microsoft.com/office/drawing/2014/main" id="{DD509534-6752-0E4B-12C0-7FCDFCA7A303}"/>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2769288" y="15370741"/>
          <a:ext cx="7256226" cy="25928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95</xdr:row>
      <xdr:rowOff>0</xdr:rowOff>
    </xdr:from>
    <xdr:to>
      <xdr:col>7</xdr:col>
      <xdr:colOff>561449</xdr:colOff>
      <xdr:row>112</xdr:row>
      <xdr:rowOff>168565</xdr:rowOff>
    </xdr:to>
    <xdr:pic>
      <xdr:nvPicPr>
        <xdr:cNvPr id="3" name="Picture 1">
          <a:extLst>
            <a:ext uri="{FF2B5EF4-FFF2-40B4-BE49-F238E27FC236}">
              <a16:creationId xmlns:a16="http://schemas.microsoft.com/office/drawing/2014/main" id="{DCF9FB4F-AB78-F660-7AD1-91C61D2B54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7837727"/>
          <a:ext cx="7628999" cy="32991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MIW00051\Downloads\8460267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MLU00073\Downloads\9635847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MLT00035/Downloads/2209659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ersonal/rbcanaria_meralco_com_ph/Documents/Paranaque%20CA%20Files/BLANKETS/MIKE%20ALDO%20CARDE&#209;O/Work%20Order%20Monitoring%202025%20Before%20Snap.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VIP%20WOs%20-%20Completed%20&amp;%20Pending%20(Para&#241;aqu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Work Orders"/>
    </sheetNames>
    <sheetDataSet>
      <sheetData sheetId="0">
        <row r="1">
          <cell r="A1" t="str">
            <v>Work Order</v>
          </cell>
          <cell r="B1" t="str">
            <v>Description</v>
          </cell>
          <cell r="C1" t="str">
            <v>Location Description</v>
          </cell>
          <cell r="D1" t="str">
            <v>Location Tag</v>
          </cell>
          <cell r="E1" t="str">
            <v>Office</v>
          </cell>
          <cell r="F1" t="str">
            <v>Status</v>
          </cell>
          <cell r="G1" t="str">
            <v>Status Date</v>
          </cell>
          <cell r="H1" t="str">
            <v>Scheduled Start</v>
          </cell>
          <cell r="I1" t="str">
            <v>Supervisor</v>
          </cell>
        </row>
        <row r="2">
          <cell r="A2" t="str">
            <v>100338058517</v>
          </cell>
          <cell r="B2" t="str">
            <v>MAINT - 414FIL - Retirement of Idle poles &amp; facilities P# DU1-2173,DU1-2282,DU1-2172,NPT</v>
          </cell>
          <cell r="C2" t="str">
            <v>CKT, 414FIL, 34.5 KV, DISTRIBUTION</v>
          </cell>
          <cell r="D2" t="str">
            <v>414FIL</v>
          </cell>
          <cell r="E2" t="str">
            <v>PARANAQUE</v>
          </cell>
          <cell r="F2" t="str">
            <v>SCHED</v>
          </cell>
          <cell r="G2">
            <v>44417.420694444445</v>
          </cell>
          <cell r="H2">
            <v>44424.794444444444</v>
          </cell>
          <cell r="I2" t="str">
            <v>ME155242</v>
          </cell>
        </row>
        <row r="3">
          <cell r="A3" t="str">
            <v>100338058622</v>
          </cell>
          <cell r="B3" t="str">
            <v>MAINT - 414FIL - Retirement of Idle poles and other facilities pole DU1-0002-T &amp; DU1-2172-B</v>
          </cell>
          <cell r="C3" t="str">
            <v>CKT, 414FIL, 34.5 KV, DISTRIBUTION</v>
          </cell>
          <cell r="D3" t="str">
            <v>414FIL</v>
          </cell>
          <cell r="E3" t="str">
            <v>PARANAQUE</v>
          </cell>
          <cell r="F3" t="str">
            <v>SCHED</v>
          </cell>
          <cell r="G3">
            <v>44417.420856481483</v>
          </cell>
          <cell r="H3">
            <v>44424.795138888891</v>
          </cell>
          <cell r="I3" t="str">
            <v>ME155242</v>
          </cell>
        </row>
        <row r="4">
          <cell r="A4" t="str">
            <v>100338058856</v>
          </cell>
          <cell r="B4" t="str">
            <v>MAINT - 414FIL - Retirement of Idle poles and other facilities pole DU1-2176</v>
          </cell>
          <cell r="C4" t="str">
            <v>POLE</v>
          </cell>
          <cell r="D4" t="str">
            <v>DU1-2176</v>
          </cell>
          <cell r="E4" t="str">
            <v>PARANAQUE</v>
          </cell>
          <cell r="F4" t="str">
            <v>SCHED</v>
          </cell>
          <cell r="G4">
            <v>44383.367627314816</v>
          </cell>
          <cell r="H4">
            <v>44391.274305555555</v>
          </cell>
          <cell r="I4" t="str">
            <v>ME155242</v>
          </cell>
        </row>
        <row r="5">
          <cell r="A5" t="str">
            <v>100338058959</v>
          </cell>
          <cell r="B5" t="str">
            <v>MAINT - 414FIL - Retirement of Idle poles and other facilities pole DU1-2307 &amp; DU1-2308</v>
          </cell>
          <cell r="C5" t="str">
            <v>POLE, CONCRETE, CLASS 5, 13.50 m, SINGLE, PRIMARY</v>
          </cell>
          <cell r="D5" t="str">
            <v>DU1-2307</v>
          </cell>
          <cell r="E5" t="str">
            <v>PARANAQUE</v>
          </cell>
          <cell r="F5" t="str">
            <v>SCHED</v>
          </cell>
          <cell r="G5">
            <v>44390.582071759258</v>
          </cell>
          <cell r="H5">
            <v>44392.513888888891</v>
          </cell>
          <cell r="I5" t="str">
            <v>ME155242</v>
          </cell>
        </row>
        <row r="6">
          <cell r="A6" t="str">
            <v>100338059056</v>
          </cell>
          <cell r="B6" t="str">
            <v>MAINT - 414FIL - Retirement of Idle poles and other facilities pole DT1-2353 &amp; DT1-2180</v>
          </cell>
          <cell r="C6" t="str">
            <v>POLE, CONCRETE, CLASS 5, 13.50 m, SINGLE, PRIMARY</v>
          </cell>
          <cell r="D6" t="str">
            <v>DT1-2353</v>
          </cell>
          <cell r="E6" t="str">
            <v>PARANAQUE</v>
          </cell>
          <cell r="F6" t="str">
            <v>SCHED</v>
          </cell>
          <cell r="G6">
            <v>44406.377280092594</v>
          </cell>
          <cell r="H6">
            <v>44412.660416666666</v>
          </cell>
          <cell r="I6" t="str">
            <v>ME155242</v>
          </cell>
        </row>
        <row r="7">
          <cell r="A7" t="str">
            <v>P2004004805</v>
          </cell>
          <cell r="B7" t="str">
            <v>MN_MAJOR, REPLACE OVERLOADED POLE-TYPE DISTRIBUTION TRANSFORMER</v>
          </cell>
          <cell r="C7" t="str">
            <v>DXF, POLE-MOUNTED, 34.5 KV, 240 V</v>
          </cell>
          <cell r="D7" t="str">
            <v>TLN 051257</v>
          </cell>
          <cell r="E7" t="str">
            <v>PARANAQUE</v>
          </cell>
          <cell r="F7" t="str">
            <v>SCHED</v>
          </cell>
          <cell r="G7">
            <v>43990.368090277778</v>
          </cell>
          <cell r="H7">
            <v>43994</v>
          </cell>
          <cell r="I7" t="str">
            <v>ME168443</v>
          </cell>
        </row>
        <row r="8">
          <cell r="A8" t="str">
            <v>P2006000420</v>
          </cell>
          <cell r="B8" t="str">
            <v>MAINT  45WG TLN 037283; Split Loading Inst Addl 50KVA &amp; 75KVA on A8-0440&amp;ALB1-3102</v>
          </cell>
          <cell r="C8" t="str">
            <v>DXF, POLE-MOUNTED, 34.5 KV, 240 V</v>
          </cell>
          <cell r="D8" t="str">
            <v>TLN 037283</v>
          </cell>
          <cell r="E8" t="str">
            <v>PARANAQUE</v>
          </cell>
          <cell r="F8" t="str">
            <v>CAN</v>
          </cell>
          <cell r="G8">
            <v>45721.277407407404</v>
          </cell>
          <cell r="H8">
            <v>44029</v>
          </cell>
          <cell r="I8" t="str">
            <v>ME185284</v>
          </cell>
        </row>
        <row r="9">
          <cell r="A9" t="str">
            <v>P2006000610</v>
          </cell>
          <cell r="B9" t="str">
            <v>MAINT - 55GG_TLN 271296 Split Loading Inst Addl 50KVA on A8-0735</v>
          </cell>
          <cell r="C9" t="str">
            <v>DXF, 75.0 kVA, POLE-MOUNTED, 34.5 KV, 240 V</v>
          </cell>
          <cell r="D9" t="str">
            <v>TLN 271296</v>
          </cell>
          <cell r="E9" t="str">
            <v>PARANAQUE</v>
          </cell>
          <cell r="F9" t="str">
            <v>CAN</v>
          </cell>
          <cell r="G9">
            <v>45721.277812499997</v>
          </cell>
          <cell r="H9">
            <v>44049</v>
          </cell>
          <cell r="I9" t="str">
            <v>ME185284</v>
          </cell>
        </row>
        <row r="10">
          <cell r="A10" t="str">
            <v>P2006000921</v>
          </cell>
          <cell r="B10" t="str">
            <v>MN_MAJOR, CONDUCT LOAD SPLITTING</v>
          </cell>
          <cell r="C10" t="str">
            <v>DXF, POLE-MOUNTED, 34.5 KV, 240 V</v>
          </cell>
          <cell r="D10" t="str">
            <v>068256</v>
          </cell>
          <cell r="E10" t="str">
            <v>PARANAQUE</v>
          </cell>
          <cell r="F10" t="str">
            <v>FCOMP</v>
          </cell>
          <cell r="G10">
            <v>45720.735972222225</v>
          </cell>
          <cell r="H10">
            <v>44109</v>
          </cell>
          <cell r="I10" t="str">
            <v>ME168443</v>
          </cell>
        </row>
        <row r="11">
          <cell r="A11" t="str">
            <v>P2006000924</v>
          </cell>
          <cell r="B11" t="str">
            <v>MAINT- 45WG Load-Split TLN 033207; Inst Addl 75KVA on DZ2-2222</v>
          </cell>
          <cell r="C11" t="str">
            <v>DXF, 75.0 kVA, POLE-MOUNTED, 34.5 KV, 240 V</v>
          </cell>
          <cell r="D11" t="str">
            <v>TLN 033207</v>
          </cell>
          <cell r="E11" t="str">
            <v>PARANAQUE</v>
          </cell>
          <cell r="F11" t="str">
            <v>INPRG</v>
          </cell>
          <cell r="G11">
            <v>44425.478078703702</v>
          </cell>
          <cell r="H11">
            <v>44135.59375</v>
          </cell>
          <cell r="I11" t="str">
            <v>ME185284</v>
          </cell>
        </row>
        <row r="12">
          <cell r="A12" t="str">
            <v>P2007000208</v>
          </cell>
          <cell r="B12" t="str">
            <v>MAINT 425WG Load-Split 087388/WA345584/100KVA; Inst Addl 75KVA on A7-1008</v>
          </cell>
          <cell r="C12" t="str">
            <v>DXF, POLE-MOUNTED, 34.5 KV, 240 V</v>
          </cell>
          <cell r="D12" t="str">
            <v>TLN 087388</v>
          </cell>
          <cell r="E12" t="str">
            <v>PARANAQUE</v>
          </cell>
          <cell r="F12" t="str">
            <v>INPRG</v>
          </cell>
          <cell r="G12">
            <v>44241.368009259262</v>
          </cell>
          <cell r="H12">
            <v>44173</v>
          </cell>
          <cell r="I12" t="str">
            <v>ME166067</v>
          </cell>
        </row>
        <row r="13">
          <cell r="A13" t="str">
            <v>P2007000361</v>
          </cell>
          <cell r="B13" t="str">
            <v>MAINT Load-Split 086298/WA350686/100KVA; 
Inst Addl 1-75kVA DT on pole B8-6252 (new pole)</v>
          </cell>
          <cell r="C13" t="str">
            <v>DXF, 50.0 kVA, POLE-MOUNTED, 34.5 KV, 240 V, 1DT SINGLE</v>
          </cell>
          <cell r="D13" t="str">
            <v>TLN 086298</v>
          </cell>
          <cell r="E13" t="str">
            <v>PARANAQUE</v>
          </cell>
          <cell r="F13" t="str">
            <v>FCOMP</v>
          </cell>
          <cell r="G13">
            <v>45735.123298611114</v>
          </cell>
          <cell r="H13">
            <v>44446.277777777781</v>
          </cell>
          <cell r="I13" t="str">
            <v>ME168443</v>
          </cell>
        </row>
        <row r="14">
          <cell r="A14" t="str">
            <v>P2007000394</v>
          </cell>
          <cell r="B14" t="str">
            <v>MAINT_55GG Load-Split 111627/WA329429/50KVA; Inst Addl 75KVA on C8-5486</v>
          </cell>
          <cell r="C14" t="str">
            <v>DXF, POLE-MOUNTED, 34.5 KV, 240 V</v>
          </cell>
          <cell r="D14" t="str">
            <v>111627</v>
          </cell>
          <cell r="E14" t="str">
            <v>PARANAQUE</v>
          </cell>
          <cell r="F14" t="str">
            <v>INPRG</v>
          </cell>
          <cell r="G14">
            <v>44226.392453703702</v>
          </cell>
          <cell r="H14">
            <v>44186</v>
          </cell>
          <cell r="I14" t="str">
            <v>ME166067</v>
          </cell>
        </row>
        <row r="15">
          <cell r="A15" t="str">
            <v>P2009000548</v>
          </cell>
          <cell r="B15" t="str">
            <v>MAINT 55GG Loadsplit [069426|WA145069|DZ2-0528|
Install addl 2-75 kVA on Pole DZ2-0526</v>
          </cell>
          <cell r="C15" t="str">
            <v>DXF, POLE-MOUNTED, 34.5 KV, 240 V</v>
          </cell>
          <cell r="D15" t="str">
            <v>TLN 069426</v>
          </cell>
          <cell r="E15" t="str">
            <v>PARANAQUE</v>
          </cell>
          <cell r="F15" t="str">
            <v>CAN</v>
          </cell>
          <cell r="G15">
            <v>45706.429814814815</v>
          </cell>
          <cell r="H15">
            <v>44179</v>
          </cell>
          <cell r="I15" t="str">
            <v>ME185284</v>
          </cell>
        </row>
        <row r="16">
          <cell r="A16" t="str">
            <v>P2009000586</v>
          </cell>
          <cell r="B16" t="str">
            <v>MAINT 56GG Loadsplit [134661||DV1-0012||QS]
Install 1-50kVA DT on pole DV1-0011</v>
          </cell>
          <cell r="C16" t="str">
            <v>DXF, POLE-MOUNTED, 34.5 KV, 240 V</v>
          </cell>
          <cell r="D16" t="str">
            <v>134661</v>
          </cell>
          <cell r="E16" t="str">
            <v>PARANAQUE</v>
          </cell>
          <cell r="F16" t="str">
            <v>PCAN3</v>
          </cell>
          <cell r="G16">
            <v>45706.298576388886</v>
          </cell>
          <cell r="H16">
            <v>44202</v>
          </cell>
          <cell r="I16" t="str">
            <v>ME168443</v>
          </cell>
        </row>
        <row r="17">
          <cell r="A17" t="str">
            <v>P2009000788</v>
          </cell>
          <cell r="B17" t="str">
            <v>MAINT 421WG, Uprate from 25kVA to 75kVA : [452201|WA200084|A5-1345|QS]</v>
          </cell>
          <cell r="C17" t="str">
            <v>DXF, 25.0 kVA, POLE-MOUNTED, 34.5 KV, 240 V, 1DT SINGLE</v>
          </cell>
          <cell r="D17" t="str">
            <v>TLN 452201</v>
          </cell>
          <cell r="E17" t="str">
            <v>PARANAQUE</v>
          </cell>
          <cell r="F17" t="str">
            <v>INPRG</v>
          </cell>
          <cell r="G17">
            <v>44161.367962962962</v>
          </cell>
          <cell r="H17">
            <v>44161.352083333331</v>
          </cell>
          <cell r="I17" t="str">
            <v>ME166067</v>
          </cell>
        </row>
        <row r="18">
          <cell r="A18" t="str">
            <v>P2009000813</v>
          </cell>
          <cell r="B18" t="str">
            <v>MAINT 424WU Uprate from 50kVA to 75kVA : [039062|WA372558|A5-0334|QS]</v>
          </cell>
          <cell r="C18" t="str">
            <v>DXF, 75.0 kVA, POLE-MOUNTED, 34.5 KV, 240 V</v>
          </cell>
          <cell r="D18" t="str">
            <v>039062</v>
          </cell>
          <cell r="E18" t="str">
            <v>PARANAQUE</v>
          </cell>
          <cell r="F18" t="str">
            <v>INPRG</v>
          </cell>
          <cell r="G18">
            <v>44121.388831018521</v>
          </cell>
          <cell r="H18">
            <v>44120</v>
          </cell>
          <cell r="I18" t="str">
            <v>ME166067</v>
          </cell>
        </row>
        <row r="19">
          <cell r="A19" t="str">
            <v>P2101102674</v>
          </cell>
          <cell r="B19" t="str">
            <v>MAINT 57GG Loadsplit  [003404|WA110981|DR1-0404]
Install addl 1-75kVA DT on pole</v>
          </cell>
          <cell r="C19" t="str">
            <v>DXF, POLE-MOUNTED, 34.5 KV, 240 V</v>
          </cell>
          <cell r="D19" t="str">
            <v>TLN 003404</v>
          </cell>
          <cell r="E19" t="str">
            <v>PARANAQUE</v>
          </cell>
          <cell r="F19" t="str">
            <v>INPRG</v>
          </cell>
          <cell r="G19">
            <v>45703.961585648147</v>
          </cell>
          <cell r="H19">
            <v>44232.320833333331</v>
          </cell>
          <cell r="I19" t="str">
            <v>ME168443</v>
          </cell>
        </row>
        <row r="20">
          <cell r="A20" t="str">
            <v>P2101102682</v>
          </cell>
          <cell r="B20" t="str">
            <v>MN_MAJOR, CONDUCT LOAD SPLITTING, Loadsplit from 75kVA : [063873|WA344251|DR1-1343|46WH|]Updated</v>
          </cell>
          <cell r="C20" t="str">
            <v>DXF, POLE-MOUNTED, 34.5 KV, 240 V</v>
          </cell>
          <cell r="D20" t="str">
            <v>TLN 063873</v>
          </cell>
          <cell r="E20" t="str">
            <v>PARANAQUE</v>
          </cell>
          <cell r="F20" t="str">
            <v>FCOMP</v>
          </cell>
          <cell r="G20">
            <v>45720.671539351853</v>
          </cell>
          <cell r="H20">
            <v>44256.847222222219</v>
          </cell>
          <cell r="I20" t="str">
            <v>ME168443</v>
          </cell>
        </row>
        <row r="21">
          <cell r="A21" t="str">
            <v>P2101102720</v>
          </cell>
          <cell r="B21" t="str">
            <v>MAINT 55GG Loadsplit [069436|WA368739|B8-0835]
Install 1-75 kVA  on pole B8-0836</v>
          </cell>
          <cell r="C21" t="str">
            <v>DXF, POLE-MOUNTED, 34.5 KV, 240 V</v>
          </cell>
          <cell r="D21" t="str">
            <v>TLN 069436</v>
          </cell>
          <cell r="E21" t="str">
            <v>PARANAQUE</v>
          </cell>
          <cell r="F21" t="str">
            <v>PCAN3</v>
          </cell>
          <cell r="G21">
            <v>45706.299756944441</v>
          </cell>
          <cell r="H21">
            <v>44253.879861111112</v>
          </cell>
          <cell r="I21" t="str">
            <v>ME168443</v>
          </cell>
        </row>
        <row r="22">
          <cell r="A22" t="str">
            <v>P2101102759</v>
          </cell>
          <cell r="B22" t="str">
            <v>MN_MAJOR, Loadsplit 51XD  [037203|WA343521|CV8-1375||] install addl 1-75kVA  @ CV8- 1384</v>
          </cell>
          <cell r="C22" t="str">
            <v>DXF, POLE-MOUNTED, 34.5 KV, 240 V</v>
          </cell>
          <cell r="D22" t="str">
            <v>037203</v>
          </cell>
          <cell r="E22" t="str">
            <v>PARANAQUE</v>
          </cell>
          <cell r="F22" t="str">
            <v>SCHED</v>
          </cell>
          <cell r="G22">
            <v>44229.566064814811</v>
          </cell>
          <cell r="H22">
            <v>44234.921527777777</v>
          </cell>
          <cell r="I22" t="str">
            <v>ME166067</v>
          </cell>
        </row>
        <row r="23">
          <cell r="A23" t="str">
            <v>P2106111928</v>
          </cell>
          <cell r="B23" t="str">
            <v>MN_MAJOR, CONDUCT LOAD SPLITTING, Loadsplit from 75kVA : [037150|WA196961|CX7-0436|43XD|]</v>
          </cell>
          <cell r="C23" t="str">
            <v>DXF, 75.0 kVA, POLE-MOUNTED, 34.5 KV, 240 V, 1DT SINGLE</v>
          </cell>
          <cell r="D23" t="str">
            <v>TLN 037150</v>
          </cell>
          <cell r="E23" t="str">
            <v>PARANAQUE</v>
          </cell>
          <cell r="F23" t="str">
            <v>SCHED</v>
          </cell>
          <cell r="G23">
            <v>44421.539120370369</v>
          </cell>
          <cell r="H23">
            <v>44428.681944444441</v>
          </cell>
          <cell r="I23" t="str">
            <v>ME155242</v>
          </cell>
        </row>
        <row r="24">
          <cell r="A24" t="str">
            <v>P2106111943</v>
          </cell>
          <cell r="B24" t="str">
            <v>MAINT 45XD Loadsplit [035879|WA141444|CX8-0551||]
install 1-75kVA DT on pole CX8-0552</v>
          </cell>
          <cell r="C24" t="str">
            <v>DXF, 75.0 kVA, POLE-MOUNTED, 34.5 KV, 240 V, 1DT SINGLE</v>
          </cell>
          <cell r="D24" t="str">
            <v>TLN 035879</v>
          </cell>
          <cell r="E24" t="str">
            <v>PARANAQUE</v>
          </cell>
          <cell r="F24" t="str">
            <v>INPRG</v>
          </cell>
          <cell r="G24">
            <v>45253.51122685185</v>
          </cell>
          <cell r="H24">
            <v>44743</v>
          </cell>
          <cell r="I24" t="str">
            <v>ME185284</v>
          </cell>
        </row>
        <row r="25">
          <cell r="A25" t="str">
            <v>P2107115141</v>
          </cell>
          <cell r="B25" t="str">
            <v>MN_MAJOR (WDESIGN), CONGRESSMAN OFFICE STRIKE B. REVILLA, Relocation Request along Bacoor,Cavite</v>
          </cell>
          <cell r="C25" t="str">
            <v>STREET, MOLINO BLVD., BAYANAN, BACOOR</v>
          </cell>
          <cell r="D25" t="str">
            <v>124537</v>
          </cell>
          <cell r="E25" t="str">
            <v>PARANAQUE</v>
          </cell>
          <cell r="F25" t="str">
            <v>SCHED</v>
          </cell>
          <cell r="G25">
            <v>44687.572685185187</v>
          </cell>
          <cell r="H25">
            <v>44687.441666666666</v>
          </cell>
          <cell r="I25" t="str">
            <v>ME155242</v>
          </cell>
        </row>
        <row r="26">
          <cell r="A26" t="str">
            <v>P2207136641</v>
          </cell>
          <cell r="B26" t="str">
            <v>RTA MN_ 415FIL Replacement of Wood Pole on DU1-0017</v>
          </cell>
          <cell r="C26" t="str">
            <v>POLE, WOOD, CLASS 1, 13.50 m, SINGLE, PRIMARY</v>
          </cell>
          <cell r="D26" t="str">
            <v>DU1-0017</v>
          </cell>
          <cell r="E26" t="str">
            <v>PARANAQUE</v>
          </cell>
          <cell r="F26" t="str">
            <v>SCHED</v>
          </cell>
          <cell r="G26">
            <v>44937.443206018521</v>
          </cell>
          <cell r="H26">
            <v>44947.53125</v>
          </cell>
          <cell r="I26" t="str">
            <v>ME155242</v>
          </cell>
        </row>
        <row r="27">
          <cell r="A27" t="str">
            <v>P2210140139</v>
          </cell>
          <cell r="B27" t="str">
            <v>ECP-SR:, ASEANA ,DEVT OF 115KV-34.5KV GIS SS Station Service</v>
          </cell>
          <cell r="C27" t="str">
            <v>STREET, BELLE, ASEANA BUSINESS PARK, PARANAQUE</v>
          </cell>
          <cell r="D27" t="str">
            <v>75131</v>
          </cell>
          <cell r="E27" t="str">
            <v>PARANAQUE</v>
          </cell>
          <cell r="F27" t="str">
            <v>FCOMP</v>
          </cell>
          <cell r="G27">
            <v>45675.571388888886</v>
          </cell>
          <cell r="H27">
            <v>45197.59652777778</v>
          </cell>
          <cell r="I27" t="str">
            <v>ME185284</v>
          </cell>
        </row>
        <row r="28">
          <cell r="A28" t="str">
            <v>P2211141328</v>
          </cell>
          <cell r="B28" t="str">
            <v>RTA MN - 425FIL/415FIL - DS1-5305 - Replacement of rotten, hazardous and old standard pole</v>
          </cell>
          <cell r="C28" t="str">
            <v>POLE, CONCRETE</v>
          </cell>
          <cell r="D28" t="str">
            <v>DS1-5305</v>
          </cell>
          <cell r="E28" t="str">
            <v>PARANAQUE</v>
          </cell>
          <cell r="F28" t="str">
            <v>SCHED</v>
          </cell>
          <cell r="G28">
            <v>44938.338229166664</v>
          </cell>
          <cell r="H28">
            <v>44947.526388888888</v>
          </cell>
          <cell r="I28" t="str">
            <v>ME166067</v>
          </cell>
        </row>
        <row r="29">
          <cell r="A29" t="str">
            <v>P2211141332</v>
          </cell>
          <cell r="B29" t="str">
            <v>RTA MN - 415FIL - DU1-5951 - Replacement of rotten, hazardous and old standard pole</v>
          </cell>
          <cell r="C29" t="str">
            <v>POLE, CONCRETE, CLASS 5, 13.50 m, SINGLE, DIRECT-BURIED, STUB POLE (DISTRIBUTION)</v>
          </cell>
          <cell r="D29" t="str">
            <v>DU1-5951</v>
          </cell>
          <cell r="E29" t="str">
            <v>PARANAQUE</v>
          </cell>
          <cell r="F29" t="str">
            <v>SCHED</v>
          </cell>
          <cell r="G29">
            <v>44937.441099537034</v>
          </cell>
          <cell r="H29">
            <v>44947.302083333336</v>
          </cell>
          <cell r="I29" t="str">
            <v>ME185284</v>
          </cell>
        </row>
        <row r="30">
          <cell r="A30" t="str">
            <v>P2211141340</v>
          </cell>
          <cell r="B30" t="str">
            <v>RTA MN - 415FIL - DT1-0301 - Replacement of rotten, hazardous and old standard pole</v>
          </cell>
          <cell r="C30" t="str">
            <v>POLE, WOOD, CLASS 4, 9.00 m, SINGLE, SECONDARY</v>
          </cell>
          <cell r="D30" t="str">
            <v>DT1-0301</v>
          </cell>
          <cell r="E30" t="str">
            <v>PARANAQUE</v>
          </cell>
          <cell r="F30" t="str">
            <v>SCHED</v>
          </cell>
          <cell r="G30">
            <v>44937.599236111113</v>
          </cell>
          <cell r="H30">
            <v>44947.529166666667</v>
          </cell>
          <cell r="I30" t="str">
            <v>ME155242</v>
          </cell>
        </row>
        <row r="31">
          <cell r="A31" t="str">
            <v>P2211141342</v>
          </cell>
          <cell r="B31" t="str">
            <v>RTA MN - 415FIL - DT2-2199 - Replacement of rotten, hazardous and old standard pole</v>
          </cell>
          <cell r="C31" t="str">
            <v>POLE, CONCRETE, CLASS 5, 13.50 m, SINGLE, PRIMARY</v>
          </cell>
          <cell r="D31" t="str">
            <v>DT2-2199</v>
          </cell>
          <cell r="E31" t="str">
            <v>PARANAQUE</v>
          </cell>
          <cell r="F31" t="str">
            <v>INPRG</v>
          </cell>
          <cell r="G31">
            <v>44986.31722222222</v>
          </cell>
          <cell r="H31">
            <v>44947.529166666667</v>
          </cell>
          <cell r="I31" t="str">
            <v>ME166067</v>
          </cell>
        </row>
        <row r="32">
          <cell r="A32" t="str">
            <v>P2211141343</v>
          </cell>
          <cell r="B32" t="str">
            <v>RTA MN - 415FIL - ALB1-1353 - Replacement of rotten, hazardous and old standard pole</v>
          </cell>
          <cell r="C32" t="str">
            <v>POLE, WOOD, CLASS 4, 9.00 m, SINGLE, SECONDARY</v>
          </cell>
          <cell r="D32" t="str">
            <v>ALB1-1353</v>
          </cell>
          <cell r="E32" t="str">
            <v>PARANAQUE</v>
          </cell>
          <cell r="F32" t="str">
            <v>SCHED</v>
          </cell>
          <cell r="G32">
            <v>44937.59652777778</v>
          </cell>
          <cell r="H32">
            <v>44947.529861111114</v>
          </cell>
          <cell r="I32" t="str">
            <v>ME185284</v>
          </cell>
        </row>
        <row r="33">
          <cell r="A33" t="str">
            <v>P2211141348</v>
          </cell>
          <cell r="B33" t="str">
            <v>RTA MN - 415FIL - DT1-0065 - Replacement of rotten, hazardous and old standard pole</v>
          </cell>
          <cell r="C33" t="str">
            <v>POLE, WOOD, CLASS 9, 7.50 m, SINGLE, SECONDARY</v>
          </cell>
          <cell r="D33" t="str">
            <v>DT1-0065</v>
          </cell>
          <cell r="E33" t="str">
            <v>PARANAQUE</v>
          </cell>
          <cell r="F33" t="str">
            <v>SCHED</v>
          </cell>
          <cell r="G33">
            <v>44937.437789351854</v>
          </cell>
          <cell r="H33">
            <v>44947.520833333336</v>
          </cell>
          <cell r="I33" t="str">
            <v>ME155242</v>
          </cell>
        </row>
        <row r="34">
          <cell r="A34" t="str">
            <v>P2211141350</v>
          </cell>
          <cell r="B34" t="str">
            <v>RTA MN - 415FIL - DU1-0445 - Replacement of rotten, hazardous and old standard pole</v>
          </cell>
          <cell r="C34" t="str">
            <v>POLE, STEEL, CLASS 7A, 9.00 m, SINGLE, SECONDARY</v>
          </cell>
          <cell r="D34" t="str">
            <v>DU1-0445</v>
          </cell>
          <cell r="E34" t="str">
            <v>PARANAQUE</v>
          </cell>
          <cell r="F34" t="str">
            <v>SCHED</v>
          </cell>
          <cell r="G34">
            <v>44937.439629629633</v>
          </cell>
          <cell r="H34">
            <v>44947.521527777775</v>
          </cell>
          <cell r="I34" t="str">
            <v>ME155242</v>
          </cell>
        </row>
        <row r="35">
          <cell r="A35" t="str">
            <v>P2211141351</v>
          </cell>
          <cell r="B35" t="str">
            <v>RTA MN - 415FIL - DU1-0686 - Replacement of rotten, hazardous and old standard pole</v>
          </cell>
          <cell r="C35" t="str">
            <v>POLE, CONCRETE, CLASS 5, 9.50 m, SINGLE, SECONDARY</v>
          </cell>
          <cell r="D35" t="str">
            <v>DU1-0686</v>
          </cell>
          <cell r="E35" t="str">
            <v>PARANAQUE</v>
          </cell>
          <cell r="F35" t="str">
            <v>SCHED</v>
          </cell>
          <cell r="G35">
            <v>44937.602800925924</v>
          </cell>
          <cell r="H35">
            <v>44947.529861111114</v>
          </cell>
          <cell r="I35" t="str">
            <v>ME185284</v>
          </cell>
        </row>
        <row r="36">
          <cell r="A36" t="str">
            <v>P2211141353</v>
          </cell>
          <cell r="B36" t="str">
            <v>RTA MN - 415FIL - DT1-0061 - Replacement of rotten, hazardous and old standard pole</v>
          </cell>
          <cell r="C36" t="str">
            <v>POLE, WOOD, CLASS 4, 13.50 m, SINGLE, PRIMARY</v>
          </cell>
          <cell r="D36" t="str">
            <v>DT1-0061</v>
          </cell>
          <cell r="E36" t="str">
            <v>PARANAQUE</v>
          </cell>
          <cell r="F36" t="str">
            <v>SCHED</v>
          </cell>
          <cell r="G36">
            <v>44937.598495370374</v>
          </cell>
          <cell r="H36">
            <v>44947.53125</v>
          </cell>
          <cell r="I36" t="str">
            <v>ME155242</v>
          </cell>
        </row>
        <row r="37">
          <cell r="A37" t="str">
            <v>P2211141356</v>
          </cell>
          <cell r="B37" t="str">
            <v>RTA MN - 415FIL - DT1-0057 - Replacement of rotten, hazardous and old standard pole</v>
          </cell>
          <cell r="C37" t="str">
            <v>POLE, WOOD, CLASS 1, 15.00 m, SINGLE, PRIMARY</v>
          </cell>
          <cell r="D37" t="str">
            <v>DT1-0057</v>
          </cell>
          <cell r="E37" t="str">
            <v>PARANAQUE</v>
          </cell>
          <cell r="F37" t="str">
            <v>SCHED</v>
          </cell>
          <cell r="G37">
            <v>44937.597870370373</v>
          </cell>
          <cell r="H37">
            <v>44947.521527777775</v>
          </cell>
          <cell r="I37" t="str">
            <v>ME155242</v>
          </cell>
        </row>
        <row r="38">
          <cell r="A38" t="str">
            <v>P2211141357</v>
          </cell>
          <cell r="B38" t="str">
            <v>RTA MN - 415FIL - DU1-0003 - Replacement of rotten, hazardous and old standard pole</v>
          </cell>
          <cell r="C38" t="str">
            <v>POLE, CONCRETE, CLASS 5, 13.50 m, SINGLE, PRIMARY</v>
          </cell>
          <cell r="D38" t="str">
            <v>DU1-0003</v>
          </cell>
          <cell r="E38" t="str">
            <v>PARANAQUE</v>
          </cell>
          <cell r="F38" t="str">
            <v>SCHED</v>
          </cell>
          <cell r="G38">
            <v>44937.600474537037</v>
          </cell>
          <cell r="H38">
            <v>44947.522222222222</v>
          </cell>
          <cell r="I38" t="str">
            <v>ME155242</v>
          </cell>
        </row>
        <row r="39">
          <cell r="A39" t="str">
            <v>P2211141358</v>
          </cell>
          <cell r="B39" t="str">
            <v>RTA MN - 415FIL - DV1-0001 - Replacement of rotten, hazardous and old standard pole</v>
          </cell>
          <cell r="C39" t="str">
            <v>POLE, WOOD, CLASS 1, 12.00 m, SINGLE, PRIMARY</v>
          </cell>
          <cell r="D39" t="str">
            <v>DV1-0001</v>
          </cell>
          <cell r="E39" t="str">
            <v>PARANAQUE</v>
          </cell>
          <cell r="F39" t="str">
            <v>SCHED</v>
          </cell>
          <cell r="G39">
            <v>44937.603472222225</v>
          </cell>
          <cell r="H39">
            <v>44947.522222222222</v>
          </cell>
          <cell r="I39" t="str">
            <v>ME155242</v>
          </cell>
        </row>
        <row r="40">
          <cell r="A40" t="str">
            <v>P2211141360</v>
          </cell>
          <cell r="B40" t="str">
            <v>RTA MN - 415FIL - DU1-0119-T - Replacement of rotten, hazardous and old standard pole</v>
          </cell>
          <cell r="C40" t="str">
            <v>POLE, STEEL, CLASS 3A, 27.50 m, SINGLE, SUB-TRANSMISSION</v>
          </cell>
          <cell r="D40" t="str">
            <v>DU1-0119-T</v>
          </cell>
          <cell r="E40" t="str">
            <v>PARANAQUE</v>
          </cell>
          <cell r="F40" t="str">
            <v>SCHED</v>
          </cell>
          <cell r="G40">
            <v>44937.60229166667</v>
          </cell>
          <cell r="H40">
            <v>44947.523611111108</v>
          </cell>
          <cell r="I40" t="str">
            <v>ME185284</v>
          </cell>
        </row>
        <row r="41">
          <cell r="A41" t="str">
            <v>P2211141361</v>
          </cell>
          <cell r="B41" t="str">
            <v>RTA MN - 415FIL - DU1-0117-T - Replacement of rotten, hazardous and old standard pole</v>
          </cell>
          <cell r="C41" t="str">
            <v>POLE, STEEL</v>
          </cell>
          <cell r="D41" t="str">
            <v>DU1-0117-T</v>
          </cell>
          <cell r="E41" t="str">
            <v>PARANAQUE</v>
          </cell>
          <cell r="F41" t="str">
            <v>SCHED</v>
          </cell>
          <cell r="G41">
            <v>44937.6012962963</v>
          </cell>
          <cell r="H41">
            <v>44947.523611111108</v>
          </cell>
          <cell r="I41" t="str">
            <v>ME185284</v>
          </cell>
        </row>
        <row r="42">
          <cell r="A42" t="str">
            <v>P2211141362</v>
          </cell>
          <cell r="B42" t="str">
            <v>RTA MN - 415FIL - DT1-0050 - Replacement of rotten, hazardous and old standard pole</v>
          </cell>
          <cell r="C42" t="str">
            <v>POLE, CONCRETE, CLASS 5, 13.50 m, SINGLE, PRIMARY</v>
          </cell>
          <cell r="D42" t="str">
            <v>DT1-0050</v>
          </cell>
          <cell r="E42" t="str">
            <v>PARANAQUE</v>
          </cell>
          <cell r="F42" t="str">
            <v>SCHED</v>
          </cell>
          <cell r="G42">
            <v>44937.597199074073</v>
          </cell>
          <cell r="H42">
            <v>44947.524305555555</v>
          </cell>
          <cell r="I42" t="str">
            <v>ME155242</v>
          </cell>
        </row>
        <row r="43">
          <cell r="A43" t="str">
            <v>P2211141364</v>
          </cell>
          <cell r="B43" t="str">
            <v>RTA MN - 425FIL - DS1-0169 - Replacement of rotten, hazardous and old standard pole</v>
          </cell>
          <cell r="C43" t="str">
            <v>POLE, WOOD, CLASS 4, 9.00 m, SINGLE, SECONDARY</v>
          </cell>
          <cell r="D43" t="str">
            <v>DS1-0169</v>
          </cell>
          <cell r="E43" t="str">
            <v>PARANAQUE</v>
          </cell>
          <cell r="F43" t="str">
            <v>SCHED</v>
          </cell>
          <cell r="G43">
            <v>44938.335057870368</v>
          </cell>
          <cell r="H43">
            <v>44947.524305555555</v>
          </cell>
          <cell r="I43" t="str">
            <v>ME166067</v>
          </cell>
        </row>
        <row r="44">
          <cell r="A44" t="str">
            <v>P2211141365</v>
          </cell>
          <cell r="B44" t="str">
            <v>RTA MN - 425FIL - NPT(NR DT1-5850) - Replacement of rotten, hazardous and old standard pole</v>
          </cell>
          <cell r="C44" t="str">
            <v>POLE, STEEL</v>
          </cell>
          <cell r="D44" t="str">
            <v>DT1-5850</v>
          </cell>
          <cell r="E44" t="str">
            <v>PARANAQUE</v>
          </cell>
          <cell r="F44" t="str">
            <v>SCHED</v>
          </cell>
          <cell r="G44">
            <v>44938.337337962963</v>
          </cell>
          <cell r="H44">
            <v>44947.525000000001</v>
          </cell>
          <cell r="I44" t="str">
            <v>ME166067</v>
          </cell>
        </row>
        <row r="45">
          <cell r="A45" t="str">
            <v>P2211141366</v>
          </cell>
          <cell r="B45" t="str">
            <v>RTA MN - 425FIL - DT1-0140 - Replacement of rotten, hazardous and old standard pole</v>
          </cell>
          <cell r="C45" t="str">
            <v>POLE, WOOD, CLASS 1, 13.50 m, SINGLE, PRIMARY</v>
          </cell>
          <cell r="D45" t="str">
            <v>DT1-0140</v>
          </cell>
          <cell r="E45" t="str">
            <v>PARANAQUE</v>
          </cell>
          <cell r="F45" t="str">
            <v>SCHED</v>
          </cell>
          <cell r="G45">
            <v>44938.335798611108</v>
          </cell>
          <cell r="H45">
            <v>44947.525694444441</v>
          </cell>
          <cell r="I45" t="str">
            <v>ME155242</v>
          </cell>
        </row>
        <row r="46">
          <cell r="A46" t="str">
            <v>P2211141368</v>
          </cell>
          <cell r="B46" t="str">
            <v>RTA MN - 425FIL - DT1-0264 - Replacement of rotten, hazardous and old standard pole</v>
          </cell>
          <cell r="C46" t="str">
            <v>POLE, WOOD, CLASS 1, 12.00 m, SINGLE, PRIMARY</v>
          </cell>
          <cell r="D46" t="str">
            <v>DT1-0264</v>
          </cell>
          <cell r="E46" t="str">
            <v>PARANAQUE</v>
          </cell>
          <cell r="F46" t="str">
            <v>SCHED</v>
          </cell>
          <cell r="G46">
            <v>44938.336527777778</v>
          </cell>
          <cell r="H46">
            <v>44947.525694444441</v>
          </cell>
          <cell r="I46" t="str">
            <v>ME166067</v>
          </cell>
        </row>
        <row r="47">
          <cell r="A47" t="str">
            <v>P2211141370</v>
          </cell>
          <cell r="B47" t="str">
            <v>RTA MN - 425FIL - ALB1-1897 - Replacement of rotten, hazardous and old standard pole</v>
          </cell>
          <cell r="C47" t="str">
            <v>POLE, WOOD, CLASS 4, 9.00 m, SINGLE, SECONDARY</v>
          </cell>
          <cell r="D47" t="str">
            <v>ALB1-1897</v>
          </cell>
          <cell r="E47" t="str">
            <v>PARANAQUE</v>
          </cell>
          <cell r="F47" t="str">
            <v>SCHED</v>
          </cell>
          <cell r="G47">
            <v>44938.333912037036</v>
          </cell>
          <cell r="H47">
            <v>44947.525694444441</v>
          </cell>
          <cell r="I47" t="str">
            <v>ME166067</v>
          </cell>
        </row>
        <row r="48">
          <cell r="A48" t="str">
            <v>P2211141377</v>
          </cell>
          <cell r="B48" t="str">
            <v>RTA MN 425FIL  - NPT (DR1-0242) Replacement of rotten, hazardous and old standard pole</v>
          </cell>
          <cell r="C48" t="str">
            <v>POLE, WOOD</v>
          </cell>
          <cell r="D48" t="str">
            <v>DR1-0242</v>
          </cell>
          <cell r="E48" t="str">
            <v>PARANAQUE</v>
          </cell>
          <cell r="F48" t="str">
            <v>SCHED</v>
          </cell>
          <cell r="G48">
            <v>44938.338865740741</v>
          </cell>
          <cell r="H48">
            <v>44947.526388888888</v>
          </cell>
          <cell r="I48" t="str">
            <v>ME155242</v>
          </cell>
        </row>
        <row r="49">
          <cell r="A49" t="str">
            <v>P2301143548</v>
          </cell>
          <cell r="B49" t="str">
            <v>PQUE 43WU Loadsplit [035817|WA359894|CW9-0271|Install 1-75kVA DT on pole CW9-0211 W/POLE</v>
          </cell>
          <cell r="C49" t="str">
            <v>DXF, POLE-MOUNTED, 34.5 KV, 240 V</v>
          </cell>
          <cell r="D49" t="str">
            <v>035817</v>
          </cell>
          <cell r="E49" t="str">
            <v>PARANAQUE</v>
          </cell>
          <cell r="F49" t="str">
            <v>INPRG</v>
          </cell>
          <cell r="G49">
            <v>44973.305567129632</v>
          </cell>
          <cell r="H49">
            <v>44972.397916666669</v>
          </cell>
          <cell r="I49" t="str">
            <v>ME168443</v>
          </cell>
        </row>
        <row r="50">
          <cell r="A50" t="str">
            <v>P2301143554</v>
          </cell>
          <cell r="B50" t="str">
            <v>PQUE 415FIL Loadsplit [419127|WA196183|DT2-2061|Install additional 1-50kVA DT on pole DT2-2060</v>
          </cell>
          <cell r="C50" t="str">
            <v>DXF, POLE-MOUNTED, 34.5 KV, 240 V</v>
          </cell>
          <cell r="D50" t="str">
            <v>419127</v>
          </cell>
          <cell r="E50" t="str">
            <v>PARANAQUE</v>
          </cell>
          <cell r="F50" t="str">
            <v>FCOMP</v>
          </cell>
          <cell r="G50">
            <v>45672.187928240739</v>
          </cell>
          <cell r="H50">
            <v>44972.397222222222</v>
          </cell>
          <cell r="I50" t="str">
            <v>ME168443</v>
          </cell>
        </row>
        <row r="51">
          <cell r="A51" t="str">
            <v>P2403166300</v>
          </cell>
          <cell r="B51" t="str">
            <v>C1 414ARS  2024 PLANNED Replacement of bare primary conductor (undersized) A8-0103- A8-5058</v>
          </cell>
          <cell r="C51" t="str">
            <v>CKT, 414ARS, 34.5 KV, DISTRIBUTION</v>
          </cell>
          <cell r="D51" t="str">
            <v>414ARS</v>
          </cell>
          <cell r="E51" t="str">
            <v>PARANAQUE</v>
          </cell>
          <cell r="F51" t="str">
            <v>SCHED</v>
          </cell>
          <cell r="G51">
            <v>45384.450277777774</v>
          </cell>
          <cell r="H51">
            <v>45391.289583333331</v>
          </cell>
          <cell r="I51" t="str">
            <v>ME185284</v>
          </cell>
        </row>
        <row r="52">
          <cell r="A52" t="str">
            <v>P2407173485</v>
          </cell>
          <cell r="B52" t="str">
            <v>MN_MAJOR (WDESIGN), RELOCATION OF POLE AFFECTED BY ROAD WIDENING PROJECT IN TRAMO, ALIMA, BACOOR</v>
          </cell>
          <cell r="C52" t="str">
            <v>POLE, WOOD, CLASS 9, 10.50 m, SINGLE, PRIMARY</v>
          </cell>
          <cell r="D52" t="str">
            <v>CX5-0353</v>
          </cell>
          <cell r="E52" t="str">
            <v>PARANAQUE</v>
          </cell>
          <cell r="F52" t="str">
            <v>FCOMP</v>
          </cell>
          <cell r="G52">
            <v>45639.442025462966</v>
          </cell>
          <cell r="H52">
            <v>45538.279861111114</v>
          </cell>
          <cell r="I52" t="str">
            <v>ME155242</v>
          </cell>
        </row>
        <row r="53">
          <cell r="A53" t="str">
            <v>P2502182413</v>
          </cell>
          <cell r="B53" t="str">
            <v>C1 55GG Reconductoring of primary line from bare to covered from B9-0258 to B9-0260</v>
          </cell>
          <cell r="C53" t="str">
            <v>CKT, 55GG, 34.5 KV, DISTRIBUTION</v>
          </cell>
          <cell r="D53" t="str">
            <v>55GG</v>
          </cell>
          <cell r="E53" t="str">
            <v>PARANAQUE</v>
          </cell>
          <cell r="F53" t="str">
            <v>FCOMP</v>
          </cell>
          <cell r="G53">
            <v>45735.621689814812</v>
          </cell>
          <cell r="H53">
            <v>45735.567361111112</v>
          </cell>
          <cell r="I53" t="str">
            <v>ME185284</v>
          </cell>
        </row>
        <row r="54">
          <cell r="A54" t="str">
            <v>R19291776</v>
          </cell>
          <cell r="B54" t="str">
            <v>PCA RELOC, Overhead Facilities, Y, N, N, CITY GOVERNMENT OF BACOOR</v>
          </cell>
          <cell r="C54" t="str">
            <v>STREET, GEN. TIRONA, HABAY I, BACOOR</v>
          </cell>
          <cell r="D54" t="str">
            <v>17254</v>
          </cell>
          <cell r="E54" t="str">
            <v>PARANAQUE</v>
          </cell>
          <cell r="F54" t="str">
            <v>SCHED</v>
          </cell>
          <cell r="G54">
            <v>44533.309583333335</v>
          </cell>
          <cell r="H54">
            <v>44539.257638888892</v>
          </cell>
          <cell r="I54" t="str">
            <v>ME155242</v>
          </cell>
        </row>
        <row r="55">
          <cell r="A55" t="str">
            <v>R19617176</v>
          </cell>
          <cell r="B55" t="str">
            <v>PCA RELOC, Overhead Facilities, Y, Y, Y, OFFICE OF CONGRESSMAN STRIKE B. REVILLA,
E Aguinaldo  Hiway</v>
          </cell>
          <cell r="C55" t="str">
            <v>STREET, GEN. EMILIO AGUINALDO, PANAPAAN VI, BACOOR</v>
          </cell>
          <cell r="D55" t="str">
            <v>19741</v>
          </cell>
          <cell r="E55" t="str">
            <v>PARANAQUE</v>
          </cell>
          <cell r="F55" t="str">
            <v>SCHED</v>
          </cell>
          <cell r="G55">
            <v>44481.668136574073</v>
          </cell>
          <cell r="H55">
            <v>44487.27847222222</v>
          </cell>
          <cell r="I55" t="str">
            <v>ME155242</v>
          </cell>
        </row>
        <row r="56">
          <cell r="A56" t="str">
            <v>R19938231</v>
          </cell>
          <cell r="B56" t="str">
            <v>PCA RELOC, Overhead Facilities, N, Y, N, DEPARTMENT OF TRANSPORTATION,, CBG</v>
          </cell>
          <cell r="C56" t="str">
            <v>STREET, LAGUERTA, TUNASAN, MUNTINLUPA</v>
          </cell>
          <cell r="D56" t="str">
            <v>74413</v>
          </cell>
          <cell r="E56" t="str">
            <v>PARANAQUE</v>
          </cell>
          <cell r="F56" t="str">
            <v>SCHED</v>
          </cell>
          <cell r="G56">
            <v>45616.414814814816</v>
          </cell>
          <cell r="H56">
            <v>45622.479166666664</v>
          </cell>
          <cell r="I56" t="str">
            <v>ME185284</v>
          </cell>
        </row>
        <row r="57">
          <cell r="A57" t="str">
            <v>R20609999</v>
          </cell>
          <cell r="B57" t="str">
            <v>PCA RELOC, Overhead Facilities, N, Y, N, CAVITEX INFRASTRUCTURE CORP.</v>
          </cell>
          <cell r="C57" t="str">
            <v>STREET, KAINGIN RD., KAINGIN, PARANAQUE</v>
          </cell>
          <cell r="D57" t="str">
            <v>77850</v>
          </cell>
          <cell r="E57" t="str">
            <v>PARANAQUE</v>
          </cell>
          <cell r="F57" t="str">
            <v>SCHED</v>
          </cell>
          <cell r="G57">
            <v>44680.637245370373</v>
          </cell>
          <cell r="H57">
            <v>44685.716666666667</v>
          </cell>
          <cell r="I57" t="str">
            <v>ME155242</v>
          </cell>
        </row>
        <row r="58">
          <cell r="A58" t="str">
            <v>R20784640</v>
          </cell>
          <cell r="B58" t="str">
            <v>PCA RELOC, Guy Wires, N, N, N, ALLANIQUE REALTY DEVT CORP</v>
          </cell>
          <cell r="C58" t="str">
            <v>STREET, L. ALLANIQUE, BARANGAY VILL, PARANAQUE</v>
          </cell>
          <cell r="D58" t="str">
            <v>77153</v>
          </cell>
          <cell r="E58" t="str">
            <v>PARANAQUE</v>
          </cell>
          <cell r="F58" t="str">
            <v>SCHED</v>
          </cell>
          <cell r="G58">
            <v>44469.749432870369</v>
          </cell>
          <cell r="H58">
            <v>44469.747916666667</v>
          </cell>
          <cell r="I58" t="str">
            <v>ME166067</v>
          </cell>
        </row>
        <row r="59">
          <cell r="A59" t="str">
            <v>R21040226</v>
          </cell>
          <cell r="B59" t="str">
            <v>PCA RELOC, Overhead Facilities, N, Y, N, YIELDERS TRADING CORPORATION</v>
          </cell>
          <cell r="C59" t="str">
            <v>STREET, STA. AGUEDA, STO. NINO, PARANAQUE</v>
          </cell>
          <cell r="D59" t="str">
            <v>77906</v>
          </cell>
          <cell r="E59" t="str">
            <v>PARANAQUE</v>
          </cell>
          <cell r="F59" t="str">
            <v>SCHED</v>
          </cell>
          <cell r="G59">
            <v>44518.529039351852</v>
          </cell>
          <cell r="H59">
            <v>44522.718055555553</v>
          </cell>
          <cell r="I59" t="str">
            <v>ME166067</v>
          </cell>
        </row>
        <row r="60">
          <cell r="A60" t="str">
            <v>R21135764</v>
          </cell>
          <cell r="B60" t="str">
            <v>PCA RELOC, Overhead Facilities, N, Y, N, CAVITEX INFRASTRUCTURE CORP.</v>
          </cell>
          <cell r="C60" t="str">
            <v>STREET, MULTINATIONAL VILL, MULTINATIONAL VILL, PARANAQUE</v>
          </cell>
          <cell r="D60" t="str">
            <v>76843</v>
          </cell>
          <cell r="E60" t="str">
            <v>PARANAQUE</v>
          </cell>
          <cell r="F60" t="str">
            <v>SCHED</v>
          </cell>
          <cell r="G60">
            <v>44813.597199074073</v>
          </cell>
          <cell r="H60">
            <v>44819.748611111114</v>
          </cell>
          <cell r="I60" t="str">
            <v>ME155242</v>
          </cell>
        </row>
        <row r="61">
          <cell r="A61" t="str">
            <v>R21631238</v>
          </cell>
          <cell r="B61" t="str">
            <v>PCA RELOC, Overhead Facilities, N, Y, N, CAVITEX INFRASTRUCTURE CORP., CBG</v>
          </cell>
          <cell r="C61" t="str">
            <v>STREET, N. ARMSTRONG, MOONWALK, PARANAQUE</v>
          </cell>
          <cell r="D61" t="str">
            <v>76756</v>
          </cell>
          <cell r="E61" t="str">
            <v>PARANAQUE</v>
          </cell>
          <cell r="F61" t="str">
            <v>SCHED</v>
          </cell>
          <cell r="G61">
            <v>44623.523553240739</v>
          </cell>
          <cell r="H61">
            <v>44623.681944444441</v>
          </cell>
          <cell r="I61" t="str">
            <v>ME166067</v>
          </cell>
        </row>
        <row r="62">
          <cell r="A62" t="str">
            <v>R21631255</v>
          </cell>
          <cell r="B62" t="str">
            <v>PCA RELOC, Overhead Facilities, N, Y, N, CAVITEX INFRASTRUCTURE CORP., CBG</v>
          </cell>
          <cell r="C62" t="str">
            <v>STREET, E. RODRIGUEZ JR. INT, STO. NINO, PARANAQUE</v>
          </cell>
          <cell r="D62" t="str">
            <v>77889</v>
          </cell>
          <cell r="E62" t="str">
            <v>PARANAQUE</v>
          </cell>
          <cell r="F62" t="str">
            <v>FCOMP</v>
          </cell>
          <cell r="G62">
            <v>45687.571747685186</v>
          </cell>
          <cell r="H62">
            <v>44817.773611111108</v>
          </cell>
          <cell r="I62" t="str">
            <v>ME155242</v>
          </cell>
        </row>
        <row r="63">
          <cell r="A63" t="str">
            <v>R21631426</v>
          </cell>
          <cell r="B63" t="str">
            <v>PCA RELOC, Overhead Facilities, N, Y, N, CAVITEX INFRASTRUCTURE CORP., CBG</v>
          </cell>
          <cell r="C63" t="str">
            <v>STREET, NINOY AQUINO, LA HUERTA, PARANAQUE</v>
          </cell>
          <cell r="D63" t="str">
            <v>76246</v>
          </cell>
          <cell r="E63" t="str">
            <v>PARANAQUE</v>
          </cell>
          <cell r="F63" t="str">
            <v>SCHED</v>
          </cell>
          <cell r="G63">
            <v>45705.407708333332</v>
          </cell>
          <cell r="H63">
            <v>45705.402777777781</v>
          </cell>
          <cell r="I63" t="str">
            <v>ME155242</v>
          </cell>
        </row>
        <row r="64">
          <cell r="A64" t="str">
            <v>R21631694</v>
          </cell>
          <cell r="B64" t="str">
            <v>PCA RELOC, Overhead Facilities, N, Y, N, CAVITEX INFRASTRUCTURE CORP., CBG</v>
          </cell>
          <cell r="C64" t="str">
            <v>STREET, KAINGIN RD., KAINGIN, PARANAQUE</v>
          </cell>
          <cell r="D64" t="str">
            <v>77850</v>
          </cell>
          <cell r="E64" t="str">
            <v>PARANAQUE</v>
          </cell>
          <cell r="F64" t="str">
            <v>INPRG</v>
          </cell>
          <cell r="G64">
            <v>44997.692870370367</v>
          </cell>
          <cell r="H64">
            <v>45000.28125</v>
          </cell>
          <cell r="I64" t="str">
            <v>ME155242</v>
          </cell>
        </row>
        <row r="65">
          <cell r="A65" t="str">
            <v>R21662615</v>
          </cell>
          <cell r="B65" t="str">
            <v>PCA RELOC, Overhead Facilities, N, N, N, FOOD TERMINAL, INC.,, CBG</v>
          </cell>
          <cell r="C65" t="str">
            <v>STREET, LANGKA, FTI CPD, TAGUIG CITY</v>
          </cell>
          <cell r="D65" t="str">
            <v>92805</v>
          </cell>
          <cell r="E65" t="str">
            <v>PARANAQUE</v>
          </cell>
          <cell r="F65" t="str">
            <v>DPRG-PCR</v>
          </cell>
          <cell r="G65">
            <v>44945.435601851852</v>
          </cell>
          <cell r="H65">
            <v>44685.663194444445</v>
          </cell>
          <cell r="I65" t="str">
            <v>ME164318</v>
          </cell>
        </row>
        <row r="66">
          <cell r="A66" t="str">
            <v>R21956925</v>
          </cell>
          <cell r="B66" t="str">
            <v>PCA RELOC, Guy Wires, N, Y, N, MACAGGA DANICA RUTH RABENA, HMB</v>
          </cell>
          <cell r="C66" t="str">
            <v>STREET, REYVILLE I SUBD, REYVILLE I SUBD, BACOOR</v>
          </cell>
          <cell r="D66" t="str">
            <v>17383</v>
          </cell>
          <cell r="E66" t="str">
            <v>PARANAQUE</v>
          </cell>
          <cell r="F66" t="str">
            <v>PCAN4</v>
          </cell>
          <cell r="G66">
            <v>45341.731319444443</v>
          </cell>
          <cell r="H66">
            <v>44914.769444444442</v>
          </cell>
          <cell r="I66" t="str">
            <v>ME155242</v>
          </cell>
        </row>
        <row r="67">
          <cell r="A67" t="str">
            <v>R22344695</v>
          </cell>
          <cell r="B67" t="str">
            <v>PCA RELOC, Underground, N, Y, N, ALVEO LAND CORPORATION,, CBG</v>
          </cell>
          <cell r="C67" t="str">
            <v>STREET, INVESTMENT, MADRIGAL BUSINESS PARK, MUNTINLUPA</v>
          </cell>
          <cell r="D67" t="str">
            <v>73263</v>
          </cell>
          <cell r="E67" t="str">
            <v>PARANAQUE</v>
          </cell>
          <cell r="F67" t="str">
            <v>FCOMP</v>
          </cell>
          <cell r="G67">
            <v>45685.601076388892</v>
          </cell>
          <cell r="H67">
            <v>45021.245138888888</v>
          </cell>
          <cell r="I67" t="str">
            <v>ME155242</v>
          </cell>
        </row>
        <row r="68">
          <cell r="A68" t="str">
            <v>R22419641</v>
          </cell>
          <cell r="B68" t="str">
            <v>PCA RELOC, Overhead Facilities, N, N, N, ONOFRE, CORAZON VILLA, HMB</v>
          </cell>
          <cell r="C68" t="str">
            <v>STREET, GLORIA DIAZ, BF RESORT VILL, LAS PINAS CITY</v>
          </cell>
          <cell r="D68" t="str">
            <v>64083</v>
          </cell>
          <cell r="E68" t="str">
            <v>PARANAQUE</v>
          </cell>
          <cell r="F68" t="str">
            <v>SCHED</v>
          </cell>
          <cell r="G68">
            <v>45534.559270833335</v>
          </cell>
          <cell r="H68">
            <v>45534.559027777781</v>
          </cell>
          <cell r="I68" t="str">
            <v>ME155242</v>
          </cell>
        </row>
        <row r="69">
          <cell r="A69" t="str">
            <v>R22573760</v>
          </cell>
          <cell r="B69" t="str">
            <v>PCA RELOC, Overhead Facilities, N, N, N, KANE INDUSTRIAL CORP, SME</v>
          </cell>
          <cell r="C69" t="str">
            <v>STREET, NIOG III, NIOG III, BACOOR</v>
          </cell>
          <cell r="D69" t="str">
            <v>19585</v>
          </cell>
          <cell r="E69" t="str">
            <v>PARANAQUE</v>
          </cell>
          <cell r="F69" t="str">
            <v>SCHED</v>
          </cell>
          <cell r="G69">
            <v>45449.368113425924</v>
          </cell>
          <cell r="H69">
            <v>45449.367361111108</v>
          </cell>
          <cell r="I69" t="str">
            <v>ME155242</v>
          </cell>
        </row>
        <row r="70">
          <cell r="A70" t="str">
            <v>R22608679</v>
          </cell>
          <cell r="B70" t="str">
            <v>PCA RELOC, Overhead Facilities, N, N, N, ODIAMAR FRANCES DE CASTRO, HMB</v>
          </cell>
          <cell r="C70" t="str">
            <v>STREET, MADRID, TOWN AND COUNTRY WEST SUBD, BACOOR</v>
          </cell>
          <cell r="D70" t="str">
            <v>18660</v>
          </cell>
          <cell r="E70" t="str">
            <v>PARANAQUE</v>
          </cell>
          <cell r="F70" t="str">
            <v>FCOMP</v>
          </cell>
          <cell r="G70">
            <v>45667.688043981485</v>
          </cell>
          <cell r="H70">
            <v>45404.32916666667</v>
          </cell>
          <cell r="I70" t="str">
            <v>ME155242</v>
          </cell>
        </row>
        <row r="71">
          <cell r="A71" t="str">
            <v>R22633190</v>
          </cell>
          <cell r="B71" t="str">
            <v>PCA RELOC, Overhead Facilities, N, Y, N, CANDIE CHUA CO., HMB</v>
          </cell>
          <cell r="C71" t="str">
            <v>STREET, BLK 8, PALM COAST MARINA, PARANAQUE</v>
          </cell>
          <cell r="D71" t="str">
            <v>144733</v>
          </cell>
          <cell r="E71" t="str">
            <v>PARANAQUE</v>
          </cell>
          <cell r="F71" t="str">
            <v>INPRG</v>
          </cell>
          <cell r="G71">
            <v>45187.589212962965</v>
          </cell>
          <cell r="H71">
            <v>45176.65</v>
          </cell>
          <cell r="I71" t="str">
            <v>ME155242</v>
          </cell>
        </row>
        <row r="72">
          <cell r="A72" t="str">
            <v>R22927252</v>
          </cell>
          <cell r="B72" t="str">
            <v>PCA RELOC, Overhead Facilities, N, N, N, CARPIO, SEVILLA FESTEJO, HMB</v>
          </cell>
          <cell r="C72" t="str">
            <v>STREET, STA. MARTA, SAN ANTONIO VALLEY 14, PARANAQUE</v>
          </cell>
          <cell r="D72" t="str">
            <v>77622</v>
          </cell>
          <cell r="E72" t="str">
            <v>PARANAQUE</v>
          </cell>
          <cell r="F72" t="str">
            <v>SCHED</v>
          </cell>
          <cell r="G72">
            <v>45357.518773148149</v>
          </cell>
          <cell r="H72">
            <v>45357.51666666667</v>
          </cell>
          <cell r="I72" t="str">
            <v>ME185284</v>
          </cell>
        </row>
        <row r="73">
          <cell r="A73" t="str">
            <v>R23075417</v>
          </cell>
          <cell r="B73" t="str">
            <v>PCA RELOC, Overhead Facilities, N, Y, N, CONGBALAY, SIMPLICIO C, SME</v>
          </cell>
          <cell r="C73" t="str">
            <v>STREET, N. LOPEZ, LOPEZ VILL, PARANAQUE</v>
          </cell>
          <cell r="D73" t="str">
            <v>77528</v>
          </cell>
          <cell r="E73" t="str">
            <v>PARANAQUE</v>
          </cell>
          <cell r="F73" t="str">
            <v>SCHED</v>
          </cell>
          <cell r="G73">
            <v>45519.571689814817</v>
          </cell>
          <cell r="H73">
            <v>45519.568055555559</v>
          </cell>
          <cell r="I73" t="str">
            <v>ME155242</v>
          </cell>
        </row>
        <row r="74">
          <cell r="A74" t="str">
            <v>R23094079</v>
          </cell>
          <cell r="B74" t="str">
            <v>PCA RELOC, Overhead Facilities, N, Y, N, DEPARTMENT OF TRANSPORTATION,, CBG</v>
          </cell>
          <cell r="C74" t="str">
            <v>STREET, EAST SERVICE, BICUTAN INTERCHANGE, PARANAQUE</v>
          </cell>
          <cell r="D74" t="str">
            <v>77762</v>
          </cell>
          <cell r="E74" t="str">
            <v>PARANAQUE</v>
          </cell>
          <cell r="F74" t="str">
            <v>SCHED</v>
          </cell>
          <cell r="G74">
            <v>45722.627337962964</v>
          </cell>
          <cell r="H74">
            <v>45722.669444444444</v>
          </cell>
          <cell r="I74" t="str">
            <v>ME185284</v>
          </cell>
        </row>
        <row r="75">
          <cell r="A75" t="str">
            <v>R23109971</v>
          </cell>
          <cell r="B75" t="str">
            <v>PCA RELOC, Guy Wires, N, Y, N, DOMINGO ALVIN LUY, HMB</v>
          </cell>
          <cell r="C75" t="str">
            <v>STREET, COUNTRY, COUNTRY HOMES, MUNTINLUPA</v>
          </cell>
          <cell r="D75" t="str">
            <v>73412</v>
          </cell>
          <cell r="E75" t="str">
            <v>PARANAQUE</v>
          </cell>
          <cell r="F75" t="str">
            <v>SCHED</v>
          </cell>
          <cell r="G75">
            <v>45429.588946759257</v>
          </cell>
          <cell r="H75">
            <v>45429.587500000001</v>
          </cell>
          <cell r="I75" t="str">
            <v>ME155242</v>
          </cell>
        </row>
        <row r="76">
          <cell r="A76" t="str">
            <v>R23110243</v>
          </cell>
          <cell r="B76" t="str">
            <v>PCA RELOC, Overhead Facilities, N, Y, N, FILINVEST LAND INC., CBG</v>
          </cell>
          <cell r="C76" t="str">
            <v>STREET, EAST SERVICE, ALABANG, MUNTINLUPA</v>
          </cell>
          <cell r="D76" t="str">
            <v>72323</v>
          </cell>
          <cell r="E76" t="str">
            <v>PARANAQUE</v>
          </cell>
          <cell r="F76" t="str">
            <v>SCHED</v>
          </cell>
          <cell r="G76">
            <v>45383.418865740743</v>
          </cell>
          <cell r="H76">
            <v>45383.416666666664</v>
          </cell>
          <cell r="I76" t="str">
            <v>ME155242</v>
          </cell>
        </row>
        <row r="77">
          <cell r="A77" t="str">
            <v>R23155273</v>
          </cell>
          <cell r="B77" t="str">
            <v>PCA RELOC, Overhead Facilities, N, Y, N, ALVAREZ, SAIMON LOUISE, HMB</v>
          </cell>
          <cell r="C77" t="str">
            <v>STREET, VISTA VERDE SOUTH, VISTA VERDE SOUTH EXEC VILL 1, BACOOR</v>
          </cell>
          <cell r="D77" t="str">
            <v>17022</v>
          </cell>
          <cell r="E77" t="str">
            <v>PARANAQUE</v>
          </cell>
          <cell r="F77" t="str">
            <v>SCHED</v>
          </cell>
          <cell r="G77">
            <v>45677.602071759262</v>
          </cell>
          <cell r="H77">
            <v>45681.431250000001</v>
          </cell>
          <cell r="I77" t="str">
            <v>ME155242</v>
          </cell>
        </row>
        <row r="78">
          <cell r="A78" t="str">
            <v>R23158337</v>
          </cell>
          <cell r="B78" t="str">
            <v>PCA RELOC, Overhead Facilities, N, Y, N, CROWN ASIA PROPERTIES, INC., HMB</v>
          </cell>
          <cell r="C78" t="str">
            <v>STREET, BLOCK 10, PONTICELLI GARDENS 2, BACOOR</v>
          </cell>
          <cell r="D78" t="str">
            <v>17097310</v>
          </cell>
          <cell r="E78" t="str">
            <v>PARANAQUE</v>
          </cell>
          <cell r="F78" t="str">
            <v>FCOMP</v>
          </cell>
          <cell r="G78">
            <v>45743.357233796298</v>
          </cell>
          <cell r="H78">
            <v>45436.527777777781</v>
          </cell>
          <cell r="I78" t="str">
            <v>ME166067</v>
          </cell>
        </row>
        <row r="79">
          <cell r="A79" t="str">
            <v>R23158435</v>
          </cell>
          <cell r="B79" t="str">
            <v>PCA RELOC, Overhead Facilities, N, Y, N, CROWN ASIA PROPERTIES, INC., HMB</v>
          </cell>
          <cell r="C79" t="str">
            <v>STREET, BLOCK 4, PONTICELLI, BACOOR</v>
          </cell>
          <cell r="D79" t="str">
            <v>122620</v>
          </cell>
          <cell r="E79" t="str">
            <v>PARANAQUE</v>
          </cell>
          <cell r="F79" t="str">
            <v>SCHED</v>
          </cell>
          <cell r="G79">
            <v>45559.537407407406</v>
          </cell>
          <cell r="H79">
            <v>45561.375</v>
          </cell>
          <cell r="I79" t="str">
            <v>ME155242</v>
          </cell>
        </row>
        <row r="80">
          <cell r="A80" t="str">
            <v>R23165909</v>
          </cell>
          <cell r="B80" t="str">
            <v>PCA RELOC, Overhead Facilities, N, N, N, OREZA EDGARDO CHUA, HMB</v>
          </cell>
          <cell r="C80" t="str">
            <v>STREET, V.P. CRUZ, PUROK 5, TAGUIG CITY</v>
          </cell>
          <cell r="D80" t="str">
            <v>91540</v>
          </cell>
          <cell r="E80" t="str">
            <v>PARANAQUE</v>
          </cell>
          <cell r="F80" t="str">
            <v>SCHED</v>
          </cell>
          <cell r="G80">
            <v>45447.357187499998</v>
          </cell>
          <cell r="H80">
            <v>45447.319444444445</v>
          </cell>
          <cell r="I80" t="str">
            <v>ME185284</v>
          </cell>
        </row>
        <row r="81">
          <cell r="A81" t="str">
            <v>R23165916</v>
          </cell>
          <cell r="B81" t="str">
            <v>PCA RELOC, Overhead Facilities, N, Y, N, POKAAN ALIREZA LUMBAYA, HMB</v>
          </cell>
          <cell r="C81" t="str">
            <v>STREET, JOLO, MAHARLIKA VILL, TAGUIG CITY</v>
          </cell>
          <cell r="D81" t="str">
            <v>91643</v>
          </cell>
          <cell r="E81" t="str">
            <v>PARANAQUE</v>
          </cell>
          <cell r="F81" t="str">
            <v>FCOMP</v>
          </cell>
          <cell r="G81">
            <v>45733.348923611113</v>
          </cell>
          <cell r="H81">
            <v>45534.561805555553</v>
          </cell>
          <cell r="I81" t="str">
            <v>ME185284</v>
          </cell>
        </row>
        <row r="82">
          <cell r="A82" t="str">
            <v>R23208322</v>
          </cell>
          <cell r="B82" t="str">
            <v>PCA RELOC, Overhead Facilities, N, Y, N, SM DEVELOPMENT CORPORATION,, CBG</v>
          </cell>
          <cell r="C82" t="str">
            <v>STREET, BLDG 10, FIELD RESIDENCES, PARANAQUE</v>
          </cell>
          <cell r="D82" t="str">
            <v>17656828</v>
          </cell>
          <cell r="E82" t="str">
            <v>PARANAQUE</v>
          </cell>
          <cell r="F82" t="str">
            <v>FCOMP</v>
          </cell>
          <cell r="G82">
            <v>45710.413888888892</v>
          </cell>
          <cell r="H82">
            <v>45526.556250000001</v>
          </cell>
          <cell r="I82" t="str">
            <v>ME185284</v>
          </cell>
        </row>
        <row r="83">
          <cell r="A83" t="str">
            <v>R23301679</v>
          </cell>
          <cell r="B83" t="str">
            <v>PCA RELOC, Guy Wires, N, N, N, HMB , JAVIER, ROSALINA</v>
          </cell>
          <cell r="C83" t="str">
            <v>STREET, GENESIS, VILLANUEVA SUBD, BACOOR</v>
          </cell>
          <cell r="D83" t="str">
            <v>19946</v>
          </cell>
          <cell r="E83" t="str">
            <v>PARANAQUE</v>
          </cell>
          <cell r="F83" t="str">
            <v>SCHED</v>
          </cell>
          <cell r="G83">
            <v>45544.558599537035</v>
          </cell>
          <cell r="H83">
            <v>45544.557638888888</v>
          </cell>
          <cell r="I83" t="str">
            <v>ME155242</v>
          </cell>
        </row>
        <row r="84">
          <cell r="A84" t="str">
            <v>R23354122</v>
          </cell>
          <cell r="B84" t="str">
            <v>PCA RELOC, Overhead Facilities, N, Y, N, MANAHAN, MELANIE V., HMB</v>
          </cell>
          <cell r="C84" t="str">
            <v>STREET, SAPLUNGAN, MEADOWOOD EXEC. VILLAGE PHASE 3B, BACOOR</v>
          </cell>
          <cell r="D84" t="str">
            <v>17411819</v>
          </cell>
          <cell r="E84" t="str">
            <v>PARANAQUE</v>
          </cell>
          <cell r="F84" t="str">
            <v>SCHED</v>
          </cell>
          <cell r="G84">
            <v>45524.355995370373</v>
          </cell>
          <cell r="H84">
            <v>45524.354166666664</v>
          </cell>
          <cell r="I84" t="str">
            <v>ME155242</v>
          </cell>
        </row>
        <row r="85">
          <cell r="A85" t="str">
            <v>R23445427</v>
          </cell>
          <cell r="B85" t="str">
            <v>PCA RELOC, Overhead Facilities, N, N, N, ARCEO, ELIZABETH, HMB</v>
          </cell>
          <cell r="C85" t="str">
            <v>STREET, BLOCK 1, LA CHARINA SUBD, MUNTINLUPA</v>
          </cell>
          <cell r="D85" t="str">
            <v>73505</v>
          </cell>
          <cell r="E85" t="str">
            <v>PARANAQUE</v>
          </cell>
          <cell r="F85" t="str">
            <v>SCHED</v>
          </cell>
          <cell r="G85">
            <v>45582.541435185187</v>
          </cell>
          <cell r="H85">
            <v>45582.40625</v>
          </cell>
          <cell r="I85" t="str">
            <v>ME185284</v>
          </cell>
        </row>
        <row r="86">
          <cell r="A86" t="str">
            <v>R23462615</v>
          </cell>
          <cell r="B86" t="str">
            <v>PCA RELOC, Overhead Facilities, N, Y, N, UNIOIL PETROLEUM INC.,, SME</v>
          </cell>
          <cell r="C86" t="str">
            <v>STREET, DONA SOLEDAD EXTN, BETTER LIVING SUBD, PARANAQUE</v>
          </cell>
          <cell r="D86" t="str">
            <v>10000100</v>
          </cell>
          <cell r="E86" t="str">
            <v>PARANAQUE</v>
          </cell>
          <cell r="F86" t="str">
            <v>SCHED</v>
          </cell>
          <cell r="G86">
            <v>45736.37605324074</v>
          </cell>
          <cell r="H86">
            <v>45740.615972222222</v>
          </cell>
          <cell r="I86" t="str">
            <v>ME155242</v>
          </cell>
        </row>
        <row r="87">
          <cell r="A87" t="str">
            <v>R23512370</v>
          </cell>
          <cell r="B87" t="str">
            <v>PCA RELOC, Overhead Facilities, N, N, N, CARPIO, EMILIO III S., HMB</v>
          </cell>
          <cell r="C87" t="str">
            <v>STREET, BELMONT, ALABANG 400 VILLAGE, MUNTINLUPA</v>
          </cell>
          <cell r="D87" t="str">
            <v>72736</v>
          </cell>
          <cell r="E87" t="str">
            <v>PARANAQUE</v>
          </cell>
          <cell r="F87" t="str">
            <v>SCHED</v>
          </cell>
          <cell r="G87">
            <v>45691.5625</v>
          </cell>
          <cell r="H87">
            <v>45694.52847222222</v>
          </cell>
          <cell r="I87" t="str">
            <v>ME155242</v>
          </cell>
        </row>
        <row r="88">
          <cell r="A88" t="str">
            <v>R23563727</v>
          </cell>
          <cell r="B88" t="str">
            <v>PCA RELOC, Overhead Facilities, N, Y, N, RICHFIELD PROPERTIES, INC., HMB</v>
          </cell>
          <cell r="C88" t="str">
            <v>STREET, BLOCK 15, LOTUS VILLAGE, BACOOR</v>
          </cell>
          <cell r="D88" t="str">
            <v>15030316</v>
          </cell>
          <cell r="E88" t="str">
            <v>PARANAQUE</v>
          </cell>
          <cell r="F88" t="str">
            <v>FCOMP</v>
          </cell>
          <cell r="G88">
            <v>45735.651018518518</v>
          </cell>
          <cell r="H88">
            <v>45569.364583333336</v>
          </cell>
          <cell r="I88" t="str">
            <v>ME185284</v>
          </cell>
        </row>
        <row r="89">
          <cell r="A89" t="str">
            <v>R23563729</v>
          </cell>
          <cell r="B89" t="str">
            <v>PCA RELOC, Overhead Facilities, N, Y, N, RICHFIELD PROPERTIES, INC., HMB</v>
          </cell>
          <cell r="C89" t="str">
            <v>STREET, BLOCK 9, LOTUS VILLAGE, BACOOR</v>
          </cell>
          <cell r="D89" t="str">
            <v>15030310</v>
          </cell>
          <cell r="E89" t="str">
            <v>PARANAQUE</v>
          </cell>
          <cell r="F89" t="str">
            <v>FCOMP</v>
          </cell>
          <cell r="G89">
            <v>45639.449201388888</v>
          </cell>
          <cell r="H89">
            <v>45569.333333333336</v>
          </cell>
          <cell r="I89" t="str">
            <v>ME155242</v>
          </cell>
        </row>
        <row r="90">
          <cell r="A90" t="str">
            <v>R23563800</v>
          </cell>
          <cell r="B90" t="str">
            <v>PCA RELOC, Overhead Facilities, N, Y, N, WOODRIDGE PROPERTIES, INC., HMB</v>
          </cell>
          <cell r="C90" t="str">
            <v>STREET, BLOCK 4, DANAROSE RESIDENCES, BACOOR</v>
          </cell>
          <cell r="D90" t="str">
            <v>135835</v>
          </cell>
          <cell r="E90" t="str">
            <v>PARANAQUE</v>
          </cell>
          <cell r="F90" t="str">
            <v>SCHED</v>
          </cell>
          <cell r="G90">
            <v>45547.630624999998</v>
          </cell>
          <cell r="H90">
            <v>45547.375</v>
          </cell>
          <cell r="I90" t="str">
            <v>ME155242</v>
          </cell>
        </row>
        <row r="91">
          <cell r="A91" t="str">
            <v>R23605089</v>
          </cell>
          <cell r="B91" t="str">
            <v>PCA RELOC, Overhead Facilities, N, Y, N, CHAN JULIE TANG, HMB</v>
          </cell>
          <cell r="C91" t="str">
            <v>STREET, NORTH LUZON, PHILAMLIFE VILL, LAS PINAS CITY</v>
          </cell>
          <cell r="D91" t="str">
            <v>62857</v>
          </cell>
          <cell r="E91" t="str">
            <v>PARANAQUE</v>
          </cell>
          <cell r="F91" t="str">
            <v>SCHED</v>
          </cell>
          <cell r="G91">
            <v>45616.39675925926</v>
          </cell>
          <cell r="H91">
            <v>45617.322916666664</v>
          </cell>
          <cell r="I91" t="str">
            <v>ME155242</v>
          </cell>
        </row>
        <row r="92">
          <cell r="A92" t="str">
            <v>R23611939</v>
          </cell>
          <cell r="B92" t="str">
            <v>PCA RELOC, Overhead Facilities, Y, N, Y, DPWH DEO LAS PINAS-MUNTI,, HMB</v>
          </cell>
          <cell r="C92" t="str">
            <v>STREET, MARCOS ALVAREZ, TALON V, LAS PINAS CITY</v>
          </cell>
          <cell r="D92" t="str">
            <v>64670</v>
          </cell>
          <cell r="E92" t="str">
            <v>PARANAQUE</v>
          </cell>
          <cell r="F92" t="str">
            <v>SCHED</v>
          </cell>
          <cell r="G92">
            <v>45616.418182870373</v>
          </cell>
          <cell r="H92">
            <v>45622.34375</v>
          </cell>
          <cell r="I92" t="str">
            <v>ME185284</v>
          </cell>
        </row>
        <row r="93">
          <cell r="A93" t="str">
            <v>R23652915</v>
          </cell>
          <cell r="B93" t="str">
            <v>PCA RELOC, Overhead Facilities, N, Y, N, GATDULA, RICARDO, HMB</v>
          </cell>
          <cell r="C93" t="str">
            <v>STREET, ST. MARY, ADDAS VILLAGE PH II-A, BACOOR</v>
          </cell>
          <cell r="D93" t="str">
            <v>18126</v>
          </cell>
          <cell r="E93" t="str">
            <v>PARANAQUE</v>
          </cell>
          <cell r="F93" t="str">
            <v>SCHED</v>
          </cell>
          <cell r="G93">
            <v>45715.510381944441</v>
          </cell>
          <cell r="H93">
            <v>45716.52847222222</v>
          </cell>
          <cell r="I93" t="str">
            <v>ME155242</v>
          </cell>
        </row>
        <row r="94">
          <cell r="A94" t="str">
            <v>R23697156</v>
          </cell>
          <cell r="B94" t="str">
            <v>PCA RELOC, Overhead Facilities, N, N, N, MORALES, LESLIE DIANNE VITAL, HMB</v>
          </cell>
          <cell r="C94" t="str">
            <v>STREET, DAFFODIL, GSIS TOWNHOMES, BACOOR</v>
          </cell>
          <cell r="D94" t="str">
            <v>18580</v>
          </cell>
          <cell r="E94" t="str">
            <v>PARANAQUE</v>
          </cell>
          <cell r="F94" t="str">
            <v>FCOMP</v>
          </cell>
          <cell r="G94">
            <v>45734.719641203701</v>
          </cell>
          <cell r="H94">
            <v>45707.529861111114</v>
          </cell>
          <cell r="I94" t="str">
            <v>ME188529</v>
          </cell>
        </row>
        <row r="95">
          <cell r="A95" t="str">
            <v>R23701790</v>
          </cell>
          <cell r="B95" t="str">
            <v>PCA RELOC, Overhead Facilities, N, Y, N, DAGUMANPAN, CORNELIA A, HMB</v>
          </cell>
          <cell r="C95" t="str">
            <v>STREET, STA. MARIA, SAN ANTONIO VALLEY 1, PARANAQUE</v>
          </cell>
          <cell r="D95" t="str">
            <v>77331</v>
          </cell>
          <cell r="E95" t="str">
            <v>PARANAQUE</v>
          </cell>
          <cell r="F95" t="str">
            <v>FCOMP</v>
          </cell>
          <cell r="G95">
            <v>45646.665682870371</v>
          </cell>
          <cell r="H95">
            <v>45625.413194444445</v>
          </cell>
          <cell r="I95" t="str">
            <v>ME155242</v>
          </cell>
        </row>
        <row r="96">
          <cell r="A96" t="str">
            <v>R23771915</v>
          </cell>
          <cell r="B96" t="str">
            <v>PCA RELOC, Overhead Facilities, N, N, N, SALITA, HERMIE, HMB</v>
          </cell>
          <cell r="C96" t="str">
            <v>STREET, ST. MARK, PARKDALE II SUBD, BACOOR</v>
          </cell>
          <cell r="D96" t="str">
            <v>17973</v>
          </cell>
          <cell r="E96" t="str">
            <v>PARANAQUE</v>
          </cell>
          <cell r="F96" t="str">
            <v>SCHED</v>
          </cell>
          <cell r="G96">
            <v>45709.630879629629</v>
          </cell>
          <cell r="H96">
            <v>45712.506944444445</v>
          </cell>
          <cell r="I96" t="str">
            <v>ME185284</v>
          </cell>
        </row>
        <row r="97">
          <cell r="A97" t="str">
            <v>R23792026</v>
          </cell>
          <cell r="B97" t="str">
            <v>PCA RELOC, Guy Wires, N, Y, N, NEW PACIFIC RESOURCES MANAGEMENT (SPV- AMC), INC., HMB</v>
          </cell>
          <cell r="C97" t="str">
            <v>STREET, BLOCK 27, SOLVIENTO VILLAS PH 2, BACOOR</v>
          </cell>
          <cell r="D97" t="str">
            <v>17480517</v>
          </cell>
          <cell r="E97" t="str">
            <v>PARANAQUE</v>
          </cell>
          <cell r="F97" t="str">
            <v>SCHED</v>
          </cell>
          <cell r="G97">
            <v>45700.438761574071</v>
          </cell>
          <cell r="H97">
            <v>45707.322222222225</v>
          </cell>
          <cell r="I97" t="str">
            <v>ME155242</v>
          </cell>
        </row>
        <row r="98">
          <cell r="A98" t="str">
            <v>R23797676</v>
          </cell>
          <cell r="B98" t="str">
            <v>PCA RELOC, Overhead Facilities, N, Y, N, CAVITEX INFRASTRUCTURE CORP., CBG</v>
          </cell>
          <cell r="C98" t="str">
            <v>STREET, KAINGIN RD., KAINGIN, PARANAQUE</v>
          </cell>
          <cell r="D98" t="str">
            <v>77850</v>
          </cell>
          <cell r="E98" t="str">
            <v>PARANAQUE</v>
          </cell>
          <cell r="F98" t="str">
            <v>FCOMP</v>
          </cell>
          <cell r="G98">
            <v>45740.334027777775</v>
          </cell>
          <cell r="H98">
            <v>45678.509027777778</v>
          </cell>
          <cell r="I98" t="str">
            <v>ME155242</v>
          </cell>
        </row>
        <row r="99">
          <cell r="A99" t="str">
            <v>R23797682</v>
          </cell>
          <cell r="B99" t="str">
            <v>PCA RELOC, Overhead Facilities, N, Y, N, CAVITEX INFRASTRUCTURE CORP., CBG</v>
          </cell>
          <cell r="C99" t="str">
            <v>STREET, KAINGIN RD., KAINGIN, PARANAQUE</v>
          </cell>
          <cell r="D99" t="str">
            <v>77850</v>
          </cell>
          <cell r="E99" t="str">
            <v>PARANAQUE</v>
          </cell>
          <cell r="F99" t="str">
            <v>FCOMP</v>
          </cell>
          <cell r="G99">
            <v>45693.343807870369</v>
          </cell>
          <cell r="H99">
            <v>45678.513888888891</v>
          </cell>
          <cell r="I99" t="str">
            <v>ME155242</v>
          </cell>
        </row>
        <row r="100">
          <cell r="A100" t="str">
            <v>R23806071</v>
          </cell>
          <cell r="B100" t="str">
            <v>PCA RELOC, Overhead Facilities, N, Y, N, EL GRANDE DEVELOPMENT CORPORATION,, HMB</v>
          </cell>
          <cell r="C100" t="str">
            <v>STREET, BAGTIKAN, BF EL GRANDE, BACOOR</v>
          </cell>
          <cell r="D100" t="str">
            <v>20269</v>
          </cell>
          <cell r="E100" t="str">
            <v>PARANAQUE</v>
          </cell>
          <cell r="F100" t="str">
            <v>SCHED</v>
          </cell>
          <cell r="G100">
            <v>45636.377546296295</v>
          </cell>
          <cell r="H100">
            <v>45639.3125</v>
          </cell>
          <cell r="I100" t="str">
            <v>ME155242</v>
          </cell>
        </row>
        <row r="101">
          <cell r="A101" t="str">
            <v>R23858401</v>
          </cell>
          <cell r="B101" t="str">
            <v>PCA RELOC, Overhead Facilities, N, Y, N, ACTIVE REALTY &amp; DEVELOPMENT CORPORATION,, HMB</v>
          </cell>
          <cell r="C101" t="str">
            <v>STREET, GUADARAMA, TOWN AND COUNTRY WEST SUBD, BACOOR</v>
          </cell>
          <cell r="D101" t="str">
            <v>18678</v>
          </cell>
          <cell r="E101" t="str">
            <v>PARANAQUE</v>
          </cell>
          <cell r="F101" t="str">
            <v>SCHED</v>
          </cell>
          <cell r="G101">
            <v>45744.441759259258</v>
          </cell>
          <cell r="H101">
            <v>45750.650694444441</v>
          </cell>
          <cell r="I101" t="str">
            <v>ME155242</v>
          </cell>
        </row>
        <row r="102">
          <cell r="A102" t="str">
            <v>R23885137</v>
          </cell>
          <cell r="B102" t="str">
            <v>PCA RELOC, Overhead Facilities, N, Y, N, OMNI INVESTMENT BUILDING CORPORATION, HMB</v>
          </cell>
          <cell r="C102" t="str">
            <v>STREET, MAGDIWANG, MOLINO III, BACOOR</v>
          </cell>
          <cell r="D102" t="str">
            <v>17705427</v>
          </cell>
          <cell r="E102" t="str">
            <v>PARANAQUE</v>
          </cell>
          <cell r="F102" t="str">
            <v>SCHED</v>
          </cell>
          <cell r="G102">
            <v>45677.61482638889</v>
          </cell>
          <cell r="H102">
            <v>45681.434027777781</v>
          </cell>
          <cell r="I102" t="str">
            <v>ME155242</v>
          </cell>
        </row>
        <row r="103">
          <cell r="A103" t="str">
            <v>R23894387</v>
          </cell>
          <cell r="B103" t="str">
            <v>PCA RELOC, Overhead Facilities, N, Y, N, ADDAS DEVELOPMENT CORPORATION,, HMB</v>
          </cell>
          <cell r="C103" t="str">
            <v>STREET, MASAITO, MOLINO III, BACOOR</v>
          </cell>
          <cell r="D103" t="str">
            <v>17684830</v>
          </cell>
          <cell r="E103" t="str">
            <v>PARANAQUE</v>
          </cell>
          <cell r="F103" t="str">
            <v>SCHED</v>
          </cell>
          <cell r="G103">
            <v>45726.628541666665</v>
          </cell>
          <cell r="H103">
            <v>45733.663194444445</v>
          </cell>
          <cell r="I103" t="str">
            <v>ME155242</v>
          </cell>
        </row>
        <row r="104">
          <cell r="A104" t="str">
            <v>R23895778</v>
          </cell>
          <cell r="B104" t="str">
            <v>PCA RELOC, Overhead Facilities, N, Y, N, BREIGHTON LAND INC.,, HMB</v>
          </cell>
          <cell r="C104" t="str">
            <v>STREET, BLOCK 6, BELLEFORT ESTATES PH 2, BACOOR</v>
          </cell>
          <cell r="D104" t="str">
            <v>15033500</v>
          </cell>
          <cell r="E104" t="str">
            <v>PARANAQUE</v>
          </cell>
          <cell r="F104" t="str">
            <v>FCOMP</v>
          </cell>
          <cell r="G104">
            <v>45685.513657407406</v>
          </cell>
          <cell r="H104">
            <v>45688.660416666666</v>
          </cell>
          <cell r="I104" t="str">
            <v>ME155242</v>
          </cell>
        </row>
        <row r="105">
          <cell r="A105" t="str">
            <v>R23910052</v>
          </cell>
          <cell r="B105" t="str">
            <v>PCA RELOC, Overhead Facilities, N, Y, N, SOLIVA PETER PAUL ACHURRA, HMB</v>
          </cell>
          <cell r="C105" t="str">
            <v>STREET, SAPLUNGAN, MEADOWOOD EXEC. VILLAGE PHASE 3B, BACOOR</v>
          </cell>
          <cell r="D105" t="str">
            <v>17411819</v>
          </cell>
          <cell r="E105" t="str">
            <v>PARANAQUE</v>
          </cell>
          <cell r="F105" t="str">
            <v>SCHED</v>
          </cell>
          <cell r="G105">
            <v>45736.327280092592</v>
          </cell>
          <cell r="H105">
            <v>45737.54583333333</v>
          </cell>
          <cell r="I105" t="str">
            <v>ME155242</v>
          </cell>
        </row>
        <row r="106">
          <cell r="A106" t="str">
            <v>R23915467</v>
          </cell>
          <cell r="B106" t="str">
            <v>PCA RELOC, Overhead Facilities, N, Y, N, CUEVAS JONATHAN SANTOS, HMB</v>
          </cell>
          <cell r="C106" t="str">
            <v>STREET, M.L. QUEZON, PUROK 1, TAGUIG CITY</v>
          </cell>
          <cell r="D106" t="str">
            <v>91365</v>
          </cell>
          <cell r="E106" t="str">
            <v>PARANAQUE</v>
          </cell>
          <cell r="F106" t="str">
            <v>SCHED</v>
          </cell>
          <cell r="G106">
            <v>45709.634733796294</v>
          </cell>
          <cell r="H106">
            <v>45712.51458333333</v>
          </cell>
          <cell r="I106" t="str">
            <v>ME185284</v>
          </cell>
        </row>
        <row r="107">
          <cell r="A107" t="str">
            <v>R23915658</v>
          </cell>
          <cell r="B107" t="str">
            <v>PCA RELOC, Overhead Facilities, N, Y, N, CERNAL ARNOLD BONUS, HMB</v>
          </cell>
          <cell r="C107" t="str">
            <v>STREET, SINIGUELAS, CAMELLA SPV WEST PH 1, BACOOR</v>
          </cell>
          <cell r="D107" t="str">
            <v>18504</v>
          </cell>
          <cell r="E107" t="str">
            <v>PARANAQUE</v>
          </cell>
          <cell r="F107" t="str">
            <v>SCHED</v>
          </cell>
          <cell r="G107">
            <v>45706.620081018518</v>
          </cell>
          <cell r="H107">
            <v>45712.52847222222</v>
          </cell>
          <cell r="I107" t="str">
            <v>ME155242</v>
          </cell>
        </row>
        <row r="108">
          <cell r="A108" t="str">
            <v>R23922888</v>
          </cell>
          <cell r="B108" t="str">
            <v>PCA RELOC, Guy Wires, N, Y, N, ANG CARMEN GAN, HMB</v>
          </cell>
          <cell r="C108" t="str">
            <v>STREET, MARCUS AURELIUS, ITALIA 500-BF HOMES, LAS PINAS CITY</v>
          </cell>
          <cell r="D108" t="str">
            <v>64231</v>
          </cell>
          <cell r="E108" t="str">
            <v>PARANAQUE</v>
          </cell>
          <cell r="F108" t="str">
            <v>SCHED</v>
          </cell>
          <cell r="G108">
            <v>45713.532800925925</v>
          </cell>
          <cell r="H108">
            <v>45716.758333333331</v>
          </cell>
          <cell r="I108" t="str">
            <v>ME155242</v>
          </cell>
        </row>
        <row r="109">
          <cell r="A109" t="str">
            <v>R23924589</v>
          </cell>
          <cell r="B109" t="str">
            <v>PCA RELOC, Overhead Facilities, N, Y, N, CAVITEX INFRASTRUCTURE CORP., CBG</v>
          </cell>
          <cell r="C109" t="str">
            <v>STREET, ALLEY 1, MULTINATIONAL VILL, PARANAQUE</v>
          </cell>
          <cell r="D109" t="str">
            <v>139840</v>
          </cell>
          <cell r="E109" t="str">
            <v>PARANAQUE</v>
          </cell>
          <cell r="F109" t="str">
            <v>SCHED</v>
          </cell>
          <cell r="G109">
            <v>45713.526620370372</v>
          </cell>
          <cell r="H109">
            <v>45716.348611111112</v>
          </cell>
          <cell r="I109" t="str">
            <v>ME166067</v>
          </cell>
        </row>
        <row r="110">
          <cell r="A110" t="str">
            <v>R23926303</v>
          </cell>
          <cell r="B110" t="str">
            <v>PCA RELOC, Overhead Facilities, N, Y, N, CAVITEX INFRASTRUCTURE CORP., CBG</v>
          </cell>
          <cell r="C110" t="str">
            <v>STREET, KAINGIN RD., KAINGIN, PARANAQUE</v>
          </cell>
          <cell r="D110" t="str">
            <v>77850</v>
          </cell>
          <cell r="E110" t="str">
            <v>PARANAQUE</v>
          </cell>
          <cell r="F110" t="str">
            <v>FCOMP</v>
          </cell>
          <cell r="G110">
            <v>45736.408009259256</v>
          </cell>
          <cell r="H110">
            <v>45716.615972222222</v>
          </cell>
          <cell r="I110" t="str">
            <v>ME155242</v>
          </cell>
        </row>
        <row r="111">
          <cell r="A111" t="str">
            <v>R23926307</v>
          </cell>
          <cell r="B111" t="str">
            <v>PCA RELOC, Overhead Facilities, N, Y, N, CAVITEX INFRASTRUCTURE CORP., CBG</v>
          </cell>
          <cell r="C111" t="str">
            <v>STREET, KAINGIN RD., KAINGIN, PARANAQUE</v>
          </cell>
          <cell r="D111" t="str">
            <v>77850</v>
          </cell>
          <cell r="E111" t="str">
            <v>PARANAQUE</v>
          </cell>
          <cell r="F111" t="str">
            <v>SCHED</v>
          </cell>
          <cell r="G111">
            <v>45713.530960648146</v>
          </cell>
          <cell r="H111">
            <v>45716.712500000001</v>
          </cell>
          <cell r="I111" t="str">
            <v>ME155242</v>
          </cell>
        </row>
        <row r="112">
          <cell r="A112" t="str">
            <v>X21030949643</v>
          </cell>
          <cell r="B112" t="str">
            <v>PCA, Modification of Electric Service, ROBERTO DE MESA BUNYI</v>
          </cell>
          <cell r="C112" t="str">
            <v>STREET, HENRY IDE, KATARUNGAN VILLAGE, MUNTINLUPA</v>
          </cell>
          <cell r="D112" t="str">
            <v>72921</v>
          </cell>
          <cell r="E112" t="str">
            <v>PARANAQUE</v>
          </cell>
          <cell r="F112" t="str">
            <v>PCAN</v>
          </cell>
          <cell r="G112">
            <v>45349.454942129632</v>
          </cell>
          <cell r="H112">
            <v>44531.63958333333</v>
          </cell>
          <cell r="I112" t="str">
            <v>ME155242</v>
          </cell>
        </row>
        <row r="113">
          <cell r="A113" t="str">
            <v>X21062562359</v>
          </cell>
          <cell r="B113" t="str">
            <v>PCA, Termination of Electric Service, NO BIA, INC.</v>
          </cell>
          <cell r="C113" t="str">
            <v>STREET, LANGKA, FTI CPD, TAGUIG CITY</v>
          </cell>
          <cell r="D113" t="str">
            <v>92805</v>
          </cell>
          <cell r="E113" t="str">
            <v>PARANAQUE</v>
          </cell>
          <cell r="F113" t="str">
            <v>PCAN</v>
          </cell>
          <cell r="G113">
            <v>45476.48542824074</v>
          </cell>
          <cell r="H113">
            <v>44392.809027777781</v>
          </cell>
          <cell r="I113" t="str">
            <v>ME185130</v>
          </cell>
        </row>
        <row r="114">
          <cell r="A114" t="str">
            <v>X21083519494</v>
          </cell>
          <cell r="B114" t="str">
            <v>PCA, Termination of Electric Service, SEVEN TALL TREES EVENTS, INC.</v>
          </cell>
          <cell r="C114" t="str">
            <v>STREET, ASEANA, ASEANA BUSINESS PARK, PARANAQUE</v>
          </cell>
          <cell r="D114" t="str">
            <v>75126</v>
          </cell>
          <cell r="E114" t="str">
            <v>PARANAQUE</v>
          </cell>
          <cell r="F114" t="str">
            <v>PCAN</v>
          </cell>
          <cell r="G114">
            <v>45476.471006944441</v>
          </cell>
          <cell r="H114">
            <v>44490.254861111112</v>
          </cell>
          <cell r="I114" t="str">
            <v>ME185130</v>
          </cell>
        </row>
        <row r="115">
          <cell r="A115" t="str">
            <v>X21094255140</v>
          </cell>
          <cell r="B115" t="str">
            <v>PCA, Termination of Electric Service, BAYPRIME PROPERTIES INC.</v>
          </cell>
          <cell r="C115" t="str">
            <v>STREET, ASEANA, ASEANA BUSINESS PARK, PARANAQUE</v>
          </cell>
          <cell r="D115" t="str">
            <v>75126</v>
          </cell>
          <cell r="E115" t="str">
            <v>PARANAQUE</v>
          </cell>
          <cell r="F115" t="str">
            <v>SCHED</v>
          </cell>
          <cell r="G115">
            <v>44498.635798611111</v>
          </cell>
          <cell r="H115">
            <v>44504.26666666667</v>
          </cell>
          <cell r="I115" t="str">
            <v>ME166067</v>
          </cell>
        </row>
        <row r="116">
          <cell r="A116" t="str">
            <v>X21104486609</v>
          </cell>
          <cell r="B116" t="str">
            <v>PCA, Modification of Electric Service, JEFFREY SAGUN CHAN</v>
          </cell>
          <cell r="C116" t="str">
            <v>STREET, MATTHEW, MULTINATIONAL VILL, PARANAQUE</v>
          </cell>
          <cell r="D116" t="str">
            <v>76810</v>
          </cell>
          <cell r="E116" t="str">
            <v>PARANAQUE</v>
          </cell>
          <cell r="F116" t="str">
            <v>PCAN3</v>
          </cell>
          <cell r="G116">
            <v>45730.533275462964</v>
          </cell>
          <cell r="H116">
            <v>44529.3</v>
          </cell>
          <cell r="I116" t="str">
            <v>ME185284</v>
          </cell>
        </row>
        <row r="117">
          <cell r="A117" t="str">
            <v>X22031018462</v>
          </cell>
          <cell r="B117" t="str">
            <v>PCA, Modification of Electric Service, CBG, GLOBE TELECOM, INC.</v>
          </cell>
          <cell r="C117" t="str">
            <v>STREET, BLOCK 13, BERNABE CPD, LAS PINAS CITY</v>
          </cell>
          <cell r="D117" t="str">
            <v>63319</v>
          </cell>
          <cell r="E117" t="str">
            <v>PARANAQUE</v>
          </cell>
          <cell r="F117" t="str">
            <v>PCAN</v>
          </cell>
          <cell r="G117">
            <v>45386.811736111114</v>
          </cell>
          <cell r="H117">
            <v>44890.334027777775</v>
          </cell>
          <cell r="I117" t="str">
            <v>ME155242</v>
          </cell>
        </row>
        <row r="118">
          <cell r="A118" t="str">
            <v>X22052042329</v>
          </cell>
          <cell r="B118" t="str">
            <v>PCA, Modification of Electric Service, HMB, MARIA IMELDA BUYOC SANDWEG</v>
          </cell>
          <cell r="C118" t="str">
            <v>STREET, JOY, DREAMLAND SUBD, PARANAQUE</v>
          </cell>
          <cell r="D118" t="str">
            <v>77186</v>
          </cell>
          <cell r="E118" t="str">
            <v>PARANAQUE</v>
          </cell>
          <cell r="F118" t="str">
            <v>PCAN3</v>
          </cell>
          <cell r="G118">
            <v>45357.330671296295</v>
          </cell>
          <cell r="H118">
            <v>44804.708333333336</v>
          </cell>
          <cell r="I118" t="str">
            <v>ME185130</v>
          </cell>
        </row>
        <row r="119">
          <cell r="A119" t="str">
            <v>X22093866615</v>
          </cell>
          <cell r="B119" t="str">
            <v>PCA, Modification of Electric Service, HMB, DULCINEA BALCE SANTOS</v>
          </cell>
          <cell r="C119" t="str">
            <v>STREET, HAITI, BETTER LIVING SUBD, PARANAQUE</v>
          </cell>
          <cell r="D119" t="str">
            <v>75784</v>
          </cell>
          <cell r="E119" t="str">
            <v>PARANAQUE</v>
          </cell>
          <cell r="F119" t="str">
            <v>SCHED</v>
          </cell>
          <cell r="G119">
            <v>44848.579189814816</v>
          </cell>
          <cell r="H119">
            <v>44853.727777777778</v>
          </cell>
          <cell r="I119" t="str">
            <v>ME185284</v>
          </cell>
        </row>
        <row r="120">
          <cell r="A120" t="str">
            <v>X22093878578</v>
          </cell>
          <cell r="B120" t="str">
            <v>PCA, New Electric Service, CBG, DITO TELECOMMUNITY CORPORATION</v>
          </cell>
          <cell r="C120" t="str">
            <v>STREET, NIGERIA, BETTER LIVING SUBD, PARANAQUE</v>
          </cell>
          <cell r="D120" t="str">
            <v>75826</v>
          </cell>
          <cell r="E120" t="str">
            <v>PARANAQUE</v>
          </cell>
          <cell r="F120" t="str">
            <v>SCHED</v>
          </cell>
          <cell r="G120">
            <v>45722.676516203705</v>
          </cell>
          <cell r="H120">
            <v>45722.676388888889</v>
          </cell>
          <cell r="I120" t="str">
            <v>ME155242</v>
          </cell>
        </row>
        <row r="121">
          <cell r="A121" t="str">
            <v>X22104473949</v>
          </cell>
          <cell r="B121" t="str">
            <v>PCA, Modification of Electric Service, HMB, CELEDONIA C. UTANES</v>
          </cell>
          <cell r="C121" t="str">
            <v>STREET, JERUSALEM, BF HOMES, PARANAQUE</v>
          </cell>
          <cell r="D121" t="str">
            <v>75301</v>
          </cell>
          <cell r="E121" t="str">
            <v>PARANAQUE</v>
          </cell>
          <cell r="F121" t="str">
            <v>SCHED</v>
          </cell>
          <cell r="G121">
            <v>45049.571423611109</v>
          </cell>
          <cell r="H121">
            <v>45051.718055555553</v>
          </cell>
          <cell r="I121" t="str">
            <v>ME185284</v>
          </cell>
        </row>
        <row r="122">
          <cell r="A122" t="str">
            <v>X22114818590</v>
          </cell>
          <cell r="B122" t="str">
            <v>PCA, Modification of Electric Service, HMB, NILO F OMILLO</v>
          </cell>
          <cell r="C122" t="str">
            <v>STREET, TOURMALINE, LAS PINAS RYL EST1, LAS PINAS CITY</v>
          </cell>
          <cell r="D122" t="str">
            <v>62469</v>
          </cell>
          <cell r="E122" t="str">
            <v>PARANAQUE</v>
          </cell>
          <cell r="F122" t="str">
            <v>SCHED</v>
          </cell>
          <cell r="G122">
            <v>45258.314421296294</v>
          </cell>
          <cell r="H122">
            <v>45259.713194444441</v>
          </cell>
          <cell r="I122" t="str">
            <v>ME155242</v>
          </cell>
        </row>
        <row r="123">
          <cell r="A123" t="str">
            <v>X22114887149</v>
          </cell>
          <cell r="B123" t="str">
            <v>PCA, Modification of Electric Service, HMB, ZENAIDA M. CELESTINO</v>
          </cell>
          <cell r="C123" t="str">
            <v>STREET, DOÑA INES, ALABANG HILLS SUBD PH 2, MUNTINLUPA</v>
          </cell>
          <cell r="D123" t="str">
            <v>72611</v>
          </cell>
          <cell r="E123" t="str">
            <v>PARANAQUE</v>
          </cell>
          <cell r="F123" t="str">
            <v>SCHED</v>
          </cell>
          <cell r="G123">
            <v>45201.562013888892</v>
          </cell>
          <cell r="H123">
            <v>45203.532638888886</v>
          </cell>
          <cell r="I123" t="str">
            <v>ME155242</v>
          </cell>
        </row>
        <row r="124">
          <cell r="A124" t="str">
            <v>X22114994258</v>
          </cell>
          <cell r="B124" t="str">
            <v>PCA, New Electric Service, CBG, MAYNILAD WATER SERVICES, INC.</v>
          </cell>
          <cell r="C124" t="str">
            <v>STREET, SAN GUILLERMO, BAYANAN, MUNTINLUPA</v>
          </cell>
          <cell r="D124" t="str">
            <v>72505</v>
          </cell>
          <cell r="E124" t="str">
            <v>PARANAQUE</v>
          </cell>
          <cell r="F124" t="str">
            <v>PCAN3</v>
          </cell>
          <cell r="G124">
            <v>45499.291562500002</v>
          </cell>
          <cell r="H124">
            <v>45266.695138888892</v>
          </cell>
          <cell r="I124" t="str">
            <v>ME155242</v>
          </cell>
        </row>
        <row r="125">
          <cell r="A125" t="str">
            <v>X22125058629</v>
          </cell>
          <cell r="B125" t="str">
            <v>PCA, Modification of Electric Service, HMB, CITY GOVERNMENT OF MUNTINLUPA</v>
          </cell>
          <cell r="C125" t="str">
            <v>STREET, FILINVEST SOCIALIZED HOUSING, FILINVEST SOCIALIZED HOUSING, MUNTINLUPA</v>
          </cell>
          <cell r="D125" t="str">
            <v>72377</v>
          </cell>
          <cell r="E125" t="str">
            <v>PARANAQUE</v>
          </cell>
          <cell r="F125" t="str">
            <v>DCOMP</v>
          </cell>
          <cell r="G125">
            <v>45709.343888888892</v>
          </cell>
          <cell r="H125">
            <v>45709.431250000001</v>
          </cell>
          <cell r="I125" t="str">
            <v>ME166067</v>
          </cell>
        </row>
        <row r="126">
          <cell r="A126" t="str">
            <v>X22125062389</v>
          </cell>
          <cell r="B126" t="str">
            <v>PCA, New Electric Service, HMB, SONNY L LAGON</v>
          </cell>
          <cell r="C126" t="str">
            <v>STREET, ACACIA, MULTINATIONAL VILL, PARANAQUE</v>
          </cell>
          <cell r="D126" t="str">
            <v>76773</v>
          </cell>
          <cell r="E126" t="str">
            <v>PARANAQUE</v>
          </cell>
          <cell r="F126" t="str">
            <v>FCOMP</v>
          </cell>
          <cell r="G126">
            <v>45667.000694444447</v>
          </cell>
          <cell r="H126">
            <v>45566.354166666664</v>
          </cell>
          <cell r="I126" t="str">
            <v>ME185284</v>
          </cell>
        </row>
        <row r="127">
          <cell r="A127" t="str">
            <v>X22125127907</v>
          </cell>
          <cell r="B127" t="str">
            <v>PCA, Termination of Electric Service, SME, MEGAWIDE CONSTRUCTION CORPORATION</v>
          </cell>
          <cell r="C127" t="str">
            <v>STREET, ALABANG-ZAPOTE, PAMPLONA I, LAS PINAS CITY</v>
          </cell>
          <cell r="D127" t="str">
            <v>62765</v>
          </cell>
          <cell r="E127" t="str">
            <v>PARANAQUE</v>
          </cell>
          <cell r="F127" t="str">
            <v>PCAN</v>
          </cell>
          <cell r="G127">
            <v>45476.462708333333</v>
          </cell>
          <cell r="H127">
            <v>44925.26458333333</v>
          </cell>
          <cell r="I127" t="str">
            <v>ME155242</v>
          </cell>
        </row>
        <row r="128">
          <cell r="A128" t="str">
            <v>X23010135483</v>
          </cell>
          <cell r="B128" t="str">
            <v>PCA, New Electric Service, HMB, ELENA SALAZAR BOÑAGA</v>
          </cell>
          <cell r="C128" t="str">
            <v>STREET, P.D.A., SITIO BAGONG SILANG, PARANAQUE</v>
          </cell>
          <cell r="D128" t="str">
            <v>15006307</v>
          </cell>
          <cell r="E128" t="str">
            <v>PARANAQUE</v>
          </cell>
          <cell r="F128" t="str">
            <v>PCAN3</v>
          </cell>
          <cell r="G128">
            <v>45499.292199074072</v>
          </cell>
          <cell r="H128">
            <v>45260.71875</v>
          </cell>
          <cell r="I128" t="str">
            <v>ME155242</v>
          </cell>
        </row>
        <row r="129">
          <cell r="A129" t="str">
            <v>X23010135604</v>
          </cell>
          <cell r="B129" t="str">
            <v>PCA, New Electric Service, HMB, DANILO CASPE SEPTIMO</v>
          </cell>
          <cell r="C129" t="str">
            <v>STREET, P.D.A., SITIO BAGONG SILANG, PARANAQUE</v>
          </cell>
          <cell r="D129" t="str">
            <v>15006307</v>
          </cell>
          <cell r="E129" t="str">
            <v>PARANAQUE</v>
          </cell>
          <cell r="F129" t="str">
            <v>PCAN3</v>
          </cell>
          <cell r="G129">
            <v>45499.292384259257</v>
          </cell>
          <cell r="H129">
            <v>45260.719444444447</v>
          </cell>
          <cell r="I129" t="str">
            <v>ME155242</v>
          </cell>
        </row>
        <row r="130">
          <cell r="A130" t="str">
            <v>X23010262595</v>
          </cell>
          <cell r="B130" t="str">
            <v>PCA, New Electric Service, HMB, FRANCISCO ARANETA CLIMENT</v>
          </cell>
          <cell r="C130" t="str">
            <v>STREET, BANAWE, AYALA-ALABANG VILL, MUNTINLUPA</v>
          </cell>
          <cell r="D130" t="str">
            <v>73122</v>
          </cell>
          <cell r="E130" t="str">
            <v>PARANAQUE</v>
          </cell>
          <cell r="F130" t="str">
            <v>FCOMP</v>
          </cell>
          <cell r="G130">
            <v>45703.359201388892</v>
          </cell>
          <cell r="H130">
            <v>45685.665972222225</v>
          </cell>
          <cell r="I130" t="str">
            <v>ME166067</v>
          </cell>
        </row>
        <row r="131">
          <cell r="A131" t="str">
            <v>X23020656225</v>
          </cell>
          <cell r="B131" t="str">
            <v>PCA, New Electric Service, HMB, JENNIFER AUSTRIA BARZAGA</v>
          </cell>
          <cell r="C131" t="str">
            <v>STREET, LAUAN, AYALA-ALABANG VILL, MUNTINLUPA</v>
          </cell>
          <cell r="D131" t="str">
            <v>73178</v>
          </cell>
          <cell r="E131" t="str">
            <v>PARANAQUE</v>
          </cell>
          <cell r="F131" t="str">
            <v>FCOMP</v>
          </cell>
          <cell r="G131">
            <v>45659.602534722224</v>
          </cell>
          <cell r="H131">
            <v>45622.385416666664</v>
          </cell>
          <cell r="I131" t="str">
            <v>ME185130</v>
          </cell>
        </row>
        <row r="132">
          <cell r="A132" t="str">
            <v>X23030848776</v>
          </cell>
          <cell r="B132" t="str">
            <v>PCA, Modification of Electric Service, HMB, GRACE ZAPATA CRUZ</v>
          </cell>
          <cell r="C132" t="str">
            <v>STREET, BELMONT, ALABANG 400 VILLAGE, MUNTINLUPA</v>
          </cell>
          <cell r="D132" t="str">
            <v>72736</v>
          </cell>
          <cell r="E132" t="str">
            <v>PARANAQUE</v>
          </cell>
          <cell r="F132" t="str">
            <v>SCHED</v>
          </cell>
          <cell r="G132">
            <v>45372.62703703704</v>
          </cell>
          <cell r="H132">
            <v>45372.626388888886</v>
          </cell>
          <cell r="I132" t="str">
            <v>ME155242</v>
          </cell>
        </row>
        <row r="133">
          <cell r="A133" t="str">
            <v>X23030972347</v>
          </cell>
          <cell r="B133" t="str">
            <v>PCA, New Electric Service, CBG, DITO TELECOMMUNITY CORPORATION</v>
          </cell>
          <cell r="C133" t="str">
            <v>STREET, ADELFA, SAN DIONISIO, PARANAQUE</v>
          </cell>
          <cell r="D133" t="str">
            <v>77005</v>
          </cell>
          <cell r="E133" t="str">
            <v>PARANAQUE</v>
          </cell>
          <cell r="F133" t="str">
            <v>SCHED</v>
          </cell>
          <cell r="G133">
            <v>45609.618657407409</v>
          </cell>
          <cell r="H133">
            <v>45615.416666666664</v>
          </cell>
          <cell r="I133" t="str">
            <v>ME185284</v>
          </cell>
        </row>
        <row r="134">
          <cell r="A134" t="str">
            <v>X23031072544</v>
          </cell>
          <cell r="B134" t="str">
            <v>PCA, Modification of Electric Service, HMB, MA. FIDES CARLA OASAN TALADUA</v>
          </cell>
          <cell r="C134" t="str">
            <v>STREET, BLOCK 8, AVIDA SETTINGS CAVITE PH2, BACOOR</v>
          </cell>
          <cell r="D134" t="str">
            <v>145113</v>
          </cell>
          <cell r="E134" t="str">
            <v>PARANAQUE</v>
          </cell>
          <cell r="F134" t="str">
            <v>SCHED</v>
          </cell>
          <cell r="G134">
            <v>45233.644259259258</v>
          </cell>
          <cell r="H134">
            <v>45237.529166666667</v>
          </cell>
          <cell r="I134" t="str">
            <v>ME155242</v>
          </cell>
        </row>
        <row r="135">
          <cell r="A135" t="str">
            <v>X23051529972</v>
          </cell>
          <cell r="B135" t="str">
            <v>PCA, New Electric Service, HMB, ERIC ANTHONY S CASTAÑEDA</v>
          </cell>
          <cell r="C135" t="str">
            <v>STREET, LUMBANG, TIERRA NUEVA SUBD, MUNTINLUPA</v>
          </cell>
          <cell r="D135" t="str">
            <v>72857</v>
          </cell>
          <cell r="E135" t="str">
            <v>PARANAQUE</v>
          </cell>
          <cell r="F135" t="str">
            <v>FCOMP</v>
          </cell>
          <cell r="G135">
            <v>45700.375300925924</v>
          </cell>
          <cell r="H135">
            <v>45660.385416666664</v>
          </cell>
          <cell r="I135" t="str">
            <v>ME166067</v>
          </cell>
        </row>
        <row r="136">
          <cell r="A136" t="str">
            <v>X23051592518</v>
          </cell>
          <cell r="B136" t="str">
            <v>PCA, New Electric Service, HMB, BARANGAY MANUYO DOS</v>
          </cell>
          <cell r="C136" t="str">
            <v>STREET, S. MARQUEZ, GATCHALIAN SUBD, LAS PINAS CITY</v>
          </cell>
          <cell r="D136" t="str">
            <v>62701</v>
          </cell>
          <cell r="E136" t="str">
            <v>PARANAQUE</v>
          </cell>
          <cell r="F136" t="str">
            <v>SCHED</v>
          </cell>
          <cell r="G136">
            <v>45728.598726851851</v>
          </cell>
          <cell r="H136">
            <v>45733.672222222223</v>
          </cell>
          <cell r="I136" t="str">
            <v>ME155242</v>
          </cell>
        </row>
        <row r="137">
          <cell r="A137" t="str">
            <v>X23072646097</v>
          </cell>
          <cell r="B137" t="str">
            <v>PCA, Modification of Electric Service, HMB, CATHERINE C DIAMANTE</v>
          </cell>
          <cell r="C137" t="str">
            <v>STREET, BUSUANGA, TIERRA NUEVA SUBD, MUNTINLUPA</v>
          </cell>
          <cell r="D137" t="str">
            <v>72853</v>
          </cell>
          <cell r="E137" t="str">
            <v>PARANAQUE</v>
          </cell>
          <cell r="F137" t="str">
            <v>SCHED</v>
          </cell>
          <cell r="G137">
            <v>45579.395601851851</v>
          </cell>
          <cell r="H137">
            <v>45582.291666666664</v>
          </cell>
          <cell r="I137" t="str">
            <v>ME155242</v>
          </cell>
        </row>
        <row r="138">
          <cell r="A138" t="str">
            <v>X23072866920</v>
          </cell>
          <cell r="B138" t="str">
            <v>PCA, Modification of Electric Service, CBG, GLOBE TELECOM, INC.</v>
          </cell>
          <cell r="C138" t="str">
            <v>STREET, STA. INES, SAN ANTONIO VALLEY 6, PARANAQUE</v>
          </cell>
          <cell r="D138" t="str">
            <v>77605</v>
          </cell>
          <cell r="E138" t="str">
            <v>PARANAQUE</v>
          </cell>
          <cell r="F138" t="str">
            <v>PCAN</v>
          </cell>
          <cell r="G138">
            <v>45488.620752314811</v>
          </cell>
          <cell r="H138">
            <v>45153.638194444444</v>
          </cell>
          <cell r="I138" t="str">
            <v>ME155242</v>
          </cell>
        </row>
        <row r="139">
          <cell r="A139" t="str">
            <v>X23072873118</v>
          </cell>
          <cell r="B139" t="str">
            <v>PCA, New Electric Service, HMB, JOSEPH T. CHUA</v>
          </cell>
          <cell r="C139" t="str">
            <v>STREET, NARRA, LAKEVIEW HOMES I, MUNTINLUPA</v>
          </cell>
          <cell r="D139" t="str">
            <v>73528</v>
          </cell>
          <cell r="E139" t="str">
            <v>PARANAQUE</v>
          </cell>
          <cell r="F139" t="str">
            <v>PCAN3</v>
          </cell>
          <cell r="G139">
            <v>45499.291944444441</v>
          </cell>
          <cell r="H139">
            <v>45201.416666666664</v>
          </cell>
          <cell r="I139" t="str">
            <v>ME155242</v>
          </cell>
        </row>
        <row r="140">
          <cell r="A140" t="str">
            <v>X23083154356</v>
          </cell>
          <cell r="B140" t="str">
            <v>PCA, New Electric Service, HMB, CITY GOVERNMENT OF PARAÑAQUE</v>
          </cell>
          <cell r="C140" t="str">
            <v>STREET, MANGGA, MASVILLE, PARANAQUE</v>
          </cell>
          <cell r="D140" t="str">
            <v>75511</v>
          </cell>
          <cell r="E140" t="str">
            <v>PARANAQUE</v>
          </cell>
          <cell r="F140" t="str">
            <v>SCHED</v>
          </cell>
          <cell r="G140">
            <v>45709.63003472222</v>
          </cell>
          <cell r="H140">
            <v>45712.431250000001</v>
          </cell>
          <cell r="I140" t="str">
            <v>ME185284</v>
          </cell>
        </row>
        <row r="141">
          <cell r="A141" t="str">
            <v>X23083229143</v>
          </cell>
          <cell r="B141" t="str">
            <v>PCA, Modification of Electric Service, HMB, JUSTIN PHILIP POLISTICO SARABIA</v>
          </cell>
          <cell r="C141" t="str">
            <v>STREET, ALITAGTAG, AYALA-ALABANG VILL, MUNTINLUPA</v>
          </cell>
          <cell r="D141" t="str">
            <v>73104</v>
          </cell>
          <cell r="E141" t="str">
            <v>PARANAQUE</v>
          </cell>
          <cell r="F141" t="str">
            <v>SCHED</v>
          </cell>
          <cell r="G141">
            <v>45595.62127314815</v>
          </cell>
          <cell r="H141">
            <v>45596.364583333336</v>
          </cell>
          <cell r="I141" t="str">
            <v>ME155242</v>
          </cell>
        </row>
        <row r="142">
          <cell r="A142" t="str">
            <v>X23083241618</v>
          </cell>
          <cell r="B142" t="str">
            <v>PCA, New Electric Service, HMB, ROMEO P. CAMBA</v>
          </cell>
          <cell r="C142" t="str">
            <v>STREET, SAN CLEMENTE, SAN ANTONIO VALLEY 11, PARANAQUE</v>
          </cell>
          <cell r="D142" t="str">
            <v>77373</v>
          </cell>
          <cell r="E142" t="str">
            <v>PARANAQUE</v>
          </cell>
          <cell r="F142" t="str">
            <v>SCHED</v>
          </cell>
          <cell r="G142">
            <v>45660.525509259256</v>
          </cell>
          <cell r="H142">
            <v>45660.520138888889</v>
          </cell>
          <cell r="I142" t="str">
            <v>ME155242</v>
          </cell>
        </row>
        <row r="143">
          <cell r="A143" t="str">
            <v>X23093504208</v>
          </cell>
          <cell r="B143" t="str">
            <v>PCA, New Electric Service, CBG, YIHUA PHILIPPINES GROUP INC.</v>
          </cell>
          <cell r="C143" t="str">
            <v>STREET, QUIRINO, TAMBO, PARANAQUE</v>
          </cell>
          <cell r="D143" t="str">
            <v>78242</v>
          </cell>
          <cell r="E143" t="str">
            <v>PARANAQUE</v>
          </cell>
          <cell r="F143" t="str">
            <v>FCOMP</v>
          </cell>
          <cell r="G143">
            <v>45736.417500000003</v>
          </cell>
          <cell r="H143">
            <v>45707.313194444447</v>
          </cell>
          <cell r="I143" t="str">
            <v>ME155242</v>
          </cell>
        </row>
        <row r="144">
          <cell r="A144" t="str">
            <v>X23093531555</v>
          </cell>
          <cell r="B144" t="str">
            <v>PCA, Modification of Electric Service, CBG, EDOTCO TOWERS, INC.</v>
          </cell>
          <cell r="C144" t="str">
            <v>STREET, PROGRESSIVE, PROGRESSIVE VILLAGE 15, BACOOR</v>
          </cell>
          <cell r="D144" t="str">
            <v>18202</v>
          </cell>
          <cell r="E144" t="str">
            <v>PARANAQUE</v>
          </cell>
          <cell r="F144" t="str">
            <v>FCOMP</v>
          </cell>
          <cell r="G144">
            <v>45687.30972222222</v>
          </cell>
          <cell r="H144">
            <v>45624.395833333336</v>
          </cell>
          <cell r="I144" t="str">
            <v>ME155242</v>
          </cell>
        </row>
        <row r="145">
          <cell r="A145" t="str">
            <v>X23093558896</v>
          </cell>
          <cell r="B145" t="str">
            <v>PCA, Modification of Electric Service, HMB, HELENE ASHLEY RAZO VERA CRUZ</v>
          </cell>
          <cell r="C145" t="str">
            <v>STREET, CAVITE, ALABANG HILLS SUBD PH 3, MUNTINLUPA</v>
          </cell>
          <cell r="D145" t="str">
            <v>72626</v>
          </cell>
          <cell r="E145" t="str">
            <v>PARANAQUE</v>
          </cell>
          <cell r="F145" t="str">
            <v>SCHED</v>
          </cell>
          <cell r="G145">
            <v>45250.682060185187</v>
          </cell>
          <cell r="H145">
            <v>45254.54791666667</v>
          </cell>
          <cell r="I145" t="str">
            <v>ME155242</v>
          </cell>
        </row>
        <row r="146">
          <cell r="A146" t="str">
            <v>X23093634405</v>
          </cell>
          <cell r="B146" t="str">
            <v>PCA, New Electric Service, SME, JESUS, THE GOOD SHEPHERD CHURCH OF MUNTINLUPA, INC</v>
          </cell>
          <cell r="C146" t="str">
            <v>STREET, NATIONAL, TUNASAN, MUNTINLUPA</v>
          </cell>
          <cell r="D146" t="str">
            <v>74415</v>
          </cell>
          <cell r="E146" t="str">
            <v>PARANAQUE</v>
          </cell>
          <cell r="F146" t="str">
            <v>CAN</v>
          </cell>
          <cell r="G146">
            <v>45671.448298611111</v>
          </cell>
          <cell r="H146">
            <v>45365.306944444441</v>
          </cell>
          <cell r="I146" t="str">
            <v>ME185130</v>
          </cell>
        </row>
        <row r="147">
          <cell r="A147" t="str">
            <v>X23093703275</v>
          </cell>
          <cell r="B147" t="str">
            <v>PCA, New Electric Service, HMB, BARANGAY MANUYO DOS</v>
          </cell>
          <cell r="C147" t="str">
            <v>STREET, S. TOLENTINO, GATCHALIAN SUBD, LAS PINAS CITY</v>
          </cell>
          <cell r="D147" t="str">
            <v>62702</v>
          </cell>
          <cell r="E147" t="str">
            <v>PARANAQUE</v>
          </cell>
          <cell r="F147" t="str">
            <v>SCHED</v>
          </cell>
          <cell r="G147">
            <v>45649.536307870374</v>
          </cell>
          <cell r="H147">
            <v>45653.34375</v>
          </cell>
          <cell r="I147" t="str">
            <v>ME166067</v>
          </cell>
        </row>
        <row r="148">
          <cell r="A148" t="str">
            <v>X23093808497</v>
          </cell>
          <cell r="B148" t="str">
            <v>PCA, Modification of Electric Service, HMB, CITY GOVERNMENT OF PARAÑAQUE</v>
          </cell>
          <cell r="C148" t="str">
            <v>STREET, COL. E. DE LEON, STO. NINO, PARANAQUE</v>
          </cell>
          <cell r="D148" t="str">
            <v>77883</v>
          </cell>
          <cell r="E148" t="str">
            <v>PARANAQUE</v>
          </cell>
          <cell r="F148" t="str">
            <v>SCHED</v>
          </cell>
          <cell r="G148">
            <v>45399.584085648145</v>
          </cell>
          <cell r="H148">
            <v>45399.583333333336</v>
          </cell>
          <cell r="I148" t="str">
            <v>ME185284</v>
          </cell>
        </row>
        <row r="149">
          <cell r="A149" t="str">
            <v>X23104085941</v>
          </cell>
          <cell r="B149" t="str">
            <v>PCA, Termination of Electric Service, SME, D.L. CERVANTES CONSTRUCTION CORPORATION</v>
          </cell>
          <cell r="C149" t="str">
            <v>STREET, ARIA, STA. CECILIA VILL, LAS PINAS CITY</v>
          </cell>
          <cell r="D149" t="str">
            <v>64273</v>
          </cell>
          <cell r="E149" t="str">
            <v>PARANAQUE</v>
          </cell>
          <cell r="F149" t="str">
            <v>SCHED</v>
          </cell>
          <cell r="G149">
            <v>45233.643576388888</v>
          </cell>
          <cell r="H149">
            <v>45235.325694444444</v>
          </cell>
          <cell r="I149" t="str">
            <v>ME155242</v>
          </cell>
        </row>
        <row r="150">
          <cell r="A150" t="str">
            <v>X23104092125</v>
          </cell>
          <cell r="B150" t="str">
            <v>PCA, New Electric Service, HMB, PHILIP SIGFRID ALFARO FORTUN</v>
          </cell>
          <cell r="C150" t="str">
            <v>STREET, SAN AGUSTIN, SUSANA HTS SUBD VILL 6, MUNTINLUPA</v>
          </cell>
          <cell r="D150" t="str">
            <v>74397</v>
          </cell>
          <cell r="E150" t="str">
            <v>PARANAQUE</v>
          </cell>
          <cell r="F150" t="str">
            <v>SCHED</v>
          </cell>
          <cell r="G150">
            <v>45541.536886574075</v>
          </cell>
          <cell r="H150">
            <v>45541.536111111112</v>
          </cell>
          <cell r="I150" t="str">
            <v>ME155242</v>
          </cell>
        </row>
        <row r="151">
          <cell r="A151" t="str">
            <v>X23104201686</v>
          </cell>
          <cell r="B151" t="str">
            <v>PCA, New Electric Service, HMB, MINGHAI SU</v>
          </cell>
          <cell r="C151" t="str">
            <v>STREET, MATTHEW, MULTINATIONAL VILL, PARANAQUE</v>
          </cell>
          <cell r="D151" t="str">
            <v>76810</v>
          </cell>
          <cell r="E151" t="str">
            <v>PARANAQUE</v>
          </cell>
          <cell r="F151" t="str">
            <v>FCOMP</v>
          </cell>
          <cell r="G151">
            <v>45712.350937499999</v>
          </cell>
          <cell r="H151">
            <v>45646.447916666664</v>
          </cell>
          <cell r="I151" t="str">
            <v>ME166067</v>
          </cell>
        </row>
        <row r="152">
          <cell r="A152" t="str">
            <v>X23114429361</v>
          </cell>
          <cell r="B152" t="str">
            <v>PCA, Temporary Electric Service, SME, GOLDSERVE HOLDING COMPANY INC.</v>
          </cell>
          <cell r="C152" t="str">
            <v>STREET, MIA, TAMBO, PARANAQUE</v>
          </cell>
          <cell r="D152" t="str">
            <v>78233</v>
          </cell>
          <cell r="E152" t="str">
            <v>PARANAQUE</v>
          </cell>
          <cell r="F152" t="str">
            <v>FCOMP</v>
          </cell>
          <cell r="G152">
            <v>45721.32298611111</v>
          </cell>
          <cell r="H152">
            <v>45517.314583333333</v>
          </cell>
          <cell r="I152" t="str">
            <v>ME185284</v>
          </cell>
        </row>
        <row r="153">
          <cell r="A153" t="str">
            <v>X23114600974</v>
          </cell>
          <cell r="B153" t="str">
            <v>PCA, New Electric Service, SME, BP WATERWORKS, INC.</v>
          </cell>
          <cell r="C153" t="str">
            <v>STREET, PASONG BUAYA II, PASONG BUAYA II, IMUS</v>
          </cell>
          <cell r="D153" t="str">
            <v>33954</v>
          </cell>
          <cell r="E153" t="str">
            <v>PARANAQUE</v>
          </cell>
          <cell r="F153" t="str">
            <v>PCAN3</v>
          </cell>
          <cell r="G153">
            <v>45505.456550925926</v>
          </cell>
          <cell r="H153">
            <v>45429.669444444444</v>
          </cell>
          <cell r="I153" t="str">
            <v>ME155242</v>
          </cell>
        </row>
        <row r="154">
          <cell r="A154" t="str">
            <v>X23114603408</v>
          </cell>
          <cell r="B154" t="str">
            <v>PCA, Modification of Electric Service, HMB, GILBERT CLAIRE O REALICA</v>
          </cell>
          <cell r="C154" t="str">
            <v>STREET, APO, AYALA-ALABANG VILL, MUNTINLUPA</v>
          </cell>
          <cell r="D154" t="str">
            <v>73110</v>
          </cell>
          <cell r="E154" t="str">
            <v>PARANAQUE</v>
          </cell>
          <cell r="F154" t="str">
            <v>FCOMP</v>
          </cell>
          <cell r="G154">
            <v>45699.30269675926</v>
          </cell>
          <cell r="H154">
            <v>45517.320138888892</v>
          </cell>
          <cell r="I154" t="str">
            <v>ME155242</v>
          </cell>
        </row>
        <row r="155">
          <cell r="A155" t="str">
            <v>X23124692592</v>
          </cell>
          <cell r="B155" t="str">
            <v>PCA, New Electric Service, CBG, BGST PRIME DEVELOPMENT CORP.</v>
          </cell>
          <cell r="C155" t="str">
            <v>STREET, COASTAL RD, SAN DIONISIO, PARANAQUE</v>
          </cell>
          <cell r="D155" t="str">
            <v>77078</v>
          </cell>
          <cell r="E155" t="str">
            <v>PARANAQUE</v>
          </cell>
          <cell r="F155" t="str">
            <v>FCOMP</v>
          </cell>
          <cell r="G155">
            <v>45687.286180555559</v>
          </cell>
          <cell r="H155">
            <v>45638.375</v>
          </cell>
          <cell r="I155" t="str">
            <v>ME155242</v>
          </cell>
        </row>
        <row r="156">
          <cell r="A156" t="str">
            <v>X24010064473</v>
          </cell>
          <cell r="B156" t="str">
            <v>PCA, Modification of Electric Service, HMB, ALEXANDER SANTOS ISIP</v>
          </cell>
          <cell r="C156" t="str">
            <v>STREET, LANCASTER, HILLSBOROUGH SUBD, MUNTINLUPA</v>
          </cell>
          <cell r="D156" t="str">
            <v>72686</v>
          </cell>
          <cell r="E156" t="str">
            <v>PARANAQUE</v>
          </cell>
          <cell r="F156" t="str">
            <v>FCOMP</v>
          </cell>
          <cell r="G156">
            <v>45741.340509259258</v>
          </cell>
          <cell r="H156">
            <v>45712.547222222223</v>
          </cell>
          <cell r="I156" t="str">
            <v>ME166067</v>
          </cell>
        </row>
        <row r="157">
          <cell r="A157" t="str">
            <v>X24010064526</v>
          </cell>
          <cell r="B157" t="str">
            <v>PCA, Modification of Electric Service, HMB, ARLEEN MARIA Z BORROMEO</v>
          </cell>
          <cell r="C157" t="str">
            <v>STREET, ZARATOGA LOOP, ALABANG 400 VILLAGE, MUNTINLUPA</v>
          </cell>
          <cell r="D157" t="str">
            <v>72753</v>
          </cell>
          <cell r="E157" t="str">
            <v>PARANAQUE</v>
          </cell>
          <cell r="F157" t="str">
            <v>FCOMP</v>
          </cell>
          <cell r="G157">
            <v>45703.508113425924</v>
          </cell>
          <cell r="H157">
            <v>45365.331250000003</v>
          </cell>
          <cell r="I157" t="str">
            <v>ME155242</v>
          </cell>
        </row>
        <row r="158">
          <cell r="A158" t="str">
            <v>X24010101554</v>
          </cell>
          <cell r="B158" t="str">
            <v>PCA, Modification of Electric Service, SME, TOBIE INTERNATIONAL INC.</v>
          </cell>
          <cell r="C158" t="str">
            <v>STREET, EXODUS, BF HOMES MARTINVILLE SUBD, LAS PINAS CITY</v>
          </cell>
          <cell r="D158" t="str">
            <v>15006026</v>
          </cell>
          <cell r="E158" t="str">
            <v>PARANAQUE</v>
          </cell>
          <cell r="F158" t="str">
            <v>SCHED</v>
          </cell>
          <cell r="G158">
            <v>45565.54310185185</v>
          </cell>
          <cell r="H158">
            <v>45569.3125</v>
          </cell>
          <cell r="I158" t="str">
            <v>ME155242</v>
          </cell>
        </row>
        <row r="159">
          <cell r="A159" t="str">
            <v>X24010230692</v>
          </cell>
          <cell r="B159" t="str">
            <v>PCA, Modification of Electric Service, HMB, RONALDO RICARDO RAYMUNDO BENITEZ</v>
          </cell>
          <cell r="C159" t="str">
            <v>STREET, SUSANA HTS, SUSANA HTS SUBD VILL 1, MUNTINLUPA</v>
          </cell>
          <cell r="D159" t="str">
            <v>74390</v>
          </cell>
          <cell r="E159" t="str">
            <v>PARANAQUE</v>
          </cell>
          <cell r="F159" t="str">
            <v>INPRG</v>
          </cell>
          <cell r="G159">
            <v>45446.637106481481</v>
          </cell>
          <cell r="H159">
            <v>45393.530555555553</v>
          </cell>
          <cell r="I159" t="str">
            <v>ME155242</v>
          </cell>
        </row>
        <row r="160">
          <cell r="A160" t="str">
            <v>X24010234099</v>
          </cell>
          <cell r="B160" t="str">
            <v>PCA, Modification of Electric Service, HMB, LORENZO ENRIQUEZ GUERRERO</v>
          </cell>
          <cell r="C160" t="str">
            <v>STREET, LIPA, AYALA-ALABANG VILL, MUNTINLUPA</v>
          </cell>
          <cell r="D160" t="str">
            <v>73181</v>
          </cell>
          <cell r="E160" t="str">
            <v>PARANAQUE</v>
          </cell>
          <cell r="F160" t="str">
            <v>FCOMP</v>
          </cell>
          <cell r="G160">
            <v>45743.35633101852</v>
          </cell>
          <cell r="H160">
            <v>45609.40625</v>
          </cell>
          <cell r="I160" t="str">
            <v>ME166067</v>
          </cell>
        </row>
        <row r="161">
          <cell r="A161" t="str">
            <v>X24010236211</v>
          </cell>
          <cell r="B161" t="str">
            <v>PCA, Termination of Electric Service, CBG, INTERNATIONAL CONTAINER TERMINAL SERVICES, INC.</v>
          </cell>
          <cell r="C161" t="str">
            <v>STREET, ROAD 4, PAGCOR ENTERTAINMENT CITY, PARANAQUE</v>
          </cell>
          <cell r="D161" t="str">
            <v>17151510</v>
          </cell>
          <cell r="E161" t="str">
            <v>PARANAQUE</v>
          </cell>
          <cell r="F161" t="str">
            <v>SCHED</v>
          </cell>
          <cell r="G161">
            <v>45327.392268518517</v>
          </cell>
          <cell r="H161">
            <v>45331.65625</v>
          </cell>
          <cell r="I161" t="str">
            <v>ME155242</v>
          </cell>
        </row>
        <row r="162">
          <cell r="A162" t="str">
            <v>X24010237993</v>
          </cell>
          <cell r="B162" t="str">
            <v>PCA, New Electric Service, HMB, ALEXANDER CREUS BONDOC</v>
          </cell>
          <cell r="C162" t="str">
            <v>STREET, ARDEN, ST. JOSEPH SUBD, LAS PINAS CITY</v>
          </cell>
          <cell r="D162" t="str">
            <v>61763</v>
          </cell>
          <cell r="E162" t="str">
            <v>PARANAQUE</v>
          </cell>
          <cell r="F162" t="str">
            <v>TECO</v>
          </cell>
          <cell r="G162">
            <v>45747.354016203702</v>
          </cell>
          <cell r="H162">
            <v>45646.3125</v>
          </cell>
          <cell r="I162" t="str">
            <v>ME185130</v>
          </cell>
        </row>
        <row r="163">
          <cell r="A163" t="str">
            <v>X24010241125</v>
          </cell>
          <cell r="B163" t="str">
            <v>PCA, New Electric Service, HMB, ALEXANDER CREUS BONDOC</v>
          </cell>
          <cell r="C163" t="str">
            <v>STREET, ARDEN, ST. JOSEPH SUBD, LAS PINAS CITY</v>
          </cell>
          <cell r="D163" t="str">
            <v>61763</v>
          </cell>
          <cell r="E163" t="str">
            <v>PARANAQUE</v>
          </cell>
          <cell r="F163" t="str">
            <v>TECO</v>
          </cell>
          <cell r="G163">
            <v>45747.35833333333</v>
          </cell>
          <cell r="H163">
            <v>45646.364583333336</v>
          </cell>
          <cell r="I163" t="str">
            <v>ME185130</v>
          </cell>
        </row>
        <row r="164">
          <cell r="A164" t="str">
            <v>X24010242749</v>
          </cell>
          <cell r="B164" t="str">
            <v>PCA, Modification of Electric Service, HMB, JUDD MARQUEZ TE SEE</v>
          </cell>
          <cell r="C164" t="str">
            <v>STREET, CUENCA, AYALA-ALABANG VILL, MUNTINLUPA</v>
          </cell>
          <cell r="D164" t="str">
            <v>73157</v>
          </cell>
          <cell r="E164" t="str">
            <v>PARANAQUE</v>
          </cell>
          <cell r="F164" t="str">
            <v>FCOMP</v>
          </cell>
          <cell r="G164">
            <v>45639.434363425928</v>
          </cell>
          <cell r="H164">
            <v>45447.57708333333</v>
          </cell>
          <cell r="I164" t="str">
            <v>ME155242</v>
          </cell>
        </row>
        <row r="165">
          <cell r="A165" t="str">
            <v>X24010310203</v>
          </cell>
          <cell r="B165" t="str">
            <v>PCA, Modification of Electric Service, SME, HSL - BRAILLE COLLEGE, INC.,</v>
          </cell>
          <cell r="C165" t="str">
            <v>STREET, DURIAN, ZONE 1, TAGUIG CITY</v>
          </cell>
          <cell r="D165" t="str">
            <v>91804</v>
          </cell>
          <cell r="E165" t="str">
            <v>PARANAQUE</v>
          </cell>
          <cell r="F165" t="str">
            <v>SCHED</v>
          </cell>
          <cell r="G165">
            <v>45450.396736111114</v>
          </cell>
          <cell r="H165">
            <v>45450.395138888889</v>
          </cell>
          <cell r="I165" t="str">
            <v>ME166067</v>
          </cell>
        </row>
        <row r="166">
          <cell r="A166" t="str">
            <v>X24020411401</v>
          </cell>
          <cell r="B166" t="str">
            <v>PCA, Modification of Electric Service, CBG, JOLLIBEE FOODS CORPORATION</v>
          </cell>
          <cell r="C166" t="str">
            <v>STREET, AGUIRRE, BF HOMES, PARANAQUE</v>
          </cell>
          <cell r="D166" t="str">
            <v>75134</v>
          </cell>
          <cell r="E166" t="str">
            <v>PARANAQUE</v>
          </cell>
          <cell r="F166" t="str">
            <v>FCOMP</v>
          </cell>
          <cell r="G166">
            <v>45639.410439814812</v>
          </cell>
          <cell r="H166">
            <v>45404.327777777777</v>
          </cell>
          <cell r="I166" t="str">
            <v>ME155242</v>
          </cell>
        </row>
        <row r="167">
          <cell r="A167" t="str">
            <v>X24020411873</v>
          </cell>
          <cell r="B167" t="str">
            <v>PCA, Modification of Electric Service, CBG, IGLESIA NI CRISTO</v>
          </cell>
          <cell r="C167" t="str">
            <v>STREET, P. BURGOS, SAN DIONISIO, PARANAQUE</v>
          </cell>
          <cell r="D167" t="str">
            <v>77059</v>
          </cell>
          <cell r="E167" t="str">
            <v>PARANAQUE</v>
          </cell>
          <cell r="F167" t="str">
            <v>SCHED</v>
          </cell>
          <cell r="G167">
            <v>45579.415173611109</v>
          </cell>
          <cell r="H167">
            <v>45579.395833333336</v>
          </cell>
          <cell r="I167" t="str">
            <v>ME155242</v>
          </cell>
        </row>
        <row r="168">
          <cell r="A168" t="str">
            <v>X24020423392</v>
          </cell>
          <cell r="B168" t="str">
            <v>PCA, Modification of Electric Service, HMB, GERMAN SELDAS MOTAR</v>
          </cell>
          <cell r="C168" t="str">
            <v>STREET, ANDREW, MULTINATIONAL VILL, PARANAQUE</v>
          </cell>
          <cell r="D168" t="str">
            <v>76774</v>
          </cell>
          <cell r="E168" t="str">
            <v>PARANAQUE</v>
          </cell>
          <cell r="F168" t="str">
            <v>FCOMP</v>
          </cell>
          <cell r="G168">
            <v>45710.361168981479</v>
          </cell>
          <cell r="H168">
            <v>45652.302777777775</v>
          </cell>
          <cell r="I168" t="str">
            <v>ME155242</v>
          </cell>
        </row>
        <row r="169">
          <cell r="A169" t="str">
            <v>X24020448821</v>
          </cell>
          <cell r="B169" t="str">
            <v>PCA, New Electric Service, HMB, ROSE NONO LIN</v>
          </cell>
          <cell r="C169" t="str">
            <v>STREET, COUNTRY CLUB, AYALA-ALABANG VILL, MUNTINLUPA</v>
          </cell>
          <cell r="D169" t="str">
            <v>73156</v>
          </cell>
          <cell r="E169" t="str">
            <v>PARANAQUE</v>
          </cell>
          <cell r="F169" t="str">
            <v>FCOMP</v>
          </cell>
          <cell r="G169">
            <v>45729.357349537036</v>
          </cell>
          <cell r="H169">
            <v>45712.521527777775</v>
          </cell>
          <cell r="I169" t="str">
            <v>ME166067</v>
          </cell>
        </row>
        <row r="170">
          <cell r="A170" t="str">
            <v>X24020456466</v>
          </cell>
          <cell r="B170" t="str">
            <v>PCA, Modification of Electric Service, HMB, CHRISTIAN ARTABAN M. PALINES</v>
          </cell>
          <cell r="C170" t="str">
            <v>STREET, DON P. REYES, VICTORIA HOMES-RUBY PARK SUBD, MUNTINLUPA</v>
          </cell>
          <cell r="D170" t="str">
            <v>74433</v>
          </cell>
          <cell r="E170" t="str">
            <v>PARANAQUE</v>
          </cell>
          <cell r="F170" t="str">
            <v>SCHED</v>
          </cell>
          <cell r="G170">
            <v>45363.347187500003</v>
          </cell>
          <cell r="H170">
            <v>45363.330555555556</v>
          </cell>
          <cell r="I170" t="str">
            <v>ME155242</v>
          </cell>
        </row>
        <row r="171">
          <cell r="A171" t="str">
            <v>X24020497540</v>
          </cell>
          <cell r="B171" t="str">
            <v>PCA, Modification of Electric Service, HMB, THAYNE JARRETT TAN RECATO DY</v>
          </cell>
          <cell r="C171" t="str">
            <v>STREET, UNITY, BETTERLIVING SUBD ANNEX 29/32, PARANAQUE</v>
          </cell>
          <cell r="D171" t="str">
            <v>75940</v>
          </cell>
          <cell r="E171" t="str">
            <v>PARANAQUE</v>
          </cell>
          <cell r="F171" t="str">
            <v>SCHED</v>
          </cell>
          <cell r="G171">
            <v>45646.562893518516</v>
          </cell>
          <cell r="H171">
            <v>45652.364583333336</v>
          </cell>
          <cell r="I171" t="str">
            <v>ME155242</v>
          </cell>
        </row>
        <row r="172">
          <cell r="A172" t="str">
            <v>X24020533373</v>
          </cell>
          <cell r="B172" t="str">
            <v>PCA, New Electric Service, SME, GRUPPO SACHIN &amp; SACHIN CO.</v>
          </cell>
          <cell r="C172" t="str">
            <v>STREET, SAN VICTORES, SEACOM CPD, PARANAQUE</v>
          </cell>
          <cell r="D172" t="str">
            <v>77387</v>
          </cell>
          <cell r="E172" t="str">
            <v>PARANAQUE</v>
          </cell>
          <cell r="F172" t="str">
            <v>FCOMP</v>
          </cell>
          <cell r="G172">
            <v>45668.648449074077</v>
          </cell>
          <cell r="H172">
            <v>45639.395833333336</v>
          </cell>
          <cell r="I172" t="str">
            <v>ME185284</v>
          </cell>
        </row>
        <row r="173">
          <cell r="A173" t="str">
            <v>X24020621621</v>
          </cell>
          <cell r="B173" t="str">
            <v>PCA, Modification of Electric Service, HMB, RHOEY LEE CANLAS DAKIS</v>
          </cell>
          <cell r="C173" t="str">
            <v>STREET, BLOCK 14, LINDENWOOD RESIDENCES, MUNTINLUPA</v>
          </cell>
          <cell r="D173" t="str">
            <v>16002544</v>
          </cell>
          <cell r="E173" t="str">
            <v>PARANAQUE</v>
          </cell>
          <cell r="F173" t="str">
            <v>FCOMP</v>
          </cell>
          <cell r="G173">
            <v>45693.57540509259</v>
          </cell>
          <cell r="H173">
            <v>45673.680555555555</v>
          </cell>
          <cell r="I173" t="str">
            <v>ME155242</v>
          </cell>
        </row>
        <row r="174">
          <cell r="A174" t="str">
            <v>X24020641632</v>
          </cell>
          <cell r="B174" t="str">
            <v>PCA, New Electric Service, HMB, HENRY LAO LIM</v>
          </cell>
          <cell r="C174" t="str">
            <v>STREET, BUKIDNON, MARINA SUBD, PARANAQUE</v>
          </cell>
          <cell r="D174" t="str">
            <v>78182</v>
          </cell>
          <cell r="E174" t="str">
            <v>PARANAQUE</v>
          </cell>
          <cell r="F174" t="str">
            <v>FCOMP</v>
          </cell>
          <cell r="G174">
            <v>45677.539953703701</v>
          </cell>
          <cell r="H174">
            <v>45561.333333333336</v>
          </cell>
          <cell r="I174" t="str">
            <v>ME185284</v>
          </cell>
        </row>
        <row r="175">
          <cell r="A175" t="str">
            <v>X24020649090</v>
          </cell>
          <cell r="B175" t="str">
            <v>PCA, New Electric Service, SME, MICHAEL CHRISTIAN R. PICHEL</v>
          </cell>
          <cell r="C175" t="str">
            <v>STREET, M.L. QUEZON, PUROK 3, TAGUIG CITY</v>
          </cell>
          <cell r="D175" t="str">
            <v>91196</v>
          </cell>
          <cell r="E175" t="str">
            <v>PARANAQUE</v>
          </cell>
          <cell r="F175" t="str">
            <v>FCOMP</v>
          </cell>
          <cell r="G175">
            <v>45669.000694444447</v>
          </cell>
          <cell r="H175">
            <v>45629.364583333336</v>
          </cell>
          <cell r="I175" t="str">
            <v>ME185284</v>
          </cell>
        </row>
        <row r="176">
          <cell r="A176" t="str">
            <v>X24030689569</v>
          </cell>
          <cell r="B176" t="str">
            <v>PCA, New Electric Service, SME, PILIPINAS SHELL PETROLEUM CORPORATION</v>
          </cell>
          <cell r="C176" t="str">
            <v>STREET, SAMPAGUITA, CAMP SAMPAGUITA, MUNTINLUPA</v>
          </cell>
          <cell r="D176" t="str">
            <v>72881</v>
          </cell>
          <cell r="E176" t="str">
            <v>PARANAQUE</v>
          </cell>
          <cell r="F176" t="str">
            <v>FCOMP</v>
          </cell>
          <cell r="G176">
            <v>45714.637013888889</v>
          </cell>
          <cell r="H176">
            <v>45706.541666666664</v>
          </cell>
          <cell r="I176" t="str">
            <v>ME155242</v>
          </cell>
        </row>
        <row r="177">
          <cell r="A177" t="str">
            <v>X24030695765</v>
          </cell>
          <cell r="B177" t="str">
            <v>PCA, New Electric Service, SME, MITHCAH BIBLE BAPTIST CHURCH INC.</v>
          </cell>
          <cell r="C177" t="str">
            <v>STREET, ST. CECILLE, FATIMA SUBD, LAS PINAS CITY</v>
          </cell>
          <cell r="D177" t="str">
            <v>64778</v>
          </cell>
          <cell r="E177" t="str">
            <v>PARANAQUE</v>
          </cell>
          <cell r="F177" t="str">
            <v>FCOMP</v>
          </cell>
          <cell r="G177">
            <v>45681.313472222224</v>
          </cell>
          <cell r="H177">
            <v>45555.427083333336</v>
          </cell>
          <cell r="I177" t="str">
            <v>ME155242</v>
          </cell>
        </row>
        <row r="178">
          <cell r="A178" t="str">
            <v>X24030736106</v>
          </cell>
          <cell r="B178" t="str">
            <v>PCA, New Electric Service, HMB, ALFRED REYES FRANCIA</v>
          </cell>
          <cell r="C178" t="str">
            <v>STREET, BLOCK 29, SOLVIENTO VILLAS PH 3, BACOOR</v>
          </cell>
          <cell r="D178" t="str">
            <v>17630828</v>
          </cell>
          <cell r="E178" t="str">
            <v>PARANAQUE</v>
          </cell>
          <cell r="F178" t="str">
            <v>FCOMP</v>
          </cell>
          <cell r="G178">
            <v>45667.711597222224</v>
          </cell>
          <cell r="H178">
            <v>45551.4375</v>
          </cell>
          <cell r="I178" t="str">
            <v>ME155242</v>
          </cell>
        </row>
        <row r="179">
          <cell r="A179" t="str">
            <v>X24030736254</v>
          </cell>
          <cell r="B179" t="str">
            <v>PCA, New Electric Service, HMB, NEW PACIFIC RESOURCES MANAGEME</v>
          </cell>
          <cell r="C179" t="str">
            <v>STREET, BLOCK 36, SOLVIENTO VILLAS PH 3, BACOOR</v>
          </cell>
          <cell r="D179" t="str">
            <v>17630928</v>
          </cell>
          <cell r="E179" t="str">
            <v>PARANAQUE</v>
          </cell>
          <cell r="F179" t="str">
            <v>FCOMP</v>
          </cell>
          <cell r="G179">
            <v>45667.734502314815</v>
          </cell>
          <cell r="H179">
            <v>45551.4375</v>
          </cell>
          <cell r="I179" t="str">
            <v>ME155242</v>
          </cell>
        </row>
        <row r="180">
          <cell r="A180" t="str">
            <v>X24030740806</v>
          </cell>
          <cell r="B180" t="str">
            <v>PCA, Modification of Electric Service, HMB, REGIDOR HOOD OFRIN</v>
          </cell>
          <cell r="C180" t="str">
            <v>STREET, MAIN, MERVILLE SUBD, PARANAQUE</v>
          </cell>
          <cell r="D180" t="str">
            <v>76599</v>
          </cell>
          <cell r="E180" t="str">
            <v>PARANAQUE</v>
          </cell>
          <cell r="F180" t="str">
            <v>INPRG</v>
          </cell>
          <cell r="G180">
            <v>45743.360254629632</v>
          </cell>
          <cell r="H180">
            <v>45485.414583333331</v>
          </cell>
          <cell r="I180" t="str">
            <v>ME185284</v>
          </cell>
        </row>
        <row r="181">
          <cell r="A181" t="str">
            <v>X24030775968</v>
          </cell>
          <cell r="B181" t="str">
            <v>PCA, Modification of Electric Service, HMB, JOEBETH R DE CASTRO</v>
          </cell>
          <cell r="C181" t="str">
            <v>STREET, SUNFLOWER, PILAR VILL, LAS PINAS CITY</v>
          </cell>
          <cell r="D181" t="str">
            <v>63288</v>
          </cell>
          <cell r="E181" t="str">
            <v>PARANAQUE</v>
          </cell>
          <cell r="F181" t="str">
            <v>SCHED</v>
          </cell>
          <cell r="G181">
            <v>45436.393530092595</v>
          </cell>
          <cell r="H181">
            <v>45436.39166666667</v>
          </cell>
          <cell r="I181" t="str">
            <v>ME155242</v>
          </cell>
        </row>
        <row r="182">
          <cell r="A182" t="str">
            <v>X24030853956</v>
          </cell>
          <cell r="B182" t="str">
            <v>PCA, New Electric Service, SME, MARIFE GARCIA PARCON</v>
          </cell>
          <cell r="C182" t="str">
            <v>STREET, QUIRINO, ZAPOTE, LAS PINAS CITY</v>
          </cell>
          <cell r="D182" t="str">
            <v>64815</v>
          </cell>
          <cell r="E182" t="str">
            <v>PARANAQUE</v>
          </cell>
          <cell r="F182" t="str">
            <v>SCHED</v>
          </cell>
          <cell r="G182">
            <v>45722.64366898148</v>
          </cell>
          <cell r="H182">
            <v>45722.759027777778</v>
          </cell>
          <cell r="I182" t="str">
            <v>ME194579</v>
          </cell>
        </row>
        <row r="183">
          <cell r="A183" t="str">
            <v>X24030854536</v>
          </cell>
          <cell r="B183" t="str">
            <v>PCA, New Electric Service, CBG, DITO TELECOMMUNITY CORPORATION</v>
          </cell>
          <cell r="C183" t="str">
            <v>STREET, ESTEHONOR CPD, ESTEHONOR CPD, MUNTINLUPA</v>
          </cell>
          <cell r="D183" t="str">
            <v>72350</v>
          </cell>
          <cell r="E183" t="str">
            <v>PARANAQUE</v>
          </cell>
          <cell r="F183" t="str">
            <v>SCHED</v>
          </cell>
          <cell r="G183">
            <v>45729.642916666664</v>
          </cell>
          <cell r="H183">
            <v>45733.699305555558</v>
          </cell>
          <cell r="I183" t="str">
            <v>ME166067</v>
          </cell>
        </row>
        <row r="184">
          <cell r="A184" t="str">
            <v>X24030860881</v>
          </cell>
          <cell r="B184" t="str">
            <v>PCA, New Electric Service, CBG, FILIPINAS BENSON INDUSTRIAL AND DEVELOPMENT CORPOR</v>
          </cell>
          <cell r="C184" t="str">
            <v>STREET, RODRIGUEZ, TUNASAN, MUNTINLUPA</v>
          </cell>
          <cell r="D184" t="str">
            <v>74418</v>
          </cell>
          <cell r="E184" t="str">
            <v>PARANAQUE</v>
          </cell>
          <cell r="F184" t="str">
            <v>FCOMP</v>
          </cell>
          <cell r="G184">
            <v>45677.415636574071</v>
          </cell>
          <cell r="H184">
            <v>45673.703472222223</v>
          </cell>
          <cell r="I184" t="str">
            <v>ME155242</v>
          </cell>
        </row>
        <row r="185">
          <cell r="A185" t="str">
            <v>X24030891625</v>
          </cell>
          <cell r="B185" t="str">
            <v>PCA, New Electric Service, CBG, DITO TELECOMMUNITY CORPORATION</v>
          </cell>
          <cell r="C185" t="str">
            <v>STREET, AMPARO, POBLACION, MUNTINLUPA</v>
          </cell>
          <cell r="D185" t="str">
            <v>73012</v>
          </cell>
          <cell r="E185" t="str">
            <v>PARANAQUE</v>
          </cell>
          <cell r="F185" t="str">
            <v>FCOMP</v>
          </cell>
          <cell r="G185">
            <v>45688.286863425928</v>
          </cell>
          <cell r="H185">
            <v>45630.404861111114</v>
          </cell>
          <cell r="I185" t="str">
            <v>ME155242</v>
          </cell>
        </row>
        <row r="186">
          <cell r="A186" t="str">
            <v>X24041001641</v>
          </cell>
          <cell r="B186" t="str">
            <v>PCA, New Electric Service, HMB, FILINVEST LAND, INC.</v>
          </cell>
          <cell r="C186" t="str">
            <v>STREET, BLOCK 2, PRINCETON HEIGHTS PH 3, BACOOR</v>
          </cell>
          <cell r="D186" t="str">
            <v>17256116</v>
          </cell>
          <cell r="E186" t="str">
            <v>PARANAQUE</v>
          </cell>
          <cell r="F186" t="str">
            <v>SCHED</v>
          </cell>
          <cell r="G186">
            <v>45638.451342592591</v>
          </cell>
          <cell r="H186">
            <v>45643.416666666664</v>
          </cell>
          <cell r="I186" t="str">
            <v>ME155242</v>
          </cell>
        </row>
        <row r="187">
          <cell r="A187" t="str">
            <v>X24041002125</v>
          </cell>
          <cell r="B187" t="str">
            <v>PCA, Termination of Electric Service, HMB, CDC REALTY INC.</v>
          </cell>
          <cell r="C187" t="str">
            <v>STREET, STA. ANA, SUN VALLEY SUBD, PARANAQUE</v>
          </cell>
          <cell r="D187" t="str">
            <v>78112</v>
          </cell>
          <cell r="E187" t="str">
            <v>PARANAQUE</v>
          </cell>
          <cell r="F187" t="str">
            <v>SCHED</v>
          </cell>
          <cell r="G187">
            <v>45733.412430555552</v>
          </cell>
          <cell r="H187">
            <v>45734.675694444442</v>
          </cell>
          <cell r="I187" t="str">
            <v>ME185284</v>
          </cell>
        </row>
        <row r="188">
          <cell r="A188" t="str">
            <v>X24041002556</v>
          </cell>
          <cell r="B188" t="str">
            <v>PCA, New Electric Service, HMB, STA. LUCIA REALTY &amp; DEVELOPMENT, INC.</v>
          </cell>
          <cell r="C188" t="str">
            <v>STREET, BLOCK 3 ST, VISTA VERDE SOUTH EXEC PH4, BACOOR</v>
          </cell>
          <cell r="D188" t="str">
            <v>17953</v>
          </cell>
          <cell r="E188" t="str">
            <v>PARANAQUE</v>
          </cell>
          <cell r="F188" t="str">
            <v>SCHED</v>
          </cell>
          <cell r="G188">
            <v>45649.527430555558</v>
          </cell>
          <cell r="H188">
            <v>45653.545138888891</v>
          </cell>
          <cell r="I188" t="str">
            <v>ME185284</v>
          </cell>
        </row>
        <row r="189">
          <cell r="A189" t="str">
            <v>X24041057959</v>
          </cell>
          <cell r="B189" t="str">
            <v>PCA, New Electric Service, CBG, GLOBE TELECOM, INC.</v>
          </cell>
          <cell r="C189" t="str">
            <v>STREET, WEST SERVICE, MARCELO GREEN VILL, PARANAQUE</v>
          </cell>
          <cell r="D189" t="str">
            <v>76354</v>
          </cell>
          <cell r="E189" t="str">
            <v>PARANAQUE</v>
          </cell>
          <cell r="F189" t="str">
            <v>SCHED</v>
          </cell>
          <cell r="G189">
            <v>45729.641828703701</v>
          </cell>
          <cell r="H189">
            <v>45733.681944444441</v>
          </cell>
          <cell r="I189" t="str">
            <v>ME155242</v>
          </cell>
        </row>
        <row r="190">
          <cell r="A190" t="str">
            <v>X24041115574</v>
          </cell>
          <cell r="B190" t="str">
            <v>PCA, New Electric Service, CBG, DITO TELECOMMUNITY CORPORATION</v>
          </cell>
          <cell r="C190" t="str">
            <v>STREET, GULAMAN, STO. NINO, TAGUIG CITY</v>
          </cell>
          <cell r="D190" t="str">
            <v>93026</v>
          </cell>
          <cell r="E190" t="str">
            <v>PARANAQUE</v>
          </cell>
          <cell r="F190" t="str">
            <v>CLOSED-CAN</v>
          </cell>
          <cell r="G190">
            <v>45694.877557870372</v>
          </cell>
          <cell r="H190">
            <v>45544.551388888889</v>
          </cell>
          <cell r="I190" t="str">
            <v>ME185284</v>
          </cell>
        </row>
        <row r="191">
          <cell r="A191" t="str">
            <v>X24041122874</v>
          </cell>
          <cell r="B191" t="str">
            <v>PCA, Modification of Electric Service, SME, ST.MICHAEL'S INST. OF BACOOR</v>
          </cell>
          <cell r="C191" t="str">
            <v>STREET, GEN. EVANGELISTA, TABING DAGAT, BACOOR</v>
          </cell>
          <cell r="D191" t="str">
            <v>20310</v>
          </cell>
          <cell r="E191" t="str">
            <v>PARANAQUE</v>
          </cell>
          <cell r="F191" t="str">
            <v>SCHED</v>
          </cell>
          <cell r="G191">
            <v>45671.624965277777</v>
          </cell>
          <cell r="H191">
            <v>45673.711111111108</v>
          </cell>
          <cell r="I191" t="str">
            <v>ME185284</v>
          </cell>
        </row>
        <row r="192">
          <cell r="A192" t="str">
            <v>X24041165850</v>
          </cell>
          <cell r="B192" t="str">
            <v>PCA, New Electric Service, CBG, DITO TELECOMMUNITY CORPORATION</v>
          </cell>
          <cell r="C192" t="str">
            <v>STREET, ARANDIA, TUNASAN, MUNTINLUPA</v>
          </cell>
          <cell r="D192" t="str">
            <v>74407</v>
          </cell>
          <cell r="E192" t="str">
            <v>PARANAQUE</v>
          </cell>
          <cell r="F192" t="str">
            <v>FCOMP</v>
          </cell>
          <cell r="G192">
            <v>45695.435694444444</v>
          </cell>
          <cell r="H192">
            <v>45679.4375</v>
          </cell>
          <cell r="I192" t="str">
            <v>ME166067</v>
          </cell>
        </row>
        <row r="193">
          <cell r="A193" t="str">
            <v>X24041166209</v>
          </cell>
          <cell r="B193" t="str">
            <v>PCA, New Electric Service, HMB, RENAISSANCE VILLAGE HOMEOWNERS ASSOCIATION INC.</v>
          </cell>
          <cell r="C193" t="str">
            <v>STREET, BLOCK 3, RENAISSANCE VILLAGE, LAS PINAS CITY</v>
          </cell>
          <cell r="D193" t="str">
            <v>17657530</v>
          </cell>
          <cell r="E193" t="str">
            <v>PARANAQUE</v>
          </cell>
          <cell r="F193" t="str">
            <v>SCHED</v>
          </cell>
          <cell r="G193">
            <v>45722.687858796293</v>
          </cell>
          <cell r="H193">
            <v>45722.693749999999</v>
          </cell>
          <cell r="I193" t="str">
            <v>ME166067</v>
          </cell>
        </row>
        <row r="194">
          <cell r="A194" t="str">
            <v>X24041183168</v>
          </cell>
          <cell r="B194" t="str">
            <v>PCA, Modification of Electric Service, HMB, ZENAIDA IGNACIO REYES</v>
          </cell>
          <cell r="C194" t="str">
            <v>STREET, DIMASALANG, HAGONOY, TAGUIG CITY</v>
          </cell>
          <cell r="D194" t="str">
            <v>91270</v>
          </cell>
          <cell r="E194" t="str">
            <v>PARANAQUE</v>
          </cell>
          <cell r="F194" t="str">
            <v>FCOMP</v>
          </cell>
          <cell r="G194">
            <v>45733.344583333332</v>
          </cell>
          <cell r="H194">
            <v>45503.601388888892</v>
          </cell>
          <cell r="I194" t="str">
            <v>ME185284</v>
          </cell>
        </row>
        <row r="195">
          <cell r="A195" t="str">
            <v>X24041187305</v>
          </cell>
          <cell r="B195" t="str">
            <v>PCA, New Electric Service, SME, CATHEDRAL OF THE KING, INC. (CORPORATION SOLE)</v>
          </cell>
          <cell r="C195" t="str">
            <v>STREET, SAMPAGUITA, MARIMAR VILLAGE, PARANAQUE</v>
          </cell>
          <cell r="D195" t="str">
            <v>78004</v>
          </cell>
          <cell r="E195" t="str">
            <v>PARANAQUE</v>
          </cell>
          <cell r="F195" t="str">
            <v>SCHED</v>
          </cell>
          <cell r="G195">
            <v>45660.532187500001</v>
          </cell>
          <cell r="H195">
            <v>45660.529166666667</v>
          </cell>
          <cell r="I195" t="str">
            <v>ME166067</v>
          </cell>
        </row>
        <row r="196">
          <cell r="A196" t="str">
            <v>X24041187690</v>
          </cell>
          <cell r="B196" t="str">
            <v>PCA, Modification of Electric Service, HMB, CITY GOV'T OF LAS PINAS,</v>
          </cell>
          <cell r="C196" t="str">
            <v>STREET, S. TOLENTINO, GATCHALIAN SUBD, LAS PINAS CITY</v>
          </cell>
          <cell r="D196" t="str">
            <v>62702</v>
          </cell>
          <cell r="E196" t="str">
            <v>PARANAQUE</v>
          </cell>
          <cell r="F196" t="str">
            <v>SCHED</v>
          </cell>
          <cell r="G196">
            <v>45688.555092592593</v>
          </cell>
          <cell r="H196">
            <v>45688.584027777775</v>
          </cell>
          <cell r="I196" t="str">
            <v>ME185284</v>
          </cell>
        </row>
        <row r="197">
          <cell r="A197" t="str">
            <v>X24041261990</v>
          </cell>
          <cell r="B197" t="str">
            <v>PCA, New Electric Service, CBG, DITO TELECOMMUNITY CORPORATION</v>
          </cell>
          <cell r="C197" t="str">
            <v>STREET, NATIONAL, TUNASAN, MUNTINLUPA</v>
          </cell>
          <cell r="D197" t="str">
            <v>74416</v>
          </cell>
          <cell r="E197" t="str">
            <v>PARANAQUE</v>
          </cell>
          <cell r="F197" t="str">
            <v>FCOMP</v>
          </cell>
          <cell r="G197">
            <v>45734.472986111112</v>
          </cell>
          <cell r="H197">
            <v>45707.404166666667</v>
          </cell>
          <cell r="I197" t="str">
            <v>ME166067</v>
          </cell>
        </row>
        <row r="198">
          <cell r="A198" t="str">
            <v>X24041266844</v>
          </cell>
          <cell r="B198" t="str">
            <v>PCA, New Electric Service, CBG, AYALA LAND, INC.,</v>
          </cell>
          <cell r="C198" t="str">
            <v>STREET, LANGKA, FTI CPD, TAGUIG CITY</v>
          </cell>
          <cell r="D198" t="str">
            <v>92805</v>
          </cell>
          <cell r="E198" t="str">
            <v>PARANAQUE</v>
          </cell>
          <cell r="F198" t="str">
            <v>FCOMP</v>
          </cell>
          <cell r="G198">
            <v>45742.32099537037</v>
          </cell>
          <cell r="H198">
            <v>45719.598611111112</v>
          </cell>
          <cell r="I198" t="str">
            <v>ME185284</v>
          </cell>
        </row>
        <row r="199">
          <cell r="A199" t="str">
            <v>X24041299813</v>
          </cell>
          <cell r="B199" t="str">
            <v>PCA, Modification of Electric Service, HMB, MAXWELL PATRICK JOVEN ALVAREZ</v>
          </cell>
          <cell r="C199" t="str">
            <v>STREET, ST. PETER, SAN JOSE SUBD, MUNTINLUPA</v>
          </cell>
          <cell r="D199" t="str">
            <v>72831</v>
          </cell>
          <cell r="E199" t="str">
            <v>PARANAQUE</v>
          </cell>
          <cell r="F199" t="str">
            <v>SCHED</v>
          </cell>
          <cell r="G199">
            <v>45744.451851851853</v>
          </cell>
          <cell r="H199">
            <v>45751.645138888889</v>
          </cell>
          <cell r="I199" t="str">
            <v>ME185284</v>
          </cell>
        </row>
        <row r="200">
          <cell r="A200" t="str">
            <v>X24041323481</v>
          </cell>
          <cell r="B200" t="str">
            <v>PCA, Modification of Electric Service, CBG, ASEANA BUSINESS PARK ESTATE ASSOCIATION, INC.</v>
          </cell>
          <cell r="C200" t="str">
            <v>STREET, PRES. DIOSDADO MACAPAGAL, ASEANA BUSINESS PARK, PARANAQUE</v>
          </cell>
          <cell r="D200" t="str">
            <v>75127</v>
          </cell>
          <cell r="E200" t="str">
            <v>PARANAQUE</v>
          </cell>
          <cell r="F200" t="str">
            <v>SCHED</v>
          </cell>
          <cell r="G200">
            <v>45601.518067129633</v>
          </cell>
          <cell r="H200">
            <v>45601.354166666664</v>
          </cell>
          <cell r="I200" t="str">
            <v>ME185284</v>
          </cell>
        </row>
        <row r="201">
          <cell r="A201" t="str">
            <v>X24041458580</v>
          </cell>
          <cell r="B201" t="str">
            <v>PCA, New Electric Service, SME, PATIO ALGADA EVENTS PLACE AND LEISURE INC.</v>
          </cell>
          <cell r="C201" t="str">
            <v>STREET, DE CASTRO, DE CASTRO I SUBD, BACOOR</v>
          </cell>
          <cell r="D201" t="str">
            <v>16792</v>
          </cell>
          <cell r="E201" t="str">
            <v>PARANAQUE</v>
          </cell>
          <cell r="F201" t="str">
            <v>FCOMP</v>
          </cell>
          <cell r="G201">
            <v>45706.636076388888</v>
          </cell>
          <cell r="H201">
            <v>45596.395833333336</v>
          </cell>
          <cell r="I201" t="str">
            <v>ME185284</v>
          </cell>
        </row>
        <row r="202">
          <cell r="A202" t="str">
            <v>X24051519918</v>
          </cell>
          <cell r="B202" t="str">
            <v>PCA, New Electric Service, HMB, STO. CRISTO PROPERTIES &amp; HOLDINGS CORP.</v>
          </cell>
          <cell r="C202" t="str">
            <v>STREET, PASCUAL, PARANAQUE GREEN HEIGHTS, PARANAQUE</v>
          </cell>
          <cell r="D202" t="str">
            <v>77557</v>
          </cell>
          <cell r="E202" t="str">
            <v>PARANAQUE</v>
          </cell>
          <cell r="F202" t="str">
            <v>PCAN3</v>
          </cell>
          <cell r="G202">
            <v>45674.378958333335</v>
          </cell>
          <cell r="H202">
            <v>45517.379861111112</v>
          </cell>
          <cell r="I202" t="str">
            <v>ME166067</v>
          </cell>
        </row>
        <row r="203">
          <cell r="A203" t="str">
            <v>X24051525654</v>
          </cell>
          <cell r="B203" t="str">
            <v>PCA, Modification of Electric Service, HMB, FERHN RUBIA BALATUCAN</v>
          </cell>
          <cell r="C203" t="str">
            <v>STREET, GARNET, PARANAQUE GREEN HEIGHTS, PARANAQUE</v>
          </cell>
          <cell r="D203" t="str">
            <v>77548</v>
          </cell>
          <cell r="E203" t="str">
            <v>PARANAQUE</v>
          </cell>
          <cell r="F203" t="str">
            <v>SCHED</v>
          </cell>
          <cell r="G203">
            <v>45505.601863425924</v>
          </cell>
          <cell r="H203">
            <v>45505.599305555559</v>
          </cell>
          <cell r="I203" t="str">
            <v>ME166067</v>
          </cell>
        </row>
        <row r="204">
          <cell r="A204" t="str">
            <v>X24051525908</v>
          </cell>
          <cell r="B204" t="str">
            <v>PCA, Modification of Electric Service, HMB, SUZIE CHEN TAN</v>
          </cell>
          <cell r="C204" t="str">
            <v>STREET, HEMLOCK, MGV PHASE 1, PARANAQUE</v>
          </cell>
          <cell r="D204" t="str">
            <v>76385</v>
          </cell>
          <cell r="E204" t="str">
            <v>PARANAQUE</v>
          </cell>
          <cell r="F204" t="str">
            <v>SCHED</v>
          </cell>
          <cell r="G204">
            <v>45512.415671296294</v>
          </cell>
          <cell r="H204">
            <v>45512.407638888886</v>
          </cell>
          <cell r="I204" t="str">
            <v>ME185284</v>
          </cell>
        </row>
        <row r="205">
          <cell r="A205" t="str">
            <v>X24051549285</v>
          </cell>
          <cell r="B205" t="str">
            <v>PCA, New Electric Service, CBG, DITO TELECOMMUNITY CORPORATION</v>
          </cell>
          <cell r="C205" t="str">
            <v>STREET, BLOCK 1, AGUAHAN VILLAGE, TAGUIG CITY</v>
          </cell>
          <cell r="D205" t="str">
            <v>91095</v>
          </cell>
          <cell r="E205" t="str">
            <v>PARANAQUE</v>
          </cell>
          <cell r="F205" t="str">
            <v>PCAN3</v>
          </cell>
          <cell r="G205">
            <v>45597.342812499999</v>
          </cell>
          <cell r="H205">
            <v>45448.573611111111</v>
          </cell>
          <cell r="I205" t="str">
            <v>ME155242</v>
          </cell>
        </row>
        <row r="206">
          <cell r="A206" t="str">
            <v>X24051588113</v>
          </cell>
          <cell r="B206" t="str">
            <v>PCA, Modification of Electric Service, CBG, ASEANA BUSINESS PARK ESTATE ASSOCIATION, INC.</v>
          </cell>
          <cell r="C206" t="str">
            <v>STREET, ASEANA, ASEANA BUSINESS PARK, PARANAQUE</v>
          </cell>
          <cell r="D206" t="str">
            <v>75126</v>
          </cell>
          <cell r="E206" t="str">
            <v>PARANAQUE</v>
          </cell>
          <cell r="F206" t="str">
            <v>SCHED</v>
          </cell>
          <cell r="G206">
            <v>45601.519305555557</v>
          </cell>
          <cell r="H206">
            <v>45601.354166666664</v>
          </cell>
          <cell r="I206" t="str">
            <v>ME185284</v>
          </cell>
        </row>
        <row r="207">
          <cell r="A207" t="str">
            <v>X24051688503</v>
          </cell>
          <cell r="B207" t="str">
            <v>PCA, Modification of Electric Service, HMB, ALEXANDER EVAN O. UY</v>
          </cell>
          <cell r="C207" t="str">
            <v>STREET, JOHN, MULTINATIONAL VILL, PARANAQUE</v>
          </cell>
          <cell r="D207" t="str">
            <v>76798</v>
          </cell>
          <cell r="E207" t="str">
            <v>PARANAQUE</v>
          </cell>
          <cell r="F207" t="str">
            <v>SCHED</v>
          </cell>
          <cell r="G207">
            <v>45593.619108796294</v>
          </cell>
          <cell r="H207">
            <v>45596.333333333336</v>
          </cell>
          <cell r="I207" t="str">
            <v>ME155242</v>
          </cell>
        </row>
        <row r="208">
          <cell r="A208" t="str">
            <v>X24051726352</v>
          </cell>
          <cell r="B208" t="str">
            <v>PCA, Modification of Electric Service, HMB, ELIZA BLANCHE SANTOS ALAY-AY</v>
          </cell>
          <cell r="C208" t="str">
            <v>STREET, JOHN GLEN JR., MOONWALK, PARANAQUE</v>
          </cell>
          <cell r="D208" t="str">
            <v>76748</v>
          </cell>
          <cell r="E208" t="str">
            <v>PARANAQUE</v>
          </cell>
          <cell r="F208" t="str">
            <v>SCHED</v>
          </cell>
          <cell r="G208">
            <v>45602.396979166668</v>
          </cell>
          <cell r="H208">
            <v>45602.447916666664</v>
          </cell>
          <cell r="I208" t="str">
            <v>ME155242</v>
          </cell>
        </row>
        <row r="209">
          <cell r="A209" t="str">
            <v>X24051728852</v>
          </cell>
          <cell r="B209" t="str">
            <v>PCA, Modification of Electric Service, HMB, JENNY ROMANO BRAMBILLA</v>
          </cell>
          <cell r="C209" t="str">
            <v>STREET, STAFFORD, MOONWALK, PARANAQUE</v>
          </cell>
          <cell r="D209" t="str">
            <v>76764</v>
          </cell>
          <cell r="E209" t="str">
            <v>PARANAQUE</v>
          </cell>
          <cell r="F209" t="str">
            <v>SCHED</v>
          </cell>
          <cell r="G209">
            <v>45593.622233796297</v>
          </cell>
          <cell r="H209">
            <v>45596.458333333336</v>
          </cell>
          <cell r="I209" t="str">
            <v>ME155242</v>
          </cell>
        </row>
        <row r="210">
          <cell r="A210" t="str">
            <v>X24051731952</v>
          </cell>
          <cell r="B210" t="str">
            <v>PCA, New Electric Service, HMB, TARASH B. BERMUDEZ</v>
          </cell>
          <cell r="C210" t="str">
            <v>STREET, MONIQUE, VILLA CRISTINA SUBD, LAS PINAS CITY</v>
          </cell>
          <cell r="D210" t="str">
            <v>63138</v>
          </cell>
          <cell r="E210" t="str">
            <v>PARANAQUE</v>
          </cell>
          <cell r="F210" t="str">
            <v>SCHED</v>
          </cell>
          <cell r="G210">
            <v>45631.422233796293</v>
          </cell>
          <cell r="H210">
            <v>45635.427083333336</v>
          </cell>
          <cell r="I210" t="str">
            <v>ME185284</v>
          </cell>
        </row>
        <row r="211">
          <cell r="A211" t="str">
            <v>X24051781334</v>
          </cell>
          <cell r="B211" t="str">
            <v>PCA, Modification of Electric Service, HMB, MARIA NATALIA ORIG PALMA</v>
          </cell>
          <cell r="C211" t="str">
            <v>STREET, BELMONT, ALABANG 400 VILLAGE, MUNTINLUPA</v>
          </cell>
          <cell r="D211" t="str">
            <v>72736</v>
          </cell>
          <cell r="E211" t="str">
            <v>PARANAQUE</v>
          </cell>
          <cell r="F211" t="str">
            <v>SCHED</v>
          </cell>
          <cell r="G211">
            <v>45625.531504629631</v>
          </cell>
          <cell r="H211">
            <v>45625.4375</v>
          </cell>
          <cell r="I211" t="str">
            <v>ME185284</v>
          </cell>
        </row>
        <row r="212">
          <cell r="A212" t="str">
            <v>X24051787930</v>
          </cell>
          <cell r="B212" t="str">
            <v>PCA, New Electric Service, CBG, DITO TELECOMMUNITY CORPORATION</v>
          </cell>
          <cell r="C212" t="str">
            <v>STREET, BLOCK 46, PINAGSAMA PH 2 VILL, TAGUIG CITY</v>
          </cell>
          <cell r="D212" t="str">
            <v>92900</v>
          </cell>
          <cell r="E212" t="str">
            <v>PARANAQUE</v>
          </cell>
          <cell r="F212" t="str">
            <v>SCHED</v>
          </cell>
          <cell r="G212">
            <v>45613.759791666664</v>
          </cell>
          <cell r="H212">
            <v>45617.427083333336</v>
          </cell>
          <cell r="I212" t="str">
            <v>ME166067</v>
          </cell>
        </row>
        <row r="213">
          <cell r="A213" t="str">
            <v>X24051797098</v>
          </cell>
          <cell r="B213" t="str">
            <v>PCA, Modification of Electric Service, HMB, ERIC CHAN KE</v>
          </cell>
          <cell r="C213" t="str">
            <v>STREET, MASBATE LOOP, MARINA SUBD, PARANAQUE</v>
          </cell>
          <cell r="D213" t="str">
            <v>78190</v>
          </cell>
          <cell r="E213" t="str">
            <v>PARANAQUE</v>
          </cell>
          <cell r="F213" t="str">
            <v>SCHED</v>
          </cell>
          <cell r="G213">
            <v>45642.590532407405</v>
          </cell>
          <cell r="H213">
            <v>45646.447916666664</v>
          </cell>
          <cell r="I213" t="str">
            <v>ME155242</v>
          </cell>
        </row>
        <row r="214">
          <cell r="A214" t="str">
            <v>X24051821123</v>
          </cell>
          <cell r="B214" t="str">
            <v>PCA, New Electric Service, HMB, CITY GOVERNMENT OF TAGUIG</v>
          </cell>
          <cell r="C214" t="str">
            <v>STREET, C-5, WESTERN BICUTAN, TAGUIG CITY</v>
          </cell>
          <cell r="D214" t="str">
            <v>93068</v>
          </cell>
          <cell r="E214" t="str">
            <v>PARANAQUE</v>
          </cell>
          <cell r="F214" t="str">
            <v>SCHED</v>
          </cell>
          <cell r="G214">
            <v>45607.607604166667</v>
          </cell>
          <cell r="H214">
            <v>45607.34375</v>
          </cell>
          <cell r="I214" t="str">
            <v>ME184184</v>
          </cell>
        </row>
        <row r="215">
          <cell r="A215" t="str">
            <v>X24051821503</v>
          </cell>
          <cell r="B215" t="str">
            <v>PCA, Modification of Electric Service, HMB, CITY GOVERNMENT OF TAGUIG</v>
          </cell>
          <cell r="C215" t="str">
            <v>STREET, SOUTH DAANG HARI, PUROK 10, TAGUIG CITY</v>
          </cell>
          <cell r="D215" t="str">
            <v>91006</v>
          </cell>
          <cell r="E215" t="str">
            <v>PARANAQUE</v>
          </cell>
          <cell r="F215" t="str">
            <v>SCHED</v>
          </cell>
          <cell r="G215">
            <v>45471.592361111114</v>
          </cell>
          <cell r="H215">
            <v>45471.591666666667</v>
          </cell>
          <cell r="I215" t="str">
            <v>ME155242</v>
          </cell>
        </row>
        <row r="216">
          <cell r="A216" t="str">
            <v>X24051828444</v>
          </cell>
          <cell r="B216" t="str">
            <v>PCA, New Electric Service, CBG, DITO TELECOMMUNITY CORPORATION</v>
          </cell>
          <cell r="C216" t="str">
            <v>STREET, STA. MONICA, DON GALO, PARANAQUE</v>
          </cell>
          <cell r="D216" t="str">
            <v>76226</v>
          </cell>
          <cell r="E216" t="str">
            <v>PARANAQUE</v>
          </cell>
          <cell r="F216" t="str">
            <v>PCAN3</v>
          </cell>
          <cell r="G216">
            <v>45736.30741898148</v>
          </cell>
          <cell r="H216">
            <v>45569.322916666664</v>
          </cell>
          <cell r="I216" t="str">
            <v>ME155242</v>
          </cell>
        </row>
        <row r="217">
          <cell r="A217" t="str">
            <v>X24051834109</v>
          </cell>
          <cell r="B217" t="str">
            <v>PCA, New Electric Service, SME, MOBILITY GROUP CORP.</v>
          </cell>
          <cell r="C217" t="str">
            <v>STREET, MOLINO-PALIPARAN, MOLINO IV, BACOOR</v>
          </cell>
          <cell r="D217" t="str">
            <v>17330208</v>
          </cell>
          <cell r="E217" t="str">
            <v>PARANAQUE</v>
          </cell>
          <cell r="F217" t="str">
            <v>SCHED</v>
          </cell>
          <cell r="G217">
            <v>45741.617013888892</v>
          </cell>
          <cell r="H217">
            <v>45744.40902777778</v>
          </cell>
          <cell r="I217" t="str">
            <v>ME155242</v>
          </cell>
        </row>
        <row r="218">
          <cell r="A218" t="str">
            <v>X24051847714</v>
          </cell>
          <cell r="B218" t="str">
            <v>PCA, New Electric Service, CBG, DITO TELECOMMUNITY CORPORATION</v>
          </cell>
          <cell r="C218" t="str">
            <v>STREET, BLOCK 5, ENLISTED PERSONNEL VIL 2, TAGUIG CITY</v>
          </cell>
          <cell r="D218" t="str">
            <v>92777</v>
          </cell>
          <cell r="E218" t="str">
            <v>PARANAQUE</v>
          </cell>
          <cell r="F218" t="str">
            <v>DPRG-PCR</v>
          </cell>
          <cell r="G218">
            <v>45744.481932870367</v>
          </cell>
          <cell r="H218">
            <v>45622.34375</v>
          </cell>
          <cell r="I218" t="str">
            <v>ME185284</v>
          </cell>
        </row>
        <row r="219">
          <cell r="A219" t="str">
            <v>X24051849062</v>
          </cell>
          <cell r="B219" t="str">
            <v>PCA, New Electric Service, CBG, DITO TELECOMMUNITY CORPORATION</v>
          </cell>
          <cell r="C219" t="str">
            <v>STREET, DONA SOLEDAD EXTN, BETTER LIVING SUBD, PARANAQUE</v>
          </cell>
          <cell r="D219" t="str">
            <v>10000100</v>
          </cell>
          <cell r="E219" t="str">
            <v>PARANAQUE</v>
          </cell>
          <cell r="F219" t="str">
            <v>SCHED</v>
          </cell>
          <cell r="G219">
            <v>45700.411006944443</v>
          </cell>
          <cell r="H219">
            <v>45707.364583333336</v>
          </cell>
          <cell r="I219" t="str">
            <v>ME185284</v>
          </cell>
        </row>
        <row r="220">
          <cell r="A220" t="str">
            <v>X24051926078</v>
          </cell>
          <cell r="B220" t="str">
            <v>PCA, New Electric Service, CBG, DITO TELECOMMUNITY CORPORATION</v>
          </cell>
          <cell r="C220" t="str">
            <v>STREET, CHAMPACA, STO. NINO, TAGUIG CITY</v>
          </cell>
          <cell r="D220" t="str">
            <v>93015</v>
          </cell>
          <cell r="E220" t="str">
            <v>PARANAQUE</v>
          </cell>
          <cell r="F220" t="str">
            <v>CLOSED-CAN</v>
          </cell>
          <cell r="G220">
            <v>45710.878518518519</v>
          </cell>
          <cell r="H220">
            <v>45499.550694444442</v>
          </cell>
          <cell r="I220" t="str">
            <v>ME185284</v>
          </cell>
        </row>
        <row r="221">
          <cell r="A221" t="str">
            <v>X24051932778</v>
          </cell>
          <cell r="B221" t="str">
            <v>PCA, New Electric Service, SME, KEN VANN JOSPEH K REYES</v>
          </cell>
          <cell r="C221" t="str">
            <v>STREET, ALABANG-ZAPOTE, TALON I, LAS PINAS CITY</v>
          </cell>
          <cell r="D221" t="str">
            <v>63944</v>
          </cell>
          <cell r="E221" t="str">
            <v>PARANAQUE</v>
          </cell>
          <cell r="F221" t="str">
            <v>FCOMP</v>
          </cell>
          <cell r="G221">
            <v>45724.644837962966</v>
          </cell>
          <cell r="H221">
            <v>45531.447916666664</v>
          </cell>
          <cell r="I221" t="str">
            <v>ME155242</v>
          </cell>
        </row>
        <row r="222">
          <cell r="A222" t="str">
            <v>X24051975891</v>
          </cell>
          <cell r="B222" t="str">
            <v>PCA, New Electric Service, SME, FANG LIN OASIS CORPORATION</v>
          </cell>
          <cell r="C222" t="str">
            <v>STREET, QUIRINO, TAMBO, PARANAQUE</v>
          </cell>
          <cell r="D222" t="str">
            <v>78242</v>
          </cell>
          <cell r="E222" t="str">
            <v>PARANAQUE</v>
          </cell>
          <cell r="F222" t="str">
            <v>FCOMP</v>
          </cell>
          <cell r="G222">
            <v>45694.389085648145</v>
          </cell>
          <cell r="H222">
            <v>45646.447916666664</v>
          </cell>
          <cell r="I222" t="str">
            <v>ME155242</v>
          </cell>
        </row>
        <row r="223">
          <cell r="A223" t="str">
            <v>X24052000269</v>
          </cell>
          <cell r="B223" t="str">
            <v>PCA, New Electric Service, HMB, CITY GOVERNMENT OF TAGUIG</v>
          </cell>
          <cell r="C223" t="str">
            <v>STREET, MAULING CREEK, PUROK 6D, TAGUIG CITY</v>
          </cell>
          <cell r="D223" t="str">
            <v>17669230</v>
          </cell>
          <cell r="E223" t="str">
            <v>PARANAQUE</v>
          </cell>
          <cell r="F223" t="str">
            <v>SCHED</v>
          </cell>
          <cell r="G223">
            <v>45541.523495370369</v>
          </cell>
          <cell r="H223">
            <v>45541.522916666669</v>
          </cell>
          <cell r="I223" t="str">
            <v>ME155242</v>
          </cell>
        </row>
        <row r="224">
          <cell r="A224" t="str">
            <v>X24052000319</v>
          </cell>
          <cell r="B224" t="str">
            <v>PCA, New Electric Service, HMB, CITY GOVERNMENT OF TAGUIG</v>
          </cell>
          <cell r="C224" t="str">
            <v>STREET, MAULING CREEK, PUROK 6D, TAGUIG CITY</v>
          </cell>
          <cell r="D224" t="str">
            <v>17669230</v>
          </cell>
          <cell r="E224" t="str">
            <v>PARANAQUE</v>
          </cell>
          <cell r="F224" t="str">
            <v>FCOMP</v>
          </cell>
          <cell r="G224">
            <v>45721.331990740742</v>
          </cell>
          <cell r="H224">
            <v>45541.520138888889</v>
          </cell>
          <cell r="I224" t="str">
            <v>ME155242</v>
          </cell>
        </row>
        <row r="225">
          <cell r="A225" t="str">
            <v>X24052001012</v>
          </cell>
          <cell r="B225" t="str">
            <v>PCA, New Electric Service, HMB, VILLA LIGHT NEIGHBORHOOD ASSOCIATION INC.</v>
          </cell>
          <cell r="C225" t="str">
            <v>STREET, BLOCK 10, VILLA LIGHT SUBD, TAGUIG CITY</v>
          </cell>
          <cell r="D225" t="str">
            <v>17444128</v>
          </cell>
          <cell r="E225" t="str">
            <v>PARANAQUE</v>
          </cell>
          <cell r="F225" t="str">
            <v>CLOSED-CAN</v>
          </cell>
          <cell r="G225">
            <v>45737.876898148148</v>
          </cell>
          <cell r="H225">
            <v>45835</v>
          </cell>
          <cell r="I225" t="str">
            <v>ME185284</v>
          </cell>
        </row>
        <row r="226">
          <cell r="A226" t="str">
            <v>X24062083547</v>
          </cell>
          <cell r="B226" t="str">
            <v>PCA, New Electric Service, CBG, DITO TELECOMMUNITY CORPORATION</v>
          </cell>
          <cell r="C226" t="str">
            <v>STREET, M.L. QUEZON, PUROK 3, TAGUIG CITY</v>
          </cell>
          <cell r="D226" t="str">
            <v>91196</v>
          </cell>
          <cell r="E226" t="str">
            <v>PARANAQUE</v>
          </cell>
          <cell r="F226" t="str">
            <v>DPRG-RDR</v>
          </cell>
          <cell r="G226">
            <v>45737.637499999997</v>
          </cell>
          <cell r="H226">
            <v>45623.40625</v>
          </cell>
          <cell r="I226" t="str">
            <v>ME166067</v>
          </cell>
        </row>
        <row r="227">
          <cell r="A227" t="str">
            <v>X24062084382</v>
          </cell>
          <cell r="B227" t="str">
            <v>PCA, New Electric Service, CBG, AMAIA LAND CORP.</v>
          </cell>
          <cell r="C227" t="str">
            <v>STREET, ISABELA, AMAIA STEPS SUCAT, PARANAQUE</v>
          </cell>
          <cell r="D227" t="str">
            <v>17131214</v>
          </cell>
          <cell r="E227" t="str">
            <v>PARANAQUE</v>
          </cell>
          <cell r="F227" t="str">
            <v>FCOMP</v>
          </cell>
          <cell r="G227">
            <v>45688.323460648149</v>
          </cell>
          <cell r="H227">
            <v>45617.375</v>
          </cell>
          <cell r="I227" t="str">
            <v>ME155242</v>
          </cell>
        </row>
        <row r="228">
          <cell r="A228" t="str">
            <v>X24062101038</v>
          </cell>
          <cell r="B228" t="str">
            <v>PCA, New Electric Service, CBG, GLOBE TELECOM, INC.</v>
          </cell>
          <cell r="C228" t="str">
            <v>STREET, TIMBANG, MAMBOG III, BACOOR</v>
          </cell>
          <cell r="D228" t="str">
            <v>17125805</v>
          </cell>
          <cell r="E228" t="str">
            <v>PARANAQUE</v>
          </cell>
          <cell r="F228" t="str">
            <v>FCOMP</v>
          </cell>
          <cell r="G228">
            <v>45740.68178240741</v>
          </cell>
          <cell r="H228">
            <v>45588.333333333336</v>
          </cell>
          <cell r="I228" t="str">
            <v>ME155242</v>
          </cell>
        </row>
        <row r="229">
          <cell r="A229" t="str">
            <v>X24062104789</v>
          </cell>
          <cell r="B229" t="str">
            <v>PCA, New Electric Service, CBG, GLOBE TELECOM, INC.</v>
          </cell>
          <cell r="C229" t="str">
            <v>STREET, DON P. REYES, TUNASAN, MUNTINLUPA</v>
          </cell>
          <cell r="D229" t="str">
            <v>74411</v>
          </cell>
          <cell r="E229" t="str">
            <v>PARANAQUE</v>
          </cell>
          <cell r="F229" t="str">
            <v>FCOMP</v>
          </cell>
          <cell r="G229">
            <v>45688.523622685185</v>
          </cell>
          <cell r="H229">
            <v>45602.354166666664</v>
          </cell>
          <cell r="I229" t="str">
            <v>ME185284</v>
          </cell>
        </row>
        <row r="230">
          <cell r="A230" t="str">
            <v>X24062117779</v>
          </cell>
          <cell r="B230" t="str">
            <v>PCA, Modification of Electric Service, HMB, CITY GOVERNMENT OF PARAÑAQUE</v>
          </cell>
          <cell r="C230" t="str">
            <v>STREET, BENIGNO AQUINO SR., BF HOMES, PARANAQUE</v>
          </cell>
          <cell r="D230" t="str">
            <v>75167</v>
          </cell>
          <cell r="E230" t="str">
            <v>PARANAQUE</v>
          </cell>
          <cell r="F230" t="str">
            <v>SCHED</v>
          </cell>
          <cell r="G230">
            <v>45547.627893518518</v>
          </cell>
          <cell r="H230">
            <v>45547.627083333333</v>
          </cell>
          <cell r="I230" t="str">
            <v>ME166067</v>
          </cell>
        </row>
        <row r="231">
          <cell r="A231" t="str">
            <v>X24062164559</v>
          </cell>
          <cell r="B231" t="str">
            <v>PCA, Modification of Electric Service, HMB, EDWARD VINCENT SANTOS DAUIGOY</v>
          </cell>
          <cell r="C231" t="str">
            <v>STREET, BLOCK 6, TOP MAN VILLAGE, LAS PINAS CITY</v>
          </cell>
          <cell r="D231" t="str">
            <v>17262710</v>
          </cell>
          <cell r="E231" t="str">
            <v>PARANAQUE</v>
          </cell>
          <cell r="F231" t="str">
            <v>SCHED</v>
          </cell>
          <cell r="G231">
            <v>45636.375972222224</v>
          </cell>
          <cell r="H231">
            <v>45639.395833333336</v>
          </cell>
          <cell r="I231" t="str">
            <v>ME155242</v>
          </cell>
        </row>
        <row r="232">
          <cell r="A232" t="str">
            <v>X24062169287</v>
          </cell>
          <cell r="B232" t="str">
            <v>PCA, New Electric Service, ALFAMART TRADING PHILIPPINES, INC.</v>
          </cell>
          <cell r="C232" t="str">
            <v>STREET, MADRID, TOWN AND COUNTRY WEST SUBD, BACOOR</v>
          </cell>
          <cell r="D232" t="str">
            <v>18660</v>
          </cell>
          <cell r="E232" t="str">
            <v>PARANAQUE</v>
          </cell>
          <cell r="F232" t="str">
            <v>WMTRL</v>
          </cell>
          <cell r="G232">
            <v>45743.529502314814</v>
          </cell>
          <cell r="H232">
            <v>45751.663194444445</v>
          </cell>
          <cell r="I232" t="str">
            <v>ME155242</v>
          </cell>
        </row>
        <row r="233">
          <cell r="A233" t="str">
            <v>X24062171822</v>
          </cell>
          <cell r="B233" t="str">
            <v>PCA, New Electric Service, SME, M.H. BURTON REPAIR SERVICES, INC.</v>
          </cell>
          <cell r="C233" t="str">
            <v>STREET, BLOCK 5, MAGDIWANG SUBD, BACOOR</v>
          </cell>
          <cell r="D233" t="str">
            <v>119906</v>
          </cell>
          <cell r="E233" t="str">
            <v>PARANAQUE</v>
          </cell>
          <cell r="F233" t="str">
            <v>FCOMP</v>
          </cell>
          <cell r="G233">
            <v>45742.618645833332</v>
          </cell>
          <cell r="H233">
            <v>45629.375</v>
          </cell>
          <cell r="I233" t="str">
            <v>ME185284</v>
          </cell>
        </row>
        <row r="234">
          <cell r="A234" t="str">
            <v>X24062236601</v>
          </cell>
          <cell r="B234" t="str">
            <v>PCA, Modification of Electric Service, HMB, LEIGH ANGELI ADARNA ANCHETA</v>
          </cell>
          <cell r="C234" t="str">
            <v>STREET, MA. LOURDES ATIENZA, BF RESORT VILL, LAS PINAS CITY</v>
          </cell>
          <cell r="D234" t="str">
            <v>64118</v>
          </cell>
          <cell r="E234" t="str">
            <v>PARANAQUE</v>
          </cell>
          <cell r="F234" t="str">
            <v>FCOMP</v>
          </cell>
          <cell r="G234">
            <v>45687.594930555555</v>
          </cell>
          <cell r="H234">
            <v>45488.531944444447</v>
          </cell>
          <cell r="I234" t="str">
            <v>ME155242</v>
          </cell>
        </row>
        <row r="235">
          <cell r="A235" t="str">
            <v>X24062324373</v>
          </cell>
          <cell r="B235" t="str">
            <v>PCA, Modification of Electric Service, HMB, MANUEL ANTONIO S BOCALING</v>
          </cell>
          <cell r="C235" t="str">
            <v>STREET, BLOCK 19, LINDENWOOD RESIDENCES, MUNTINLUPA</v>
          </cell>
          <cell r="D235" t="str">
            <v>15006226</v>
          </cell>
          <cell r="E235" t="str">
            <v>PARANAQUE</v>
          </cell>
          <cell r="F235" t="str">
            <v>TECO</v>
          </cell>
          <cell r="G235">
            <v>45699.655995370369</v>
          </cell>
          <cell r="H235">
            <v>45673.732638888891</v>
          </cell>
          <cell r="I235" t="str">
            <v>ME166067</v>
          </cell>
        </row>
        <row r="236">
          <cell r="A236" t="str">
            <v>X24062342140</v>
          </cell>
          <cell r="B236" t="str">
            <v>PCA, New Electric Service, HMB, JOAN ANTONIO QUIMPO</v>
          </cell>
          <cell r="C236" t="str">
            <v>STREET, BLOCK 19, ENLISTED PERSONNEL VIL 2, TAGUIG CITY</v>
          </cell>
          <cell r="D236" t="str">
            <v>92791</v>
          </cell>
          <cell r="E236" t="str">
            <v>PARANAQUE</v>
          </cell>
          <cell r="F236" t="str">
            <v>PCAN</v>
          </cell>
          <cell r="G236">
            <v>45600.452430555553</v>
          </cell>
          <cell r="H236">
            <v>45488.504861111112</v>
          </cell>
          <cell r="I236" t="str">
            <v>ME185130</v>
          </cell>
        </row>
        <row r="237">
          <cell r="A237" t="str">
            <v>X24062388683</v>
          </cell>
          <cell r="B237" t="str">
            <v>PCA, Modification of Electric Service, HMB, MARC MEDALLA O'CONNOR</v>
          </cell>
          <cell r="C237" t="str">
            <v>STREET, ARAGONA, CITADELLA EXEC VILL, LAS PINAS CITY</v>
          </cell>
          <cell r="D237" t="str">
            <v>63596</v>
          </cell>
          <cell r="E237" t="str">
            <v>PARANAQUE</v>
          </cell>
          <cell r="F237" t="str">
            <v>SCHED</v>
          </cell>
          <cell r="G237">
            <v>45677.625532407408</v>
          </cell>
          <cell r="H237">
            <v>45680.416666666664</v>
          </cell>
          <cell r="I237" t="str">
            <v>ME185284</v>
          </cell>
        </row>
        <row r="238">
          <cell r="A238" t="str">
            <v>X24062425520</v>
          </cell>
          <cell r="B238" t="str">
            <v>PCA, New Electric Service, HMB, LICELLE GUMABAO YANG</v>
          </cell>
          <cell r="C238" t="str">
            <v>STREET, BLOCK 2, BRAZILIA HEIGHTS, MUNTINLUPA</v>
          </cell>
          <cell r="D238" t="str">
            <v>17001117</v>
          </cell>
          <cell r="E238" t="str">
            <v>PARANAQUE</v>
          </cell>
          <cell r="F238" t="str">
            <v>FCOMP</v>
          </cell>
          <cell r="G238">
            <v>45699.57304398148</v>
          </cell>
          <cell r="H238">
            <v>45688.602777777778</v>
          </cell>
          <cell r="I238" t="str">
            <v>ME185284</v>
          </cell>
        </row>
        <row r="239">
          <cell r="A239" t="str">
            <v>X24062428692</v>
          </cell>
          <cell r="B239" t="str">
            <v>PCA, New Electric Service, HMB, GREENLAND NEW LOWER BICUTAN NEIGHBORHOOD ASSOCIATION</v>
          </cell>
          <cell r="C239" t="str">
            <v>STREET, RANGER, PUROK 1A, TAGUIG CITY</v>
          </cell>
          <cell r="D239" t="str">
            <v>91373</v>
          </cell>
          <cell r="E239" t="str">
            <v>PARANAQUE</v>
          </cell>
          <cell r="F239" t="str">
            <v>CLOSED-CAN</v>
          </cell>
          <cell r="G239">
            <v>45730.877256944441</v>
          </cell>
          <cell r="H239">
            <v>45569.333333333336</v>
          </cell>
          <cell r="I239" t="str">
            <v>ME185284</v>
          </cell>
        </row>
        <row r="240">
          <cell r="A240" t="str">
            <v>X24062436826</v>
          </cell>
          <cell r="B240" t="str">
            <v>PCA, Modification of Electric Service, HMB, DIANE VALERIE ZIGA GARCIA</v>
          </cell>
          <cell r="C240" t="str">
            <v>STREET, MA. CRISTINA, AYALA-ALABANG VILL, MUNTINLUPA</v>
          </cell>
          <cell r="D240" t="str">
            <v>73184</v>
          </cell>
          <cell r="E240" t="str">
            <v>PARANAQUE</v>
          </cell>
          <cell r="F240" t="str">
            <v>SCHED</v>
          </cell>
          <cell r="G240">
            <v>45512.407222222224</v>
          </cell>
          <cell r="H240">
            <v>45512.404166666667</v>
          </cell>
          <cell r="I240" t="str">
            <v>ME155242</v>
          </cell>
        </row>
        <row r="241">
          <cell r="A241" t="str">
            <v>X24062437670</v>
          </cell>
          <cell r="B241" t="str">
            <v>PCA, New Electric Service, CBG, DITO TELECOMMUNITY CORPORATION</v>
          </cell>
          <cell r="C241" t="str">
            <v>STREET, VIRGO ST, BETTERLIVING SUBD ANNEX 45, PARANAQUE</v>
          </cell>
          <cell r="D241" t="str">
            <v>76035</v>
          </cell>
          <cell r="E241" t="str">
            <v>PARANAQUE</v>
          </cell>
          <cell r="F241" t="str">
            <v>SCHED</v>
          </cell>
          <cell r="G241">
            <v>45646.547835648147</v>
          </cell>
          <cell r="H241">
            <v>45646.331250000003</v>
          </cell>
          <cell r="I241" t="str">
            <v>ME185284</v>
          </cell>
        </row>
        <row r="242">
          <cell r="A242" t="str">
            <v>X24062492521</v>
          </cell>
          <cell r="B242" t="str">
            <v>PCA, Termination of Electric Service, CBG, DOMINIC CONSTRUCTION, INC.</v>
          </cell>
          <cell r="C242" t="str">
            <v>STREET, DR. A. SANTOS, SAN ANTONIO, PARANAQUE</v>
          </cell>
          <cell r="D242" t="str">
            <v>77301</v>
          </cell>
          <cell r="E242" t="str">
            <v>PARANAQUE</v>
          </cell>
          <cell r="F242" t="str">
            <v>SCHED</v>
          </cell>
          <cell r="G242">
            <v>45582.53670138889</v>
          </cell>
          <cell r="H242">
            <v>45587.364583333336</v>
          </cell>
          <cell r="I242" t="str">
            <v>ME166067</v>
          </cell>
        </row>
        <row r="243">
          <cell r="A243" t="str">
            <v>X24072535895</v>
          </cell>
          <cell r="B243" t="str">
            <v>PCA, New Electric Service, CBG, DITO TELECOMMUNITY CORPORATION</v>
          </cell>
          <cell r="C243" t="str">
            <v>STREET, SINIGUELAS, ZONE 1, TAGUIG CITY</v>
          </cell>
          <cell r="D243" t="str">
            <v>91847</v>
          </cell>
          <cell r="E243" t="str">
            <v>PARANAQUE</v>
          </cell>
          <cell r="F243" t="str">
            <v>SCHED</v>
          </cell>
          <cell r="G243">
            <v>45700.413090277776</v>
          </cell>
          <cell r="H243">
            <v>45707.404861111114</v>
          </cell>
          <cell r="I243" t="str">
            <v>ME166067</v>
          </cell>
        </row>
        <row r="244">
          <cell r="A244" t="str">
            <v>X24072536492</v>
          </cell>
          <cell r="B244" t="str">
            <v>PCA, Modification of Electric Service, HMB, CITY GOV'T OF LAS PIÑAS</v>
          </cell>
          <cell r="C244" t="str">
            <v>STREET, BF CARNIBAL PARK, BF RESORT VILL, LAS PINAS CITY</v>
          </cell>
          <cell r="D244" t="str">
            <v>64042</v>
          </cell>
          <cell r="E244" t="str">
            <v>PARANAQUE</v>
          </cell>
          <cell r="F244" t="str">
            <v>FCOMP</v>
          </cell>
          <cell r="G244">
            <v>45663.547222222223</v>
          </cell>
          <cell r="H244">
            <v>45526.587500000001</v>
          </cell>
          <cell r="I244" t="str">
            <v>ME185284</v>
          </cell>
        </row>
        <row r="245">
          <cell r="A245" t="str">
            <v>X24072540238</v>
          </cell>
          <cell r="B245" t="str">
            <v>PCA, New Electric Service, SME, HARD DISCOUNT PHILIPPINES, INC.</v>
          </cell>
          <cell r="C245" t="str">
            <v>STREET, GOV. P.F. ESPIRITU, PANAPAAN II, BACOOR</v>
          </cell>
          <cell r="D245" t="str">
            <v>19606</v>
          </cell>
          <cell r="E245" t="str">
            <v>PARANAQUE</v>
          </cell>
          <cell r="F245" t="str">
            <v>SCHED</v>
          </cell>
          <cell r="G245">
            <v>45691.531898148147</v>
          </cell>
          <cell r="H245">
            <v>45692.620833333334</v>
          </cell>
          <cell r="I245" t="str">
            <v>ME155242</v>
          </cell>
        </row>
        <row r="246">
          <cell r="A246" t="str">
            <v>X24072541358</v>
          </cell>
          <cell r="B246" t="str">
            <v>PCA, New Electric Service, SME, WILHOME DEVELOPMENT INC.</v>
          </cell>
          <cell r="C246" t="str">
            <v>STREET, MOLINO ROAD, MOLINO III, BACOOR</v>
          </cell>
          <cell r="D246" t="str">
            <v>18633</v>
          </cell>
          <cell r="E246" t="str">
            <v>PARANAQUE</v>
          </cell>
          <cell r="F246" t="str">
            <v>FCOMP</v>
          </cell>
          <cell r="G246">
            <v>45666.496388888889</v>
          </cell>
          <cell r="H246">
            <v>45622.333333333336</v>
          </cell>
          <cell r="I246" t="str">
            <v>ME185284</v>
          </cell>
        </row>
        <row r="247">
          <cell r="A247" t="str">
            <v>X24072542131</v>
          </cell>
          <cell r="B247" t="str">
            <v>PCA, Modification of Electric Service, HMB, RAMONCHITO DIZON JAVIER</v>
          </cell>
          <cell r="C247" t="str">
            <v>STREET, BEIRUT, BF HOMES, PARANAQUE</v>
          </cell>
          <cell r="D247" t="str">
            <v>75166</v>
          </cell>
          <cell r="E247" t="str">
            <v>PARANAQUE</v>
          </cell>
          <cell r="F247" t="str">
            <v>FCOMP</v>
          </cell>
          <cell r="G247">
            <v>45726.824166666665</v>
          </cell>
          <cell r="H247">
            <v>45688.632638888892</v>
          </cell>
          <cell r="I247" t="str">
            <v>ME166067</v>
          </cell>
        </row>
        <row r="248">
          <cell r="A248" t="str">
            <v>X24072565971</v>
          </cell>
          <cell r="B248" t="str">
            <v>PCA, New Electric Service, CBG, DITO TELECOMMUNITY CORPORATION</v>
          </cell>
          <cell r="C248" t="str">
            <v>STREET, DOÑA SOLEDAD, BETTER LIVING SUBD, PARANAQUE</v>
          </cell>
          <cell r="D248" t="str">
            <v>75761</v>
          </cell>
          <cell r="E248" t="str">
            <v>PARANAQUE</v>
          </cell>
          <cell r="F248" t="str">
            <v>PCAN3</v>
          </cell>
          <cell r="G248">
            <v>45709.551701388889</v>
          </cell>
          <cell r="H248">
            <v>45516.3125</v>
          </cell>
          <cell r="I248" t="str">
            <v>ME185284</v>
          </cell>
        </row>
        <row r="249">
          <cell r="A249" t="str">
            <v>X24072566400</v>
          </cell>
          <cell r="B249" t="str">
            <v>PCA, New Electric Service, HMB, JOHN TULAO CENICA</v>
          </cell>
          <cell r="C249" t="str">
            <v>STREET, CORDILLERA, AYALA-ALABANG VILL, MUNTINLUPA</v>
          </cell>
          <cell r="D249" t="str">
            <v>73155</v>
          </cell>
          <cell r="E249" t="str">
            <v>PARANAQUE</v>
          </cell>
          <cell r="F249" t="str">
            <v>FCOMP</v>
          </cell>
          <cell r="G249">
            <v>45730.35056712963</v>
          </cell>
          <cell r="H249">
            <v>45722.689583333333</v>
          </cell>
          <cell r="I249" t="str">
            <v>ME166067</v>
          </cell>
        </row>
        <row r="250">
          <cell r="A250" t="str">
            <v>X24072572239</v>
          </cell>
          <cell r="B250" t="str">
            <v>PCA, New Electric Service, SME, ROMEO ICASAS ABAD JR.</v>
          </cell>
          <cell r="C250" t="str">
            <v>STREET, NIOG III, NIOG III, BACOOR</v>
          </cell>
          <cell r="D250" t="str">
            <v>19585</v>
          </cell>
          <cell r="E250" t="str">
            <v>PARANAQUE</v>
          </cell>
          <cell r="F250" t="str">
            <v>SCHED</v>
          </cell>
          <cell r="G250">
            <v>45652.598275462966</v>
          </cell>
          <cell r="H250">
            <v>45657.651388888888</v>
          </cell>
          <cell r="I250" t="str">
            <v>ME185284</v>
          </cell>
        </row>
        <row r="251">
          <cell r="A251" t="str">
            <v>X24072577420</v>
          </cell>
          <cell r="B251" t="str">
            <v>PCA, Modification of Electric Service, HMB, HERMENEGILDO DENAGA SARANILLO</v>
          </cell>
          <cell r="C251" t="str">
            <v>STREET, SUMAKWEL, BARANGAY VILL, PARANAQUE</v>
          </cell>
          <cell r="D251" t="str">
            <v>77158</v>
          </cell>
          <cell r="E251" t="str">
            <v>PARANAQUE</v>
          </cell>
          <cell r="F251" t="str">
            <v>SCHED</v>
          </cell>
          <cell r="G251">
            <v>45572.440960648149</v>
          </cell>
          <cell r="H251">
            <v>45572.3125</v>
          </cell>
          <cell r="I251" t="str">
            <v>ME155242</v>
          </cell>
        </row>
        <row r="252">
          <cell r="A252" t="str">
            <v>X24072577424</v>
          </cell>
          <cell r="B252" t="str">
            <v>PCA, Modification of Electric Service, HMB, ARTHUR NOLASCO IRASUSTA</v>
          </cell>
          <cell r="C252" t="str">
            <v>STREET, R. MAGSAYSAY, FILINVEST SUBD, PARANAQUE</v>
          </cell>
          <cell r="D252" t="str">
            <v>77497</v>
          </cell>
          <cell r="E252" t="str">
            <v>PARANAQUE</v>
          </cell>
          <cell r="F252" t="str">
            <v>FCOMP</v>
          </cell>
          <cell r="G252">
            <v>45734.394780092596</v>
          </cell>
          <cell r="H252">
            <v>45601.341666666667</v>
          </cell>
          <cell r="I252" t="str">
            <v>ME185284</v>
          </cell>
        </row>
        <row r="253">
          <cell r="A253" t="str">
            <v>X24072590693</v>
          </cell>
          <cell r="B253" t="str">
            <v>PCA, New Electric Service, SME, HARD DISCOUNT PHILIPPINES, INC.</v>
          </cell>
          <cell r="C253" t="str">
            <v>STREET, HOLY FAMILY AVE, HOLY FAMILY VILL, TAGUIG CITY</v>
          </cell>
          <cell r="D253" t="str">
            <v>91123</v>
          </cell>
          <cell r="E253" t="str">
            <v>PARANAQUE</v>
          </cell>
          <cell r="F253" t="str">
            <v>FCOMP</v>
          </cell>
          <cell r="G253">
            <v>45681.400069444448</v>
          </cell>
          <cell r="H253">
            <v>45553.427083333336</v>
          </cell>
          <cell r="I253" t="str">
            <v>ME166067</v>
          </cell>
        </row>
        <row r="254">
          <cell r="A254" t="str">
            <v>X24072635271</v>
          </cell>
          <cell r="B254" t="str">
            <v>PCA, New Electric Service, SME, JOIE MEDINA GAWARAN</v>
          </cell>
          <cell r="C254" t="str">
            <v>STREET, LOURDES CPD, LOURDES CPD, BACOOR</v>
          </cell>
          <cell r="D254" t="str">
            <v>20111</v>
          </cell>
          <cell r="E254" t="str">
            <v>PARANAQUE</v>
          </cell>
          <cell r="F254" t="str">
            <v>FCOMP</v>
          </cell>
          <cell r="G254">
            <v>45695.509085648147</v>
          </cell>
          <cell r="H254">
            <v>45615.40625</v>
          </cell>
          <cell r="I254" t="str">
            <v>ME185284</v>
          </cell>
        </row>
        <row r="255">
          <cell r="A255" t="str">
            <v>X24072692499</v>
          </cell>
          <cell r="B255" t="str">
            <v>PCA, Modification of Electric Service, SME, HSL - BRAILLE COLLEGE, INC.,</v>
          </cell>
          <cell r="C255" t="str">
            <v>STREET, DURIAN, ZONE 1, TAGUIG CITY</v>
          </cell>
          <cell r="D255" t="str">
            <v>91804</v>
          </cell>
          <cell r="E255" t="str">
            <v>PARANAQUE</v>
          </cell>
          <cell r="F255" t="str">
            <v>SCHED</v>
          </cell>
          <cell r="G255">
            <v>45551.608263888891</v>
          </cell>
          <cell r="H255">
            <v>45551.4375</v>
          </cell>
          <cell r="I255" t="str">
            <v>ME166067</v>
          </cell>
        </row>
        <row r="256">
          <cell r="A256" t="str">
            <v>X24072720259</v>
          </cell>
          <cell r="B256" t="str">
            <v>PCA, New Electric Service, SME, RAMON GALVEZ VIZMONTE</v>
          </cell>
          <cell r="C256" t="str">
            <v>STREET, BACOOR, MAMBOG IV, BACOOR</v>
          </cell>
          <cell r="D256" t="str">
            <v>116941</v>
          </cell>
          <cell r="E256" t="str">
            <v>PARANAQUE</v>
          </cell>
          <cell r="F256" t="str">
            <v>FCOMP</v>
          </cell>
          <cell r="G256">
            <v>45671.000694444447</v>
          </cell>
          <cell r="H256">
            <v>45659.395833333336</v>
          </cell>
          <cell r="I256" t="str">
            <v>ME155242</v>
          </cell>
        </row>
        <row r="257">
          <cell r="A257" t="str">
            <v>X24072732976</v>
          </cell>
          <cell r="B257" t="str">
            <v>PCA, New Electric Service, HMB, LUCKY ROCKY CHUA SY</v>
          </cell>
          <cell r="C257" t="str">
            <v>STREET, STA. MARIA, SAN ANTONIO VALLEY 1, PARANAQUE</v>
          </cell>
          <cell r="D257" t="str">
            <v>77331</v>
          </cell>
          <cell r="E257" t="str">
            <v>PARANAQUE</v>
          </cell>
          <cell r="F257" t="str">
            <v>FCOMP</v>
          </cell>
          <cell r="G257">
            <v>45665.306967592594</v>
          </cell>
          <cell r="H257">
            <v>45601.375</v>
          </cell>
          <cell r="I257" t="str">
            <v>ME155242</v>
          </cell>
        </row>
        <row r="258">
          <cell r="A258" t="str">
            <v>X24072733160</v>
          </cell>
          <cell r="B258" t="str">
            <v>PCA, Modification of Electric Service, HMB, BRGY. MARCELO GREEN</v>
          </cell>
          <cell r="C258" t="str">
            <v>STREET, MARCELO, MARCELO GREEN VILL, PARANAQUE</v>
          </cell>
          <cell r="D258" t="str">
            <v>76343</v>
          </cell>
          <cell r="E258" t="str">
            <v>PARANAQUE</v>
          </cell>
          <cell r="F258" t="str">
            <v>SCHED</v>
          </cell>
          <cell r="G258">
            <v>45569.597800925927</v>
          </cell>
          <cell r="H258">
            <v>45569.395833333336</v>
          </cell>
          <cell r="I258" t="str">
            <v>ME155242</v>
          </cell>
        </row>
        <row r="259">
          <cell r="A259" t="str">
            <v>X24072759958</v>
          </cell>
          <cell r="B259" t="str">
            <v>PCA, New Electric Service, HMB, CITY GOVERNMENT OF TAGUIG</v>
          </cell>
          <cell r="C259" t="str">
            <v>STREET, PRES. QUIRINO EXT, ZONE 6, TAGUIG CITY</v>
          </cell>
          <cell r="D259" t="str">
            <v>92053</v>
          </cell>
          <cell r="E259" t="str">
            <v>PARANAQUE</v>
          </cell>
          <cell r="F259" t="str">
            <v>SCHED</v>
          </cell>
          <cell r="G259">
            <v>45548.579745370371</v>
          </cell>
          <cell r="H259">
            <v>45548.4375</v>
          </cell>
          <cell r="I259" t="str">
            <v>ME185284</v>
          </cell>
        </row>
        <row r="260">
          <cell r="A260" t="str">
            <v>X24072764755</v>
          </cell>
          <cell r="B260" t="str">
            <v>PCA, New Electric Service, SME, OSAVE TRADING PHILIPPINES CORPORATION</v>
          </cell>
          <cell r="C260" t="str">
            <v>STREET, GEN. EVANGELISTA, POBLACION, BACOOR</v>
          </cell>
          <cell r="D260" t="str">
            <v>19960</v>
          </cell>
          <cell r="E260" t="str">
            <v>PARANAQUE</v>
          </cell>
          <cell r="F260" t="str">
            <v>SCHED</v>
          </cell>
          <cell r="G260">
            <v>45726.594560185185</v>
          </cell>
          <cell r="H260">
            <v>45726.7</v>
          </cell>
          <cell r="I260" t="str">
            <v>ME189046</v>
          </cell>
        </row>
        <row r="261">
          <cell r="A261" t="str">
            <v>X24072779669</v>
          </cell>
          <cell r="B261" t="str">
            <v>PCA, Modification of Electric Service, HMB, MA FATIMA FESTIN PERDIDO</v>
          </cell>
          <cell r="C261" t="str">
            <v>STREET, TALIM, TIERRA NUEVA SUBD, MUNTINLUPA</v>
          </cell>
          <cell r="D261" t="str">
            <v>72860</v>
          </cell>
          <cell r="E261" t="str">
            <v>PARANAQUE</v>
          </cell>
          <cell r="F261" t="str">
            <v>SCHED</v>
          </cell>
          <cell r="G261">
            <v>45509.61142361111</v>
          </cell>
          <cell r="H261">
            <v>45509.609722222223</v>
          </cell>
          <cell r="I261" t="str">
            <v>ME155242</v>
          </cell>
        </row>
        <row r="262">
          <cell r="A262" t="str">
            <v>X24072786899</v>
          </cell>
          <cell r="B262" t="str">
            <v>PCA, New Electric Service, CBG, DITO TELECOMMUNITY CORPORATION</v>
          </cell>
          <cell r="C262" t="str">
            <v>STREET, CAMELLA, CAMELLA HOMES ALABANG 1 SUBD, MUNTINLUPA</v>
          </cell>
          <cell r="D262" t="str">
            <v>73300</v>
          </cell>
          <cell r="E262" t="str">
            <v>PARANAQUE</v>
          </cell>
          <cell r="F262" t="str">
            <v>FCOMP</v>
          </cell>
          <cell r="G262">
            <v>45737.627569444441</v>
          </cell>
          <cell r="H262">
            <v>45733.725694444445</v>
          </cell>
          <cell r="I262" t="str">
            <v>ME166067</v>
          </cell>
        </row>
        <row r="263">
          <cell r="A263" t="str">
            <v>X24072802372</v>
          </cell>
          <cell r="B263" t="str">
            <v>PCA, Modification of Electric Service, HMB, JOSE MARTIN GRUBA NOEL</v>
          </cell>
          <cell r="C263" t="str">
            <v>STREET, QUINTIN PAREDES, BF HOMES, PARANAQUE</v>
          </cell>
          <cell r="D263" t="str">
            <v>75350</v>
          </cell>
          <cell r="E263" t="str">
            <v>PARANAQUE</v>
          </cell>
          <cell r="F263" t="str">
            <v>FCOMP</v>
          </cell>
          <cell r="G263">
            <v>45668.423171296294</v>
          </cell>
          <cell r="H263">
            <v>45615.364583333336</v>
          </cell>
          <cell r="I263" t="str">
            <v>ME155242</v>
          </cell>
        </row>
        <row r="264">
          <cell r="A264" t="str">
            <v>X24072802567</v>
          </cell>
          <cell r="B264" t="str">
            <v>PCA, Modification of Electric Service, HMB, GREGORIO JR. MANALO GONZALVO</v>
          </cell>
          <cell r="C264" t="str">
            <v>STREET, CADENA DE AMOR, TAHANAN VILL, PARANAQUE</v>
          </cell>
          <cell r="D264" t="str">
            <v>75658</v>
          </cell>
          <cell r="E264" t="str">
            <v>PARANAQUE</v>
          </cell>
          <cell r="F264" t="str">
            <v>SCHED</v>
          </cell>
          <cell r="G264">
            <v>45722.630289351851</v>
          </cell>
          <cell r="H264">
            <v>45722.678472222222</v>
          </cell>
          <cell r="I264" t="str">
            <v>ME155242</v>
          </cell>
        </row>
        <row r="265">
          <cell r="A265" t="str">
            <v>X24072803104</v>
          </cell>
          <cell r="B265" t="str">
            <v>PCA, Modification of Electric Service, HMB, PATRICK SOON NGO</v>
          </cell>
          <cell r="C265" t="str">
            <v>STREET, AZUCENA, TAHANAN VILL, PARANAQUE</v>
          </cell>
          <cell r="D265" t="str">
            <v>75653</v>
          </cell>
          <cell r="E265" t="str">
            <v>PARANAQUE</v>
          </cell>
          <cell r="F265" t="str">
            <v>FCOMP</v>
          </cell>
          <cell r="G265">
            <v>45698.4534375</v>
          </cell>
          <cell r="H265">
            <v>45673.724305555559</v>
          </cell>
          <cell r="I265" t="str">
            <v>ME166067</v>
          </cell>
        </row>
        <row r="266">
          <cell r="A266" t="str">
            <v>X24072816217</v>
          </cell>
          <cell r="B266" t="str">
            <v>PCA, New Electric Service, HMB, JERICK MARTIN C. FELIZARDO</v>
          </cell>
          <cell r="C266" t="str">
            <v>STREET, PALO-ALTO SUBD, PALO-ALTO SUBD, BACOOR</v>
          </cell>
          <cell r="D266" t="str">
            <v>17271</v>
          </cell>
          <cell r="E266" t="str">
            <v>PARANAQUE</v>
          </cell>
          <cell r="F266" t="str">
            <v>SCHED</v>
          </cell>
          <cell r="G266">
            <v>45624.358090277776</v>
          </cell>
          <cell r="H266">
            <v>45629.4375</v>
          </cell>
          <cell r="I266" t="str">
            <v>ME155242</v>
          </cell>
        </row>
        <row r="267">
          <cell r="A267" t="str">
            <v>X24072831387</v>
          </cell>
          <cell r="B267" t="str">
            <v>PCA, New Electric Service, HMB, IRMA S AQUINO</v>
          </cell>
          <cell r="C267" t="str">
            <v>STREET, ARTHUR, HAPAY CPD, TAGUIG CITY</v>
          </cell>
          <cell r="D267" t="str">
            <v>91119</v>
          </cell>
          <cell r="E267" t="str">
            <v>PARANAQUE</v>
          </cell>
          <cell r="F267" t="str">
            <v>SCHED</v>
          </cell>
          <cell r="G267">
            <v>45607.615173611113</v>
          </cell>
          <cell r="H267">
            <v>45609.385416666664</v>
          </cell>
          <cell r="I267" t="str">
            <v>ME155242</v>
          </cell>
        </row>
        <row r="268">
          <cell r="A268" t="str">
            <v>X24072839965</v>
          </cell>
          <cell r="B268" t="str">
            <v>PCA, New Electric Service, SME, LOLA NENA'S PICHI PICHI, INC.</v>
          </cell>
          <cell r="C268" t="str">
            <v>STREET, MOLINO ROAD, MOLINO III, BACOOR</v>
          </cell>
          <cell r="D268" t="str">
            <v>18633</v>
          </cell>
          <cell r="E268" t="str">
            <v>PARANAQUE</v>
          </cell>
          <cell r="F268" t="str">
            <v>SCHED</v>
          </cell>
          <cell r="G268">
            <v>45741.631967592592</v>
          </cell>
          <cell r="H268">
            <v>45744.412499999999</v>
          </cell>
          <cell r="I268" t="str">
            <v>ME155242</v>
          </cell>
        </row>
        <row r="269">
          <cell r="A269" t="str">
            <v>X24072841870</v>
          </cell>
          <cell r="B269" t="str">
            <v>PCA, New Electric Service, CBG, DITO TELECOMMUNITY CORPORATION</v>
          </cell>
          <cell r="C269" t="str">
            <v>STREET, KALANTAS, PUROK 7, TAGUIG CITY</v>
          </cell>
          <cell r="D269" t="str">
            <v>92929</v>
          </cell>
          <cell r="E269" t="str">
            <v>PARANAQUE</v>
          </cell>
          <cell r="F269" t="str">
            <v>SCHED</v>
          </cell>
          <cell r="G269">
            <v>45613.762511574074</v>
          </cell>
          <cell r="H269">
            <v>45617.375</v>
          </cell>
          <cell r="I269" t="str">
            <v>ME166067</v>
          </cell>
        </row>
        <row r="270">
          <cell r="A270" t="str">
            <v>X24072851053</v>
          </cell>
          <cell r="B270" t="str">
            <v>PCA, New Electric Service, HMB, DIOSA BELLE SANTILLANOSA CRUCERO</v>
          </cell>
          <cell r="C270" t="str">
            <v>STREET, BLOCK 27, PUROK 3, TAGUIG CITY</v>
          </cell>
          <cell r="D270" t="str">
            <v>92391</v>
          </cell>
          <cell r="E270" t="str">
            <v>PARANAQUE</v>
          </cell>
          <cell r="F270" t="str">
            <v>FCOMP</v>
          </cell>
          <cell r="G270">
            <v>45724.656585648147</v>
          </cell>
          <cell r="H270">
            <v>45629.364583333336</v>
          </cell>
          <cell r="I270" t="str">
            <v>ME185284</v>
          </cell>
        </row>
        <row r="271">
          <cell r="A271" t="str">
            <v>X24072851266</v>
          </cell>
          <cell r="B271" t="str">
            <v>PCA, Modification of Electric Service, HMB, CITY GOVERNMENT OF LAS PI¿AS</v>
          </cell>
          <cell r="C271" t="str">
            <v>STREET, DANDELION, DOÑA MANUELA SUBD, LAS PINAS CITY</v>
          </cell>
          <cell r="D271" t="str">
            <v>62967</v>
          </cell>
          <cell r="E271" t="str">
            <v>PARANAQUE</v>
          </cell>
          <cell r="F271" t="str">
            <v>SCHED</v>
          </cell>
          <cell r="G271">
            <v>45729.551736111112</v>
          </cell>
          <cell r="H271">
            <v>45733.737500000003</v>
          </cell>
          <cell r="I271" t="str">
            <v>ME185284</v>
          </cell>
        </row>
        <row r="272">
          <cell r="A272" t="str">
            <v>X24072854687</v>
          </cell>
          <cell r="B272" t="str">
            <v>PCA, New Electric Service, HMB, MALILIN O. RICSENIA</v>
          </cell>
          <cell r="C272" t="str">
            <v>STREET, BLOCK 12, BETTER LIVING ANX31 SUBD, PARANAQUE</v>
          </cell>
          <cell r="D272" t="str">
            <v>76279</v>
          </cell>
          <cell r="E272" t="str">
            <v>PARANAQUE</v>
          </cell>
          <cell r="F272" t="str">
            <v>FCOMP</v>
          </cell>
          <cell r="G272">
            <v>45702.471053240741</v>
          </cell>
          <cell r="H272">
            <v>45665.45208333333</v>
          </cell>
          <cell r="I272" t="str">
            <v>ME185284</v>
          </cell>
        </row>
        <row r="273">
          <cell r="A273" t="str">
            <v>X24072854711</v>
          </cell>
          <cell r="B273" t="str">
            <v>PCA, New Electric Service, HMB, ROBERTO BALASBAS DIMAYUGA</v>
          </cell>
          <cell r="C273" t="str">
            <v>STREET, SAN NICOLAS, SAN MARTIN VILL-4TH ESTATE, PARANAQUE</v>
          </cell>
          <cell r="D273" t="str">
            <v>77381</v>
          </cell>
          <cell r="E273" t="str">
            <v>PARANAQUE</v>
          </cell>
          <cell r="F273" t="str">
            <v>SCHED</v>
          </cell>
          <cell r="G273">
            <v>45582.520949074074</v>
          </cell>
          <cell r="H273">
            <v>45587.395833333336</v>
          </cell>
          <cell r="I273" t="str">
            <v>ME184184</v>
          </cell>
        </row>
        <row r="274">
          <cell r="A274" t="str">
            <v>X24072855187</v>
          </cell>
          <cell r="B274" t="str">
            <v>PCA, New Electric Service, HMB, MANUEL SARIANA BOLON</v>
          </cell>
          <cell r="C274" t="str">
            <v>STREET, A. ROLDAN, PUROK 2A, TAGUIG CITY</v>
          </cell>
          <cell r="D274" t="str">
            <v>131524</v>
          </cell>
          <cell r="E274" t="str">
            <v>PARANAQUE</v>
          </cell>
          <cell r="F274" t="str">
            <v>SCHED</v>
          </cell>
          <cell r="G274">
            <v>45694.336342592593</v>
          </cell>
          <cell r="H274">
            <v>45700.34097222222</v>
          </cell>
          <cell r="I274" t="str">
            <v>ME185284</v>
          </cell>
        </row>
        <row r="275">
          <cell r="A275" t="str">
            <v>X24072866458</v>
          </cell>
          <cell r="B275" t="str">
            <v>PCA, New Electric Service, CBG, DITO TELECOMMUNITY CORPORATION</v>
          </cell>
          <cell r="C275" t="str">
            <v>STREET, CHAMPACA, STO. NINO, TAGUIG CITY</v>
          </cell>
          <cell r="D275" t="str">
            <v>93015</v>
          </cell>
          <cell r="E275" t="str">
            <v>PARANAQUE</v>
          </cell>
          <cell r="F275" t="str">
            <v>SCHED</v>
          </cell>
          <cell r="G275">
            <v>45700.411585648151</v>
          </cell>
          <cell r="H275">
            <v>45707.395138888889</v>
          </cell>
          <cell r="I275" t="str">
            <v>ME185284</v>
          </cell>
        </row>
        <row r="276">
          <cell r="A276" t="str">
            <v>X24072868110</v>
          </cell>
          <cell r="B276" t="str">
            <v>PCA, New Electric Service, CBG, DITO TELECOMMUNITY CORPORATION</v>
          </cell>
          <cell r="C276" t="str">
            <v>STREET, 3RD AVE, HEN HEADQUARTER SUPPRT GRP, TAGUIG CITY</v>
          </cell>
          <cell r="D276" t="str">
            <v>91760</v>
          </cell>
          <cell r="E276" t="str">
            <v>PARANAQUE</v>
          </cell>
          <cell r="F276" t="str">
            <v>FCOMP</v>
          </cell>
          <cell r="G276">
            <v>45739.303298611114</v>
          </cell>
          <cell r="H276">
            <v>45593.385416666664</v>
          </cell>
          <cell r="I276" t="str">
            <v>ME185284</v>
          </cell>
        </row>
        <row r="277">
          <cell r="A277" t="str">
            <v>X24072928092</v>
          </cell>
          <cell r="B277" t="str">
            <v>PCA, Modification of Electric Service, HMB, GAY ANNETTE LIM ANG</v>
          </cell>
          <cell r="C277" t="str">
            <v>STREET, ORMOC, ALABANG HILLS SUBD PH 2, MUNTINLUPA</v>
          </cell>
          <cell r="D277" t="str">
            <v>72617</v>
          </cell>
          <cell r="E277" t="str">
            <v>PARANAQUE</v>
          </cell>
          <cell r="F277" t="str">
            <v>FCOMP</v>
          </cell>
          <cell r="G277">
            <v>45671.409618055557</v>
          </cell>
          <cell r="H277">
            <v>45582.395833333336</v>
          </cell>
          <cell r="I277" t="str">
            <v>ME155242</v>
          </cell>
        </row>
        <row r="278">
          <cell r="A278" t="str">
            <v>X24073004063</v>
          </cell>
          <cell r="B278" t="str">
            <v>PCA, Termination of Electric Service, CBG, RODOLFO C ADRIAS</v>
          </cell>
          <cell r="C278" t="str">
            <v>STREET, MOLINO BLVD, MOLINO II, BACOOR</v>
          </cell>
          <cell r="D278" t="str">
            <v>15002257</v>
          </cell>
          <cell r="E278" t="str">
            <v>PARANAQUE</v>
          </cell>
          <cell r="F278" t="str">
            <v>FCOMP</v>
          </cell>
          <cell r="G278">
            <v>45639.437164351853</v>
          </cell>
          <cell r="H278">
            <v>45507.404166666667</v>
          </cell>
          <cell r="I278" t="str">
            <v>ME155242</v>
          </cell>
        </row>
        <row r="279">
          <cell r="A279" t="str">
            <v>X24073004630</v>
          </cell>
          <cell r="B279" t="str">
            <v>PCA, New Electric Service, SME, PHILIPPINE SEVEN CORPORATION</v>
          </cell>
          <cell r="C279" t="str">
            <v>STREET, UMALI, POBLACION, MUNTINLUPA</v>
          </cell>
          <cell r="D279" t="str">
            <v>73055</v>
          </cell>
          <cell r="E279" t="str">
            <v>PARANAQUE</v>
          </cell>
          <cell r="F279" t="str">
            <v>FCOMP</v>
          </cell>
          <cell r="G279">
            <v>45663.650578703702</v>
          </cell>
          <cell r="H279">
            <v>45623.385416666664</v>
          </cell>
          <cell r="I279" t="str">
            <v>ME185284</v>
          </cell>
        </row>
        <row r="280">
          <cell r="A280" t="str">
            <v>X24073016208</v>
          </cell>
          <cell r="B280" t="str">
            <v>PCA, New Electric Service, HMB, KISE GAYLE RAMOS TANG</v>
          </cell>
          <cell r="C280" t="str">
            <v>STREET, COUNTRY CLUB, AYALA-ALABANG VILL, MUNTINLUPA</v>
          </cell>
          <cell r="D280" t="str">
            <v>73156</v>
          </cell>
          <cell r="E280" t="str">
            <v>PARANAQUE</v>
          </cell>
          <cell r="F280" t="str">
            <v>FCOMP</v>
          </cell>
          <cell r="G280">
            <v>45666.400069444448</v>
          </cell>
          <cell r="H280">
            <v>45646.447916666664</v>
          </cell>
          <cell r="I280" t="str">
            <v>ME185130</v>
          </cell>
        </row>
        <row r="281">
          <cell r="A281" t="str">
            <v>X24073033797</v>
          </cell>
          <cell r="B281" t="str">
            <v>PCA, Modification of Electric Service, HMB, CELSO T DIMARUCUT</v>
          </cell>
          <cell r="C281" t="str">
            <v>STREET, DOÑA CONCHA CRUZ, BF HOMES, PARANAQUE</v>
          </cell>
          <cell r="D281" t="str">
            <v>75207</v>
          </cell>
          <cell r="E281" t="str">
            <v>PARANAQUE</v>
          </cell>
          <cell r="F281" t="str">
            <v>FCOMP</v>
          </cell>
          <cell r="G281">
            <v>45668.4684837963</v>
          </cell>
          <cell r="H281">
            <v>45596.3125</v>
          </cell>
          <cell r="I281" t="str">
            <v>ME185284</v>
          </cell>
        </row>
        <row r="282">
          <cell r="A282" t="str">
            <v>X24083059434</v>
          </cell>
          <cell r="B282" t="str">
            <v>PCA, New Electric Service, SME, ALFAMART TRADING PHILIPPINES, INC.</v>
          </cell>
          <cell r="C282" t="str">
            <v>STREET, BLOCK 1, GREEN VALLEY SUBD SECT B, BACOOR</v>
          </cell>
          <cell r="D282" t="str">
            <v>20199</v>
          </cell>
          <cell r="E282" t="str">
            <v>PARANAQUE</v>
          </cell>
          <cell r="F282" t="str">
            <v>TECO</v>
          </cell>
          <cell r="G282">
            <v>45699.657800925925</v>
          </cell>
          <cell r="H282">
            <v>45673.734027777777</v>
          </cell>
          <cell r="I282" t="str">
            <v>ME166067</v>
          </cell>
        </row>
        <row r="283">
          <cell r="A283" t="str">
            <v>X24083093382</v>
          </cell>
          <cell r="B283" t="str">
            <v>PCA, New Electric Service, CBG, DITO TELECOMMUNITY CORPORATION</v>
          </cell>
          <cell r="C283" t="str">
            <v>STREET, BUENDIA, TUNASAN, MUNTINLUPA</v>
          </cell>
          <cell r="D283" t="str">
            <v>74409</v>
          </cell>
          <cell r="E283" t="str">
            <v>PARANAQUE</v>
          </cell>
          <cell r="F283" t="str">
            <v>FCOMP</v>
          </cell>
          <cell r="G283">
            <v>45712.66678240741</v>
          </cell>
          <cell r="H283">
            <v>45698.51458333333</v>
          </cell>
          <cell r="I283" t="str">
            <v>ME166067</v>
          </cell>
        </row>
        <row r="284">
          <cell r="A284" t="str">
            <v>X24083108742</v>
          </cell>
          <cell r="B284" t="str">
            <v>PCA, New Electric Service, HMB, GLENDA G ADEFUIN</v>
          </cell>
          <cell r="C284" t="str">
            <v>STREET, BLOCK 2, PATIO HOMES SUBD, MUNTINLUPA</v>
          </cell>
          <cell r="D284" t="str">
            <v>73982</v>
          </cell>
          <cell r="E284" t="str">
            <v>PARANAQUE</v>
          </cell>
          <cell r="F284" t="str">
            <v>FCOMP</v>
          </cell>
          <cell r="G284">
            <v>45703.35596064815</v>
          </cell>
          <cell r="H284">
            <v>45565.364583333336</v>
          </cell>
          <cell r="I284" t="str">
            <v>ME166067</v>
          </cell>
        </row>
        <row r="285">
          <cell r="A285" t="str">
            <v>X24083130651</v>
          </cell>
          <cell r="B285" t="str">
            <v>PCA, New Electric Service, SME, CLS GRILL AND RESTAURANTS, INC.</v>
          </cell>
          <cell r="C285" t="str">
            <v>STREET, AGUIRRE, BF HOMES, PARANAQUE</v>
          </cell>
          <cell r="D285" t="str">
            <v>75134</v>
          </cell>
          <cell r="E285" t="str">
            <v>PARANAQUE</v>
          </cell>
          <cell r="F285" t="str">
            <v>SCHED</v>
          </cell>
          <cell r="G285">
            <v>45565.554513888892</v>
          </cell>
          <cell r="H285">
            <v>45569.34375</v>
          </cell>
          <cell r="I285" t="str">
            <v>ME184184</v>
          </cell>
        </row>
        <row r="286">
          <cell r="A286" t="str">
            <v>X24083132605</v>
          </cell>
          <cell r="B286" t="str">
            <v>PCA, New Electric Service, CBG, DITO TELECOMMUNITY CORPORATION</v>
          </cell>
          <cell r="C286" t="str">
            <v>STREET, BUENCAMINO, BUENCAMINO, MUNTINLUPA</v>
          </cell>
          <cell r="D286" t="str">
            <v>72638</v>
          </cell>
          <cell r="E286" t="str">
            <v>PARANAQUE</v>
          </cell>
          <cell r="F286" t="str">
            <v>SCHED</v>
          </cell>
          <cell r="G286">
            <v>45700.413472222222</v>
          </cell>
          <cell r="H286">
            <v>45707.400694444441</v>
          </cell>
          <cell r="I286" t="str">
            <v>ME166067</v>
          </cell>
        </row>
        <row r="287">
          <cell r="A287" t="str">
            <v>X24083140896</v>
          </cell>
          <cell r="B287" t="str">
            <v>PCA, New Electric Service, HMB, VILLA FER-FLOR STA. TERESA NEIGHBORHOOD ASSN. INC</v>
          </cell>
          <cell r="C287" t="str">
            <v>STREET, BLOCK 1, VILLA FER FLOR SUBDIVISION, TAGUIG CITY</v>
          </cell>
          <cell r="D287" t="str">
            <v>17669228</v>
          </cell>
          <cell r="E287" t="str">
            <v>PARANAQUE</v>
          </cell>
          <cell r="F287" t="str">
            <v>SCHED</v>
          </cell>
          <cell r="G287">
            <v>45624.348460648151</v>
          </cell>
          <cell r="H287">
            <v>45629.697916666664</v>
          </cell>
          <cell r="I287" t="str">
            <v>ME192555</v>
          </cell>
        </row>
        <row r="288">
          <cell r="A288" t="str">
            <v>X24083141279</v>
          </cell>
          <cell r="B288" t="str">
            <v>PCA, New Electric Service, HMB, VILLA FER-FLOR STA. TERESA NEIGHBORHOOD ASSN. INC</v>
          </cell>
          <cell r="C288" t="str">
            <v>STREET, BLOCK 2, VILLA FER FLOR SUBDIVISION, TAGUIG CITY</v>
          </cell>
          <cell r="D288" t="str">
            <v>17669229</v>
          </cell>
          <cell r="E288" t="str">
            <v>PARANAQUE</v>
          </cell>
          <cell r="F288" t="str">
            <v>SCHED</v>
          </cell>
          <cell r="G288">
            <v>45624.344143518516</v>
          </cell>
          <cell r="H288">
            <v>45629.395833333336</v>
          </cell>
          <cell r="I288" t="str">
            <v>ME188584</v>
          </cell>
        </row>
        <row r="289">
          <cell r="A289" t="str">
            <v>X24083159101</v>
          </cell>
          <cell r="B289" t="str">
            <v>PCA, Modification of Electric Service, HMB, CHONA RODRIGUEZ GAN</v>
          </cell>
          <cell r="C289" t="str">
            <v>STREET, DOÑA AURORA, TAHANAN VILL, PARANAQUE</v>
          </cell>
          <cell r="D289" t="str">
            <v>75666</v>
          </cell>
          <cell r="E289" t="str">
            <v>PARANAQUE</v>
          </cell>
          <cell r="F289" t="str">
            <v>SCHED</v>
          </cell>
          <cell r="G289">
            <v>45573.531446759262</v>
          </cell>
          <cell r="H289">
            <v>45579.25</v>
          </cell>
          <cell r="I289" t="str">
            <v>ME166067</v>
          </cell>
        </row>
        <row r="290">
          <cell r="A290" t="str">
            <v>X24083217792</v>
          </cell>
          <cell r="B290" t="str">
            <v>PCA, Modification of Electric Service, SME, L.T. SOUTHVILLE SCHOOL, INC.</v>
          </cell>
          <cell r="C290" t="str">
            <v>STREET, LUXEMBOURG, BF HOMES, LAS PINAS CITY</v>
          </cell>
          <cell r="D290" t="str">
            <v>61954</v>
          </cell>
          <cell r="E290" t="str">
            <v>PARANAQUE</v>
          </cell>
          <cell r="F290" t="str">
            <v>SCHED</v>
          </cell>
          <cell r="G290">
            <v>45733.413807870369</v>
          </cell>
          <cell r="H290">
            <v>45734.693055555559</v>
          </cell>
          <cell r="I290" t="str">
            <v>ME155242</v>
          </cell>
        </row>
        <row r="291">
          <cell r="A291" t="str">
            <v>X24083222197</v>
          </cell>
          <cell r="B291" t="str">
            <v>PCA, New Electric Service, HMB, AUREA PEÑERO BANAO</v>
          </cell>
          <cell r="C291" t="str">
            <v>STREET, BLOCK 101, SITIO IMELDA, TAGUIG CITY</v>
          </cell>
          <cell r="D291" t="str">
            <v>92579</v>
          </cell>
          <cell r="E291" t="str">
            <v>PARANAQUE</v>
          </cell>
          <cell r="F291" t="str">
            <v>SCHED</v>
          </cell>
          <cell r="G291">
            <v>45706.606851851851</v>
          </cell>
          <cell r="H291">
            <v>45709.40625</v>
          </cell>
          <cell r="I291" t="str">
            <v>ME185284</v>
          </cell>
        </row>
        <row r="292">
          <cell r="A292" t="str">
            <v>X24083238472</v>
          </cell>
          <cell r="B292" t="str">
            <v>PCA, Modification of Electric Service, CBG, LAND TRANSPORTATION OFFICE</v>
          </cell>
          <cell r="C292" t="str">
            <v>STREET, NATIONAL, TUNASAN, MUNTINLUPA</v>
          </cell>
          <cell r="D292" t="str">
            <v>74415</v>
          </cell>
          <cell r="E292" t="str">
            <v>PARANAQUE</v>
          </cell>
          <cell r="F292" t="str">
            <v>FCOMP</v>
          </cell>
          <cell r="G292">
            <v>45733.382118055553</v>
          </cell>
          <cell r="H292">
            <v>45733.691666666666</v>
          </cell>
          <cell r="I292" t="str">
            <v>ME166067</v>
          </cell>
        </row>
        <row r="293">
          <cell r="A293" t="str">
            <v>X24083245022</v>
          </cell>
          <cell r="B293" t="str">
            <v>PCA, New Electric Service, CBG, EDGEPOINT TOWERS INC.</v>
          </cell>
          <cell r="C293" t="str">
            <v>STREET, C6 ROAD, HAGONOY, TAGUIG CITY</v>
          </cell>
          <cell r="D293" t="str">
            <v>142305</v>
          </cell>
          <cell r="E293" t="str">
            <v>PARANAQUE</v>
          </cell>
          <cell r="F293" t="str">
            <v>FCOMP</v>
          </cell>
          <cell r="G293">
            <v>45710.412256944444</v>
          </cell>
          <cell r="H293">
            <v>45679.606944444444</v>
          </cell>
          <cell r="I293" t="str">
            <v>ME185284</v>
          </cell>
        </row>
        <row r="294">
          <cell r="A294" t="str">
            <v>X24083258065</v>
          </cell>
          <cell r="B294" t="str">
            <v>PCA, Modification of Electric Service, HMB, KENNETH NGO CHUA</v>
          </cell>
          <cell r="C294" t="str">
            <v>STREET, DOÑA INES, ALABANG HILLS SUBD PH 1, MUNTINLUPA</v>
          </cell>
          <cell r="D294" t="str">
            <v>72603</v>
          </cell>
          <cell r="E294" t="str">
            <v>PARANAQUE</v>
          </cell>
          <cell r="F294" t="str">
            <v>SCHED</v>
          </cell>
          <cell r="G294">
            <v>45688.629444444443</v>
          </cell>
          <cell r="H294">
            <v>45692.602083333331</v>
          </cell>
          <cell r="I294" t="str">
            <v>ME155242</v>
          </cell>
        </row>
        <row r="295">
          <cell r="A295" t="str">
            <v>X24083277607</v>
          </cell>
          <cell r="B295" t="str">
            <v>PCA, New Electric Service, HMB, JONATHAN KEE AGABIN</v>
          </cell>
          <cell r="C295" t="str">
            <v>STREET, SAMAR, MARINA SUBD, PARANAQUE</v>
          </cell>
          <cell r="D295" t="str">
            <v>78199</v>
          </cell>
          <cell r="E295" t="str">
            <v>PARANAQUE</v>
          </cell>
          <cell r="F295" t="str">
            <v>FCOMP</v>
          </cell>
          <cell r="G295">
            <v>45671.000694444447</v>
          </cell>
          <cell r="H295">
            <v>45609.34375</v>
          </cell>
          <cell r="I295" t="str">
            <v>ME185284</v>
          </cell>
        </row>
        <row r="296">
          <cell r="A296" t="str">
            <v>X24083316199</v>
          </cell>
          <cell r="B296" t="str">
            <v>PCA, New Electric Service, HMB, ADEL MUNDAN BALOGO</v>
          </cell>
          <cell r="C296" t="str">
            <v>STREET, SAUDI ARABIA, BETTER LIVING SUBD, PARANAQUE</v>
          </cell>
          <cell r="D296" t="str">
            <v>75846</v>
          </cell>
          <cell r="E296" t="str">
            <v>PARANAQUE</v>
          </cell>
          <cell r="F296" t="str">
            <v>WMTRL</v>
          </cell>
          <cell r="G296">
            <v>45742.683067129627</v>
          </cell>
          <cell r="H296">
            <v>45751.65625</v>
          </cell>
          <cell r="I296" t="str">
            <v>ME155242</v>
          </cell>
        </row>
        <row r="297">
          <cell r="A297" t="str">
            <v>X24083317606</v>
          </cell>
          <cell r="B297" t="str">
            <v>PCA, New Electric Service, SME, HARD DISCOUNT PHILIPPINES, INC.</v>
          </cell>
          <cell r="C297" t="str">
            <v>STREET, M.L. QUEZON, PUROK 2, TAGUIG CITY</v>
          </cell>
          <cell r="D297" t="str">
            <v>91416</v>
          </cell>
          <cell r="E297" t="str">
            <v>PARANAQUE</v>
          </cell>
          <cell r="F297" t="str">
            <v>FCOMP</v>
          </cell>
          <cell r="G297">
            <v>45739.304375</v>
          </cell>
          <cell r="H297">
            <v>45596.4375</v>
          </cell>
          <cell r="I297" t="str">
            <v>ME185284</v>
          </cell>
        </row>
        <row r="298">
          <cell r="A298" t="str">
            <v>X24083323243</v>
          </cell>
          <cell r="B298" t="str">
            <v>PCA, Modification of Electric Service, HMB, NICOLE TRINIDAD LOTILLA</v>
          </cell>
          <cell r="C298" t="str">
            <v>STREET, DAFFODIL, PILAR VILL, LAS PINAS CITY</v>
          </cell>
          <cell r="D298" t="str">
            <v>63210</v>
          </cell>
          <cell r="E298" t="str">
            <v>PARANAQUE</v>
          </cell>
          <cell r="F298" t="str">
            <v>FCOMP</v>
          </cell>
          <cell r="G298">
            <v>45721.362986111111</v>
          </cell>
          <cell r="H298">
            <v>45609.395833333336</v>
          </cell>
          <cell r="I298" t="str">
            <v>ME155242</v>
          </cell>
        </row>
        <row r="299">
          <cell r="A299" t="str">
            <v>X24083333203</v>
          </cell>
          <cell r="B299" t="str">
            <v>PCA, New Electric Service, SME, ACHIEVERS BUSINESS GROUP INC.</v>
          </cell>
          <cell r="C299" t="str">
            <v>STREET, C-5 , KALAYAAN VILL/BALAGBAG, PASAY CITY</v>
          </cell>
          <cell r="D299" t="str">
            <v>17407990</v>
          </cell>
          <cell r="E299" t="str">
            <v>PARANAQUE</v>
          </cell>
          <cell r="F299" t="str">
            <v>FCOMP</v>
          </cell>
          <cell r="G299">
            <v>45724.655844907407</v>
          </cell>
          <cell r="H299">
            <v>45722.647916666669</v>
          </cell>
          <cell r="I299" t="str">
            <v>ME185284</v>
          </cell>
        </row>
        <row r="300">
          <cell r="A300" t="str">
            <v>X24083392619</v>
          </cell>
          <cell r="B300" t="str">
            <v>PCA, New Electric Service, HMB, RONILO LANSANG DAVID</v>
          </cell>
          <cell r="C300" t="str">
            <v>STREET, LAPU-LAPU, BACLARAN, PARANAQUE</v>
          </cell>
          <cell r="D300" t="str">
            <v>75097</v>
          </cell>
          <cell r="E300" t="str">
            <v>PARANAQUE</v>
          </cell>
          <cell r="F300" t="str">
            <v>FCOMP</v>
          </cell>
          <cell r="G300">
            <v>45672.476342592592</v>
          </cell>
          <cell r="H300">
            <v>45639.395833333336</v>
          </cell>
          <cell r="I300" t="str">
            <v>ME155242</v>
          </cell>
        </row>
        <row r="301">
          <cell r="A301" t="str">
            <v>X24083423327</v>
          </cell>
          <cell r="B301" t="str">
            <v>PCA, Modification of Electric Service, CBG, NATIONAL RESEARCH COUNCIL OF THE PHILIPPINES</v>
          </cell>
          <cell r="C301" t="str">
            <v>STREET, GEN. SANTOS, UPPER BICUTAN, TAGUIG CITY</v>
          </cell>
          <cell r="D301" t="str">
            <v>92617</v>
          </cell>
          <cell r="E301" t="str">
            <v>PARANAQUE</v>
          </cell>
          <cell r="F301" t="str">
            <v>FCOMP</v>
          </cell>
          <cell r="G301">
            <v>45675.566064814811</v>
          </cell>
          <cell r="H301">
            <v>45643.416666666664</v>
          </cell>
          <cell r="I301" t="str">
            <v>ME185284</v>
          </cell>
        </row>
        <row r="302">
          <cell r="A302" t="str">
            <v>X24083428614</v>
          </cell>
          <cell r="B302" t="str">
            <v>PCA, New Electric Service, HMB, DENNIS CALDERON SAN PEDRO</v>
          </cell>
          <cell r="C302" t="str">
            <v>STREET, CONCORDE, CONCORDE SUBD, PARANAQUE</v>
          </cell>
          <cell r="D302" t="str">
            <v>78155</v>
          </cell>
          <cell r="E302" t="str">
            <v>PARANAQUE</v>
          </cell>
          <cell r="F302" t="str">
            <v>FCOMP</v>
          </cell>
          <cell r="G302">
            <v>45697.605057870373</v>
          </cell>
          <cell r="H302">
            <v>45685.672222222223</v>
          </cell>
          <cell r="I302" t="str">
            <v>ME185284</v>
          </cell>
        </row>
        <row r="303">
          <cell r="A303" t="str">
            <v>X24083434936</v>
          </cell>
          <cell r="B303" t="str">
            <v>PCA, Modification of Electric Service, SME, MAXIPRINTS INC.</v>
          </cell>
          <cell r="C303" t="str">
            <v>STREET, 1ST, TAGUIG BAGUMBAYAN INDL ASS INC, TAGUIG CITY</v>
          </cell>
          <cell r="D303" t="str">
            <v>91230</v>
          </cell>
          <cell r="E303" t="str">
            <v>PARANAQUE</v>
          </cell>
          <cell r="F303" t="str">
            <v>FCOMP</v>
          </cell>
          <cell r="G303">
            <v>45710.415393518517</v>
          </cell>
          <cell r="H303">
            <v>45596.364583333336</v>
          </cell>
          <cell r="I303" t="str">
            <v>ME185284</v>
          </cell>
        </row>
        <row r="304">
          <cell r="A304" t="str">
            <v>X24083439704</v>
          </cell>
          <cell r="B304" t="str">
            <v>PCA, New Electric Service, CBG, DITO TELECOMMUNITY CORPORATION</v>
          </cell>
          <cell r="C304" t="str">
            <v>STREET, CHAMPACA, STO. NINO, TAGUIG CITY</v>
          </cell>
          <cell r="D304" t="str">
            <v>93015</v>
          </cell>
          <cell r="E304" t="str">
            <v>PARANAQUE</v>
          </cell>
          <cell r="F304" t="str">
            <v>CLOSED-CAN</v>
          </cell>
          <cell r="G304">
            <v>45694.87840277778</v>
          </cell>
          <cell r="H304">
            <v>45569.322916666664</v>
          </cell>
          <cell r="I304" t="str">
            <v>ME185284</v>
          </cell>
        </row>
        <row r="305">
          <cell r="A305" t="str">
            <v>X24083444240</v>
          </cell>
          <cell r="B305" t="str">
            <v>PCA, New Electric Service, HMB, WOODRIDGE PROPERTIES INC.</v>
          </cell>
          <cell r="C305" t="str">
            <v>STREET, BLOCK 5, DANAROSE RESIDENCES, BACOOR</v>
          </cell>
          <cell r="D305" t="str">
            <v>17189454</v>
          </cell>
          <cell r="E305" t="str">
            <v>PARANAQUE</v>
          </cell>
          <cell r="F305" t="str">
            <v>SCHED</v>
          </cell>
          <cell r="G305">
            <v>45613.757962962962</v>
          </cell>
          <cell r="H305">
            <v>45617.4375</v>
          </cell>
          <cell r="I305" t="str">
            <v>ME184184</v>
          </cell>
        </row>
        <row r="306">
          <cell r="A306" t="str">
            <v>X24083444242</v>
          </cell>
          <cell r="B306" t="str">
            <v>PCA, New Electric Service, HMB, JEIKA PROPERTIES CORPORATION</v>
          </cell>
          <cell r="C306" t="str">
            <v>STREET, BLOCK 6, KATHLEEN PLACE 5 SUBD, BACOOR</v>
          </cell>
          <cell r="D306" t="str">
            <v>17656632</v>
          </cell>
          <cell r="E306" t="str">
            <v>PARANAQUE</v>
          </cell>
          <cell r="F306" t="str">
            <v>FCOMP</v>
          </cell>
          <cell r="G306">
            <v>45694.592650462961</v>
          </cell>
          <cell r="H306">
            <v>45587.3125</v>
          </cell>
          <cell r="I306" t="str">
            <v>ME166067</v>
          </cell>
        </row>
        <row r="307">
          <cell r="A307" t="str">
            <v>X24083472331</v>
          </cell>
          <cell r="B307" t="str">
            <v>PCA, New Electric Service, HMB, ROBERTO N. LIM</v>
          </cell>
          <cell r="C307" t="str">
            <v>STREET, MOLAVE, MOLAVE PARK VILL, PARANAQUE</v>
          </cell>
          <cell r="D307" t="str">
            <v>76640</v>
          </cell>
          <cell r="E307" t="str">
            <v>PARANAQUE</v>
          </cell>
          <cell r="F307" t="str">
            <v>SCHED</v>
          </cell>
          <cell r="G307">
            <v>45680.540532407409</v>
          </cell>
          <cell r="H307">
            <v>45685.710416666669</v>
          </cell>
          <cell r="I307" t="str">
            <v>ME185284</v>
          </cell>
        </row>
        <row r="308">
          <cell r="A308" t="str">
            <v>X24093485481</v>
          </cell>
          <cell r="B308" t="str">
            <v>PCA, New Electric Service, HMB, ANIELYN OCAMPO BALICUDIONG</v>
          </cell>
          <cell r="C308" t="str">
            <v>STREET, HABAY I, HABAY I, BACOOR</v>
          </cell>
          <cell r="D308" t="str">
            <v>17255</v>
          </cell>
          <cell r="E308" t="str">
            <v>PARANAQUE</v>
          </cell>
          <cell r="F308" t="str">
            <v>SCHED</v>
          </cell>
          <cell r="G308">
            <v>45684.593877314815</v>
          </cell>
          <cell r="H308">
            <v>45685.756249999999</v>
          </cell>
          <cell r="I308" t="str">
            <v>ME155242</v>
          </cell>
        </row>
        <row r="309">
          <cell r="A309" t="str">
            <v>X24093485695</v>
          </cell>
          <cell r="B309" t="str">
            <v>PCA, New Electric Service, CBG, POSH PROPERTIES DEVELOPMENT CORPORATION</v>
          </cell>
          <cell r="C309" t="str">
            <v>STREET, BELLE, ASEANA BUSINESS PARK, PARANAQUE</v>
          </cell>
          <cell r="D309" t="str">
            <v>75131</v>
          </cell>
          <cell r="E309" t="str">
            <v>PARANAQUE</v>
          </cell>
          <cell r="F309" t="str">
            <v>SCHED</v>
          </cell>
          <cell r="G309">
            <v>45733.350393518522</v>
          </cell>
          <cell r="H309">
            <v>45734.684027777781</v>
          </cell>
          <cell r="I309" t="str">
            <v>ME185284</v>
          </cell>
        </row>
        <row r="310">
          <cell r="A310" t="str">
            <v>X24093485934</v>
          </cell>
          <cell r="B310" t="str">
            <v>PCA, Modification of Electric Service, HMB, MARLON WILLIAMS MARCELINO CASTILLO</v>
          </cell>
          <cell r="C310" t="str">
            <v>STREET, ORMOC, ALABANG HILLS SUBD PH 2, MUNTINLUPA</v>
          </cell>
          <cell r="D310" t="str">
            <v>72617</v>
          </cell>
          <cell r="E310" t="str">
            <v>PARANAQUE</v>
          </cell>
          <cell r="F310" t="str">
            <v>SCHED</v>
          </cell>
          <cell r="G310">
            <v>45601.606736111113</v>
          </cell>
          <cell r="H310">
            <v>45602.4375</v>
          </cell>
          <cell r="I310" t="str">
            <v>ME185284</v>
          </cell>
        </row>
        <row r="311">
          <cell r="A311" t="str">
            <v>X24093488253</v>
          </cell>
          <cell r="B311" t="str">
            <v>PCA, New Electric Service, HMB, VILLA FER-FLOR STA. TERESA NEIGHBORHOOD ASSN. INC</v>
          </cell>
          <cell r="C311" t="str">
            <v>STREET, BLOCK 1, VILLA FER FLOR SUBDIVISION, TAGUIG CITY</v>
          </cell>
          <cell r="D311" t="str">
            <v>17669228</v>
          </cell>
          <cell r="E311" t="str">
            <v>PARANAQUE</v>
          </cell>
          <cell r="F311" t="str">
            <v>SCHED</v>
          </cell>
          <cell r="G311">
            <v>45624.34542824074</v>
          </cell>
          <cell r="H311">
            <v>45629.40625</v>
          </cell>
          <cell r="I311" t="str">
            <v>ME188584</v>
          </cell>
        </row>
        <row r="312">
          <cell r="A312" t="str">
            <v>X24093492216</v>
          </cell>
          <cell r="B312" t="str">
            <v>PCA, New Electric Service, SME, ALFAMART TRADING PHILIPPINES, INC.</v>
          </cell>
          <cell r="C312" t="str">
            <v>STREET, SUMMIT CIRCLE SUBD, SUMMIT CIRCLE SUBD, MUNTINLUPA</v>
          </cell>
          <cell r="D312" t="str">
            <v>72567</v>
          </cell>
          <cell r="E312" t="str">
            <v>PARANAQUE</v>
          </cell>
          <cell r="F312" t="str">
            <v>FCOMP</v>
          </cell>
          <cell r="G312">
            <v>45720.657511574071</v>
          </cell>
          <cell r="H312">
            <v>45716.768750000003</v>
          </cell>
          <cell r="I312" t="str">
            <v>ME166067</v>
          </cell>
        </row>
        <row r="313">
          <cell r="A313" t="str">
            <v>X24093502622</v>
          </cell>
          <cell r="B313" t="str">
            <v>PCA, Recontract of Electric Service, HMB, GINA BAGASIN ECLIPSE</v>
          </cell>
          <cell r="C313" t="str">
            <v>STREET, KALAYAAN VILL/BALAGBAG, KALAYAAN VILL/BALAGBAG, PASAY CITY</v>
          </cell>
          <cell r="D313" t="str">
            <v>78608</v>
          </cell>
          <cell r="E313" t="str">
            <v>PARANAQUE</v>
          </cell>
          <cell r="F313" t="str">
            <v>FCOMP</v>
          </cell>
          <cell r="G313">
            <v>45699.494502314818</v>
          </cell>
          <cell r="H313">
            <v>45629.364583333336</v>
          </cell>
          <cell r="I313" t="str">
            <v>ME185284</v>
          </cell>
        </row>
        <row r="314">
          <cell r="A314" t="str">
            <v>X24093522671</v>
          </cell>
          <cell r="B314" t="str">
            <v>PCA, New Electric Service, HMB, A &amp; T RESOURCES &amp; DEV'T</v>
          </cell>
          <cell r="C314" t="str">
            <v>STREET, CORREGIDOR, TIERRA NUEVA SUBD, MUNTINLUPA</v>
          </cell>
          <cell r="D314" t="str">
            <v>72854</v>
          </cell>
          <cell r="E314" t="str">
            <v>PARANAQUE</v>
          </cell>
          <cell r="F314" t="str">
            <v>SCHED</v>
          </cell>
          <cell r="G314">
            <v>45736.37667824074</v>
          </cell>
          <cell r="H314">
            <v>45737.542361111111</v>
          </cell>
          <cell r="I314" t="str">
            <v>ME166067</v>
          </cell>
        </row>
        <row r="315">
          <cell r="A315" t="str">
            <v>X24093530616</v>
          </cell>
          <cell r="B315" t="str">
            <v>PCA, Modification of Electric Service, HMB, SPRINGTOWN DEVELOPMENT CORPORATION</v>
          </cell>
          <cell r="C315" t="str">
            <v>STREET, SUSANA, TUNASAN, MUNTINLUPA</v>
          </cell>
          <cell r="D315" t="str">
            <v>74420</v>
          </cell>
          <cell r="E315" t="str">
            <v>PARANAQUE</v>
          </cell>
          <cell r="F315" t="str">
            <v>SCHED</v>
          </cell>
          <cell r="G315">
            <v>45642.59747685185</v>
          </cell>
          <cell r="H315">
            <v>45646.447916666664</v>
          </cell>
          <cell r="I315" t="str">
            <v>ME166067</v>
          </cell>
        </row>
        <row r="316">
          <cell r="A316" t="str">
            <v>X24093549347</v>
          </cell>
          <cell r="B316" t="str">
            <v>PCA, New Electric Service, SME, CROWN OF KING SOLOMON ACADEMY INC.</v>
          </cell>
          <cell r="C316" t="str">
            <v>STREET, 6TH, SALINAS I, BACOOR</v>
          </cell>
          <cell r="D316" t="str">
            <v>20007</v>
          </cell>
          <cell r="E316" t="str">
            <v>PARANAQUE</v>
          </cell>
          <cell r="F316" t="str">
            <v>FCOMP</v>
          </cell>
          <cell r="G316">
            <v>45702.546122685184</v>
          </cell>
          <cell r="H316">
            <v>45588.364583333336</v>
          </cell>
          <cell r="I316" t="str">
            <v>ME185284</v>
          </cell>
        </row>
        <row r="317">
          <cell r="A317" t="str">
            <v>X24093584209</v>
          </cell>
          <cell r="B317" t="str">
            <v>PCA, Termination of Electric Service, SME, BRILLO DEL ESTE DEVELOPMENT CORP.</v>
          </cell>
          <cell r="C317" t="str">
            <v>STREET, PRES. M. ROXAS, TAMBO, PARANAQUE</v>
          </cell>
          <cell r="D317" t="str">
            <v>78240</v>
          </cell>
          <cell r="E317" t="str">
            <v>PARANAQUE</v>
          </cell>
          <cell r="F317" t="str">
            <v>SCHED</v>
          </cell>
          <cell r="G317">
            <v>45579.383136574077</v>
          </cell>
          <cell r="H317">
            <v>45579.416666666664</v>
          </cell>
          <cell r="I317" t="str">
            <v>ME185284</v>
          </cell>
        </row>
        <row r="318">
          <cell r="A318" t="str">
            <v>X24093584870</v>
          </cell>
          <cell r="B318" t="str">
            <v>PCA, Modification of Electric Service, HMB, ZENAIDA IGNACIO REYES</v>
          </cell>
          <cell r="C318" t="str">
            <v>STREET, DIMASALANG, HAGONOY, TAGUIG CITY</v>
          </cell>
          <cell r="D318" t="str">
            <v>91270</v>
          </cell>
          <cell r="E318" t="str">
            <v>PARANAQUE</v>
          </cell>
          <cell r="F318" t="str">
            <v>FCOMP</v>
          </cell>
          <cell r="G318">
            <v>45733.34646990741</v>
          </cell>
          <cell r="H318">
            <v>45555.354166666664</v>
          </cell>
          <cell r="I318" t="str">
            <v>ME185284</v>
          </cell>
        </row>
        <row r="319">
          <cell r="A319" t="str">
            <v>X24093598451</v>
          </cell>
          <cell r="B319" t="str">
            <v>PCA, New Electric Service, CBG, DITO TELECOMMUNITY CORPORATION</v>
          </cell>
          <cell r="C319" t="str">
            <v>STREET, DR. A. SANTOS, SAN ISIDRO, PARANAQUE</v>
          </cell>
          <cell r="D319" t="str">
            <v>77646</v>
          </cell>
          <cell r="E319" t="str">
            <v>PARANAQUE</v>
          </cell>
          <cell r="F319" t="str">
            <v>FCOMP</v>
          </cell>
          <cell r="G319">
            <v>45682.338125000002</v>
          </cell>
          <cell r="H319">
            <v>45679.615972222222</v>
          </cell>
          <cell r="I319" t="str">
            <v>ME155242</v>
          </cell>
        </row>
        <row r="320">
          <cell r="A320" t="str">
            <v>X24093618242</v>
          </cell>
          <cell r="B320" t="str">
            <v>PCA, New Electric Service, HMB, PRIME ACERS HOLDINGS CORPORATION</v>
          </cell>
          <cell r="C320" t="str">
            <v>STREET, DIEGO SILANG, AFP OVAI PH 1, TAGUIG CITY</v>
          </cell>
          <cell r="D320" t="str">
            <v>17411619</v>
          </cell>
          <cell r="E320" t="str">
            <v>PARANAQUE</v>
          </cell>
          <cell r="F320" t="str">
            <v>INPRG</v>
          </cell>
          <cell r="G320">
            <v>45715.666238425925</v>
          </cell>
          <cell r="H320">
            <v>45707.371527777781</v>
          </cell>
          <cell r="I320" t="str">
            <v>ME185284</v>
          </cell>
        </row>
        <row r="321">
          <cell r="A321" t="str">
            <v>X24093630108</v>
          </cell>
          <cell r="B321" t="str">
            <v>PCA, New Electric Service, SME, KOBE Z. CHAN</v>
          </cell>
          <cell r="C321" t="str">
            <v>STREET, BLOCK 24, ENLISTED PERSONNEL VIL 2, TAGUIG CITY</v>
          </cell>
          <cell r="D321" t="str">
            <v>92796</v>
          </cell>
          <cell r="E321" t="str">
            <v>PARANAQUE</v>
          </cell>
          <cell r="F321" t="str">
            <v>FCOMP</v>
          </cell>
          <cell r="G321">
            <v>45743.343414351853</v>
          </cell>
          <cell r="H321">
            <v>45688.611805555556</v>
          </cell>
          <cell r="I321" t="str">
            <v>ME185284</v>
          </cell>
        </row>
        <row r="322">
          <cell r="A322" t="str">
            <v>X24093657207</v>
          </cell>
          <cell r="B322" t="str">
            <v>PCA, New Electric Service, HMB, SONNY HABOC BURIAS</v>
          </cell>
          <cell r="C322" t="str">
            <v>STREET, WASHINGTON, MERVILLE SUBD, PARANAQUE</v>
          </cell>
          <cell r="D322" t="str">
            <v>76628</v>
          </cell>
          <cell r="E322" t="str">
            <v>PARANAQUE</v>
          </cell>
          <cell r="F322" t="str">
            <v>SCHED</v>
          </cell>
          <cell r="G322">
            <v>45722.690648148149</v>
          </cell>
          <cell r="H322">
            <v>45722.68472222222</v>
          </cell>
          <cell r="I322" t="str">
            <v>ME155242</v>
          </cell>
        </row>
        <row r="323">
          <cell r="A323" t="str">
            <v>X24093681665</v>
          </cell>
          <cell r="B323" t="str">
            <v>PCA, New Electric Service, HMB, DANIELA MARIE ORCINE NAPILI</v>
          </cell>
          <cell r="C323" t="str">
            <v>STREET, BLOCK 2, BAMBOO BREEZE RESIDENCES, BACOOR</v>
          </cell>
          <cell r="D323" t="str">
            <v>17208105</v>
          </cell>
          <cell r="E323" t="str">
            <v>PARANAQUE</v>
          </cell>
          <cell r="F323" t="str">
            <v>FCOMP</v>
          </cell>
          <cell r="G323">
            <v>45736.398680555554</v>
          </cell>
          <cell r="H323">
            <v>45622.354166666664</v>
          </cell>
          <cell r="I323" t="str">
            <v>ME155242</v>
          </cell>
        </row>
        <row r="324">
          <cell r="A324" t="str">
            <v>X24093683073</v>
          </cell>
          <cell r="B324" t="str">
            <v>PCA, Modification of Electric Service, SME, ELECTRO-SYSTEMS INDUSTRIES CORPORATION</v>
          </cell>
          <cell r="C324" t="str">
            <v>STREET, BAES, PERPETUAL VILLAGE, TAGUIG CITY</v>
          </cell>
          <cell r="D324" t="str">
            <v>90967</v>
          </cell>
          <cell r="E324" t="str">
            <v>PARANAQUE</v>
          </cell>
          <cell r="F324" t="str">
            <v>FCOMP</v>
          </cell>
          <cell r="G324">
            <v>45715.665462962963</v>
          </cell>
          <cell r="H324">
            <v>45700.38958333333</v>
          </cell>
          <cell r="I324" t="str">
            <v>ME185284</v>
          </cell>
        </row>
        <row r="325">
          <cell r="A325" t="str">
            <v>X24093693382</v>
          </cell>
          <cell r="B325" t="str">
            <v>PCA, Termination of Electric Service, SME, ASIA STRUCTURAL DEVELOPER CORP,</v>
          </cell>
          <cell r="C325" t="str">
            <v>STREET, PACIFIC, MARINA SUBD, PARANAQUE</v>
          </cell>
          <cell r="D325" t="str">
            <v>78195</v>
          </cell>
          <cell r="E325" t="str">
            <v>PARANAQUE</v>
          </cell>
          <cell r="F325" t="str">
            <v>FCOMP</v>
          </cell>
          <cell r="G325">
            <v>45677.388749999998</v>
          </cell>
          <cell r="H325">
            <v>45615.385416666664</v>
          </cell>
          <cell r="I325" t="str">
            <v>ME155242</v>
          </cell>
        </row>
        <row r="326">
          <cell r="A326" t="str">
            <v>X24093698934</v>
          </cell>
          <cell r="B326" t="str">
            <v>PCA, Termination of Electric Service, SME, BLOOMINGDALE ENTERPRISES INC</v>
          </cell>
          <cell r="C326" t="str">
            <v>STREET, ALABANG-ZAPOTE, TALON I, LAS PINAS CITY</v>
          </cell>
          <cell r="D326" t="str">
            <v>63944</v>
          </cell>
          <cell r="E326" t="str">
            <v>PARANAQUE</v>
          </cell>
          <cell r="F326" t="str">
            <v>FCOMP</v>
          </cell>
          <cell r="G326">
            <v>45716.44153935185</v>
          </cell>
          <cell r="H326">
            <v>45583.40625</v>
          </cell>
          <cell r="I326" t="str">
            <v>ME185284</v>
          </cell>
        </row>
        <row r="327">
          <cell r="A327" t="str">
            <v>X24093702490</v>
          </cell>
          <cell r="B327" t="str">
            <v>PCA, New Electric Service, HMB, BARANGAY MOLINO VI</v>
          </cell>
          <cell r="C327" t="str">
            <v>STREET, EVERLASTING, SOLDIER'S HILLS 4 PH II, BACOOR</v>
          </cell>
          <cell r="D327" t="str">
            <v>19425</v>
          </cell>
          <cell r="E327" t="str">
            <v>PARANAQUE</v>
          </cell>
          <cell r="F327" t="str">
            <v>FCOMP</v>
          </cell>
          <cell r="G327">
            <v>45695.604131944441</v>
          </cell>
          <cell r="H327">
            <v>45643.416666666664</v>
          </cell>
          <cell r="I327" t="str">
            <v>ME155242</v>
          </cell>
        </row>
        <row r="328">
          <cell r="A328" t="str">
            <v>X24093707345</v>
          </cell>
          <cell r="B328" t="str">
            <v>PCA, New Electric Service, HMB, CITY GOVERNMENT OF TAGUIG</v>
          </cell>
          <cell r="C328" t="str">
            <v>STREET, MAGSAYSAY, ZONE 6, TAGUIG CITY</v>
          </cell>
          <cell r="D328" t="str">
            <v>92043</v>
          </cell>
          <cell r="E328" t="str">
            <v>PARANAQUE</v>
          </cell>
          <cell r="F328" t="str">
            <v>FCOMP</v>
          </cell>
          <cell r="G328">
            <v>45683.309583333335</v>
          </cell>
          <cell r="H328">
            <v>45624.34375</v>
          </cell>
          <cell r="I328" t="str">
            <v>ME185284</v>
          </cell>
        </row>
        <row r="329">
          <cell r="A329" t="str">
            <v>X24093710813</v>
          </cell>
          <cell r="B329" t="str">
            <v>PCA, New Electric Service, HMB, ALLAN RAMIREZ SORBITO</v>
          </cell>
          <cell r="C329" t="str">
            <v>STREET, IFUGAO, CAMELLA SPRINGVILLE HEIGHTS III, BACOOR</v>
          </cell>
          <cell r="D329" t="str">
            <v>16737</v>
          </cell>
          <cell r="E329" t="str">
            <v>PARANAQUE</v>
          </cell>
          <cell r="F329" t="str">
            <v>FCOMP</v>
          </cell>
          <cell r="G329">
            <v>45695.637118055558</v>
          </cell>
          <cell r="H329">
            <v>45673.672222222223</v>
          </cell>
          <cell r="I329" t="str">
            <v>ME155242</v>
          </cell>
        </row>
        <row r="330">
          <cell r="A330" t="str">
            <v>X24093717312</v>
          </cell>
          <cell r="B330" t="str">
            <v>PCA, Modification of Electric Service, HMB, MARIA PERLA G DATINGALING</v>
          </cell>
          <cell r="C330" t="str">
            <v>STREET, J. DIAZ, KATARUNGAN VILLAGE, MUNTINLUPA</v>
          </cell>
          <cell r="D330" t="str">
            <v>72927</v>
          </cell>
          <cell r="E330" t="str">
            <v>PARANAQUE</v>
          </cell>
          <cell r="F330" t="str">
            <v>SCHED</v>
          </cell>
          <cell r="G330">
            <v>45644.405243055553</v>
          </cell>
          <cell r="H330">
            <v>45646.447916666664</v>
          </cell>
          <cell r="I330" t="str">
            <v>ME166067</v>
          </cell>
        </row>
        <row r="331">
          <cell r="A331" t="str">
            <v>X24093717402</v>
          </cell>
          <cell r="B331" t="str">
            <v>PCA, Modification of Electric Service, HMB, ROGER ABANDO DUNGAN</v>
          </cell>
          <cell r="C331" t="str">
            <v>STREET, Q. PAREDES, KATARUNGAN VILLAGE, MUNTINLUPA</v>
          </cell>
          <cell r="D331" t="str">
            <v>72957</v>
          </cell>
          <cell r="E331" t="str">
            <v>PARANAQUE</v>
          </cell>
          <cell r="F331" t="str">
            <v>SCHED</v>
          </cell>
          <cell r="G331">
            <v>45728.599374999998</v>
          </cell>
          <cell r="H331">
            <v>45733.693055555559</v>
          </cell>
          <cell r="I331" t="str">
            <v>ME166067</v>
          </cell>
        </row>
        <row r="332">
          <cell r="A332" t="str">
            <v>X24093725089</v>
          </cell>
          <cell r="B332" t="str">
            <v>PCA, New Electric Service, HMB, RUBEN LEYVA TERRADO</v>
          </cell>
          <cell r="C332" t="str">
            <v>STREET, PILAR, ST. JOSEPH SUBD, LAS PINAS CITY</v>
          </cell>
          <cell r="D332" t="str">
            <v>61772</v>
          </cell>
          <cell r="E332" t="str">
            <v>PARANAQUE</v>
          </cell>
          <cell r="F332" t="str">
            <v>FCOMP</v>
          </cell>
          <cell r="G332">
            <v>45668.466840277775</v>
          </cell>
          <cell r="H332">
            <v>45643.416666666664</v>
          </cell>
          <cell r="I332" t="str">
            <v>ME185284</v>
          </cell>
        </row>
        <row r="333">
          <cell r="A333" t="str">
            <v>X24093725127</v>
          </cell>
          <cell r="B333" t="str">
            <v>PCA, New Electric Service, CBG, LIGHT RAIL MANILA CORPORATION</v>
          </cell>
          <cell r="C333" t="str">
            <v>STREET, NINOY AQUINO, STO. NINO, PARANAQUE</v>
          </cell>
          <cell r="D333" t="str">
            <v>77899</v>
          </cell>
          <cell r="E333" t="str">
            <v>PARANAQUE</v>
          </cell>
          <cell r="F333" t="str">
            <v>FCOMP</v>
          </cell>
          <cell r="G333">
            <v>45733.347615740742</v>
          </cell>
          <cell r="H333">
            <v>45579.354166666664</v>
          </cell>
          <cell r="I333" t="str">
            <v>ME185284</v>
          </cell>
        </row>
        <row r="334">
          <cell r="A334" t="str">
            <v>X24093725597</v>
          </cell>
          <cell r="B334" t="str">
            <v>PCA, New Electric Service, HMB, RAV MC LESTER SALCEDO ASI</v>
          </cell>
          <cell r="C334" t="str">
            <v>STREET, ST. GEORGE, METROCOR SOUTH GATE HOMES, LAS PINAS CITY</v>
          </cell>
          <cell r="D334" t="str">
            <v>61751</v>
          </cell>
          <cell r="E334" t="str">
            <v>PARANAQUE</v>
          </cell>
          <cell r="F334" t="str">
            <v>FCOMP</v>
          </cell>
          <cell r="G334">
            <v>45687.61923611111</v>
          </cell>
          <cell r="H334">
            <v>45681.305555555555</v>
          </cell>
          <cell r="I334" t="str">
            <v>ME166067</v>
          </cell>
        </row>
        <row r="335">
          <cell r="A335" t="str">
            <v>X24093762742</v>
          </cell>
          <cell r="B335" t="str">
            <v>PCA, Termination of Electric Service, SME, ALSTOM TRANSPORT CONSTRUCTION PHILIPPINES, INC.</v>
          </cell>
          <cell r="C335" t="str">
            <v>STREET, NINOY AQUINO, STO. NINO, PARANAQUE</v>
          </cell>
          <cell r="D335" t="str">
            <v>77899</v>
          </cell>
          <cell r="E335" t="str">
            <v>PARANAQUE</v>
          </cell>
          <cell r="F335" t="str">
            <v>FCOMP</v>
          </cell>
          <cell r="G335">
            <v>45689.298229166663</v>
          </cell>
          <cell r="H335">
            <v>45602.364583333336</v>
          </cell>
          <cell r="I335" t="str">
            <v>ME185284</v>
          </cell>
        </row>
        <row r="336">
          <cell r="A336" t="str">
            <v>X24093763605</v>
          </cell>
          <cell r="B336" t="str">
            <v>PCA, Termination of Electric Service, SME, ALSTOM TRANSPORT CONSTRUCTION PHILIPPINES, INC.</v>
          </cell>
          <cell r="C336" t="str">
            <v>STREET, DR. A SANTOS, SAN DIONISIO, PARANAQUE</v>
          </cell>
          <cell r="D336" t="str">
            <v>77026</v>
          </cell>
          <cell r="E336" t="str">
            <v>PARANAQUE</v>
          </cell>
          <cell r="F336" t="str">
            <v>SCHED</v>
          </cell>
          <cell r="G336">
            <v>45601.516192129631</v>
          </cell>
          <cell r="H336">
            <v>45602.40625</v>
          </cell>
          <cell r="I336" t="str">
            <v>ME155242</v>
          </cell>
        </row>
        <row r="337">
          <cell r="A337" t="str">
            <v>X24093766158</v>
          </cell>
          <cell r="B337" t="str">
            <v>PCA, New Electric Service, SME, ALFAMART TRADING PHILIPPINES, INC.</v>
          </cell>
          <cell r="C337" t="str">
            <v>STREET, QUEEN'S MAIN, QUEEN'S ROW AREA A SUBD, BACOOR</v>
          </cell>
          <cell r="D337" t="str">
            <v>19840</v>
          </cell>
          <cell r="E337" t="str">
            <v>PARANAQUE</v>
          </cell>
          <cell r="F337" t="str">
            <v>SCHED</v>
          </cell>
          <cell r="G337">
            <v>45688.630983796298</v>
          </cell>
          <cell r="H337">
            <v>45693.538888888892</v>
          </cell>
          <cell r="I337" t="str">
            <v>ME185284</v>
          </cell>
        </row>
        <row r="338">
          <cell r="A338" t="str">
            <v>X24093766777</v>
          </cell>
          <cell r="B338" t="str">
            <v>PCA, Modification of Electric Service, HMB, ESMAIL FAIDAH BARODI</v>
          </cell>
          <cell r="C338" t="str">
            <v>STREET, DON PEDRO, GARCIA HEIGHTS, PARANAQUE</v>
          </cell>
          <cell r="D338" t="str">
            <v>77210</v>
          </cell>
          <cell r="E338" t="str">
            <v>PARANAQUE</v>
          </cell>
          <cell r="F338" t="str">
            <v>INPRG</v>
          </cell>
          <cell r="G338">
            <v>45715.669062499997</v>
          </cell>
          <cell r="H338">
            <v>45635.541666666664</v>
          </cell>
          <cell r="I338" t="str">
            <v>ME185284</v>
          </cell>
        </row>
        <row r="339">
          <cell r="A339" t="str">
            <v>X24093767977</v>
          </cell>
          <cell r="B339" t="str">
            <v>PCA, New Electric Service, SME, BIGBANG REALTY AND DEVELOPMENT CORPORATION</v>
          </cell>
          <cell r="C339" t="str">
            <v>STREET, ANIBAN I, ANIBAN I, BACOOR</v>
          </cell>
          <cell r="D339" t="str">
            <v>16523</v>
          </cell>
          <cell r="E339" t="str">
            <v>PARANAQUE</v>
          </cell>
          <cell r="F339" t="str">
            <v>FCOMP</v>
          </cell>
          <cell r="G339">
            <v>45663.649548611109</v>
          </cell>
          <cell r="H339">
            <v>45639.395833333336</v>
          </cell>
          <cell r="I339" t="str">
            <v>ME185284</v>
          </cell>
        </row>
        <row r="340">
          <cell r="A340" t="str">
            <v>X24093771340</v>
          </cell>
          <cell r="B340" t="str">
            <v>PCA, New Electric Service, HMB, STO. CRISTO PROPERTIES &amp; HOLDINGS CORP.</v>
          </cell>
          <cell r="C340" t="str">
            <v>STREET, PASCUAL, PARANAQUE GREEN HEIGHTS, PARANAQUE</v>
          </cell>
          <cell r="D340" t="str">
            <v>77557</v>
          </cell>
          <cell r="E340" t="str">
            <v>PARANAQUE</v>
          </cell>
          <cell r="F340" t="str">
            <v>FCOMP</v>
          </cell>
          <cell r="G340">
            <v>45693.47587962963</v>
          </cell>
          <cell r="H340">
            <v>45675.34375</v>
          </cell>
          <cell r="I340" t="str">
            <v>ME166067</v>
          </cell>
        </row>
        <row r="341">
          <cell r="A341" t="str">
            <v>X24093778968</v>
          </cell>
          <cell r="B341" t="str">
            <v>PCA, New Electric Service, HMB, CITY GOVERNMENT OF TAGUIG</v>
          </cell>
          <cell r="C341" t="str">
            <v>STREET, M.L. QUEZON, PUROK 3, TAGUIG CITY</v>
          </cell>
          <cell r="D341" t="str">
            <v>91456</v>
          </cell>
          <cell r="E341" t="str">
            <v>PARANAQUE</v>
          </cell>
          <cell r="F341" t="str">
            <v>FCOMP</v>
          </cell>
          <cell r="G341">
            <v>45713.671516203707</v>
          </cell>
          <cell r="H341">
            <v>45671.682638888888</v>
          </cell>
          <cell r="I341" t="str">
            <v>ME185284</v>
          </cell>
        </row>
        <row r="342">
          <cell r="A342" t="str">
            <v>X24093781077</v>
          </cell>
          <cell r="B342" t="str">
            <v>PCA, New Electric Service, HMB, ARNULFO CAL TABLIZO</v>
          </cell>
          <cell r="C342" t="str">
            <v>STREET, 1ST, BAGUMBAYAN, TAGUIG CITY</v>
          </cell>
          <cell r="D342" t="str">
            <v>91111</v>
          </cell>
          <cell r="E342" t="str">
            <v>PARANAQUE</v>
          </cell>
          <cell r="F342" t="str">
            <v>FCOMP</v>
          </cell>
          <cell r="G342">
            <v>45744.665706018517</v>
          </cell>
          <cell r="H342">
            <v>45719.604861111111</v>
          </cell>
          <cell r="I342" t="str">
            <v>ME185284</v>
          </cell>
        </row>
        <row r="343">
          <cell r="A343" t="str">
            <v>X24093787030</v>
          </cell>
          <cell r="B343" t="str">
            <v>PCA, New Electric Service, CBG, CONVERGE INFORMATION AND COMMUNICATIONS TECHNOLOGY</v>
          </cell>
          <cell r="C343" t="str">
            <v>STREET, LAPU-LAPU, PUROK 5, TAGUIG CITY</v>
          </cell>
          <cell r="D343" t="str">
            <v>92496</v>
          </cell>
          <cell r="E343" t="str">
            <v>PARANAQUE</v>
          </cell>
          <cell r="F343" t="str">
            <v>CLOSED-CAN</v>
          </cell>
          <cell r="G343">
            <v>45694.878564814811</v>
          </cell>
          <cell r="H343">
            <v>45590.333333333336</v>
          </cell>
          <cell r="I343" t="str">
            <v>ME185284</v>
          </cell>
        </row>
        <row r="344">
          <cell r="A344" t="str">
            <v>X24093852320</v>
          </cell>
          <cell r="B344" t="str">
            <v>PCA, New Electric Service, HMB, ALEXANDRA MARIE PAMINTUAN CRUZ</v>
          </cell>
          <cell r="C344" t="str">
            <v>STREET, ST. BERNADETTE, SAN JOSE SUBD, MUNTINLUPA</v>
          </cell>
          <cell r="D344" t="str">
            <v>72817</v>
          </cell>
          <cell r="E344" t="str">
            <v>PARANAQUE</v>
          </cell>
          <cell r="F344" t="str">
            <v>SCHED</v>
          </cell>
          <cell r="G344">
            <v>45635.643599537034</v>
          </cell>
          <cell r="H344">
            <v>45638.4375</v>
          </cell>
          <cell r="I344" t="str">
            <v>ME184184</v>
          </cell>
        </row>
        <row r="345">
          <cell r="A345" t="str">
            <v>X24093863040</v>
          </cell>
          <cell r="B345" t="str">
            <v>PCA, New Electric Service, HMB, AIRA NAVARRO JUBILADO</v>
          </cell>
          <cell r="C345" t="str">
            <v>STREET, A. MABINI, TUAZON SUBD, LAS PINAS CITY</v>
          </cell>
          <cell r="D345" t="str">
            <v>62797</v>
          </cell>
          <cell r="E345" t="str">
            <v>PARANAQUE</v>
          </cell>
          <cell r="F345" t="str">
            <v>SCHED</v>
          </cell>
          <cell r="G345">
            <v>45630.405810185184</v>
          </cell>
          <cell r="H345">
            <v>45635.586111111108</v>
          </cell>
          <cell r="I345" t="str">
            <v>ME155242</v>
          </cell>
        </row>
        <row r="346">
          <cell r="A346" t="str">
            <v>X24093865089</v>
          </cell>
          <cell r="B346" t="str">
            <v>PCA, Modification of Electric Service, HMB, JOVY BITANGCOL LOSERIAGA</v>
          </cell>
          <cell r="C346" t="str">
            <v>STREET, BLOCK 8, AFP OVAI PH 1, TAGUIG CITY</v>
          </cell>
          <cell r="D346" t="str">
            <v>92677</v>
          </cell>
          <cell r="E346" t="str">
            <v>PARANAQUE</v>
          </cell>
          <cell r="F346" t="str">
            <v>FCOMP</v>
          </cell>
          <cell r="G346">
            <v>45668.665324074071</v>
          </cell>
          <cell r="H346">
            <v>45653.34375</v>
          </cell>
          <cell r="I346" t="str">
            <v>ME185284</v>
          </cell>
        </row>
        <row r="347">
          <cell r="A347" t="str">
            <v>X24103880983</v>
          </cell>
          <cell r="B347" t="str">
            <v>PCA, New Electric Service, CBG, GLOBE TELECOM, INC.</v>
          </cell>
          <cell r="C347" t="str">
            <v>STREET, BUHAY NA TUBIG, MOLINO III, BACOOR</v>
          </cell>
          <cell r="D347" t="str">
            <v>17142103</v>
          </cell>
          <cell r="E347" t="str">
            <v>PARANAQUE</v>
          </cell>
          <cell r="F347" t="str">
            <v>FCOMP</v>
          </cell>
          <cell r="G347">
            <v>45688.292488425926</v>
          </cell>
          <cell r="H347">
            <v>45624.385416666664</v>
          </cell>
          <cell r="I347" t="str">
            <v>ME155242</v>
          </cell>
        </row>
        <row r="348">
          <cell r="A348" t="str">
            <v>X24103884052</v>
          </cell>
          <cell r="B348" t="str">
            <v>PCA, Modification of Electric Service, HMB, CARMELINDELLE PALMA MATERNAL</v>
          </cell>
          <cell r="C348" t="str">
            <v>STREET, MOLAVE, MANILA DOCTOR VILL, LAS PINAS CITY</v>
          </cell>
          <cell r="D348" t="str">
            <v>61736</v>
          </cell>
          <cell r="E348" t="str">
            <v>PARANAQUE</v>
          </cell>
          <cell r="F348" t="str">
            <v>SCHED</v>
          </cell>
          <cell r="G348">
            <v>45700.437858796293</v>
          </cell>
          <cell r="H348">
            <v>45707.359027777777</v>
          </cell>
          <cell r="I348" t="str">
            <v>ME155242</v>
          </cell>
        </row>
        <row r="349">
          <cell r="A349" t="str">
            <v>X24103888835</v>
          </cell>
          <cell r="B349" t="str">
            <v>PCA, Termination of Electric Service, CBG, MAKATI DEVELOPMENT CORPORATION</v>
          </cell>
          <cell r="C349" t="str">
            <v>STREET, EAST UNION, ARCA SOUTH, TAGUIG CITY</v>
          </cell>
          <cell r="D349" t="str">
            <v>17246309</v>
          </cell>
          <cell r="E349" t="str">
            <v>PARANAQUE</v>
          </cell>
          <cell r="F349" t="str">
            <v>FCOMP</v>
          </cell>
          <cell r="G349">
            <v>45688.316250000003</v>
          </cell>
          <cell r="H349">
            <v>45590.385416666664</v>
          </cell>
          <cell r="I349" t="str">
            <v>ME185284</v>
          </cell>
        </row>
        <row r="350">
          <cell r="A350" t="str">
            <v>X24103896053</v>
          </cell>
          <cell r="B350" t="str">
            <v>PCA, New Electric Service, CBG, DITO TELECOMMUNITY CORPORATION</v>
          </cell>
          <cell r="C350" t="str">
            <v>STREET, BLOCK 80, PUROK 6, TAGUIG CITY</v>
          </cell>
          <cell r="D350" t="str">
            <v>92521</v>
          </cell>
          <cell r="E350" t="str">
            <v>PARANAQUE</v>
          </cell>
          <cell r="F350" t="str">
            <v>FCOMP</v>
          </cell>
          <cell r="G350">
            <v>45744.668136574073</v>
          </cell>
          <cell r="H350">
            <v>45685.720138888886</v>
          </cell>
          <cell r="I350" t="str">
            <v>ME185284</v>
          </cell>
        </row>
        <row r="351">
          <cell r="A351" t="str">
            <v>X24103896457</v>
          </cell>
          <cell r="B351" t="str">
            <v>PCA, Modification of Electric Service, HMB, CITY GOVT OF LAS PIÑAS,</v>
          </cell>
          <cell r="C351" t="str">
            <v>STREET, DOÑA PILAR AGUIRRE, PILAR VILL, LAS PINAS CITY</v>
          </cell>
          <cell r="D351" t="str">
            <v>63215</v>
          </cell>
          <cell r="E351" t="str">
            <v>PARANAQUE</v>
          </cell>
          <cell r="F351" t="str">
            <v>FCOMP</v>
          </cell>
          <cell r="G351">
            <v>45733.36378472222</v>
          </cell>
          <cell r="H351">
            <v>45702.4375</v>
          </cell>
          <cell r="I351" t="str">
            <v>ME155242</v>
          </cell>
        </row>
        <row r="352">
          <cell r="A352" t="str">
            <v>X24103897542</v>
          </cell>
          <cell r="B352" t="str">
            <v>PCA, Termination of Electric Service, SME, RAICON DEVELOPMENT CORPORATION</v>
          </cell>
          <cell r="C352" t="str">
            <v>STREET, QUIRINO, PULANGLUPA I, LAS PINAS CITY</v>
          </cell>
          <cell r="D352" t="str">
            <v>63484</v>
          </cell>
          <cell r="E352" t="str">
            <v>PARANAQUE</v>
          </cell>
          <cell r="F352" t="str">
            <v>SCHED</v>
          </cell>
          <cell r="G352">
            <v>45609.613842592589</v>
          </cell>
          <cell r="H352">
            <v>45615.364583333336</v>
          </cell>
          <cell r="I352" t="str">
            <v>ME185284</v>
          </cell>
        </row>
        <row r="353">
          <cell r="A353" t="str">
            <v>X24103906652</v>
          </cell>
          <cell r="B353" t="str">
            <v>PCA, New Electric Service, SME, BERNADETTE A. NAVALTA</v>
          </cell>
          <cell r="C353" t="str">
            <v>STREET, B. CAPISTRANO, HAGONOY, TAGUIG CITY</v>
          </cell>
          <cell r="D353" t="str">
            <v>91265</v>
          </cell>
          <cell r="E353" t="str">
            <v>PARANAQUE</v>
          </cell>
          <cell r="F353" t="str">
            <v>FCOMP</v>
          </cell>
          <cell r="G353">
            <v>45735.626111111109</v>
          </cell>
          <cell r="H353">
            <v>45681.313888888886</v>
          </cell>
          <cell r="I353" t="str">
            <v>ME185284</v>
          </cell>
        </row>
        <row r="354">
          <cell r="A354" t="str">
            <v>X24103906706</v>
          </cell>
          <cell r="B354" t="str">
            <v>PCA, New Electric Service, HMB, DAWN ISOBEL YU AQUINO</v>
          </cell>
          <cell r="C354" t="str">
            <v>STREET, BATANGAS EAST, AYALA-ALABANG VILL, MUNTINLUPA</v>
          </cell>
          <cell r="D354" t="str">
            <v>73124</v>
          </cell>
          <cell r="E354" t="str">
            <v>PARANAQUE</v>
          </cell>
          <cell r="F354" t="str">
            <v>SCHED</v>
          </cell>
          <cell r="G354">
            <v>45695.634247685186</v>
          </cell>
          <cell r="H354">
            <v>45700.395833333336</v>
          </cell>
          <cell r="I354" t="str">
            <v>ME155242</v>
          </cell>
        </row>
        <row r="355">
          <cell r="A355" t="str">
            <v>X24103919469</v>
          </cell>
          <cell r="B355" t="str">
            <v>PCA, New Electric Service, SME, NOR BARQUILLA CUBERO</v>
          </cell>
          <cell r="C355" t="str">
            <v>STREET, GARNET, SEVERINA DIAMOND SUBD, PARANAQUE</v>
          </cell>
          <cell r="D355" t="str">
            <v>76464</v>
          </cell>
          <cell r="E355" t="str">
            <v>PARANAQUE</v>
          </cell>
          <cell r="F355" t="str">
            <v>FCOMP</v>
          </cell>
          <cell r="G355">
            <v>45684.59479166667</v>
          </cell>
          <cell r="H355">
            <v>45623.34375</v>
          </cell>
          <cell r="I355" t="str">
            <v>ME185284</v>
          </cell>
        </row>
        <row r="356">
          <cell r="A356" t="str">
            <v>X24103942328</v>
          </cell>
          <cell r="B356" t="str">
            <v>PCA, New Electric Service, SME, MAXBLOCK CONSTRUCTION CORP.</v>
          </cell>
          <cell r="C356" t="str">
            <v>STREET, PANORAMA CPD, VETERANS CENTER, TAGUIG CITY</v>
          </cell>
          <cell r="D356" t="str">
            <v>93061</v>
          </cell>
          <cell r="E356" t="str">
            <v>PARANAQUE</v>
          </cell>
          <cell r="F356" t="str">
            <v>FCOMP</v>
          </cell>
          <cell r="G356">
            <v>45697.606354166666</v>
          </cell>
          <cell r="H356">
            <v>45688.620833333334</v>
          </cell>
          <cell r="I356" t="str">
            <v>ME185284</v>
          </cell>
        </row>
        <row r="357">
          <cell r="A357" t="str">
            <v>X24103945947</v>
          </cell>
          <cell r="B357" t="str">
            <v>PCA, New Electric Service, HMB, ROLANDO SURIA BUCU</v>
          </cell>
          <cell r="C357" t="str">
            <v>STREET, STERLINGLIFE, STERLINGLIFE HOMES, LAS PINAS CITY</v>
          </cell>
          <cell r="D357" t="str">
            <v>62878</v>
          </cell>
          <cell r="E357" t="str">
            <v>PARANAQUE</v>
          </cell>
          <cell r="F357" t="str">
            <v>SCHED</v>
          </cell>
          <cell r="G357">
            <v>45728.598124999997</v>
          </cell>
          <cell r="H357">
            <v>45733.668055555558</v>
          </cell>
          <cell r="I357" t="str">
            <v>ME155242</v>
          </cell>
        </row>
        <row r="358">
          <cell r="A358" t="str">
            <v>X24103955636</v>
          </cell>
          <cell r="B358" t="str">
            <v>PCA, New Electric Service, SME, DELECTABLE FEAST CORPORATION</v>
          </cell>
          <cell r="C358" t="str">
            <v>STREET, AGUIRRE, BF HOMES, PARANAQUE</v>
          </cell>
          <cell r="D358" t="str">
            <v>75134</v>
          </cell>
          <cell r="E358" t="str">
            <v>PARANAQUE</v>
          </cell>
          <cell r="F358" t="str">
            <v>FCOMP</v>
          </cell>
          <cell r="G358">
            <v>45689.379247685189</v>
          </cell>
          <cell r="H358">
            <v>45673.719444444447</v>
          </cell>
          <cell r="I358" t="str">
            <v>ME166067</v>
          </cell>
        </row>
        <row r="359">
          <cell r="A359" t="str">
            <v>X24103956559</v>
          </cell>
          <cell r="B359" t="str">
            <v>PCA, New Electric Service, SME, LILY REAL ESTATE DEVELOPMENT CORPORATION</v>
          </cell>
          <cell r="C359" t="str">
            <v>STREET, QUIRINO, TAMBO, PARANAQUE</v>
          </cell>
          <cell r="D359" t="str">
            <v>78242</v>
          </cell>
          <cell r="E359" t="str">
            <v>PARANAQUE</v>
          </cell>
          <cell r="F359" t="str">
            <v>SCHED</v>
          </cell>
          <cell r="G359">
            <v>45642.593171296299</v>
          </cell>
          <cell r="H359">
            <v>45646.447916666664</v>
          </cell>
          <cell r="I359" t="str">
            <v>ME155242</v>
          </cell>
        </row>
        <row r="360">
          <cell r="A360" t="str">
            <v>X24103959118</v>
          </cell>
          <cell r="B360" t="str">
            <v>PCA, New Electric Service, SME, MILES AND LEVELS PHILIPPINES, INC.</v>
          </cell>
          <cell r="C360" t="str">
            <v>STREET, WEST SERVICE, PHILCREST CPD, MUNTINLUPA</v>
          </cell>
          <cell r="D360" t="str">
            <v>72776</v>
          </cell>
          <cell r="E360" t="str">
            <v>PARANAQUE</v>
          </cell>
          <cell r="F360" t="str">
            <v>FCOMP</v>
          </cell>
          <cell r="G360">
            <v>45735.676111111112</v>
          </cell>
          <cell r="H360">
            <v>45709.427777777775</v>
          </cell>
          <cell r="I360" t="str">
            <v>ME166067</v>
          </cell>
        </row>
        <row r="361">
          <cell r="A361" t="str">
            <v>X24103963394</v>
          </cell>
          <cell r="B361" t="str">
            <v>PCA, New Electric Service, SME, HERSTAL SECURITY AGENCY, INC.</v>
          </cell>
          <cell r="C361" t="str">
            <v>STREET, DOÑA SOLEDAD, BETTER LIVING SUBD, PARANAQUE</v>
          </cell>
          <cell r="D361" t="str">
            <v>75761</v>
          </cell>
          <cell r="E361" t="str">
            <v>PARANAQUE</v>
          </cell>
          <cell r="F361" t="str">
            <v>SCHED</v>
          </cell>
          <cell r="G361">
            <v>45672.642407407409</v>
          </cell>
          <cell r="H361">
            <v>45679.620833333334</v>
          </cell>
          <cell r="I361" t="str">
            <v>ME185284</v>
          </cell>
        </row>
        <row r="362">
          <cell r="A362" t="str">
            <v>X24103965259</v>
          </cell>
          <cell r="B362" t="str">
            <v>PCA, New Electric Service, SME, TEVERE AVANDY HOLDINGS INC.</v>
          </cell>
          <cell r="C362" t="str">
            <v>STREET, AGUIRRE, BF HOMES, PARANAQUE</v>
          </cell>
          <cell r="D362" t="str">
            <v>75134</v>
          </cell>
          <cell r="E362" t="str">
            <v>PARANAQUE</v>
          </cell>
          <cell r="F362" t="str">
            <v>FCOMP</v>
          </cell>
          <cell r="G362">
            <v>45699.621562499997</v>
          </cell>
          <cell r="H362">
            <v>45695.4</v>
          </cell>
          <cell r="I362" t="str">
            <v>ME194579</v>
          </cell>
        </row>
        <row r="363">
          <cell r="A363" t="str">
            <v>X24103967581</v>
          </cell>
          <cell r="B363" t="str">
            <v>PCA, New Electric Service, HMB, VIRGILIO BRILLIANTES SY</v>
          </cell>
          <cell r="C363" t="str">
            <v>STREET, LAPU-LAPU, BACLARAN, PARANAQUE</v>
          </cell>
          <cell r="D363" t="str">
            <v>75097</v>
          </cell>
          <cell r="E363" t="str">
            <v>PARANAQUE</v>
          </cell>
          <cell r="F363" t="str">
            <v>SCHED</v>
          </cell>
          <cell r="G363">
            <v>45684.588472222225</v>
          </cell>
          <cell r="H363">
            <v>45685.723611111112</v>
          </cell>
          <cell r="I363" t="str">
            <v>ME185284</v>
          </cell>
        </row>
        <row r="364">
          <cell r="A364" t="str">
            <v>X24103967818</v>
          </cell>
          <cell r="B364" t="str">
            <v>PCA, New Electric Service, HMB, ELPIDIO THOMAS SANTIAGO ACERO III</v>
          </cell>
          <cell r="C364" t="str">
            <v>STREET, WASHINGTON, MERVILLE SUBD, PARANAQUE</v>
          </cell>
          <cell r="D364" t="str">
            <v>76628</v>
          </cell>
          <cell r="E364" t="str">
            <v>PARANAQUE</v>
          </cell>
          <cell r="F364" t="str">
            <v>SCHED</v>
          </cell>
          <cell r="G364">
            <v>45722.689386574071</v>
          </cell>
          <cell r="H364">
            <v>45722.681944444441</v>
          </cell>
          <cell r="I364" t="str">
            <v>ME155242</v>
          </cell>
        </row>
        <row r="365">
          <cell r="A365" t="str">
            <v>X24103973963</v>
          </cell>
          <cell r="B365" t="str">
            <v>PCA, New Electric Service, SME, IMV GEMINI PHARMA INC.</v>
          </cell>
          <cell r="C365" t="str">
            <v>STREET, BF HOMES-HERNANDEZ PORTION, BF HOMES-HERNANDEZ PORTION, LAS PINAS CITY</v>
          </cell>
          <cell r="D365" t="str">
            <v>61666</v>
          </cell>
          <cell r="E365" t="str">
            <v>PARANAQUE</v>
          </cell>
          <cell r="F365" t="str">
            <v>FCOMP</v>
          </cell>
          <cell r="G365">
            <v>45695.437083333331</v>
          </cell>
          <cell r="H365">
            <v>45673.722222222219</v>
          </cell>
          <cell r="I365" t="str">
            <v>ME166067</v>
          </cell>
        </row>
        <row r="366">
          <cell r="A366" t="str">
            <v>X24103986359</v>
          </cell>
          <cell r="B366" t="str">
            <v>PCA, New Electric Service, CBG, DITO TELECOMMUNITY CORPORATION</v>
          </cell>
          <cell r="C366" t="str">
            <v>STREET, QUEEN OF DIAMOND, QUEEN'S ROW AREA A SUBD, BACOOR</v>
          </cell>
          <cell r="D366" t="str">
            <v>19832</v>
          </cell>
          <cell r="E366" t="str">
            <v>PARANAQUE</v>
          </cell>
          <cell r="F366" t="str">
            <v>FCOMP</v>
          </cell>
          <cell r="G366">
            <v>45687.5237037037</v>
          </cell>
          <cell r="H366">
            <v>45646.447916666664</v>
          </cell>
          <cell r="I366" t="str">
            <v>ME185284</v>
          </cell>
        </row>
        <row r="367">
          <cell r="A367" t="str">
            <v>X24104022803</v>
          </cell>
          <cell r="B367" t="str">
            <v>PCA, New Electric Service, SME, PRECILLE DOHINOG ARQUILLANO</v>
          </cell>
          <cell r="C367" t="str">
            <v>STREET, SAMPALOC SITE 2, SAMPALOC SITE 2, PARANAQUE</v>
          </cell>
          <cell r="D367" t="str">
            <v>75619</v>
          </cell>
          <cell r="E367" t="str">
            <v>PARANAQUE</v>
          </cell>
          <cell r="F367" t="str">
            <v>FCOMP</v>
          </cell>
          <cell r="G367">
            <v>45699.309016203704</v>
          </cell>
          <cell r="H367">
            <v>45679.617361111108</v>
          </cell>
          <cell r="I367" t="str">
            <v>ME155242</v>
          </cell>
        </row>
        <row r="368">
          <cell r="A368" t="str">
            <v>X24104022999</v>
          </cell>
          <cell r="B368" t="str">
            <v>PCA, Termination of Electric Service, SME, DAHN BERGER PHILS. CONSTRUCTION CORPORATION</v>
          </cell>
          <cell r="C368" t="str">
            <v>STREET, DOÑA SOLEDAD, BETTER LIVING SUBD, PARANAQUE</v>
          </cell>
          <cell r="D368" t="str">
            <v>75761</v>
          </cell>
          <cell r="E368" t="str">
            <v>PARANAQUE</v>
          </cell>
          <cell r="F368" t="str">
            <v>FCOMP</v>
          </cell>
          <cell r="G368">
            <v>45688.348819444444</v>
          </cell>
          <cell r="H368">
            <v>45607.354166666664</v>
          </cell>
          <cell r="I368" t="str">
            <v>ME185284</v>
          </cell>
        </row>
        <row r="369">
          <cell r="A369" t="str">
            <v>X24104023531</v>
          </cell>
          <cell r="B369" t="str">
            <v>PCA, Modification of Electric Service, HMB, LOWELL L. YU</v>
          </cell>
          <cell r="C369" t="str">
            <v>STREET, NARRA, AYALA-ALABANG VILL, MUNTINLUPA</v>
          </cell>
          <cell r="D369" t="str">
            <v>73198</v>
          </cell>
          <cell r="E369" t="str">
            <v>PARANAQUE</v>
          </cell>
          <cell r="F369" t="str">
            <v>FCOMP</v>
          </cell>
          <cell r="G369">
            <v>45696.456736111111</v>
          </cell>
          <cell r="H369">
            <v>45630.407638888886</v>
          </cell>
          <cell r="I369" t="str">
            <v>ME155242</v>
          </cell>
        </row>
        <row r="370">
          <cell r="A370" t="str">
            <v>X24104024806</v>
          </cell>
          <cell r="B370" t="str">
            <v>PCA, New Electric Service, HMB, JUNEL PENALBA</v>
          </cell>
          <cell r="C370" t="str">
            <v>STREET, JUDGE BIENVENIDO TAN SR., BF RESORT VILL, LAS PINAS CITY</v>
          </cell>
          <cell r="D370" t="str">
            <v>64100</v>
          </cell>
          <cell r="E370" t="str">
            <v>PARANAQUE</v>
          </cell>
          <cell r="F370" t="str">
            <v>SCHED</v>
          </cell>
          <cell r="G370">
            <v>45706.621064814812</v>
          </cell>
          <cell r="H370">
            <v>45712.522222222222</v>
          </cell>
          <cell r="I370" t="str">
            <v>ME166067</v>
          </cell>
        </row>
        <row r="371">
          <cell r="A371" t="str">
            <v>X24104029330</v>
          </cell>
          <cell r="B371" t="str">
            <v>PCA, New Electric Service, HMB, NOEMI A SUMINISTRADO</v>
          </cell>
          <cell r="C371" t="str">
            <v>STREET, MILLARES, PUROK 4B, TAGUIG CITY</v>
          </cell>
          <cell r="D371" t="str">
            <v>91518</v>
          </cell>
          <cell r="E371" t="str">
            <v>PARANAQUE</v>
          </cell>
          <cell r="F371" t="str">
            <v>PCAN</v>
          </cell>
          <cell r="G371">
            <v>45681.68608796296</v>
          </cell>
          <cell r="H371">
            <v>45624.579861111109</v>
          </cell>
          <cell r="I371" t="str">
            <v>ME185284</v>
          </cell>
        </row>
        <row r="372">
          <cell r="A372" t="str">
            <v>X24104037169</v>
          </cell>
          <cell r="B372" t="str">
            <v>PCA, Modification of Electric Service, SME, CHRISTIAN BIBLE BAPTIST CHURCH AND MINISTRIES OF S</v>
          </cell>
          <cell r="C372" t="str">
            <v>STREET, IMPEX CPD, IMPEX CPD, LAS PINAS CITY</v>
          </cell>
          <cell r="D372" t="str">
            <v>63081</v>
          </cell>
          <cell r="E372" t="str">
            <v>PARANAQUE</v>
          </cell>
          <cell r="F372" t="str">
            <v>SCHED</v>
          </cell>
          <cell r="G372">
            <v>45630.401990740742</v>
          </cell>
          <cell r="H372">
            <v>45632.416666666664</v>
          </cell>
          <cell r="I372" t="str">
            <v>ME155242</v>
          </cell>
        </row>
        <row r="373">
          <cell r="A373" t="str">
            <v>X24104044893</v>
          </cell>
          <cell r="B373" t="str">
            <v>PCA, New Electric Service, SME, SONAK HOLDINGS CORPORATION</v>
          </cell>
          <cell r="C373" t="str">
            <v>STREET, WEST SERVICE, CUPANG, MUNTINLUPA</v>
          </cell>
          <cell r="D373" t="str">
            <v>72659</v>
          </cell>
          <cell r="E373" t="str">
            <v>PARANAQUE</v>
          </cell>
          <cell r="F373" t="str">
            <v>FCOMP</v>
          </cell>
          <cell r="G373">
            <v>45735.393923611111</v>
          </cell>
          <cell r="H373">
            <v>45639.447916666664</v>
          </cell>
          <cell r="I373" t="str">
            <v>ME155242</v>
          </cell>
        </row>
        <row r="374">
          <cell r="A374" t="str">
            <v>X24104049812</v>
          </cell>
          <cell r="B374" t="str">
            <v>PCA, New Electric Service, HMB, RACHEL RIVERA BACALLA</v>
          </cell>
          <cell r="C374" t="str">
            <v>STREET, ILANG-ILANG, DON JUAN BAYVIEW SUBD, MUNTINLUPA</v>
          </cell>
          <cell r="D374" t="str">
            <v>73965</v>
          </cell>
          <cell r="E374" t="str">
            <v>PARANAQUE</v>
          </cell>
          <cell r="F374" t="str">
            <v>FCOMP</v>
          </cell>
          <cell r="G374">
            <v>45695.506724537037</v>
          </cell>
          <cell r="H374">
            <v>45629.364583333336</v>
          </cell>
          <cell r="I374" t="str">
            <v>ME185284</v>
          </cell>
        </row>
        <row r="375">
          <cell r="A375" t="str">
            <v>X24104064373</v>
          </cell>
          <cell r="B375" t="str">
            <v>PCA, New Electric Service, SME, MA. CECILIA FLORES MAGAT</v>
          </cell>
          <cell r="C375" t="str">
            <v>STREET, MULTINATIONAL, MULTINATIONAL VILL, PARANAQUE</v>
          </cell>
          <cell r="D375" t="str">
            <v>76813</v>
          </cell>
          <cell r="E375" t="str">
            <v>PARANAQUE</v>
          </cell>
          <cell r="F375" t="str">
            <v>FCOMP</v>
          </cell>
          <cell r="G375">
            <v>45733.358518518522</v>
          </cell>
          <cell r="H375">
            <v>45646.447916666664</v>
          </cell>
          <cell r="I375" t="str">
            <v>ME185284</v>
          </cell>
        </row>
        <row r="376">
          <cell r="A376" t="str">
            <v>X24104068733</v>
          </cell>
          <cell r="B376" t="str">
            <v>PCA, New Electric Service, CBG, DITO TELECOMMUNITY CORPORATION</v>
          </cell>
          <cell r="C376" t="str">
            <v>STREET, M.L. QUEZON, PUROK 6, TAGUIG CITY</v>
          </cell>
          <cell r="D376" t="str">
            <v>91549</v>
          </cell>
          <cell r="E376" t="str">
            <v>PARANAQUE</v>
          </cell>
          <cell r="F376" t="str">
            <v>SCHED</v>
          </cell>
          <cell r="G376">
            <v>45678.576874999999</v>
          </cell>
          <cell r="H376">
            <v>45681.397222222222</v>
          </cell>
          <cell r="I376" t="str">
            <v>ME185284</v>
          </cell>
        </row>
        <row r="377">
          <cell r="A377" t="str">
            <v>X24104087935</v>
          </cell>
          <cell r="B377" t="str">
            <v>PCA, New Electric Service, SME, FIRSTAR HVAC INC.</v>
          </cell>
          <cell r="C377" t="str">
            <v>STREET, COASTAL, LONGOS, BACOOR</v>
          </cell>
          <cell r="D377" t="str">
            <v>17507</v>
          </cell>
          <cell r="E377" t="str">
            <v>PARANAQUE</v>
          </cell>
          <cell r="F377" t="str">
            <v>SCHED</v>
          </cell>
          <cell r="G377">
            <v>45728.595717592594</v>
          </cell>
          <cell r="H377">
            <v>45733.73333333333</v>
          </cell>
          <cell r="I377" t="str">
            <v>ME185284</v>
          </cell>
        </row>
        <row r="378">
          <cell r="A378" t="str">
            <v>X24104105713</v>
          </cell>
          <cell r="B378" t="str">
            <v>PCA, New Electric Service, SME, ECLECTUS FOOD VENTURES CORPORATION</v>
          </cell>
          <cell r="C378" t="str">
            <v>STREET, M.L. QUEZON, PUROK 1, TAGUIG CITY</v>
          </cell>
          <cell r="D378" t="str">
            <v>91365</v>
          </cell>
          <cell r="E378" t="str">
            <v>PARANAQUE</v>
          </cell>
          <cell r="F378" t="str">
            <v>FCOMP</v>
          </cell>
          <cell r="G378">
            <v>45689.29346064815</v>
          </cell>
          <cell r="H378">
            <v>45685.329861111109</v>
          </cell>
          <cell r="I378" t="str">
            <v>ME185284</v>
          </cell>
        </row>
        <row r="379">
          <cell r="A379" t="str">
            <v>X24104112560</v>
          </cell>
          <cell r="B379" t="str">
            <v>PCA, Termination of Electric Service, SME, METRO STONERICH CORPORATION,</v>
          </cell>
          <cell r="C379" t="str">
            <v>STREET, INDOCHINA LANE, FILINVEST CORPORATE CITY, MUNTINLUPA</v>
          </cell>
          <cell r="D379" t="str">
            <v>124857</v>
          </cell>
          <cell r="E379" t="str">
            <v>PARANAQUE</v>
          </cell>
          <cell r="F379" t="str">
            <v>FCOMP</v>
          </cell>
          <cell r="G379">
            <v>45692.318495370368</v>
          </cell>
          <cell r="H379">
            <v>45638.385416666664</v>
          </cell>
          <cell r="I379" t="str">
            <v>ME185284</v>
          </cell>
        </row>
        <row r="380">
          <cell r="A380" t="str">
            <v>X24104113256</v>
          </cell>
          <cell r="B380" t="str">
            <v>PCA, New Electric Service, HMB, MA. VICTORIA DE LUNA DUQUE</v>
          </cell>
          <cell r="C380" t="str">
            <v>STREET, OSORIO COMPOUND, SITIO DE ASIS, PARANAQUE</v>
          </cell>
          <cell r="D380" t="str">
            <v>17677528</v>
          </cell>
          <cell r="E380" t="str">
            <v>PARANAQUE</v>
          </cell>
          <cell r="F380" t="str">
            <v>FCOMP</v>
          </cell>
          <cell r="G380">
            <v>45666.612187500003</v>
          </cell>
          <cell r="H380">
            <v>45624.354166666664</v>
          </cell>
          <cell r="I380" t="str">
            <v>ME185284</v>
          </cell>
        </row>
        <row r="381">
          <cell r="A381" t="str">
            <v>X24104141244</v>
          </cell>
          <cell r="B381" t="str">
            <v>PCA, New Electric Service, HMB, SERVEQUEST INC.</v>
          </cell>
          <cell r="C381" t="str">
            <v>STREET, SUMMIT CIRCLE SUBD, SUMMIT CIRCLE SUBD, MUNTINLUPA</v>
          </cell>
          <cell r="D381" t="str">
            <v>72567</v>
          </cell>
          <cell r="E381" t="str">
            <v>PARANAQUE</v>
          </cell>
          <cell r="F381" t="str">
            <v>FCOMP</v>
          </cell>
          <cell r="G381">
            <v>45699.389745370368</v>
          </cell>
          <cell r="H381">
            <v>45694.543055555558</v>
          </cell>
          <cell r="I381" t="str">
            <v>ME166067</v>
          </cell>
        </row>
        <row r="382">
          <cell r="A382" t="str">
            <v>X24104149594</v>
          </cell>
          <cell r="B382" t="str">
            <v>PCA, New Electric Service, SME, NORTH PHILIPPINE UNION CONFERENCE CORP OF THE SEVE</v>
          </cell>
          <cell r="C382" t="str">
            <v>STREET, BAYANAN, BAYANAN, BACOOR</v>
          </cell>
          <cell r="D382" t="str">
            <v>17125</v>
          </cell>
          <cell r="E382" t="str">
            <v>PARANAQUE</v>
          </cell>
          <cell r="F382" t="str">
            <v>SCHED</v>
          </cell>
          <cell r="G382">
            <v>45665.64267361111</v>
          </cell>
          <cell r="H382">
            <v>45667.418749999997</v>
          </cell>
          <cell r="I382" t="str">
            <v>ME155242</v>
          </cell>
        </row>
        <row r="383">
          <cell r="A383" t="str">
            <v>X24104152226</v>
          </cell>
          <cell r="B383" t="str">
            <v>PCA, New Electric Service, HMB, MARY ROSE CUTARAN BAYLON</v>
          </cell>
          <cell r="C383" t="str">
            <v>STREET, BLOCK 25, VISTA VERDE PH III, BACOOR</v>
          </cell>
          <cell r="D383" t="str">
            <v>17924</v>
          </cell>
          <cell r="E383" t="str">
            <v>PARANAQUE</v>
          </cell>
          <cell r="F383" t="str">
            <v>SCHED</v>
          </cell>
          <cell r="G383">
            <v>45691.537847222222</v>
          </cell>
          <cell r="H383">
            <v>45695.658333333333</v>
          </cell>
          <cell r="I383" t="str">
            <v>ME155242</v>
          </cell>
        </row>
        <row r="384">
          <cell r="A384" t="str">
            <v>X24104277254</v>
          </cell>
          <cell r="B384" t="str">
            <v>PCA, New Electric Service, SME, JOHN PAULO H. ALBIS</v>
          </cell>
          <cell r="C384" t="str">
            <v>STREET, BLOCK 9, ENLISTED PERSONNEL VIL 1, TAGUIG CITY</v>
          </cell>
          <cell r="D384" t="str">
            <v>92740</v>
          </cell>
          <cell r="E384" t="str">
            <v>PARANAQUE</v>
          </cell>
          <cell r="F384" t="str">
            <v>SCHED</v>
          </cell>
          <cell r="G384">
            <v>45715.506712962961</v>
          </cell>
          <cell r="H384">
            <v>45719.307638888888</v>
          </cell>
          <cell r="I384" t="str">
            <v>ME185284</v>
          </cell>
        </row>
        <row r="385">
          <cell r="A385" t="str">
            <v>X24104277409</v>
          </cell>
          <cell r="B385" t="str">
            <v>PCA, New Electric Service, SME, COMGLASCO AGUILA GLASS CORP.</v>
          </cell>
          <cell r="C385" t="str">
            <v>STREET, MANALAC, BAGONG TANYAG, TAGUIG CITY</v>
          </cell>
          <cell r="D385" t="str">
            <v>90899</v>
          </cell>
          <cell r="E385" t="str">
            <v>PARANAQUE</v>
          </cell>
          <cell r="F385" t="str">
            <v>FCOMP</v>
          </cell>
          <cell r="G385">
            <v>45668.651053240741</v>
          </cell>
          <cell r="H385">
            <v>45644.447916666664</v>
          </cell>
          <cell r="I385" t="str">
            <v>ME185284</v>
          </cell>
        </row>
        <row r="386">
          <cell r="A386" t="str">
            <v>X24104280468</v>
          </cell>
          <cell r="B386" t="str">
            <v>PCA, Modification of Electric Service, HMB, CITY GOVERNMENT OF LAS PI¿AS</v>
          </cell>
          <cell r="C386" t="str">
            <v>STREET, DANDELION, DOÑA MANUELA SUBD, LAS PINAS CITY</v>
          </cell>
          <cell r="D386" t="str">
            <v>62967</v>
          </cell>
          <cell r="E386" t="str">
            <v>PARANAQUE</v>
          </cell>
          <cell r="F386" t="str">
            <v>SCHED</v>
          </cell>
          <cell r="G386">
            <v>45729.542870370373</v>
          </cell>
          <cell r="H386">
            <v>45733.739583333336</v>
          </cell>
          <cell r="I386" t="str">
            <v>ME185284</v>
          </cell>
        </row>
        <row r="387">
          <cell r="A387" t="str">
            <v>X24104283780</v>
          </cell>
          <cell r="B387" t="str">
            <v>PCA, New Electric Service, HMB, GOLDEN LARIELLE, INC.,</v>
          </cell>
          <cell r="C387" t="str">
            <v>STREET, BLOCK 1, BRAZILIA HEIGHTS, MUNTINLUPA</v>
          </cell>
          <cell r="D387" t="str">
            <v>142064</v>
          </cell>
          <cell r="E387" t="str">
            <v>PARANAQUE</v>
          </cell>
          <cell r="F387" t="str">
            <v>SCHED</v>
          </cell>
          <cell r="G387">
            <v>45667.633831018517</v>
          </cell>
          <cell r="H387">
            <v>45673.676388888889</v>
          </cell>
          <cell r="I387" t="str">
            <v>ME155242</v>
          </cell>
        </row>
        <row r="388">
          <cell r="A388" t="str">
            <v>X24104308728</v>
          </cell>
          <cell r="B388" t="str">
            <v>PCA, New Electric Service, SME, JOHN GABRIEL FERRER VERGEL</v>
          </cell>
          <cell r="C388" t="str">
            <v>STREET, BAYABAS, GOLDEN ACRES SUBD, LAS PINAS CITY</v>
          </cell>
          <cell r="D388" t="str">
            <v>17118917</v>
          </cell>
          <cell r="E388" t="str">
            <v>PARANAQUE</v>
          </cell>
          <cell r="F388" t="str">
            <v>FCOMP</v>
          </cell>
          <cell r="G388">
            <v>45741.632962962962</v>
          </cell>
          <cell r="H388">
            <v>45737.544444444444</v>
          </cell>
          <cell r="I388" t="str">
            <v>ME185284</v>
          </cell>
        </row>
        <row r="389">
          <cell r="A389" t="str">
            <v>X24104312412</v>
          </cell>
          <cell r="B389" t="str">
            <v>PCA, New Electric Service, HMB, SEVRANDO OLAES LAPUZ</v>
          </cell>
          <cell r="C389" t="str">
            <v>STREET, BLOCK 6, MAGDIWANG SUBD, BACOOR</v>
          </cell>
          <cell r="D389" t="str">
            <v>117279</v>
          </cell>
          <cell r="E389" t="str">
            <v>PARANAQUE</v>
          </cell>
          <cell r="F389" t="str">
            <v>SCHED</v>
          </cell>
          <cell r="G389">
            <v>45635.644629629627</v>
          </cell>
          <cell r="H389">
            <v>45639.395833333336</v>
          </cell>
          <cell r="I389" t="str">
            <v>ME184184</v>
          </cell>
        </row>
        <row r="390">
          <cell r="A390" t="str">
            <v>X24104341977</v>
          </cell>
          <cell r="B390" t="str">
            <v>PCA, New Electric Service, HMB, MARGARITA OROSA FELIX</v>
          </cell>
          <cell r="C390" t="str">
            <v>STREET, TANAUAN, AYALA-ALABANG VILL, MUNTINLUPA</v>
          </cell>
          <cell r="D390" t="str">
            <v>73246</v>
          </cell>
          <cell r="E390" t="str">
            <v>PARANAQUE</v>
          </cell>
          <cell r="F390" t="str">
            <v>FCOMP</v>
          </cell>
          <cell r="G390">
            <v>45703.357476851852</v>
          </cell>
          <cell r="H390">
            <v>45685.665277777778</v>
          </cell>
          <cell r="I390" t="str">
            <v>ME166067</v>
          </cell>
        </row>
        <row r="391">
          <cell r="A391" t="str">
            <v>X24114362991</v>
          </cell>
          <cell r="B391" t="str">
            <v>PCA, Termination of Electric Service, CBG, MAKATI DEVELOPMENT CORPORATION,</v>
          </cell>
          <cell r="C391" t="str">
            <v>STREET, RAMBUTAN, FTI CPD, TAGUIG CITY</v>
          </cell>
          <cell r="D391" t="str">
            <v>92806</v>
          </cell>
          <cell r="E391" t="str">
            <v>PARANAQUE</v>
          </cell>
          <cell r="F391" t="str">
            <v>FCOMP</v>
          </cell>
          <cell r="G391">
            <v>45688.314259259256</v>
          </cell>
          <cell r="H391">
            <v>45617.40625</v>
          </cell>
          <cell r="I391" t="str">
            <v>ME185284</v>
          </cell>
        </row>
        <row r="392">
          <cell r="A392" t="str">
            <v>X24114379540</v>
          </cell>
          <cell r="B392" t="str">
            <v>PCA, Modification of Electric Service, HMB, DHAN JERICO MIKE M. DELOS SANTOS</v>
          </cell>
          <cell r="C392" t="str">
            <v>STREET, BLOCK 11, VISTA VERDE SOUTH PH I, BACOOR</v>
          </cell>
          <cell r="D392" t="str">
            <v>17020905</v>
          </cell>
          <cell r="E392" t="str">
            <v>PARANAQUE</v>
          </cell>
          <cell r="F392" t="str">
            <v>FCOMP</v>
          </cell>
          <cell r="G392">
            <v>45696.513078703705</v>
          </cell>
          <cell r="H392">
            <v>45643.416666666664</v>
          </cell>
          <cell r="I392" t="str">
            <v>ME155242</v>
          </cell>
        </row>
        <row r="393">
          <cell r="A393" t="str">
            <v>X24114379635</v>
          </cell>
          <cell r="B393" t="str">
            <v>PCA, New Electric Service, SME, CITYLAND DEVELOPMENT CORPORATION</v>
          </cell>
          <cell r="C393" t="str">
            <v>STREET, ALABANG-ZAPOTE, ALMANZA I, LAS PINAS CITY</v>
          </cell>
          <cell r="D393" t="str">
            <v>61639</v>
          </cell>
          <cell r="E393" t="str">
            <v>PARANAQUE</v>
          </cell>
          <cell r="F393" t="str">
            <v>FCOMP</v>
          </cell>
          <cell r="G393">
            <v>45677.540601851855</v>
          </cell>
          <cell r="H393">
            <v>45646.447916666664</v>
          </cell>
          <cell r="I393" t="str">
            <v>ME185284</v>
          </cell>
        </row>
        <row r="394">
          <cell r="A394" t="str">
            <v>X24114393200</v>
          </cell>
          <cell r="B394" t="str">
            <v>PCA, Recontract of Electric Service, HMB, MACRO GOLDEN STAR CORP,</v>
          </cell>
          <cell r="C394" t="str">
            <v>STREET, ALABANG-ZAPOTE, PAMPLONA II, LAS PINAS CITY</v>
          </cell>
          <cell r="D394" t="str">
            <v>62803</v>
          </cell>
          <cell r="E394" t="str">
            <v>PARANAQUE</v>
          </cell>
          <cell r="F394" t="str">
            <v>FCOMP</v>
          </cell>
          <cell r="G394">
            <v>45696.509675925925</v>
          </cell>
          <cell r="H394">
            <v>45630.42083333333</v>
          </cell>
          <cell r="I394" t="str">
            <v>ME155242</v>
          </cell>
        </row>
        <row r="395">
          <cell r="A395" t="str">
            <v>X24114420508</v>
          </cell>
          <cell r="B395" t="str">
            <v>PCA, Modification of Electric Service, HMB, HERMINIO VALERIO</v>
          </cell>
          <cell r="C395" t="str">
            <v>STREET, BANABA, CAMELLA SPV CENTRAL PH 2, BACOOR</v>
          </cell>
          <cell r="D395" t="str">
            <v>18455</v>
          </cell>
          <cell r="E395" t="str">
            <v>PARANAQUE</v>
          </cell>
          <cell r="F395" t="str">
            <v>SCHED</v>
          </cell>
          <cell r="G395">
            <v>45635.635763888888</v>
          </cell>
          <cell r="H395">
            <v>45638.395833333336</v>
          </cell>
          <cell r="I395" t="str">
            <v>ME155242</v>
          </cell>
        </row>
        <row r="396">
          <cell r="A396" t="str">
            <v>X24114453678</v>
          </cell>
          <cell r="B396" t="str">
            <v>PCA, Modification of Electric Service, HMB, JENNIFER GALANG UY</v>
          </cell>
          <cell r="C396" t="str">
            <v>STREET, R. QUISUMBING, KATARUNGAN VILLAGE, MUNTINLUPA</v>
          </cell>
          <cell r="D396" t="str">
            <v>72966</v>
          </cell>
          <cell r="E396" t="str">
            <v>PARANAQUE</v>
          </cell>
          <cell r="F396" t="str">
            <v>SCHED</v>
          </cell>
          <cell r="G396">
            <v>45646.562037037038</v>
          </cell>
          <cell r="H396">
            <v>45653.327777777777</v>
          </cell>
          <cell r="I396" t="str">
            <v>ME185284</v>
          </cell>
        </row>
        <row r="397">
          <cell r="A397" t="str">
            <v>X24114453763</v>
          </cell>
          <cell r="B397" t="str">
            <v>PCA, Modification of Electric Service, HMB, ANGELO CALVO PICARDAL</v>
          </cell>
          <cell r="C397" t="str">
            <v>STREET, M. BRIONES, KATARUNGAN VILLAGE, MUNTINLUPA</v>
          </cell>
          <cell r="D397" t="str">
            <v>72946</v>
          </cell>
          <cell r="E397" t="str">
            <v>PARANAQUE</v>
          </cell>
          <cell r="F397" t="str">
            <v>SCHED</v>
          </cell>
          <cell r="G397">
            <v>45677.61378472222</v>
          </cell>
          <cell r="H397">
            <v>45681.411805555559</v>
          </cell>
          <cell r="I397" t="str">
            <v>ME155242</v>
          </cell>
        </row>
        <row r="398">
          <cell r="A398" t="str">
            <v>X24114468464</v>
          </cell>
          <cell r="B398" t="str">
            <v>PCA, Modification of Electric Service, HMB, CITY GOVT OF LAS PIÑAS,</v>
          </cell>
          <cell r="C398" t="str">
            <v>STREET, PILI, GOLDEN ACRES SUBD, LAS PINAS CITY</v>
          </cell>
          <cell r="D398" t="str">
            <v>62429</v>
          </cell>
          <cell r="E398" t="str">
            <v>PARANAQUE</v>
          </cell>
          <cell r="F398" t="str">
            <v>SCHED</v>
          </cell>
          <cell r="G398">
            <v>45729.559189814812</v>
          </cell>
          <cell r="H398">
            <v>45733.686111111114</v>
          </cell>
          <cell r="I398" t="str">
            <v>ME155242</v>
          </cell>
        </row>
        <row r="399">
          <cell r="A399" t="str">
            <v>X24114473614</v>
          </cell>
          <cell r="B399" t="str">
            <v>PCA, New Electric Service, HMB, GREENLAND NEW LOWER BICUTAN NEIGHBORHOOD ASSOCIATI</v>
          </cell>
          <cell r="C399" t="str">
            <v>STREET, RANGER, PUROK 1A, TAGUIG CITY</v>
          </cell>
          <cell r="D399" t="str">
            <v>91373</v>
          </cell>
          <cell r="E399" t="str">
            <v>PARANAQUE</v>
          </cell>
          <cell r="F399" t="str">
            <v>SCHED</v>
          </cell>
          <cell r="G399">
            <v>45741.633206018516</v>
          </cell>
          <cell r="H399">
            <v>45744.540277777778</v>
          </cell>
          <cell r="I399" t="str">
            <v>ME185284</v>
          </cell>
        </row>
        <row r="400">
          <cell r="A400" t="str">
            <v>X24114473729</v>
          </cell>
          <cell r="B400" t="str">
            <v>PCA, New Electric Service, HMB, GREENLAND NEW LOWER BICUTAN NEIGHBORHOOD ASSOCIATI</v>
          </cell>
          <cell r="C400" t="str">
            <v>STREET, STO NIÑO, PUROK 1A, TAGUIG CITY</v>
          </cell>
          <cell r="D400" t="str">
            <v>91377</v>
          </cell>
          <cell r="E400" t="str">
            <v>PARANAQUE</v>
          </cell>
          <cell r="F400" t="str">
            <v>SCHED</v>
          </cell>
          <cell r="G400">
            <v>45741.634456018517</v>
          </cell>
          <cell r="H400">
            <v>45744.42083333333</v>
          </cell>
          <cell r="I400" t="str">
            <v>ME185284</v>
          </cell>
        </row>
        <row r="401">
          <cell r="A401" t="str">
            <v>X24114479034</v>
          </cell>
          <cell r="B401" t="str">
            <v>PCA, Termination of Electric Service, CBG, MAKATI DEVELOPMENT CORPORATION</v>
          </cell>
          <cell r="C401" t="str">
            <v>STREET, NEXUS, ARCA SOUTH, TAGUIG CITY</v>
          </cell>
          <cell r="D401" t="str">
            <v>17203604</v>
          </cell>
          <cell r="E401" t="str">
            <v>PARANAQUE</v>
          </cell>
          <cell r="F401" t="str">
            <v>FCOMP</v>
          </cell>
          <cell r="G401">
            <v>45689.635266203702</v>
          </cell>
          <cell r="H401">
            <v>45623.447916666664</v>
          </cell>
          <cell r="I401" t="str">
            <v>ME185284</v>
          </cell>
        </row>
        <row r="402">
          <cell r="A402" t="str">
            <v>X24114480257</v>
          </cell>
          <cell r="B402" t="str">
            <v>PCA, New Electric Service, HMB, CITY GOV'T OF LAS PIÑAS</v>
          </cell>
          <cell r="C402" t="str">
            <v>STREET, ALABANG-ZAPOTE, PAMPLONA I, LAS PINAS CITY</v>
          </cell>
          <cell r="D402" t="str">
            <v>62765</v>
          </cell>
          <cell r="E402" t="str">
            <v>PARANAQUE</v>
          </cell>
          <cell r="F402" t="str">
            <v>SCHED</v>
          </cell>
          <cell r="G402">
            <v>45729.554270833331</v>
          </cell>
          <cell r="H402">
            <v>45733.756249999999</v>
          </cell>
          <cell r="I402" t="str">
            <v>ME185284</v>
          </cell>
        </row>
        <row r="403">
          <cell r="A403" t="str">
            <v>X24114483448</v>
          </cell>
          <cell r="B403" t="str">
            <v>PCA, Termination of Electric Service, SME, MILLENIUM ERECTORS CORPORATION</v>
          </cell>
          <cell r="C403" t="str">
            <v>STREET, ALABANG-ZAPOTE, ALMANZA I, LAS PINAS CITY</v>
          </cell>
          <cell r="D403" t="str">
            <v>61639</v>
          </cell>
          <cell r="E403" t="str">
            <v>PARANAQUE</v>
          </cell>
          <cell r="F403" t="str">
            <v>FCOMP</v>
          </cell>
          <cell r="G403">
            <v>45735.649664351855</v>
          </cell>
          <cell r="H403">
            <v>45623.416666666664</v>
          </cell>
          <cell r="I403" t="str">
            <v>ME185284</v>
          </cell>
        </row>
        <row r="404">
          <cell r="A404" t="str">
            <v>X24114498829</v>
          </cell>
          <cell r="B404" t="str">
            <v>PCA, New Electric Service, HMB, VILLA LIGHT NEIGHBORHOOD ASSOCIATION INC.</v>
          </cell>
          <cell r="C404" t="str">
            <v>STREET, BLOCK 10, VILLA LIGHT SUBD, TAGUIG CITY</v>
          </cell>
          <cell r="D404" t="str">
            <v>17444128</v>
          </cell>
          <cell r="E404" t="str">
            <v>PARANAQUE</v>
          </cell>
          <cell r="F404" t="str">
            <v>CLOSED-CAN</v>
          </cell>
          <cell r="G404">
            <v>45737.877569444441</v>
          </cell>
          <cell r="H404">
            <v>45646.447916666664</v>
          </cell>
          <cell r="I404" t="str">
            <v>ME185284</v>
          </cell>
        </row>
        <row r="405">
          <cell r="A405" t="str">
            <v>X24114520845</v>
          </cell>
          <cell r="B405" t="str">
            <v>PCA, New Electric Service, HMB, ERIC GERARD TURLA OLIVA</v>
          </cell>
          <cell r="C405" t="str">
            <v>STREET, WALING-WALING, TAHANAN VILL, PARANAQUE</v>
          </cell>
          <cell r="D405" t="str">
            <v>75686</v>
          </cell>
          <cell r="E405" t="str">
            <v>PARANAQUE</v>
          </cell>
          <cell r="F405" t="str">
            <v>SCHED</v>
          </cell>
          <cell r="G405">
            <v>45713.532199074078</v>
          </cell>
          <cell r="H405">
            <v>45716.52847222222</v>
          </cell>
          <cell r="I405" t="str">
            <v>ME185284</v>
          </cell>
        </row>
        <row r="406">
          <cell r="A406" t="str">
            <v>X24114538494</v>
          </cell>
          <cell r="B406" t="str">
            <v>PCA, Modification of Electric Service, HMB, JOHN PAULE RODRIGUEZ</v>
          </cell>
          <cell r="C406" t="str">
            <v>STREET, TINDALO, UNITED PQUE PH 2 SUBD, PARANAQUE</v>
          </cell>
          <cell r="D406" t="str">
            <v>77845</v>
          </cell>
          <cell r="E406" t="str">
            <v>PARANAQUE</v>
          </cell>
          <cell r="F406" t="str">
            <v>SCHED</v>
          </cell>
          <cell r="G406">
            <v>45625.538425925923</v>
          </cell>
          <cell r="H406">
            <v>45625.423611111109</v>
          </cell>
          <cell r="I406" t="str">
            <v>ME155242</v>
          </cell>
        </row>
        <row r="407">
          <cell r="A407" t="str">
            <v>X24114563541</v>
          </cell>
          <cell r="B407" t="str">
            <v>PCA, Termination of Electric Service, SME, MONOCRETE CONSTRUCTION PHILIPPINES, INC.</v>
          </cell>
          <cell r="C407" t="str">
            <v>STREET, PRES. DIOSDADO MACAPAGAL, ASIAWORLD CITY, PARANAQUE</v>
          </cell>
          <cell r="D407" t="str">
            <v>78143</v>
          </cell>
          <cell r="E407" t="str">
            <v>PARANAQUE</v>
          </cell>
          <cell r="F407" t="str">
            <v>SCHED</v>
          </cell>
          <cell r="G407">
            <v>45663.332604166666</v>
          </cell>
          <cell r="H407">
            <v>45667.418749999997</v>
          </cell>
          <cell r="I407" t="str">
            <v>ME185284</v>
          </cell>
        </row>
        <row r="408">
          <cell r="A408" t="str">
            <v>X24114564095</v>
          </cell>
          <cell r="B408" t="str">
            <v>PCA, New Electric Service, SME, ROMAN CATHOLIC BISHOP OF IMUS, INCORPORATED</v>
          </cell>
          <cell r="C408" t="str">
            <v>STREET, ALINAO, CAMELLA SPV CENTRAL PH 2, BACOOR</v>
          </cell>
          <cell r="D408" t="str">
            <v>18446</v>
          </cell>
          <cell r="E408" t="str">
            <v>PARANAQUE</v>
          </cell>
          <cell r="F408" t="str">
            <v>SCHED</v>
          </cell>
          <cell r="G408">
            <v>45649.52884259259</v>
          </cell>
          <cell r="H408">
            <v>45653.34375</v>
          </cell>
          <cell r="I408" t="str">
            <v>ME155242</v>
          </cell>
        </row>
        <row r="409">
          <cell r="A409" t="str">
            <v>X24114565283</v>
          </cell>
          <cell r="B409" t="str">
            <v>PCA, New Electric Service, SME, FANTASTICBAKA INCORPORATED</v>
          </cell>
          <cell r="C409" t="str">
            <v>STREET, CARLO, TAGUIG BAGUMBAYAN INDL ASS INC, TAGUIG CITY</v>
          </cell>
          <cell r="D409" t="str">
            <v>91225</v>
          </cell>
          <cell r="E409" t="str">
            <v>PARANAQUE</v>
          </cell>
          <cell r="F409" t="str">
            <v>FCOMP</v>
          </cell>
          <cell r="G409">
            <v>45668.421226851853</v>
          </cell>
          <cell r="H409">
            <v>45657.647222222222</v>
          </cell>
          <cell r="I409" t="str">
            <v>ME155242</v>
          </cell>
        </row>
        <row r="410">
          <cell r="A410" t="str">
            <v>X24114608824</v>
          </cell>
          <cell r="B410" t="str">
            <v>PCA, New Electric Service, CBG, DITO TELECOMMUNITY CORPORATION</v>
          </cell>
          <cell r="C410" t="str">
            <v>STREET, CHAMPACA, STO. NINO, TAGUIG CITY</v>
          </cell>
          <cell r="D410" t="str">
            <v>93015</v>
          </cell>
          <cell r="E410" t="str">
            <v>PARANAQUE</v>
          </cell>
          <cell r="F410" t="str">
            <v>SCHED</v>
          </cell>
          <cell r="G410">
            <v>45642.595370370371</v>
          </cell>
          <cell r="H410">
            <v>45646.324999999997</v>
          </cell>
          <cell r="I410" t="str">
            <v>ME185284</v>
          </cell>
        </row>
        <row r="411">
          <cell r="A411" t="str">
            <v>X24114608975</v>
          </cell>
          <cell r="B411" t="str">
            <v>PCA, New Electric Service, CBG, LIGHT RAIL MANILA CORPORATION</v>
          </cell>
          <cell r="C411" t="str">
            <v>STREET, NINOY AQUINO, STO. NINO, PARANAQUE</v>
          </cell>
          <cell r="D411" t="str">
            <v>77899</v>
          </cell>
          <cell r="E411" t="str">
            <v>PARANAQUE</v>
          </cell>
          <cell r="F411" t="str">
            <v>FCOMP</v>
          </cell>
          <cell r="G411">
            <v>45726.523043981484</v>
          </cell>
          <cell r="H411">
            <v>45646.447916666664</v>
          </cell>
          <cell r="I411" t="str">
            <v>ME171160</v>
          </cell>
        </row>
        <row r="412">
          <cell r="A412" t="str">
            <v>X24114614743</v>
          </cell>
          <cell r="B412" t="str">
            <v>PCA, New Electric Service, SME, PTR PREMIER HOLDINGS INC.</v>
          </cell>
          <cell r="C412" t="str">
            <v>STREET, ST. JOSEPH, ST. JOSEPH SUBD, LAS PINAS CITY</v>
          </cell>
          <cell r="D412" t="str">
            <v>61773</v>
          </cell>
          <cell r="E412" t="str">
            <v>PARANAQUE</v>
          </cell>
          <cell r="F412" t="str">
            <v>SCHED</v>
          </cell>
          <cell r="G412">
            <v>45744.44091435185</v>
          </cell>
          <cell r="H412">
            <v>45750.668055555558</v>
          </cell>
          <cell r="I412" t="str">
            <v>ME185284</v>
          </cell>
        </row>
        <row r="413">
          <cell r="A413" t="str">
            <v>X24114622443</v>
          </cell>
          <cell r="B413" t="str">
            <v>PCA, Modification of Electric Service, SME, NELSON BALIGUAT RODRIGUEZ</v>
          </cell>
          <cell r="C413" t="str">
            <v>STREET, BLOCK 7, ENLISTED PERSONNEL VIL 2, TAGUIG CITY</v>
          </cell>
          <cell r="D413" t="str">
            <v>92779</v>
          </cell>
          <cell r="E413" t="str">
            <v>PARANAQUE</v>
          </cell>
          <cell r="F413" t="str">
            <v>FCOMP</v>
          </cell>
          <cell r="G413">
            <v>45683.307303240741</v>
          </cell>
          <cell r="H413">
            <v>45653.427083333336</v>
          </cell>
          <cell r="I413" t="str">
            <v>ME185284</v>
          </cell>
        </row>
        <row r="414">
          <cell r="A414" t="str">
            <v>X24114622519</v>
          </cell>
          <cell r="B414" t="str">
            <v>PCA, New Electric Service, SME, OLIVAREZ REALTY CORPORATION</v>
          </cell>
          <cell r="C414" t="str">
            <v>STREET, DR. A SANTOS, SAN DIONISIO, PARANAQUE</v>
          </cell>
          <cell r="D414" t="str">
            <v>77026</v>
          </cell>
          <cell r="E414" t="str">
            <v>PARANAQUE</v>
          </cell>
          <cell r="F414" t="str">
            <v>SCHED</v>
          </cell>
          <cell r="G414">
            <v>45715.511620370373</v>
          </cell>
          <cell r="H414">
            <v>45716.76666666667</v>
          </cell>
          <cell r="I414" t="str">
            <v>ME155242</v>
          </cell>
        </row>
        <row r="415">
          <cell r="A415" t="str">
            <v>X24114628777</v>
          </cell>
          <cell r="B415" t="str">
            <v>PCA, Termination of Electric Service, CBG, HOUSEHOLD DEVELOPMENT CORPORATION</v>
          </cell>
          <cell r="C415" t="str">
            <v>STREET, BARCELONA, BRIA FLATS LAS PIÑAS, LAS PINAS CITY</v>
          </cell>
          <cell r="D415" t="str">
            <v>17181309</v>
          </cell>
          <cell r="E415" t="str">
            <v>PARANAQUE</v>
          </cell>
          <cell r="F415" t="str">
            <v>SCHED</v>
          </cell>
          <cell r="G415">
            <v>45642.596006944441</v>
          </cell>
          <cell r="H415">
            <v>45646.447916666664</v>
          </cell>
          <cell r="I415" t="str">
            <v>ME155242</v>
          </cell>
        </row>
        <row r="416">
          <cell r="A416" t="str">
            <v>X24114634882</v>
          </cell>
          <cell r="B416" t="str">
            <v>PCA, Temporary Electric Service, HMB, CHRISTOPHER JOSEPH REYES TSUI</v>
          </cell>
          <cell r="C416" t="str">
            <v>STREET, DAYAP LOOP TAMARIND COVE, AYALA-ALABANG VILL, MUNTINLUPA</v>
          </cell>
          <cell r="D416" t="str">
            <v>129376</v>
          </cell>
          <cell r="E416" t="str">
            <v>PARANAQUE</v>
          </cell>
          <cell r="F416" t="str">
            <v>FCOMP</v>
          </cell>
          <cell r="G416">
            <v>45703.361226851855</v>
          </cell>
          <cell r="H416">
            <v>45681.414583333331</v>
          </cell>
          <cell r="I416" t="str">
            <v>ME166067</v>
          </cell>
        </row>
        <row r="417">
          <cell r="A417" t="str">
            <v>X24114634928</v>
          </cell>
          <cell r="B417" t="str">
            <v>PCA, Temporary Electric Service, HMB, CHRISTOPHER JOSEPH REYES TSUI</v>
          </cell>
          <cell r="C417" t="str">
            <v>STREET, DAYAP LOOP TAMARIND COVE, AYALA-ALABANG VILL, MUNTINLUPA</v>
          </cell>
          <cell r="D417" t="str">
            <v>129376</v>
          </cell>
          <cell r="E417" t="str">
            <v>PARANAQUE</v>
          </cell>
          <cell r="F417" t="str">
            <v>FCOMP</v>
          </cell>
          <cell r="G417">
            <v>45703.360185185185</v>
          </cell>
          <cell r="H417">
            <v>45681.418749999997</v>
          </cell>
          <cell r="I417" t="str">
            <v>ME166067</v>
          </cell>
        </row>
        <row r="418">
          <cell r="A418" t="str">
            <v>X24114645437</v>
          </cell>
          <cell r="B418" t="str">
            <v>PCA, New Electric Service, CBG, SM DEVELOPMENT CORPORATION,</v>
          </cell>
          <cell r="C418" t="str">
            <v>STREET, DR. A SANTOS, SAN DIONISIO, PARANAQUE</v>
          </cell>
          <cell r="D418" t="str">
            <v>77026</v>
          </cell>
          <cell r="E418" t="str">
            <v>PARANAQUE</v>
          </cell>
          <cell r="F418" t="str">
            <v>COMP-CAN</v>
          </cell>
          <cell r="G418">
            <v>45737.408784722225</v>
          </cell>
          <cell r="H418">
            <v>45630.425000000003</v>
          </cell>
          <cell r="I418" t="str">
            <v>ME185284</v>
          </cell>
        </row>
        <row r="419">
          <cell r="A419" t="str">
            <v>X24114645553</v>
          </cell>
          <cell r="B419" t="str">
            <v>PCA, New Electric Service, BGST PRIME DEVELOPMENT CORP.</v>
          </cell>
          <cell r="C419" t="str">
            <v>STREET, COASTAL RD, SAN DIONISIO, PARANAQUE</v>
          </cell>
          <cell r="D419" t="str">
            <v>77078</v>
          </cell>
          <cell r="E419" t="str">
            <v>PARANAQUE</v>
          </cell>
          <cell r="F419" t="str">
            <v>FCOMP</v>
          </cell>
          <cell r="G419">
            <v>45687.300162037034</v>
          </cell>
          <cell r="H419">
            <v>45638.395833333336</v>
          </cell>
          <cell r="I419" t="str">
            <v>ME155242</v>
          </cell>
        </row>
        <row r="420">
          <cell r="A420" t="str">
            <v>X24114657334</v>
          </cell>
          <cell r="B420" t="str">
            <v>PCA, New Electric Service, HMB, BUENA MONTES BASCUGUIN</v>
          </cell>
          <cell r="C420" t="str">
            <v>STREET, BLOCK 18 , KALAYAAN VILL/BALAGBAG, PASAY CITY</v>
          </cell>
          <cell r="D420" t="str">
            <v>17407979</v>
          </cell>
          <cell r="E420" t="str">
            <v>PARANAQUE</v>
          </cell>
          <cell r="F420" t="str">
            <v>FCOMP</v>
          </cell>
          <cell r="G420">
            <v>45698.542893518519</v>
          </cell>
          <cell r="H420">
            <v>45694.401388888888</v>
          </cell>
          <cell r="I420" t="str">
            <v>ME194579</v>
          </cell>
        </row>
        <row r="421">
          <cell r="A421" t="str">
            <v>X24114668949</v>
          </cell>
          <cell r="B421" t="str">
            <v>PCA, New Electric Service, HMB, GIDEON KURT FABABIER GODOY</v>
          </cell>
          <cell r="C421" t="str">
            <v>STREET, GUIJO, MULTINATIONAL VILL, PARANAQUE</v>
          </cell>
          <cell r="D421" t="str">
            <v>76793</v>
          </cell>
          <cell r="E421" t="str">
            <v>PARANAQUE</v>
          </cell>
          <cell r="F421" t="str">
            <v>FCOMP</v>
          </cell>
          <cell r="G421">
            <v>45742.353715277779</v>
          </cell>
          <cell r="H421">
            <v>45722.643750000003</v>
          </cell>
          <cell r="I421" t="str">
            <v>ME185284</v>
          </cell>
        </row>
        <row r="422">
          <cell r="A422" t="str">
            <v>X24124692677</v>
          </cell>
          <cell r="B422" t="str">
            <v>PCA, New Electric Service, HMB, CITY GOVERNMENT OF BACOOR</v>
          </cell>
          <cell r="C422" t="str">
            <v>STREET, CHAPS, MOLINO HOMES I SUBD, BACOOR</v>
          </cell>
          <cell r="D422" t="str">
            <v>18614</v>
          </cell>
          <cell r="E422" t="str">
            <v>PARANAQUE</v>
          </cell>
          <cell r="F422" t="str">
            <v>FCOMP</v>
          </cell>
          <cell r="G422">
            <v>45728.610752314817</v>
          </cell>
          <cell r="H422">
            <v>45660.385416666664</v>
          </cell>
          <cell r="I422" t="str">
            <v>ME185284</v>
          </cell>
        </row>
        <row r="423">
          <cell r="A423" t="str">
            <v>X24124701777</v>
          </cell>
          <cell r="B423" t="str">
            <v>PCA, New Electric Service, HMB, NELLY YAP RAÑOLA</v>
          </cell>
          <cell r="C423" t="str">
            <v>STREET, JUAN ALEGRE, BF HOMES, PARANAQUE</v>
          </cell>
          <cell r="D423" t="str">
            <v>75307</v>
          </cell>
          <cell r="E423" t="str">
            <v>PARANAQUE</v>
          </cell>
          <cell r="F423" t="str">
            <v>SCHED</v>
          </cell>
          <cell r="G423">
            <v>45719.5393287037</v>
          </cell>
          <cell r="H423">
            <v>45722.636111111111</v>
          </cell>
          <cell r="I423" t="str">
            <v>ME185284</v>
          </cell>
        </row>
        <row r="424">
          <cell r="A424" t="str">
            <v>X24124701904</v>
          </cell>
          <cell r="B424" t="str">
            <v>PCA, New Electric Service, HMB, LISA ARCILIA LAW</v>
          </cell>
          <cell r="C424" t="str">
            <v>STREET, 17 DE MARZO, BACLARAN, PARANAQUE</v>
          </cell>
          <cell r="D424" t="str">
            <v>75123</v>
          </cell>
          <cell r="E424" t="str">
            <v>PARANAQUE</v>
          </cell>
          <cell r="F424" t="str">
            <v>FCOMP</v>
          </cell>
          <cell r="G424">
            <v>45684.592303240737</v>
          </cell>
          <cell r="H424">
            <v>45688.656944444447</v>
          </cell>
          <cell r="I424" t="str">
            <v>ME155242</v>
          </cell>
        </row>
        <row r="425">
          <cell r="A425" t="str">
            <v>X24124714328</v>
          </cell>
          <cell r="B425" t="str">
            <v>PCA, New Electric Service, SME, AC AUTOMOTIVE BUSINESS SERVICES, INC.</v>
          </cell>
          <cell r="C425" t="str">
            <v>STREET, MOLINO BLVD., BAYANAN, BACOOR</v>
          </cell>
          <cell r="D425" t="str">
            <v>124537</v>
          </cell>
          <cell r="E425" t="str">
            <v>PARANAQUE</v>
          </cell>
          <cell r="F425" t="str">
            <v>FCOMP</v>
          </cell>
          <cell r="G425">
            <v>45672.000694444447</v>
          </cell>
          <cell r="H425">
            <v>45667.385416666664</v>
          </cell>
          <cell r="I425" t="str">
            <v>ME155242</v>
          </cell>
        </row>
        <row r="426">
          <cell r="A426" t="str">
            <v>X24124723768</v>
          </cell>
          <cell r="B426" t="str">
            <v>PCA, Modification of Electric Service, HMB, BRGY. MARCELO GREEN</v>
          </cell>
          <cell r="C426" t="str">
            <v>STREET, MARCELO, MARCELO GREEN VILL, PARANAQUE</v>
          </cell>
          <cell r="D426" t="str">
            <v>76343</v>
          </cell>
          <cell r="E426" t="str">
            <v>PARANAQUE</v>
          </cell>
          <cell r="F426" t="str">
            <v>WMTRL</v>
          </cell>
          <cell r="G426">
            <v>45742.684560185182</v>
          </cell>
          <cell r="H426">
            <v>45751.658333333333</v>
          </cell>
          <cell r="I426" t="str">
            <v>ME155242</v>
          </cell>
        </row>
        <row r="427">
          <cell r="A427" t="str">
            <v>X24124737940</v>
          </cell>
          <cell r="B427" t="str">
            <v>PCA, New Electric Service, CBG, PETRON CORPORATION</v>
          </cell>
          <cell r="C427" t="str">
            <v>STREET, ALABANG-ZAPOTE, TALON II, LAS PINAS CITY</v>
          </cell>
          <cell r="D427" t="str">
            <v>64287</v>
          </cell>
          <cell r="E427" t="str">
            <v>PARANAQUE</v>
          </cell>
          <cell r="F427" t="str">
            <v>TECO</v>
          </cell>
          <cell r="G427">
            <v>45731.408136574071</v>
          </cell>
          <cell r="H427">
            <v>45667.418749999997</v>
          </cell>
          <cell r="I427" t="str">
            <v>ME185130</v>
          </cell>
        </row>
        <row r="428">
          <cell r="A428" t="str">
            <v>X24124766675</v>
          </cell>
          <cell r="B428" t="str">
            <v>PCA, Modification of Electric Service, HMB, PATRICK SANVICTORES GARCIA</v>
          </cell>
          <cell r="C428" t="str">
            <v>STREET, BEGONIA, AYALA-ALABANG VILL, MUNTINLUPA</v>
          </cell>
          <cell r="D428" t="str">
            <v>73132</v>
          </cell>
          <cell r="E428" t="str">
            <v>PARANAQUE</v>
          </cell>
          <cell r="F428" t="str">
            <v>FCOMP</v>
          </cell>
          <cell r="G428">
            <v>45744.342407407406</v>
          </cell>
          <cell r="H428">
            <v>45707.401388888888</v>
          </cell>
          <cell r="I428" t="str">
            <v>ME166067</v>
          </cell>
        </row>
        <row r="429">
          <cell r="A429" t="str">
            <v>X24124769477</v>
          </cell>
          <cell r="B429" t="str">
            <v>PCA, New Electric Service, CBG, CMSTAR MANAGEMENT INC.</v>
          </cell>
          <cell r="C429" t="str">
            <v>STREET, DAANG-HARI RD., MOLINO IV, BACOOR</v>
          </cell>
          <cell r="D429" t="str">
            <v>124449</v>
          </cell>
          <cell r="E429" t="str">
            <v>PARANAQUE</v>
          </cell>
          <cell r="F429" t="str">
            <v>FCOMP</v>
          </cell>
          <cell r="G429">
            <v>45727.306400462963</v>
          </cell>
          <cell r="H429">
            <v>45709.418749999997</v>
          </cell>
          <cell r="I429" t="str">
            <v>ME185284</v>
          </cell>
        </row>
        <row r="430">
          <cell r="A430" t="str">
            <v>X24124774979</v>
          </cell>
          <cell r="B430" t="str">
            <v>PCA, New Electric Service, HMB, CITY GOV'T OF LAS PIÑAS</v>
          </cell>
          <cell r="C430" t="str">
            <v>STREET, NAGA, PULANGLUPA I, LAS PINAS CITY</v>
          </cell>
          <cell r="D430" t="str">
            <v>63483</v>
          </cell>
          <cell r="E430" t="str">
            <v>PARANAQUE</v>
          </cell>
          <cell r="F430" t="str">
            <v>SCHED</v>
          </cell>
          <cell r="G430">
            <v>45706.622465277775</v>
          </cell>
          <cell r="H430">
            <v>45712.530555555553</v>
          </cell>
          <cell r="I430" t="str">
            <v>ME155242</v>
          </cell>
        </row>
        <row r="431">
          <cell r="A431" t="str">
            <v>X24124786551</v>
          </cell>
          <cell r="B431" t="str">
            <v>PCA, New Electric Service, SME, OMNICO CONSORTIUM INC.</v>
          </cell>
          <cell r="C431" t="str">
            <v>STREET, CARLO, TAGUIG BAGUMBAYAN INDL ASS INC, TAGUIG CITY</v>
          </cell>
          <cell r="D431" t="str">
            <v>91225</v>
          </cell>
          <cell r="E431" t="str">
            <v>PARANAQUE</v>
          </cell>
          <cell r="F431" t="str">
            <v>FCOMP</v>
          </cell>
          <cell r="G431">
            <v>45741.581053240741</v>
          </cell>
          <cell r="H431">
            <v>45709.42083333333</v>
          </cell>
          <cell r="I431" t="str">
            <v>ME155242</v>
          </cell>
        </row>
        <row r="432">
          <cell r="A432" t="str">
            <v>X24124805811</v>
          </cell>
          <cell r="B432" t="str">
            <v>PCA, New Electric Service, SME, NOEMI FRESNEDI CACHUELA</v>
          </cell>
          <cell r="C432" t="str">
            <v>STREET, ESPELETA, POBLACION, MUNTINLUPA</v>
          </cell>
          <cell r="D432" t="str">
            <v>73019</v>
          </cell>
          <cell r="E432" t="str">
            <v>PARANAQUE</v>
          </cell>
          <cell r="F432" t="str">
            <v>FCOMP</v>
          </cell>
          <cell r="G432">
            <v>45693.576111111113</v>
          </cell>
          <cell r="H432">
            <v>45685.753472222219</v>
          </cell>
          <cell r="I432" t="str">
            <v>ME155242</v>
          </cell>
        </row>
        <row r="433">
          <cell r="A433" t="str">
            <v>X24124846054</v>
          </cell>
          <cell r="B433" t="str">
            <v>PCA, New Electric Service, SME, PASONG TAMO Z2 GAS STATION INC.</v>
          </cell>
          <cell r="C433" t="str">
            <v>STREET, WEST SERVICE, MARCELO GREEN VILL, PARANAQUE</v>
          </cell>
          <cell r="D433" t="str">
            <v>76354</v>
          </cell>
          <cell r="E433" t="str">
            <v>PARANAQUE</v>
          </cell>
          <cell r="F433" t="str">
            <v>FCOMP</v>
          </cell>
          <cell r="G433">
            <v>45687.525335648148</v>
          </cell>
          <cell r="H433">
            <v>45680.621527777781</v>
          </cell>
          <cell r="I433" t="str">
            <v>ME185284</v>
          </cell>
        </row>
        <row r="434">
          <cell r="A434" t="str">
            <v>X24124856516</v>
          </cell>
          <cell r="B434" t="str">
            <v>PCA, New Electric Service, HMB, RAUL GABRIEL II S. DIMATATAC</v>
          </cell>
          <cell r="C434" t="str">
            <v>STREET, RONDA DE GOYA, SUSANA HEIGHTS SUBD, MUNTINLUPA</v>
          </cell>
          <cell r="D434" t="str">
            <v>74358</v>
          </cell>
          <cell r="E434" t="str">
            <v>PARANAQUE</v>
          </cell>
          <cell r="F434" t="str">
            <v>FCOMP</v>
          </cell>
          <cell r="G434">
            <v>45661.000694444447</v>
          </cell>
          <cell r="H434">
            <v>45660.359027777777</v>
          </cell>
          <cell r="I434" t="str">
            <v>ME155242</v>
          </cell>
        </row>
        <row r="435">
          <cell r="A435" t="str">
            <v>X24124873554</v>
          </cell>
          <cell r="B435" t="str">
            <v>PCA, Termination of Electric Service, SME, SHANZHEN HAIWEI FOOD CORP. DOING BUSINESS UNDER TH</v>
          </cell>
          <cell r="C435" t="str">
            <v>STREET, GEN. EMILIO AGUINALDO, PANAPAAN I, BACOOR</v>
          </cell>
          <cell r="D435" t="str">
            <v>19593</v>
          </cell>
          <cell r="E435" t="str">
            <v>PARANAQUE</v>
          </cell>
          <cell r="F435" t="str">
            <v>SCHED</v>
          </cell>
          <cell r="G435">
            <v>45667.633101851854</v>
          </cell>
          <cell r="H435">
            <v>45673.652083333334</v>
          </cell>
          <cell r="I435" t="str">
            <v>ME155242</v>
          </cell>
        </row>
        <row r="436">
          <cell r="A436" t="str">
            <v>X24124874147</v>
          </cell>
          <cell r="B436" t="str">
            <v>PCA, Termination of Electric Service, SME, EMPIRE METAL WORKS, INC.</v>
          </cell>
          <cell r="C436" t="str">
            <v>STREET, NIOG III, NIOG III, BACOOR</v>
          </cell>
          <cell r="D436" t="str">
            <v>19585</v>
          </cell>
          <cell r="E436" t="str">
            <v>PARANAQUE</v>
          </cell>
          <cell r="F436" t="str">
            <v>SCHED</v>
          </cell>
          <cell r="G436">
            <v>45667.6325</v>
          </cell>
          <cell r="H436">
            <v>45673.651388888888</v>
          </cell>
          <cell r="I436" t="str">
            <v>ME155242</v>
          </cell>
        </row>
        <row r="437">
          <cell r="A437" t="str">
            <v>X24124906791</v>
          </cell>
          <cell r="B437" t="str">
            <v>PCA, New Electric Service, HMB, VILLA LIGHT NEIGHBORHOOD ASSOCIATION INC.</v>
          </cell>
          <cell r="C437" t="str">
            <v>STREET, BLOCK 10, VILLA LIGHT SUBD, TAGUIG CITY</v>
          </cell>
          <cell r="D437" t="str">
            <v>17444128</v>
          </cell>
          <cell r="E437" t="str">
            <v>PARANAQUE</v>
          </cell>
          <cell r="F437" t="str">
            <v>SCHED</v>
          </cell>
          <cell r="G437">
            <v>45684.585358796299</v>
          </cell>
          <cell r="H437">
            <v>45684.584027777775</v>
          </cell>
          <cell r="I437" t="str">
            <v>ME185284</v>
          </cell>
        </row>
        <row r="438">
          <cell r="A438" t="str">
            <v>X24124943162</v>
          </cell>
          <cell r="B438" t="str">
            <v>PCA, Modification of Electric Service, CBG, RICARDO DELOS SANTOS ABELARDO JR.</v>
          </cell>
          <cell r="C438" t="str">
            <v>STREET, WEST SERVICE, CUPANG, MUNTINLUPA</v>
          </cell>
          <cell r="D438" t="str">
            <v>72659</v>
          </cell>
          <cell r="E438" t="str">
            <v>PARANAQUE</v>
          </cell>
          <cell r="F438" t="str">
            <v>FCOMP</v>
          </cell>
          <cell r="G438">
            <v>45695.635057870371</v>
          </cell>
          <cell r="H438">
            <v>45681.427777777775</v>
          </cell>
          <cell r="I438" t="str">
            <v>ME155242</v>
          </cell>
        </row>
        <row r="439">
          <cell r="A439" t="str">
            <v>X25010007601</v>
          </cell>
          <cell r="B439" t="str">
            <v>PCA, New Electric Service, SME, ACASYS DEVELOPMENT CORP.</v>
          </cell>
          <cell r="C439" t="str">
            <v>STREET, SAN ANDRES, SUN VALLEY SUBD, PARANAQUE</v>
          </cell>
          <cell r="D439" t="str">
            <v>78109</v>
          </cell>
          <cell r="E439" t="str">
            <v>PARANAQUE</v>
          </cell>
          <cell r="F439" t="str">
            <v>FCOMP</v>
          </cell>
          <cell r="G439">
            <v>45689.296793981484</v>
          </cell>
          <cell r="H439">
            <v>45667.697916666664</v>
          </cell>
          <cell r="I439" t="str">
            <v>ME185284</v>
          </cell>
        </row>
        <row r="440">
          <cell r="A440" t="str">
            <v>X25010012239</v>
          </cell>
          <cell r="B440" t="str">
            <v>PCA, New Electric Service, SME, FRANCIS ARANEZ REYES</v>
          </cell>
          <cell r="C440" t="str">
            <v>STREET, DAANG BATA, SAN AGUSTIN VILL, PARANAQUE</v>
          </cell>
          <cell r="D440" t="str">
            <v>76849</v>
          </cell>
          <cell r="E440" t="str">
            <v>PARANAQUE</v>
          </cell>
          <cell r="F440" t="str">
            <v>FCOMP</v>
          </cell>
          <cell r="G440">
            <v>45742.351307870369</v>
          </cell>
          <cell r="H440">
            <v>45673.706944444442</v>
          </cell>
          <cell r="I440" t="str">
            <v>ME185284</v>
          </cell>
        </row>
        <row r="441">
          <cell r="A441" t="str">
            <v>X25010054654</v>
          </cell>
          <cell r="B441" t="str">
            <v>PCA, New Electric Service, HMB, SUZENNE MARGARETH TEE TANG-DONOVAN</v>
          </cell>
          <cell r="C441" t="str">
            <v>STREET, WASHINGTON, MERVILLE SUBD, PARANAQUE</v>
          </cell>
          <cell r="D441" t="str">
            <v>76628</v>
          </cell>
          <cell r="E441" t="str">
            <v>PARANAQUE</v>
          </cell>
          <cell r="F441" t="str">
            <v>SCHED</v>
          </cell>
          <cell r="G441">
            <v>45726.62909722222</v>
          </cell>
          <cell r="H441">
            <v>45733.678472222222</v>
          </cell>
          <cell r="I441" t="str">
            <v>ME155242</v>
          </cell>
        </row>
        <row r="442">
          <cell r="A442" t="str">
            <v>X25010059526</v>
          </cell>
          <cell r="B442" t="str">
            <v>PCA, New Electric Service, SME, ALFAMETRO MARKETING, INC.</v>
          </cell>
          <cell r="C442" t="str">
            <v>STREET, PAPA PIO - SAV 13, SAN ISIDRO, PARANAQUE</v>
          </cell>
          <cell r="D442" t="str">
            <v>77654</v>
          </cell>
          <cell r="E442" t="str">
            <v>PARANAQUE</v>
          </cell>
          <cell r="F442" t="str">
            <v>FCOMP</v>
          </cell>
          <cell r="G442">
            <v>45698.533831018518</v>
          </cell>
          <cell r="H442">
            <v>45698.522916666669</v>
          </cell>
          <cell r="I442" t="str">
            <v>ME194579</v>
          </cell>
        </row>
        <row r="443">
          <cell r="A443" t="str">
            <v>X25010059547</v>
          </cell>
          <cell r="B443" t="str">
            <v>PCA, New Electric Service, SME, ALFAMETRO MARKETING, INC.</v>
          </cell>
          <cell r="C443" t="str">
            <v>STREET, BANNER, 4TH ESTATE SUBD, PARANAQUE</v>
          </cell>
          <cell r="D443" t="str">
            <v>77404</v>
          </cell>
          <cell r="E443" t="str">
            <v>PARANAQUE</v>
          </cell>
          <cell r="F443" t="str">
            <v>FCOMP</v>
          </cell>
          <cell r="G443">
            <v>45720.656828703701</v>
          </cell>
          <cell r="H443">
            <v>45698.522222222222</v>
          </cell>
          <cell r="I443" t="str">
            <v>ME166067</v>
          </cell>
        </row>
        <row r="444">
          <cell r="A444" t="str">
            <v>X25010059565</v>
          </cell>
          <cell r="B444" t="str">
            <v>PCA, New Electric Service, SME, ALFAMETRO MARKETING, INC.</v>
          </cell>
          <cell r="C444" t="str">
            <v>STREET, SAN PEDRO, SAN ANTONIO VALLEY 2, PARANAQUE</v>
          </cell>
          <cell r="D444" t="str">
            <v>77593</v>
          </cell>
          <cell r="E444" t="str">
            <v>PARANAQUE</v>
          </cell>
          <cell r="F444" t="str">
            <v>FCOMP</v>
          </cell>
          <cell r="G444">
            <v>45698.538726851853</v>
          </cell>
          <cell r="H444">
            <v>45698.522222222222</v>
          </cell>
          <cell r="I444" t="str">
            <v>ME194579</v>
          </cell>
        </row>
        <row r="445">
          <cell r="A445" t="str">
            <v>X25010064088</v>
          </cell>
          <cell r="B445" t="str">
            <v>PCA, New Electric Service, TIANLALA PHILIPPINES CORPORATION</v>
          </cell>
          <cell r="C445" t="str">
            <v>STREET, REDEMPTORIST, BACLARAN, PARANAQUE</v>
          </cell>
          <cell r="D445" t="str">
            <v>75108</v>
          </cell>
          <cell r="E445" t="str">
            <v>PARANAQUE</v>
          </cell>
          <cell r="F445" t="str">
            <v>FCOMP</v>
          </cell>
          <cell r="G445">
            <v>45702.605405092596</v>
          </cell>
          <cell r="H445">
            <v>45688.65902777778</v>
          </cell>
          <cell r="I445" t="str">
            <v>ME185284</v>
          </cell>
        </row>
        <row r="446">
          <cell r="A446" t="str">
            <v>X25010066825</v>
          </cell>
          <cell r="B446" t="str">
            <v>PCA, New Electric Service, HMB, JOE VINCENT J. ABIERA</v>
          </cell>
          <cell r="C446" t="str">
            <v>STREET, BULUSAN, AYALA-ALABANG VILL, MUNTINLUPA</v>
          </cell>
          <cell r="D446" t="str">
            <v>73136</v>
          </cell>
          <cell r="E446" t="str">
            <v>PARANAQUE</v>
          </cell>
          <cell r="F446" t="str">
            <v>SCHED</v>
          </cell>
          <cell r="G446">
            <v>45744.453657407408</v>
          </cell>
          <cell r="H446">
            <v>45750.664583333331</v>
          </cell>
          <cell r="I446" t="str">
            <v>ME166067</v>
          </cell>
        </row>
        <row r="447">
          <cell r="A447" t="str">
            <v>X25010070942</v>
          </cell>
          <cell r="B447" t="str">
            <v>PCA, New Electric Service, SME, ERNELIA O. SANCHEZ</v>
          </cell>
          <cell r="C447" t="str">
            <v>STREET, BLOCK 26, PINAGSAMA PH 2 VILL, TAGUIG CITY</v>
          </cell>
          <cell r="D447" t="str">
            <v>92880</v>
          </cell>
          <cell r="E447" t="str">
            <v>PARANAQUE</v>
          </cell>
          <cell r="F447" t="str">
            <v>FCOMP</v>
          </cell>
          <cell r="G447">
            <v>45724.654942129629</v>
          </cell>
          <cell r="H447">
            <v>45715.430555555555</v>
          </cell>
          <cell r="I447" t="str">
            <v>ME185284</v>
          </cell>
        </row>
        <row r="448">
          <cell r="A448" t="str">
            <v>X25010076395</v>
          </cell>
          <cell r="B448" t="str">
            <v>PCA, New Electric Service, HMB, ANANTA REALTY CORP.</v>
          </cell>
          <cell r="C448" t="str">
            <v>STREET, PASAMANCA, SOUTH GREEN PARK SUBD, PARANAQUE</v>
          </cell>
          <cell r="D448" t="str">
            <v>76670</v>
          </cell>
          <cell r="E448" t="str">
            <v>PARANAQUE</v>
          </cell>
          <cell r="F448" t="str">
            <v>WMTRL</v>
          </cell>
          <cell r="G448">
            <v>45741.959814814814</v>
          </cell>
          <cell r="H448">
            <v>45751.648611111108</v>
          </cell>
          <cell r="I448" t="str">
            <v>ME185284</v>
          </cell>
        </row>
        <row r="449">
          <cell r="A449" t="str">
            <v>X25010079615</v>
          </cell>
          <cell r="B449" t="str">
            <v>PCA, New Electric Service, CBG, CMSTAR MANAGEMENT INC.</v>
          </cell>
          <cell r="C449" t="str">
            <v>STREET, DAANG-HARI RD., MOLINO IV, BACOOR</v>
          </cell>
          <cell r="D449" t="str">
            <v>124449</v>
          </cell>
          <cell r="E449" t="str">
            <v>PARANAQUE</v>
          </cell>
          <cell r="F449" t="str">
            <v>FCOMP</v>
          </cell>
          <cell r="G449">
            <v>45726.531111111108</v>
          </cell>
          <cell r="H449">
            <v>45685.724999999999</v>
          </cell>
          <cell r="I449" t="str">
            <v>ME185284</v>
          </cell>
        </row>
        <row r="450">
          <cell r="A450" t="str">
            <v>X25010095532</v>
          </cell>
          <cell r="B450" t="str">
            <v>PCA, New Electric Service, SME, MINA B. TAPISPISAN</v>
          </cell>
          <cell r="C450" t="str">
            <v>STREET, BALLECER, ZONE 4, TAGUIG CITY</v>
          </cell>
          <cell r="D450" t="str">
            <v>91943</v>
          </cell>
          <cell r="E450" t="str">
            <v>PARANAQUE</v>
          </cell>
          <cell r="F450" t="str">
            <v>FCOMP</v>
          </cell>
          <cell r="G450">
            <v>45713.664004629631</v>
          </cell>
          <cell r="H450">
            <v>45707.393055555556</v>
          </cell>
          <cell r="I450" t="str">
            <v>ME185284</v>
          </cell>
        </row>
        <row r="451">
          <cell r="A451" t="str">
            <v>X25010099398</v>
          </cell>
          <cell r="B451" t="str">
            <v>PCA, New Electric Service, SME, REYNALDO BAUTISTA SALVADOR</v>
          </cell>
          <cell r="C451" t="str">
            <v>STREET, J.P. RIZAL, TUAZON SUBD, LAS PINAS CITY</v>
          </cell>
          <cell r="D451" t="str">
            <v>62798</v>
          </cell>
          <cell r="E451" t="str">
            <v>PARANAQUE</v>
          </cell>
          <cell r="F451" t="str">
            <v>FCOMP</v>
          </cell>
          <cell r="G451">
            <v>45722.433310185188</v>
          </cell>
          <cell r="H451">
            <v>45716.768055555556</v>
          </cell>
          <cell r="I451" t="str">
            <v>ME194579</v>
          </cell>
        </row>
        <row r="452">
          <cell r="A452" t="str">
            <v>X25010119071</v>
          </cell>
          <cell r="B452" t="str">
            <v>PCA, New Electric Service, SME, SPX PHILIPPINES, INC.</v>
          </cell>
          <cell r="C452" t="str">
            <v>STREET, MIMC CPD, CERVANTES CPD, PARANAQUE</v>
          </cell>
          <cell r="D452" t="str">
            <v>76301</v>
          </cell>
          <cell r="E452" t="str">
            <v>PARANAQUE</v>
          </cell>
          <cell r="F452" t="str">
            <v>FCOMP</v>
          </cell>
          <cell r="G452">
            <v>45693.471458333333</v>
          </cell>
          <cell r="H452">
            <v>45688.645138888889</v>
          </cell>
          <cell r="I452" t="str">
            <v>ME166067</v>
          </cell>
        </row>
        <row r="453">
          <cell r="A453" t="str">
            <v>X25010119305</v>
          </cell>
          <cell r="B453" t="str">
            <v>PCA, New Electric Service, SME, VICENTE P PEREZ</v>
          </cell>
          <cell r="C453" t="str">
            <v>STREET, EL GRANDE, BF HOMES, PARANAQUE</v>
          </cell>
          <cell r="D453" t="str">
            <v>75245</v>
          </cell>
          <cell r="E453" t="str">
            <v>PARANAQUE</v>
          </cell>
          <cell r="F453" t="str">
            <v>FCOMP</v>
          </cell>
          <cell r="G453">
            <v>45723.348437499997</v>
          </cell>
          <cell r="H453">
            <v>45688.651388888888</v>
          </cell>
          <cell r="I453" t="str">
            <v>ME166067</v>
          </cell>
        </row>
        <row r="454">
          <cell r="A454" t="str">
            <v>X25010119836</v>
          </cell>
          <cell r="B454" t="str">
            <v>PCA, New Electric Service, SME, YOLANDA E REYES</v>
          </cell>
          <cell r="C454" t="str">
            <v>STREET, DOÑA SOLEDAD, BETTER LIVING SUBD, PARANAQUE</v>
          </cell>
          <cell r="D454" t="str">
            <v>75761</v>
          </cell>
          <cell r="E454" t="str">
            <v>PARANAQUE</v>
          </cell>
          <cell r="F454" t="str">
            <v>FCOMP</v>
          </cell>
          <cell r="G454">
            <v>45735.652361111112</v>
          </cell>
          <cell r="H454">
            <v>45694.541666666664</v>
          </cell>
          <cell r="I454" t="str">
            <v>ME185284</v>
          </cell>
        </row>
        <row r="455">
          <cell r="A455" t="str">
            <v>X25010120302</v>
          </cell>
          <cell r="B455" t="str">
            <v>PCA, Temporary Electric Service, SME, CDC REALTY INC.</v>
          </cell>
          <cell r="C455" t="str">
            <v>STREET, DOVE LOFTS, LION'S PARK RESIDENCES, PARANAQUE</v>
          </cell>
          <cell r="D455" t="str">
            <v>17667128</v>
          </cell>
          <cell r="E455" t="str">
            <v>PARANAQUE</v>
          </cell>
          <cell r="F455" t="str">
            <v>FCOMP</v>
          </cell>
          <cell r="G455">
            <v>45719.312199074076</v>
          </cell>
          <cell r="H455">
            <v>45707.348611111112</v>
          </cell>
          <cell r="I455" t="str">
            <v>ME185284</v>
          </cell>
        </row>
        <row r="456">
          <cell r="A456" t="str">
            <v>X25010133145</v>
          </cell>
          <cell r="B456" t="str">
            <v>PCA, New Electric Service, HMB, SPEED CONSTRUCTION &amp; DEVELOPMENT CORP.,</v>
          </cell>
          <cell r="C456" t="str">
            <v>STREET, BLOCK 51, GEORGETOWN HEIGHTS SUBD PH II, BACOOR</v>
          </cell>
          <cell r="D456" t="str">
            <v>19082</v>
          </cell>
          <cell r="E456" t="str">
            <v>PARANAQUE</v>
          </cell>
          <cell r="F456" t="str">
            <v>FCOMP</v>
          </cell>
          <cell r="G456">
            <v>45729.363553240742</v>
          </cell>
          <cell r="H456">
            <v>45694.553472222222</v>
          </cell>
          <cell r="I456" t="str">
            <v>ME166067</v>
          </cell>
        </row>
        <row r="457">
          <cell r="A457" t="str">
            <v>X25010133146</v>
          </cell>
          <cell r="B457" t="str">
            <v>PCA, New Electric Service, HMB, F &amp; E DE CASTRO CORPORATION</v>
          </cell>
          <cell r="C457" t="str">
            <v>STREET, BLOCK 1, ELISA HOMES PH 4 EXTENSION, BACOOR</v>
          </cell>
          <cell r="D457" t="str">
            <v>17690133</v>
          </cell>
          <cell r="E457" t="str">
            <v>PARANAQUE</v>
          </cell>
          <cell r="F457" t="str">
            <v>SCHED</v>
          </cell>
          <cell r="G457">
            <v>45691.530775462961</v>
          </cell>
          <cell r="H457">
            <v>45692.605555555558</v>
          </cell>
          <cell r="I457" t="str">
            <v>ME155242</v>
          </cell>
        </row>
        <row r="458">
          <cell r="A458" t="str">
            <v>X25010133238</v>
          </cell>
          <cell r="B458" t="str">
            <v>PCA, New Electric Service, HMB, CITY GOVERNMENT OF TAGUIG</v>
          </cell>
          <cell r="C458" t="str">
            <v>STREET, M.L. QUEZON, PUROK 1, TAGUIG CITY</v>
          </cell>
          <cell r="D458" t="str">
            <v>91365</v>
          </cell>
          <cell r="E458" t="str">
            <v>PARANAQUE</v>
          </cell>
          <cell r="F458" t="str">
            <v>FCOMP</v>
          </cell>
          <cell r="G458">
            <v>45744.664363425924</v>
          </cell>
          <cell r="H458">
            <v>45722.40625</v>
          </cell>
          <cell r="I458" t="str">
            <v>ME185284</v>
          </cell>
        </row>
        <row r="459">
          <cell r="A459" t="str">
            <v>X25010133520</v>
          </cell>
          <cell r="B459" t="str">
            <v>PCA, New Electric Service, HMB, MICHAEL GERARD TANTOCO MORADA</v>
          </cell>
          <cell r="C459" t="str">
            <v>STREET, BUNGA, AYALA-ALABANG VILL, MUNTINLUPA</v>
          </cell>
          <cell r="D459" t="str">
            <v>73137</v>
          </cell>
          <cell r="E459" t="str">
            <v>PARANAQUE</v>
          </cell>
          <cell r="F459" t="str">
            <v>FCOMP</v>
          </cell>
          <cell r="G459">
            <v>45716.543055555558</v>
          </cell>
          <cell r="H459">
            <v>45708.430555555555</v>
          </cell>
          <cell r="I459" t="str">
            <v>ME166067</v>
          </cell>
        </row>
        <row r="460">
          <cell r="A460" t="str">
            <v>X25010134670</v>
          </cell>
          <cell r="B460" t="str">
            <v>PCA, Termination of Electric Service, SME, C N C CONSTRUCTION &amp; DEV'T. CORPORATION</v>
          </cell>
          <cell r="C460" t="str">
            <v>STREET, BANNER, 4TH ESTATE SUBD, PARANAQUE</v>
          </cell>
          <cell r="D460" t="str">
            <v>77404</v>
          </cell>
          <cell r="E460" t="str">
            <v>PARANAQUE</v>
          </cell>
          <cell r="F460" t="str">
            <v>FCOMP</v>
          </cell>
          <cell r="G460">
            <v>45721.34065972222</v>
          </cell>
          <cell r="H460">
            <v>45700.402777777781</v>
          </cell>
          <cell r="I460" t="str">
            <v>ME166067</v>
          </cell>
        </row>
        <row r="461">
          <cell r="A461" t="str">
            <v>X25010136657</v>
          </cell>
          <cell r="B461" t="str">
            <v>PCA, New Electric Service, SME, COFFEE MASTERS, INC.</v>
          </cell>
          <cell r="C461" t="str">
            <v>STREET, MOLINO BLVD, MOLINO III, BACOOR</v>
          </cell>
          <cell r="D461" t="str">
            <v>15002264</v>
          </cell>
          <cell r="E461" t="str">
            <v>PARANAQUE</v>
          </cell>
          <cell r="F461" t="str">
            <v>FCOMP</v>
          </cell>
          <cell r="G461">
            <v>45720.655821759261</v>
          </cell>
          <cell r="H461">
            <v>45719.645833333336</v>
          </cell>
          <cell r="I461" t="str">
            <v>ME166067</v>
          </cell>
        </row>
        <row r="462">
          <cell r="A462" t="str">
            <v>X25010138377</v>
          </cell>
          <cell r="B462" t="str">
            <v>PCA, New Electric Service, HMB, GOLDEN DONUTS, INC.</v>
          </cell>
          <cell r="C462" t="str">
            <v>STREET, NINOY AQUINO, SAN DIONISIO, PARANAQUE</v>
          </cell>
          <cell r="D462" t="str">
            <v>77056</v>
          </cell>
          <cell r="E462" t="str">
            <v>PARANAQUE</v>
          </cell>
          <cell r="F462" t="str">
            <v>FCOMP</v>
          </cell>
          <cell r="G462">
            <v>45688.603032407409</v>
          </cell>
          <cell r="H462">
            <v>45687.260416666664</v>
          </cell>
          <cell r="I462" t="str">
            <v>ME155242</v>
          </cell>
        </row>
        <row r="463">
          <cell r="A463" t="str">
            <v>X25010149592</v>
          </cell>
          <cell r="B463" t="str">
            <v>PCA, New Electric Service, SME, HARD DISCOUNT PHILIPPINES, INC.</v>
          </cell>
          <cell r="C463" t="str">
            <v>STREET, 8TH, ZONE 1, TAGUIG CITY</v>
          </cell>
          <cell r="D463" t="str">
            <v>91861</v>
          </cell>
          <cell r="E463" t="str">
            <v>PARANAQUE</v>
          </cell>
          <cell r="F463" t="str">
            <v>FCOMP</v>
          </cell>
          <cell r="G463">
            <v>45743.342303240737</v>
          </cell>
          <cell r="H463">
            <v>45733.727777777778</v>
          </cell>
          <cell r="I463" t="str">
            <v>ME185284</v>
          </cell>
        </row>
        <row r="464">
          <cell r="A464" t="str">
            <v>X25010173661</v>
          </cell>
          <cell r="B464" t="str">
            <v>PCA, New Electric Service, HMB, MJ RIAN P ROM</v>
          </cell>
          <cell r="C464" t="str">
            <v>STREET, SAN PEDRO, CARMENCITA VILL, LAS PINAS CITY</v>
          </cell>
          <cell r="D464" t="str">
            <v>64368</v>
          </cell>
          <cell r="E464" t="str">
            <v>PARANAQUE</v>
          </cell>
          <cell r="F464" t="str">
            <v>FCOMP</v>
          </cell>
          <cell r="G464">
            <v>45712.387048611112</v>
          </cell>
          <cell r="H464">
            <v>45695.6875</v>
          </cell>
          <cell r="I464" t="str">
            <v>ME155242</v>
          </cell>
        </row>
        <row r="465">
          <cell r="A465" t="str">
            <v>X25010176215</v>
          </cell>
          <cell r="B465" t="str">
            <v>PCA, New Electric Service, HMB, MARY GRACE MESINA MANDAP</v>
          </cell>
          <cell r="C465" t="str">
            <v>STREET, BASILIO ESTANISLAO, BF RESORT VILL, LAS PINAS CITY</v>
          </cell>
          <cell r="D465" t="str">
            <v>64039</v>
          </cell>
          <cell r="E465" t="str">
            <v>PARANAQUE</v>
          </cell>
          <cell r="F465" t="str">
            <v>SCHED</v>
          </cell>
          <cell r="G465">
            <v>45712.44394675926</v>
          </cell>
          <cell r="H465">
            <v>45716.52847222222</v>
          </cell>
          <cell r="I465" t="str">
            <v>ME155242</v>
          </cell>
        </row>
        <row r="466">
          <cell r="A466" t="str">
            <v>X25010209684</v>
          </cell>
          <cell r="B466" t="str">
            <v>PCA, New Electric Service, SME, UNIOIL PETROLEUM PHILIPPINES, INC.</v>
          </cell>
          <cell r="C466" t="str">
            <v>STREET, EAST SERVICE, SN MARTIN DE PORRES, PARANAQUE</v>
          </cell>
          <cell r="D466" t="str">
            <v>77794</v>
          </cell>
          <cell r="E466" t="str">
            <v>PARANAQUE</v>
          </cell>
          <cell r="F466" t="str">
            <v>FCOMP</v>
          </cell>
          <cell r="G466">
            <v>45730.388865740744</v>
          </cell>
          <cell r="H466">
            <v>45722.697916666664</v>
          </cell>
          <cell r="I466" t="str">
            <v>ME166067</v>
          </cell>
        </row>
        <row r="467">
          <cell r="A467" t="str">
            <v>X25010209691</v>
          </cell>
          <cell r="B467" t="str">
            <v>PCA, New Electric Service, SME, ALMALOUNA COMALING QU</v>
          </cell>
          <cell r="C467" t="str">
            <v>STREET, EL GRANDE, BF HOMES, PARANAQUE</v>
          </cell>
          <cell r="D467" t="str">
            <v>75245</v>
          </cell>
          <cell r="E467" t="str">
            <v>PARANAQUE</v>
          </cell>
          <cell r="F467" t="str">
            <v>SCHED</v>
          </cell>
          <cell r="G467">
            <v>45712.44127314815</v>
          </cell>
          <cell r="H467">
            <v>45716.769444444442</v>
          </cell>
          <cell r="I467" t="str">
            <v>ME166067</v>
          </cell>
        </row>
        <row r="468">
          <cell r="A468" t="str">
            <v>X25010222043</v>
          </cell>
          <cell r="B468" t="str">
            <v>PCA, New Electric Service, HMB, NOEMI A SUMINISTRADO</v>
          </cell>
          <cell r="C468" t="str">
            <v>STREET, MILLARES, PUROK 4B, TAGUIG CITY</v>
          </cell>
          <cell r="D468" t="str">
            <v>91518</v>
          </cell>
          <cell r="E468" t="str">
            <v>PARANAQUE</v>
          </cell>
          <cell r="F468" t="str">
            <v>FCOMP</v>
          </cell>
          <cell r="G468">
            <v>45715.659710648149</v>
          </cell>
          <cell r="H468">
            <v>45707.386805555558</v>
          </cell>
          <cell r="I468" t="str">
            <v>ME185284</v>
          </cell>
        </row>
        <row r="469">
          <cell r="A469" t="str">
            <v>X25010223485</v>
          </cell>
          <cell r="B469" t="str">
            <v>PCA, New Electric Service, HMB, CITY GOVERNMENT OF TAGUIG</v>
          </cell>
          <cell r="C469" t="str">
            <v>STREET, MIRANDA, ZONE 2, TAGUIG CITY</v>
          </cell>
          <cell r="D469" t="str">
            <v>91887</v>
          </cell>
          <cell r="E469" t="str">
            <v>PARANAQUE</v>
          </cell>
          <cell r="F469" t="str">
            <v>SCHED</v>
          </cell>
          <cell r="G469">
            <v>45715.505462962959</v>
          </cell>
          <cell r="H469">
            <v>45719.307638888888</v>
          </cell>
          <cell r="I469" t="str">
            <v>ME166067</v>
          </cell>
        </row>
        <row r="470">
          <cell r="A470" t="str">
            <v>X25010249951</v>
          </cell>
          <cell r="B470" t="str">
            <v>PCA, New Electric Service, HMB, ALEX JUSTINIANO CLAVERIA</v>
          </cell>
          <cell r="C470" t="str">
            <v>STREET, SANTIAGO LOOP, AYALA-ALABANG VILL, MUNTINLUPA</v>
          </cell>
          <cell r="D470" t="str">
            <v>73235</v>
          </cell>
          <cell r="E470" t="str">
            <v>PARANAQUE</v>
          </cell>
          <cell r="F470" t="str">
            <v>SCHED</v>
          </cell>
          <cell r="G470">
            <v>45744.449131944442</v>
          </cell>
          <cell r="H470">
            <v>45750.413888888892</v>
          </cell>
          <cell r="I470" t="str">
            <v>ME166067</v>
          </cell>
        </row>
        <row r="471">
          <cell r="A471" t="str">
            <v>X25010268677</v>
          </cell>
          <cell r="B471" t="str">
            <v>PCA, New Electric Service, SME, GENELITO H. MORENO</v>
          </cell>
          <cell r="C471" t="str">
            <v>STREET, VRCC, VETERANS CENTER, TAGUIG CITY</v>
          </cell>
          <cell r="D471" t="str">
            <v>93064</v>
          </cell>
          <cell r="E471" t="str">
            <v>PARANAQUE</v>
          </cell>
          <cell r="F471" t="str">
            <v>FCOMP</v>
          </cell>
          <cell r="G471">
            <v>45742.322083333333</v>
          </cell>
          <cell r="H471">
            <v>45733.731944444444</v>
          </cell>
          <cell r="I471" t="str">
            <v>ME185284</v>
          </cell>
        </row>
        <row r="472">
          <cell r="A472" t="str">
            <v>X25010269534</v>
          </cell>
          <cell r="B472" t="str">
            <v>PCA, Modification of Electric Service, SME, AMVEL LAND DEVELOPMENT CORP.,</v>
          </cell>
          <cell r="C472" t="str">
            <v>STREET, PHASE 2 ACCESS ROAD, AMVEL COMMERCIAL COMPLEX, PARANAQUE</v>
          </cell>
          <cell r="D472" t="str">
            <v>77149</v>
          </cell>
          <cell r="E472" t="str">
            <v>PARANAQUE</v>
          </cell>
          <cell r="F472" t="str">
            <v>FCOMP</v>
          </cell>
          <cell r="G472">
            <v>45747.39466435185</v>
          </cell>
          <cell r="H472">
            <v>45734.686805555553</v>
          </cell>
          <cell r="I472" t="str">
            <v>ME166067</v>
          </cell>
        </row>
        <row r="473">
          <cell r="A473" t="str">
            <v>X25010270222</v>
          </cell>
          <cell r="B473" t="str">
            <v>PCA, New Electric Service, HMB, NELISA CHAVEZ BANATE</v>
          </cell>
          <cell r="C473" t="str">
            <v>STREET, KALAYAAN VILL, KALAYAAN VILL/BALAGBAG, PASAY CITY</v>
          </cell>
          <cell r="D473" t="str">
            <v>17407958</v>
          </cell>
          <cell r="E473" t="str">
            <v>PARANAQUE</v>
          </cell>
          <cell r="F473" t="str">
            <v>SCHED</v>
          </cell>
          <cell r="G473">
            <v>45726.634467592594</v>
          </cell>
          <cell r="H473">
            <v>45733.730555555558</v>
          </cell>
          <cell r="I473" t="str">
            <v>ME185284</v>
          </cell>
        </row>
        <row r="474">
          <cell r="A474" t="str">
            <v>X25010271342</v>
          </cell>
          <cell r="B474" t="str">
            <v>PCA, New Electric Service, CBG, ALVEO LAND CORP.,</v>
          </cell>
          <cell r="C474" t="str">
            <v>STREET, ALABANG-ZAPOTE, ALMANZA I, LAS PINAS CITY</v>
          </cell>
          <cell r="D474" t="str">
            <v>61639</v>
          </cell>
          <cell r="E474" t="str">
            <v>PARANAQUE</v>
          </cell>
          <cell r="F474" t="str">
            <v>SCHED</v>
          </cell>
          <cell r="G474">
            <v>45712.444733796299</v>
          </cell>
          <cell r="H474">
            <v>45717.317361111112</v>
          </cell>
          <cell r="I474" t="str">
            <v>ME155242</v>
          </cell>
        </row>
        <row r="475">
          <cell r="A475" t="str">
            <v>X25010278743</v>
          </cell>
          <cell r="B475" t="str">
            <v>PCA, New Electric Service, SME, RIZALYN G TAYAG</v>
          </cell>
          <cell r="C475" t="str">
            <v>STREET, NIOG III, NIOG III, BACOOR</v>
          </cell>
          <cell r="D475" t="str">
            <v>19585</v>
          </cell>
          <cell r="E475" t="str">
            <v>PARANAQUE</v>
          </cell>
          <cell r="F475" t="str">
            <v>SCHED</v>
          </cell>
          <cell r="G475">
            <v>45712.298449074071</v>
          </cell>
          <cell r="H475">
            <v>45716.644444444442</v>
          </cell>
          <cell r="I475" t="str">
            <v>ME155242</v>
          </cell>
        </row>
        <row r="476">
          <cell r="A476" t="str">
            <v>X25010310283</v>
          </cell>
          <cell r="B476" t="str">
            <v>PCA, New Electric Service, HMB, MERFE A GAMAS</v>
          </cell>
          <cell r="C476" t="str">
            <v>STREET, CHALLENGER, MOONWALK VILL, LAS PINAS CITY</v>
          </cell>
          <cell r="D476" t="str">
            <v>64611</v>
          </cell>
          <cell r="E476" t="str">
            <v>PARANAQUE</v>
          </cell>
          <cell r="F476" t="str">
            <v>SCHED</v>
          </cell>
          <cell r="G476">
            <v>45709.634097222224</v>
          </cell>
          <cell r="H476">
            <v>45712.534722222219</v>
          </cell>
          <cell r="I476" t="str">
            <v>ME155242</v>
          </cell>
        </row>
        <row r="477">
          <cell r="A477" t="str">
            <v>X25010310664</v>
          </cell>
          <cell r="B477" t="str">
            <v>PCA, New Electric Service, HMB, NEBUCHADNEZZAR C RABAYA</v>
          </cell>
          <cell r="C477" t="str">
            <v>STREET, MARINER, MOONWALK VILL, LAS PINAS CITY</v>
          </cell>
          <cell r="D477" t="str">
            <v>64631</v>
          </cell>
          <cell r="E477" t="str">
            <v>PARANAQUE</v>
          </cell>
          <cell r="F477" t="str">
            <v>SCHED</v>
          </cell>
          <cell r="G477">
            <v>45722.686643518522</v>
          </cell>
          <cell r="H477">
            <v>45722.690972222219</v>
          </cell>
          <cell r="I477" t="str">
            <v>ME166067</v>
          </cell>
        </row>
        <row r="478">
          <cell r="A478" t="str">
            <v>X25010314175</v>
          </cell>
          <cell r="B478" t="str">
            <v>PCA, Termination of Electric Service, CBG, BGST PRIME DEVELOPMENT CORP.</v>
          </cell>
          <cell r="C478" t="str">
            <v>STREET, COASTAL RD, SAN DIONISIO, PARANAQUE</v>
          </cell>
          <cell r="D478" t="str">
            <v>77078</v>
          </cell>
          <cell r="E478" t="str">
            <v>PARANAQUE</v>
          </cell>
          <cell r="F478" t="str">
            <v>SCHED</v>
          </cell>
          <cell r="G478">
            <v>45701.538055555553</v>
          </cell>
          <cell r="H478">
            <v>45701.536805555559</v>
          </cell>
          <cell r="I478" t="str">
            <v>ME155242</v>
          </cell>
        </row>
        <row r="479">
          <cell r="A479" t="str">
            <v>X25010318012</v>
          </cell>
          <cell r="B479" t="str">
            <v>PCA, New Electric Service, HMB, REBACE REAL ESTATE AND DEVELOPMENT (REBACE) CORP.</v>
          </cell>
          <cell r="C479" t="str">
            <v>STREET, REBACE BACOOR RESIDENCES, REBACE BACOOR RESIDENCES, BACOOR</v>
          </cell>
          <cell r="D479" t="str">
            <v>17539735</v>
          </cell>
          <cell r="E479" t="str">
            <v>PARANAQUE</v>
          </cell>
          <cell r="F479" t="str">
            <v>SCHED</v>
          </cell>
          <cell r="G479">
            <v>45729.641064814816</v>
          </cell>
          <cell r="H479">
            <v>45734.681944444441</v>
          </cell>
          <cell r="I479" t="str">
            <v>ME185284</v>
          </cell>
        </row>
        <row r="480">
          <cell r="A480" t="str">
            <v>X25010318884</v>
          </cell>
          <cell r="B480" t="str">
            <v>PCA, New Electric Service, HMB, D88 BOULEVARD RESTOBAR</v>
          </cell>
          <cell r="C480" t="str">
            <v>STREET, MOLINO, NIOG III, BACOOR</v>
          </cell>
          <cell r="D480" t="str">
            <v>15002370</v>
          </cell>
          <cell r="E480" t="str">
            <v>PARANAQUE</v>
          </cell>
          <cell r="F480" t="str">
            <v>SCHED</v>
          </cell>
          <cell r="G480">
            <v>45729.636006944442</v>
          </cell>
          <cell r="H480">
            <v>45734.695138888892</v>
          </cell>
          <cell r="I480" t="str">
            <v>ME155242</v>
          </cell>
        </row>
        <row r="481">
          <cell r="A481" t="str">
            <v>X25010329960</v>
          </cell>
          <cell r="B481" t="str">
            <v>PCA, New Electric Service, SME, RODRIGO SANGALANG LA TORRE</v>
          </cell>
          <cell r="C481" t="str">
            <v>STREET, TOPAZ, SEVERINA DIAMOND SUBD, PARANAQUE</v>
          </cell>
          <cell r="D481" t="str">
            <v>76475</v>
          </cell>
          <cell r="E481" t="str">
            <v>PARANAQUE</v>
          </cell>
          <cell r="F481" t="str">
            <v>SCHED</v>
          </cell>
          <cell r="G481">
            <v>45744.452499999999</v>
          </cell>
          <cell r="H481">
            <v>45750.656944444447</v>
          </cell>
          <cell r="I481" t="str">
            <v>ME155242</v>
          </cell>
        </row>
        <row r="482">
          <cell r="A482" t="str">
            <v>X25010330816</v>
          </cell>
          <cell r="B482" t="str">
            <v>PCA, New Electric Service, SME, GOLDILOCKS BAKESHOP, INC.</v>
          </cell>
          <cell r="C482" t="str">
            <v>STREET, ST. FRANCIS, SAN AGUSTIN VILL, PARANAQUE</v>
          </cell>
          <cell r="D482" t="str">
            <v>76861</v>
          </cell>
          <cell r="E482" t="str">
            <v>PARANAQUE</v>
          </cell>
          <cell r="F482" t="str">
            <v>WMTRL</v>
          </cell>
          <cell r="G482">
            <v>45741.655451388891</v>
          </cell>
          <cell r="H482">
            <v>45751.647222222222</v>
          </cell>
          <cell r="I482" t="str">
            <v>ME185284</v>
          </cell>
        </row>
        <row r="483">
          <cell r="A483" t="str">
            <v>X25010341636</v>
          </cell>
          <cell r="B483" t="str">
            <v>PCA, New Electric Service, HMB, TERESITA G MANAHAN</v>
          </cell>
          <cell r="C483" t="str">
            <v>STREET, BOEING, CONCORDE SUBD, PARANAQUE</v>
          </cell>
          <cell r="D483" t="str">
            <v>78154</v>
          </cell>
          <cell r="E483" t="str">
            <v>PARANAQUE</v>
          </cell>
          <cell r="F483" t="str">
            <v>SCHED</v>
          </cell>
          <cell r="G483">
            <v>45727.33734953704</v>
          </cell>
          <cell r="H483">
            <v>45727.688888888886</v>
          </cell>
          <cell r="I483" t="str">
            <v>ME155242</v>
          </cell>
        </row>
        <row r="484">
          <cell r="A484" t="str">
            <v>X25010359335</v>
          </cell>
          <cell r="B484" t="str">
            <v>PCA, Termination of Electric Service, CBG, JOLLIBEE FOODS CORPORATION</v>
          </cell>
          <cell r="C484" t="str">
            <v>STREET, AGUIRRE, BF HOMES, PARANAQUE</v>
          </cell>
          <cell r="D484" t="str">
            <v>75134</v>
          </cell>
          <cell r="E484" t="str">
            <v>PARANAQUE</v>
          </cell>
          <cell r="F484" t="str">
            <v>SCHED</v>
          </cell>
          <cell r="G484">
            <v>45722.561215277776</v>
          </cell>
          <cell r="H484">
            <v>45722.673611111109</v>
          </cell>
          <cell r="I484" t="str">
            <v>ME155242</v>
          </cell>
        </row>
        <row r="485">
          <cell r="A485" t="str">
            <v>X25020386591</v>
          </cell>
          <cell r="B485" t="str">
            <v>PCA, New Electric Service, HMB, SHEENA LORRAINE CHUA LAO</v>
          </cell>
          <cell r="C485" t="str">
            <v>STREET, IPIL-IPIL, AYALA-ALABANG VILL, MUNTINLUPA</v>
          </cell>
          <cell r="D485" t="str">
            <v>73170</v>
          </cell>
          <cell r="E485" t="str">
            <v>PARANAQUE</v>
          </cell>
          <cell r="F485" t="str">
            <v>FCOMP</v>
          </cell>
          <cell r="G485">
            <v>45744.344375000001</v>
          </cell>
          <cell r="H485">
            <v>45716.768750000003</v>
          </cell>
          <cell r="I485" t="str">
            <v>ME166067</v>
          </cell>
        </row>
        <row r="486">
          <cell r="A486" t="str">
            <v>X25020425086</v>
          </cell>
          <cell r="B486" t="str">
            <v>PCA, Termination of Electric Service, SME, C N C CONSTRUCTION &amp; DEV'T. CORPORATION</v>
          </cell>
          <cell r="C486" t="str">
            <v>STREET, SAN PEDRO, SAN ANTONIO VALLEY 2, PARANAQUE</v>
          </cell>
          <cell r="D486" t="str">
            <v>77593</v>
          </cell>
          <cell r="E486" t="str">
            <v>PARANAQUE</v>
          </cell>
          <cell r="F486" t="str">
            <v>FCOMP</v>
          </cell>
          <cell r="G486">
            <v>45699.624664351853</v>
          </cell>
          <cell r="H486">
            <v>45694.431944444441</v>
          </cell>
          <cell r="I486" t="str">
            <v>ME194579</v>
          </cell>
        </row>
        <row r="487">
          <cell r="A487" t="str">
            <v>X25020466847</v>
          </cell>
          <cell r="B487" t="str">
            <v>PCA, Modification of Electric Service, HMB, NADINE G ABELA</v>
          </cell>
          <cell r="C487" t="str">
            <v>STREET, LUZON, AYALA-ALABANG VILL, MUNTINLUPA</v>
          </cell>
          <cell r="D487" t="str">
            <v>73183</v>
          </cell>
          <cell r="E487" t="str">
            <v>PARANAQUE</v>
          </cell>
          <cell r="F487" t="str">
            <v>INPRG</v>
          </cell>
          <cell r="G487">
            <v>45743.418680555558</v>
          </cell>
          <cell r="H487">
            <v>45741.508333333331</v>
          </cell>
          <cell r="I487" t="str">
            <v>ME166067</v>
          </cell>
        </row>
        <row r="488">
          <cell r="A488" t="str">
            <v>X25020477740</v>
          </cell>
          <cell r="B488" t="str">
            <v>PCA, New Electric Service, SME, ECEAS CORPORATION</v>
          </cell>
          <cell r="C488" t="str">
            <v>STREET, FRANCE, BETTER LIVING SUBD, PARANAQUE</v>
          </cell>
          <cell r="D488" t="str">
            <v>75776</v>
          </cell>
          <cell r="E488" t="str">
            <v>PARANAQUE</v>
          </cell>
          <cell r="F488" t="str">
            <v>SCHED</v>
          </cell>
          <cell r="G488">
            <v>45733.413252314815</v>
          </cell>
          <cell r="H488">
            <v>45734.689583333333</v>
          </cell>
          <cell r="I488" t="str">
            <v>ME155242</v>
          </cell>
        </row>
        <row r="489">
          <cell r="A489" t="str">
            <v>X25020478582</v>
          </cell>
          <cell r="B489" t="str">
            <v>PCA, New Electric Service, HMB, NESTOR R LLORCA</v>
          </cell>
          <cell r="C489" t="str">
            <v>STREET, PINAGKAISA, PUROK 1A, TAGUIG CITY</v>
          </cell>
          <cell r="D489" t="str">
            <v>91387</v>
          </cell>
          <cell r="E489" t="str">
            <v>PARANAQUE</v>
          </cell>
          <cell r="F489" t="str">
            <v>SCHED</v>
          </cell>
          <cell r="G489">
            <v>45741.618796296294</v>
          </cell>
          <cell r="H489">
            <v>45744.413888888892</v>
          </cell>
          <cell r="I489" t="str">
            <v>ME155242</v>
          </cell>
        </row>
        <row r="490">
          <cell r="A490" t="str">
            <v>X25020498390</v>
          </cell>
          <cell r="B490" t="str">
            <v>PCA, New Electric Service, HMB, MANUKA REALTY, INC.</v>
          </cell>
          <cell r="C490" t="str">
            <v>STREET, TALISAY, AYALA-ALABANG VILL, MUNTINLUPA</v>
          </cell>
          <cell r="D490" t="str">
            <v>73243</v>
          </cell>
          <cell r="E490" t="str">
            <v>PARANAQUE</v>
          </cell>
          <cell r="F490" t="str">
            <v>SCHED</v>
          </cell>
          <cell r="G490">
            <v>45744.444652777776</v>
          </cell>
          <cell r="H490">
            <v>45750.665972222225</v>
          </cell>
          <cell r="I490" t="str">
            <v>ME166067</v>
          </cell>
        </row>
        <row r="491">
          <cell r="A491" t="str">
            <v>X25020514312</v>
          </cell>
          <cell r="B491" t="str">
            <v>PCA, Modification of Electric Service, HMB, CITY GOVT OF LAS PIÑAS,</v>
          </cell>
          <cell r="C491" t="str">
            <v>STREET, PULO, SITIO PULO, LAS PINAS CITY</v>
          </cell>
          <cell r="D491" t="str">
            <v>64563</v>
          </cell>
          <cell r="E491" t="str">
            <v>PARANAQUE</v>
          </cell>
          <cell r="F491" t="str">
            <v>SCHED</v>
          </cell>
          <cell r="G491">
            <v>45729.554895833331</v>
          </cell>
          <cell r="H491">
            <v>45733.756944444445</v>
          </cell>
          <cell r="I491" t="str">
            <v>ME185284</v>
          </cell>
        </row>
        <row r="492">
          <cell r="A492" t="str">
            <v>X25020524328</v>
          </cell>
          <cell r="B492" t="str">
            <v>PCA, Modification of Electric Service, HMB, CITY GOVT OF LAS PIÑAS,</v>
          </cell>
          <cell r="C492" t="str">
            <v>STREET, BF RESORT, TALON II, LAS PINAS CITY</v>
          </cell>
          <cell r="D492" t="str">
            <v>64288</v>
          </cell>
          <cell r="E492" t="str">
            <v>PARANAQUE</v>
          </cell>
          <cell r="F492" t="str">
            <v>FCOMP</v>
          </cell>
          <cell r="G492">
            <v>45733.404108796298</v>
          </cell>
          <cell r="H492">
            <v>45719.307638888888</v>
          </cell>
          <cell r="I492" t="str">
            <v>ME166067</v>
          </cell>
        </row>
        <row r="493">
          <cell r="A493" t="str">
            <v>X25020529420</v>
          </cell>
          <cell r="B493" t="str">
            <v>PCA, New Electric Service, HMB, BARANGAY TALON UNO</v>
          </cell>
          <cell r="C493" t="str">
            <v>STREET, MARCOS ALVAREZ, GOLDEN ACRES SUBD, LAS PINAS CITY</v>
          </cell>
          <cell r="D493" t="str">
            <v>17118907</v>
          </cell>
          <cell r="E493" t="str">
            <v>PARANAQUE</v>
          </cell>
          <cell r="F493" t="str">
            <v>SCHED</v>
          </cell>
          <cell r="G493">
            <v>45726.610185185185</v>
          </cell>
          <cell r="H493">
            <v>45733.637499999997</v>
          </cell>
          <cell r="I493" t="str">
            <v>ME155242</v>
          </cell>
        </row>
        <row r="494">
          <cell r="A494" t="str">
            <v>X25020539755</v>
          </cell>
          <cell r="B494" t="str">
            <v>PCA, New Electric Service, SME, LIONS PARK RESIDENCES CONDOMINIUM CORPORATION ASSO</v>
          </cell>
          <cell r="C494" t="str">
            <v>STREET, ALPACA, LION'S PARK RESIDENCES, PARANAQUE</v>
          </cell>
          <cell r="D494" t="str">
            <v>144900</v>
          </cell>
          <cell r="E494" t="str">
            <v>PARANAQUE</v>
          </cell>
          <cell r="F494" t="str">
            <v>SCHED</v>
          </cell>
          <cell r="G494">
            <v>45722.56050925926</v>
          </cell>
          <cell r="H494">
            <v>45722.640972222223</v>
          </cell>
          <cell r="I494" t="str">
            <v>ME185284</v>
          </cell>
        </row>
        <row r="495">
          <cell r="A495" t="str">
            <v>X25020583083</v>
          </cell>
          <cell r="B495" t="str">
            <v>PCA, Termination of Electric Service, SME, DAVID'S FUSION INT'L. FOOD INC. DOING BUSINESS UND</v>
          </cell>
          <cell r="C495" t="str">
            <v>STREET, QUIRINO, TAMBO, PARANAQUE</v>
          </cell>
          <cell r="D495" t="str">
            <v>78242</v>
          </cell>
          <cell r="E495" t="str">
            <v>PARANAQUE</v>
          </cell>
          <cell r="F495" t="str">
            <v>SCHED</v>
          </cell>
          <cell r="G495">
            <v>45733.431886574072</v>
          </cell>
          <cell r="H495">
            <v>45734.695833333331</v>
          </cell>
          <cell r="I495" t="str">
            <v>ME155242</v>
          </cell>
        </row>
        <row r="496">
          <cell r="A496" t="str">
            <v>X25020594777</v>
          </cell>
          <cell r="B496" t="str">
            <v>PCA, Modification of Electric Service, HMB, CITY GOVERNMENT OF MUNTINLUPA</v>
          </cell>
          <cell r="C496" t="str">
            <v>STREET, FILINVEST SOCIALIZED HOUSING, FILINVEST SOCIALIZED HOUSING, MUNTINLUPA</v>
          </cell>
          <cell r="D496" t="str">
            <v>72377</v>
          </cell>
          <cell r="E496" t="str">
            <v>PARANAQUE</v>
          </cell>
          <cell r="F496" t="str">
            <v>SCHED</v>
          </cell>
          <cell r="G496">
            <v>45733.430937500001</v>
          </cell>
          <cell r="H496">
            <v>45737.539583333331</v>
          </cell>
          <cell r="I496" t="str">
            <v>ME155242</v>
          </cell>
        </row>
        <row r="497">
          <cell r="A497" t="str">
            <v>X25020617611</v>
          </cell>
          <cell r="B497" t="str">
            <v>PCA, New Electric Service, HMB, CONNIE LAO YU</v>
          </cell>
          <cell r="C497" t="str">
            <v>STREET, N. ARMSTRONG, MOONWALK, PARANAQUE</v>
          </cell>
          <cell r="D497" t="str">
            <v>76756</v>
          </cell>
          <cell r="E497" t="str">
            <v>PARANAQUE</v>
          </cell>
          <cell r="F497" t="str">
            <v>SCHED</v>
          </cell>
          <cell r="G497">
            <v>45741.632731481484</v>
          </cell>
          <cell r="H497">
            <v>45744.418749999997</v>
          </cell>
          <cell r="I497" t="str">
            <v>ME155242</v>
          </cell>
        </row>
        <row r="498">
          <cell r="A498" t="str">
            <v>X25020632623</v>
          </cell>
          <cell r="B498" t="str">
            <v>PCA, Modification of Electric Service, HMB, PAUL ERWIN SALAZAR CANTOS</v>
          </cell>
          <cell r="C498" t="str">
            <v>STREET, BLOCK 14-B, LINDENWOOD RESIDENCES, MUNTINLUPA</v>
          </cell>
          <cell r="D498" t="str">
            <v>131928</v>
          </cell>
          <cell r="E498" t="str">
            <v>PARANAQUE</v>
          </cell>
          <cell r="F498" t="str">
            <v>FCOMP</v>
          </cell>
          <cell r="G498">
            <v>45730.390127314815</v>
          </cell>
          <cell r="H498">
            <v>45733.695833333331</v>
          </cell>
          <cell r="I498" t="str">
            <v>ME166067</v>
          </cell>
        </row>
        <row r="499">
          <cell r="A499" t="str">
            <v>X25020633295</v>
          </cell>
          <cell r="B499" t="str">
            <v>PCA, New Electric Service, CBG, ASEANA BUSINESS PARK ESTATE ASSOCIATION, INC.</v>
          </cell>
          <cell r="C499" t="str">
            <v>STREET, BRADCO, ASEANA BUSINESS PARK, PARANAQUE</v>
          </cell>
          <cell r="D499" t="str">
            <v>75130</v>
          </cell>
          <cell r="E499" t="str">
            <v>PARANAQUE</v>
          </cell>
          <cell r="F499" t="str">
            <v>SCHED</v>
          </cell>
          <cell r="G499">
            <v>45726.633553240739</v>
          </cell>
          <cell r="H499">
            <v>45733.731944444444</v>
          </cell>
          <cell r="I499" t="str">
            <v>ME185284</v>
          </cell>
        </row>
        <row r="500">
          <cell r="A500" t="str">
            <v>X25020672144</v>
          </cell>
          <cell r="B500" t="str">
            <v>PCA, New Electric Service, SME, SYNERGYAUTO VENTURES CORPORATION</v>
          </cell>
          <cell r="C500" t="str">
            <v>STREET, DR. A. SANTOS, BF HOMES, PARANAQUE</v>
          </cell>
          <cell r="D500" t="str">
            <v>75233</v>
          </cell>
          <cell r="E500" t="str">
            <v>PARANAQUE</v>
          </cell>
          <cell r="F500" t="str">
            <v>FCOMP</v>
          </cell>
          <cell r="G500">
            <v>45747.287407407406</v>
          </cell>
          <cell r="H500">
            <v>45737.549305555556</v>
          </cell>
          <cell r="I500" t="str">
            <v>ME194579</v>
          </cell>
        </row>
        <row r="501">
          <cell r="A501" t="str">
            <v>X25030761116</v>
          </cell>
          <cell r="B501" t="str">
            <v>PCA, New Electric Service, HMB, RIGUERA REALTY &amp; DEV'T CORP.</v>
          </cell>
          <cell r="C501" t="str">
            <v>STREET, CYPRESS, PILAR VILL, LAS PINAS CITY</v>
          </cell>
          <cell r="D501" t="str">
            <v>63209</v>
          </cell>
          <cell r="E501" t="str">
            <v>PARANAQUE</v>
          </cell>
          <cell r="F501" t="str">
            <v>SCHED</v>
          </cell>
          <cell r="G501">
            <v>45733.430671296293</v>
          </cell>
          <cell r="H501">
            <v>45737.604861111111</v>
          </cell>
          <cell r="I501" t="str">
            <v>ME155242</v>
          </cell>
        </row>
        <row r="502">
          <cell r="A502" t="str">
            <v>X25030763572</v>
          </cell>
          <cell r="B502" t="str">
            <v>PCA, Modification of Electric Service, CBG, IGLESIA NI CRISTO</v>
          </cell>
          <cell r="C502" t="str">
            <v>STREET, P. BURGOS, SAN DIONISIO, PARANAQUE</v>
          </cell>
          <cell r="D502" t="str">
            <v>77059</v>
          </cell>
          <cell r="E502" t="str">
            <v>PARANAQUE</v>
          </cell>
          <cell r="F502" t="str">
            <v>SCHED</v>
          </cell>
          <cell r="G502">
            <v>45729.558506944442</v>
          </cell>
          <cell r="H502">
            <v>45733.668749999997</v>
          </cell>
          <cell r="I502" t="str">
            <v>ME155242</v>
          </cell>
        </row>
        <row r="503">
          <cell r="A503" t="str">
            <v>X25030802747</v>
          </cell>
          <cell r="B503" t="str">
            <v>PCA, Modification of Electric Service, HMB, KATHRYN ANG ZARATE</v>
          </cell>
          <cell r="C503" t="str">
            <v>STREET, ROSEMALLOW, SUN VALLEY SUBD, PARANAQUE</v>
          </cell>
          <cell r="D503" t="str">
            <v>78107</v>
          </cell>
          <cell r="E503" t="str">
            <v>PARANAQUE</v>
          </cell>
          <cell r="F503" t="str">
            <v>WMTRL</v>
          </cell>
          <cell r="G503">
            <v>45742.68613425926</v>
          </cell>
          <cell r="H503">
            <v>45751.65347222222</v>
          </cell>
          <cell r="I503" t="str">
            <v>ME185284</v>
          </cell>
        </row>
        <row r="504">
          <cell r="A504" t="str">
            <v>X25030837914</v>
          </cell>
          <cell r="B504" t="str">
            <v>PCA, New Electric Service, HMB, BARANGAY ALABANG</v>
          </cell>
          <cell r="C504" t="str">
            <v>STREET, MONTILLANO, ALABANG, MUNTINLUPA</v>
          </cell>
          <cell r="D504" t="str">
            <v>72330</v>
          </cell>
          <cell r="E504" t="str">
            <v>PARANAQUE</v>
          </cell>
          <cell r="F504" t="str">
            <v>FCOMP</v>
          </cell>
          <cell r="G504">
            <v>45743.354201388887</v>
          </cell>
          <cell r="H504">
            <v>45736.428472222222</v>
          </cell>
          <cell r="I504" t="str">
            <v>ME166067</v>
          </cell>
        </row>
        <row r="505">
          <cell r="A505" t="str">
            <v>X25030858073</v>
          </cell>
          <cell r="B505" t="str">
            <v>PCA, Termination of Electric Service, CBG, CENTURY LIMITLESS CORPORATION,</v>
          </cell>
          <cell r="C505" t="str">
            <v>STREET, WEST SERVICE, MARCELO GREEN VILL, PARANAQUE</v>
          </cell>
          <cell r="D505" t="str">
            <v>76354</v>
          </cell>
          <cell r="E505" t="str">
            <v>PARANAQUE</v>
          </cell>
          <cell r="F505" t="str">
            <v>SCHED</v>
          </cell>
          <cell r="G505">
            <v>45744.448113425926</v>
          </cell>
          <cell r="H505">
            <v>45750.637499999997</v>
          </cell>
          <cell r="I505" t="str">
            <v>ME155242</v>
          </cell>
        </row>
        <row r="506">
          <cell r="A506" t="str">
            <v>X25030873001</v>
          </cell>
          <cell r="B506" t="str">
            <v>PCA, New Electric Service, HMB, JEIKA PROPERTIES CORPORATION</v>
          </cell>
          <cell r="C506" t="str">
            <v>STREET, BLOCK 6, KATHLEEN PLACE 5 SUBD, BACOOR</v>
          </cell>
          <cell r="D506" t="str">
            <v>17656632</v>
          </cell>
          <cell r="E506" t="str">
            <v>PARANAQUE</v>
          </cell>
          <cell r="F506" t="str">
            <v>SCHED</v>
          </cell>
          <cell r="G506">
            <v>45744.447557870371</v>
          </cell>
          <cell r="H506">
            <v>45750.640972222223</v>
          </cell>
          <cell r="I506" t="str">
            <v>ME155242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Work Orders"/>
      <sheetName val="Sheet1"/>
    </sheetNames>
    <sheetDataSet>
      <sheetData sheetId="0">
        <row r="1">
          <cell r="A1" t="str">
            <v>Work Order</v>
          </cell>
          <cell r="B1" t="str">
            <v>Description</v>
          </cell>
          <cell r="C1" t="str">
            <v>Location Description</v>
          </cell>
          <cell r="D1" t="str">
            <v>Location Tag</v>
          </cell>
          <cell r="E1" t="str">
            <v>Office</v>
          </cell>
          <cell r="F1" t="str">
            <v>Status</v>
          </cell>
        </row>
        <row r="2">
          <cell r="A2" t="str">
            <v>100338058517</v>
          </cell>
          <cell r="B2" t="str">
            <v>MAINT - 414FIL - Retirement of Idle poles &amp; facilities P# DU1-2173,DU1-2282,DU1-2172,NPT</v>
          </cell>
          <cell r="C2" t="str">
            <v>CKT, 414FIL, 34.5 KV, DISTRIBUTION</v>
          </cell>
          <cell r="D2" t="str">
            <v>414FIL</v>
          </cell>
          <cell r="E2" t="str">
            <v>PARANAQUE</v>
          </cell>
          <cell r="F2" t="str">
            <v>SCHED</v>
          </cell>
        </row>
        <row r="3">
          <cell r="A3" t="str">
            <v>100338058622</v>
          </cell>
          <cell r="B3" t="str">
            <v>MAINT - 414FIL - Retirement of Idle poles and other facilities pole DU1-0002-T &amp; DU1-2172-B</v>
          </cell>
          <cell r="C3" t="str">
            <v>CKT, 414FIL, 34.5 KV, DISTRIBUTION</v>
          </cell>
          <cell r="D3" t="str">
            <v>414FIL</v>
          </cell>
          <cell r="E3" t="str">
            <v>PARANAQUE</v>
          </cell>
          <cell r="F3" t="str">
            <v>SCHED</v>
          </cell>
        </row>
        <row r="4">
          <cell r="A4" t="str">
            <v>100338058856</v>
          </cell>
          <cell r="B4" t="str">
            <v>MAINT - 414FIL - Retirement of Idle poles and other facilities pole DU1-2176</v>
          </cell>
          <cell r="C4" t="str">
            <v>POLE</v>
          </cell>
          <cell r="D4" t="str">
            <v>DU1-2176</v>
          </cell>
          <cell r="E4" t="str">
            <v>PARANAQUE</v>
          </cell>
          <cell r="F4" t="str">
            <v>SCHED</v>
          </cell>
        </row>
        <row r="5">
          <cell r="A5" t="str">
            <v>100338058959</v>
          </cell>
          <cell r="B5" t="str">
            <v>MAINT - 414FIL - Retirement of Idle poles and other facilities pole DU1-2307 &amp; DU1-2308</v>
          </cell>
          <cell r="C5" t="str">
            <v>POLE, CONCRETE, CLASS 5, 13.50 m, SINGLE, PRIMARY</v>
          </cell>
          <cell r="D5" t="str">
            <v>DU1-2307</v>
          </cell>
          <cell r="E5" t="str">
            <v>PARANAQUE</v>
          </cell>
          <cell r="F5" t="str">
            <v>SCHED</v>
          </cell>
        </row>
        <row r="6">
          <cell r="A6" t="str">
            <v>100338059056</v>
          </cell>
          <cell r="B6" t="str">
            <v>MAINT - 414FIL - Retirement of Idle poles and other facilities pole DT1-2353 &amp; DT1-2180</v>
          </cell>
          <cell r="C6" t="str">
            <v>POLE, CONCRETE, CLASS 5, 13.50 m, SINGLE, PRIMARY</v>
          </cell>
          <cell r="D6" t="str">
            <v>DT1-2353</v>
          </cell>
          <cell r="E6" t="str">
            <v>PARANAQUE</v>
          </cell>
          <cell r="F6" t="str">
            <v>SCHED</v>
          </cell>
        </row>
        <row r="7">
          <cell r="A7" t="str">
            <v>P2004004805</v>
          </cell>
          <cell r="B7" t="str">
            <v>MN_MAJOR, REPLACE OVERLOADED POLE-TYPE DISTRIBUTION TRANSFORMER</v>
          </cell>
          <cell r="C7" t="str">
            <v>DXF, POLE-MOUNTED, 34.5 KV, 240 V</v>
          </cell>
          <cell r="D7" t="str">
            <v>TLN 051257</v>
          </cell>
          <cell r="E7" t="str">
            <v>PARANAQUE</v>
          </cell>
          <cell r="F7" t="str">
            <v>SCHED</v>
          </cell>
        </row>
        <row r="8">
          <cell r="A8" t="str">
            <v>P2006000420</v>
          </cell>
          <cell r="B8" t="str">
            <v>MAINT  45WG TLN 037283; Split Loading Inst Addl 50KVA &amp; 75KVA on A8-0440&amp;ALB1-3102</v>
          </cell>
          <cell r="C8" t="str">
            <v>DXF, POLE-MOUNTED, 34.5 KV, 240 V</v>
          </cell>
          <cell r="D8" t="str">
            <v>TLN 037283</v>
          </cell>
          <cell r="E8" t="str">
            <v>PARANAQUE</v>
          </cell>
          <cell r="F8" t="str">
            <v>CAN</v>
          </cell>
        </row>
        <row r="9">
          <cell r="A9" t="str">
            <v>P2006000610</v>
          </cell>
          <cell r="B9" t="str">
            <v>MAINT - 55GG_TLN 271296 Split Loading Inst Addl 50KVA on A8-0735</v>
          </cell>
          <cell r="C9" t="str">
            <v>DXF, 75.0 kVA, POLE-MOUNTED, 34.5 KV, 240 V</v>
          </cell>
          <cell r="D9" t="str">
            <v>TLN 271296</v>
          </cell>
          <cell r="E9" t="str">
            <v>PARANAQUE</v>
          </cell>
          <cell r="F9" t="str">
            <v>CAN</v>
          </cell>
        </row>
        <row r="10">
          <cell r="A10" t="str">
            <v>P2006000921</v>
          </cell>
          <cell r="B10" t="str">
            <v>MN_MAJOR, CONDUCT LOAD SPLITTING</v>
          </cell>
          <cell r="C10" t="str">
            <v>DXF, POLE-MOUNTED, 34.5 KV, 240 V</v>
          </cell>
          <cell r="D10" t="str">
            <v>068256</v>
          </cell>
          <cell r="E10" t="str">
            <v>PARANAQUE</v>
          </cell>
          <cell r="F10" t="str">
            <v>FCOMP</v>
          </cell>
        </row>
        <row r="11">
          <cell r="A11" t="str">
            <v>P2006000924</v>
          </cell>
          <cell r="B11" t="str">
            <v>MAINT- 45WG Load-Split TLN 033207; Inst Addl 75KVA on DZ2-2222</v>
          </cell>
          <cell r="C11" t="str">
            <v>DXF, 75.0 kVA, POLE-MOUNTED, 34.5 KV, 240 V</v>
          </cell>
          <cell r="D11" t="str">
            <v>TLN 033207</v>
          </cell>
          <cell r="E11" t="str">
            <v>PARANAQUE</v>
          </cell>
          <cell r="F11" t="str">
            <v>INPRG</v>
          </cell>
        </row>
        <row r="12">
          <cell r="A12" t="str">
            <v>P2007000208</v>
          </cell>
          <cell r="B12" t="str">
            <v>MAINT 425WG Load-Split 087388/WA345584/100KVA; Inst Addl 75KVA on A7-1008</v>
          </cell>
          <cell r="C12" t="str">
            <v>DXF, POLE-MOUNTED, 34.5 KV, 240 V</v>
          </cell>
          <cell r="D12" t="str">
            <v>TLN 087388</v>
          </cell>
          <cell r="E12" t="str">
            <v>PARANAQUE</v>
          </cell>
          <cell r="F12" t="str">
            <v>INPRG</v>
          </cell>
        </row>
        <row r="13">
          <cell r="A13" t="str">
            <v>P2007000361</v>
          </cell>
          <cell r="B13" t="str">
            <v>MAINT Load-Split 086298/WA350686/100KVA; 
Inst Addl 1-75kVA DT on pole B8-6252 (new pole)</v>
          </cell>
          <cell r="C13" t="str">
            <v>DXF, 50.0 kVA, POLE-MOUNTED, 34.5 KV, 240 V, 1DT SINGLE</v>
          </cell>
          <cell r="D13" t="str">
            <v>TLN 086298</v>
          </cell>
          <cell r="E13" t="str">
            <v>PARANAQUE</v>
          </cell>
          <cell r="F13" t="str">
            <v>FCOMP</v>
          </cell>
        </row>
        <row r="14">
          <cell r="A14" t="str">
            <v>P2007000394</v>
          </cell>
          <cell r="B14" t="str">
            <v>MAINT_55GG Load-Split 111627/WA329429/50KVA; Inst Addl 75KVA on C8-5486</v>
          </cell>
          <cell r="C14" t="str">
            <v>DXF, POLE-MOUNTED, 34.5 KV, 240 V</v>
          </cell>
          <cell r="D14" t="str">
            <v>111627</v>
          </cell>
          <cell r="E14" t="str">
            <v>PARANAQUE</v>
          </cell>
          <cell r="F14" t="str">
            <v>INPRG</v>
          </cell>
        </row>
        <row r="15">
          <cell r="A15" t="str">
            <v>P2009000548</v>
          </cell>
          <cell r="B15" t="str">
            <v>MAINT 55GG Loadsplit [069426|WA145069|DZ2-0528|
Install addl 2-75 kVA on Pole DZ2-0526</v>
          </cell>
          <cell r="C15" t="str">
            <v>DXF, POLE-MOUNTED, 34.5 KV, 240 V</v>
          </cell>
          <cell r="D15" t="str">
            <v>TLN 069426</v>
          </cell>
          <cell r="E15" t="str">
            <v>PARANAQUE</v>
          </cell>
          <cell r="F15" t="str">
            <v>CAN</v>
          </cell>
        </row>
        <row r="16">
          <cell r="A16" t="str">
            <v>P2009000586</v>
          </cell>
          <cell r="B16" t="str">
            <v>MAINT 56GG Loadsplit [134661||DV1-0012||QS]
Install 1-50kVA DT on pole DV1-0011</v>
          </cell>
          <cell r="C16" t="str">
            <v>DXF, POLE-MOUNTED, 34.5 KV, 240 V</v>
          </cell>
          <cell r="D16" t="str">
            <v>134661</v>
          </cell>
          <cell r="E16" t="str">
            <v>PARANAQUE</v>
          </cell>
          <cell r="F16" t="str">
            <v>PCAN3</v>
          </cell>
        </row>
        <row r="17">
          <cell r="A17" t="str">
            <v>P2009000788</v>
          </cell>
          <cell r="B17" t="str">
            <v>MAINT 421WG, Uprate from 25kVA to 75kVA : [452201|WA200084|A5-1345|QS]</v>
          </cell>
          <cell r="C17" t="str">
            <v>DXF, 25.0 kVA, POLE-MOUNTED, 34.5 KV, 240 V, 1DT SINGLE</v>
          </cell>
          <cell r="D17" t="str">
            <v>TLN 452201</v>
          </cell>
          <cell r="E17" t="str">
            <v>PARANAQUE</v>
          </cell>
          <cell r="F17" t="str">
            <v>INPRG</v>
          </cell>
        </row>
        <row r="18">
          <cell r="A18" t="str">
            <v>P2009000813</v>
          </cell>
          <cell r="B18" t="str">
            <v>MAINT 424WU Uprate from 50kVA to 75kVA : [039062|WA372558|A5-0334|QS]</v>
          </cell>
          <cell r="C18" t="str">
            <v>DXF, 75.0 kVA, POLE-MOUNTED, 34.5 KV, 240 V</v>
          </cell>
          <cell r="D18" t="str">
            <v>039062</v>
          </cell>
          <cell r="E18" t="str">
            <v>PARANAQUE</v>
          </cell>
          <cell r="F18" t="str">
            <v>INPRG</v>
          </cell>
        </row>
        <row r="19">
          <cell r="A19" t="str">
            <v>P2101102674</v>
          </cell>
          <cell r="B19" t="str">
            <v>MAINT 57GG Loadsplit  [003404|WA110981|DR1-0404]
Install addl 1-75kVA DT on pole</v>
          </cell>
          <cell r="C19" t="str">
            <v>DXF, POLE-MOUNTED, 34.5 KV, 240 V</v>
          </cell>
          <cell r="D19" t="str">
            <v>TLN 003404</v>
          </cell>
          <cell r="E19" t="str">
            <v>PARANAQUE</v>
          </cell>
          <cell r="F19" t="str">
            <v>FCOMP</v>
          </cell>
        </row>
        <row r="20">
          <cell r="A20" t="str">
            <v>P2101102682</v>
          </cell>
          <cell r="B20" t="str">
            <v>MN_MAJOR, CONDUCT LOAD SPLITTING, Loadsplit from 75kVA : [063873|WA344251|DR1-1343|46WH|]Updated</v>
          </cell>
          <cell r="C20" t="str">
            <v>DXF, POLE-MOUNTED, 34.5 KV, 240 V</v>
          </cell>
          <cell r="D20" t="str">
            <v>TLN 063873</v>
          </cell>
          <cell r="E20" t="str">
            <v>PARANAQUE</v>
          </cell>
          <cell r="F20" t="str">
            <v>FCOMP</v>
          </cell>
        </row>
        <row r="21">
          <cell r="A21" t="str">
            <v>P2101102720</v>
          </cell>
          <cell r="B21" t="str">
            <v>MAINT 55GG Loadsplit [069436|WA368739|B8-0835]
Install 1-75 kVA  on pole B8-0836</v>
          </cell>
          <cell r="C21" t="str">
            <v>DXF, POLE-MOUNTED, 34.5 KV, 240 V</v>
          </cell>
          <cell r="D21" t="str">
            <v>TLN 069436</v>
          </cell>
          <cell r="E21" t="str">
            <v>PARANAQUE</v>
          </cell>
          <cell r="F21" t="str">
            <v>PCAN3</v>
          </cell>
        </row>
        <row r="22">
          <cell r="A22" t="str">
            <v>P2101102759</v>
          </cell>
          <cell r="B22" t="str">
            <v>MN_MAJOR, Loadsplit 51XD  [037203|WA343521|CV8-1375||] install addl 1-75kVA  @ CV8- 1384</v>
          </cell>
          <cell r="C22" t="str">
            <v>DXF, POLE-MOUNTED, 34.5 KV, 240 V</v>
          </cell>
          <cell r="D22" t="str">
            <v>037203</v>
          </cell>
          <cell r="E22" t="str">
            <v>PARANAQUE</v>
          </cell>
          <cell r="F22" t="str">
            <v>SCHED</v>
          </cell>
        </row>
        <row r="23">
          <cell r="A23" t="str">
            <v>P2106111928</v>
          </cell>
          <cell r="B23" t="str">
            <v>MN_MAJOR, CONDUCT LOAD SPLITTING, Loadsplit from 75kVA : [037150|WA196961|CX7-0436|43XD|]</v>
          </cell>
          <cell r="C23" t="str">
            <v>DXF, 75.0 kVA, POLE-MOUNTED, 34.5 KV, 240 V, 1DT SINGLE</v>
          </cell>
          <cell r="D23" t="str">
            <v>TLN 037150</v>
          </cell>
          <cell r="E23" t="str">
            <v>PARANAQUE</v>
          </cell>
          <cell r="F23" t="str">
            <v>SCHED</v>
          </cell>
        </row>
        <row r="24">
          <cell r="A24" t="str">
            <v>P2106111943</v>
          </cell>
          <cell r="B24" t="str">
            <v>MAINT 45XD Loadsplit [035879|WA141444|CX8-0551||]
install 1-75kVA DT on pole CX8-0552</v>
          </cell>
          <cell r="C24" t="str">
            <v>DXF, 75.0 kVA, POLE-MOUNTED, 34.5 KV, 240 V, 1DT SINGLE</v>
          </cell>
          <cell r="D24" t="str">
            <v>TLN 035879</v>
          </cell>
          <cell r="E24" t="str">
            <v>PARANAQUE</v>
          </cell>
          <cell r="F24" t="str">
            <v>INPRG</v>
          </cell>
        </row>
        <row r="25">
          <cell r="A25" t="str">
            <v>P2107115141</v>
          </cell>
          <cell r="B25" t="str">
            <v>MN_MAJOR (WDESIGN), CONGRESSMAN OFFICE STRIKE B. REVILLA, Relocation Request along Bacoor,Cavite</v>
          </cell>
          <cell r="C25" t="str">
            <v>STREET, MOLINO BLVD., BAYANAN, BACOOR</v>
          </cell>
          <cell r="D25" t="str">
            <v>124537</v>
          </cell>
          <cell r="E25" t="str">
            <v>PARANAQUE</v>
          </cell>
          <cell r="F25" t="str">
            <v>FCOMP</v>
          </cell>
        </row>
        <row r="26">
          <cell r="A26" t="str">
            <v>P2207136641</v>
          </cell>
          <cell r="B26" t="str">
            <v>RTA MN_ 415FIL Replacement of Wood Pole on DU1-0017</v>
          </cell>
          <cell r="C26" t="str">
            <v>POLE, WOOD, CLASS 1, 13.50 m, SINGLE, PRIMARY</v>
          </cell>
          <cell r="D26" t="str">
            <v>DU1-0017</v>
          </cell>
          <cell r="E26" t="str">
            <v>PARANAQUE</v>
          </cell>
          <cell r="F26" t="str">
            <v>SCHED</v>
          </cell>
        </row>
        <row r="27">
          <cell r="A27" t="str">
            <v>P2210140139</v>
          </cell>
          <cell r="B27" t="str">
            <v>ECP-SR:, ASEANA ,DEVT OF 115KV-34.5KV GIS SS Station Service</v>
          </cell>
          <cell r="C27" t="str">
            <v>STREET, BELLE, ASEANA BUSINESS PARK, PARANAQUE</v>
          </cell>
          <cell r="D27" t="str">
            <v>75131</v>
          </cell>
          <cell r="E27" t="str">
            <v>PARANAQUE</v>
          </cell>
          <cell r="F27" t="str">
            <v>FCOMP</v>
          </cell>
        </row>
        <row r="28">
          <cell r="A28" t="str">
            <v>P2211141328</v>
          </cell>
          <cell r="B28" t="str">
            <v>RTA MN - 425FIL/415FIL - DS1-5305 - Replacement of rotten, hazardous and old standard pole</v>
          </cell>
          <cell r="C28" t="str">
            <v>POLE, CONCRETE</v>
          </cell>
          <cell r="D28" t="str">
            <v>DS1-5305</v>
          </cell>
          <cell r="E28" t="str">
            <v>PARANAQUE</v>
          </cell>
          <cell r="F28" t="str">
            <v>SCHED</v>
          </cell>
        </row>
        <row r="29">
          <cell r="A29" t="str">
            <v>P2211141332</v>
          </cell>
          <cell r="B29" t="str">
            <v>RTA MN - 415FIL - DU1-5951 - Replacement of rotten, hazardous and old standard pole</v>
          </cell>
          <cell r="C29" t="str">
            <v>POLE, CONCRETE, CLASS 5, 13.50 m, SINGLE, DIRECT-BURIED, STUB POLE (DISTRIBUTION)</v>
          </cell>
          <cell r="D29" t="str">
            <v>DU1-5951</v>
          </cell>
          <cell r="E29" t="str">
            <v>PARANAQUE</v>
          </cell>
          <cell r="F29" t="str">
            <v>SCHED</v>
          </cell>
        </row>
        <row r="30">
          <cell r="A30" t="str">
            <v>P2211141340</v>
          </cell>
          <cell r="B30" t="str">
            <v>RTA MN - 415FIL - DT1-0301 - Replacement of rotten, hazardous and old standard pole</v>
          </cell>
          <cell r="C30" t="str">
            <v>POLE, WOOD, CLASS 4, 9.00 m, SINGLE, SECONDARY</v>
          </cell>
          <cell r="D30" t="str">
            <v>DT1-0301</v>
          </cell>
          <cell r="E30" t="str">
            <v>PARANAQUE</v>
          </cell>
          <cell r="F30" t="str">
            <v>SCHED</v>
          </cell>
        </row>
        <row r="31">
          <cell r="A31" t="str">
            <v>P2211141342</v>
          </cell>
          <cell r="B31" t="str">
            <v>RTA MN - 415FIL - DT2-2199 - Replacement of rotten, hazardous and old standard pole</v>
          </cell>
          <cell r="C31" t="str">
            <v>POLE, CONCRETE, CLASS 5, 13.50 m, SINGLE, PRIMARY</v>
          </cell>
          <cell r="D31" t="str">
            <v>DT2-2199</v>
          </cell>
          <cell r="E31" t="str">
            <v>PARANAQUE</v>
          </cell>
          <cell r="F31" t="str">
            <v>INPRG</v>
          </cell>
        </row>
        <row r="32">
          <cell r="A32" t="str">
            <v>P2211141343</v>
          </cell>
          <cell r="B32" t="str">
            <v>RTA MN - 415FIL - ALB1-1353 - Replacement of rotten, hazardous and old standard pole</v>
          </cell>
          <cell r="C32" t="str">
            <v>POLE, WOOD, CLASS 4, 9.00 m, SINGLE, SECONDARY</v>
          </cell>
          <cell r="D32" t="str">
            <v>ALB1-1353</v>
          </cell>
          <cell r="E32" t="str">
            <v>PARANAQUE</v>
          </cell>
          <cell r="F32" t="str">
            <v>SCHED</v>
          </cell>
        </row>
        <row r="33">
          <cell r="A33" t="str">
            <v>P2211141348</v>
          </cell>
          <cell r="B33" t="str">
            <v>RTA MN - 415FIL - DT1-0065 - Replacement of rotten, hazardous and old standard pole</v>
          </cell>
          <cell r="C33" t="str">
            <v>POLE, WOOD, CLASS 9, 7.50 m, SINGLE, SECONDARY</v>
          </cell>
          <cell r="D33" t="str">
            <v>DT1-0065</v>
          </cell>
          <cell r="E33" t="str">
            <v>PARANAQUE</v>
          </cell>
          <cell r="F33" t="str">
            <v>SCHED</v>
          </cell>
        </row>
        <row r="34">
          <cell r="A34" t="str">
            <v>P2211141350</v>
          </cell>
          <cell r="B34" t="str">
            <v>RTA MN - 415FIL - DU1-0445 - Replacement of rotten, hazardous and old standard pole</v>
          </cell>
          <cell r="C34" t="str">
            <v>POLE, STEEL, CLASS 7A, 9.00 m, SINGLE, SECONDARY</v>
          </cell>
          <cell r="D34" t="str">
            <v>DU1-0445</v>
          </cell>
          <cell r="E34" t="str">
            <v>PARANAQUE</v>
          </cell>
          <cell r="F34" t="str">
            <v>SCHED</v>
          </cell>
        </row>
        <row r="35">
          <cell r="A35" t="str">
            <v>P2211141351</v>
          </cell>
          <cell r="B35" t="str">
            <v>RTA MN - 415FIL - DU1-0686 - Replacement of rotten, hazardous and old standard pole</v>
          </cell>
          <cell r="C35" t="str">
            <v>POLE, CONCRETE, CLASS 5, 9.50 m, SINGLE, SECONDARY</v>
          </cell>
          <cell r="D35" t="str">
            <v>DU1-0686</v>
          </cell>
          <cell r="E35" t="str">
            <v>PARANAQUE</v>
          </cell>
          <cell r="F35" t="str">
            <v>SCHED</v>
          </cell>
        </row>
        <row r="36">
          <cell r="A36" t="str">
            <v>P2211141353</v>
          </cell>
          <cell r="B36" t="str">
            <v>RTA MN - 415FIL - DT1-0061 - Replacement of rotten, hazardous and old standard pole</v>
          </cell>
          <cell r="C36" t="str">
            <v>POLE, WOOD, CLASS 4, 13.50 m, SINGLE, PRIMARY</v>
          </cell>
          <cell r="D36" t="str">
            <v>DT1-0061</v>
          </cell>
          <cell r="E36" t="str">
            <v>PARANAQUE</v>
          </cell>
          <cell r="F36" t="str">
            <v>SCHED</v>
          </cell>
        </row>
        <row r="37">
          <cell r="A37" t="str">
            <v>P2211141356</v>
          </cell>
          <cell r="B37" t="str">
            <v>RTA MN - 415FIL - DT1-0057 - Replacement of rotten, hazardous and old standard pole</v>
          </cell>
          <cell r="C37" t="str">
            <v>POLE, WOOD, CLASS 1, 15.00 m, SINGLE, PRIMARY</v>
          </cell>
          <cell r="D37" t="str">
            <v>DT1-0057</v>
          </cell>
          <cell r="E37" t="str">
            <v>PARANAQUE</v>
          </cell>
          <cell r="F37" t="str">
            <v>SCHED</v>
          </cell>
        </row>
        <row r="38">
          <cell r="A38" t="str">
            <v>P2211141357</v>
          </cell>
          <cell r="B38" t="str">
            <v>RTA MN - 415FIL - DU1-0003 - Replacement of rotten, hazardous and old standard pole</v>
          </cell>
          <cell r="C38" t="str">
            <v>POLE, CONCRETE, CLASS 5, 13.50 m, SINGLE, PRIMARY</v>
          </cell>
          <cell r="D38" t="str">
            <v>DU1-0003</v>
          </cell>
          <cell r="E38" t="str">
            <v>PARANAQUE</v>
          </cell>
          <cell r="F38" t="str">
            <v>SCHED</v>
          </cell>
        </row>
        <row r="39">
          <cell r="A39" t="str">
            <v>P2211141358</v>
          </cell>
          <cell r="B39" t="str">
            <v>RTA MN - 415FIL - DV1-0001 - Replacement of rotten, hazardous and old standard pole</v>
          </cell>
          <cell r="C39" t="str">
            <v>POLE, WOOD, CLASS 1, 12.00 m, SINGLE, PRIMARY</v>
          </cell>
          <cell r="D39" t="str">
            <v>DV1-0001</v>
          </cell>
          <cell r="E39" t="str">
            <v>PARANAQUE</v>
          </cell>
          <cell r="F39" t="str">
            <v>SCHED</v>
          </cell>
        </row>
        <row r="40">
          <cell r="A40" t="str">
            <v>P2211141360</v>
          </cell>
          <cell r="B40" t="str">
            <v>RTA MN - 415FIL - DU1-0119-T - Replacement of rotten, hazardous and old standard pole</v>
          </cell>
          <cell r="C40" t="str">
            <v>POLE, STEEL, CLASS 3A, 27.50 m, SINGLE, SUB-TRANSMISSION</v>
          </cell>
          <cell r="D40" t="str">
            <v>DU1-0119-T</v>
          </cell>
          <cell r="E40" t="str">
            <v>PARANAQUE</v>
          </cell>
          <cell r="F40" t="str">
            <v>SCHED</v>
          </cell>
        </row>
        <row r="41">
          <cell r="A41" t="str">
            <v>P2211141361</v>
          </cell>
          <cell r="B41" t="str">
            <v>RTA MN - 415FIL - DU1-0117-T - Replacement of rotten, hazardous and old standard pole</v>
          </cell>
          <cell r="C41" t="str">
            <v>POLE, STEEL</v>
          </cell>
          <cell r="D41" t="str">
            <v>DU1-0117-T</v>
          </cell>
          <cell r="E41" t="str">
            <v>PARANAQUE</v>
          </cell>
          <cell r="F41" t="str">
            <v>SCHED</v>
          </cell>
        </row>
        <row r="42">
          <cell r="A42" t="str">
            <v>P2211141362</v>
          </cell>
          <cell r="B42" t="str">
            <v>RTA MN - 415FIL - DT1-0050 - Replacement of rotten, hazardous and old standard pole</v>
          </cell>
          <cell r="C42" t="str">
            <v>POLE, CONCRETE, CLASS 5, 13.50 m, SINGLE, PRIMARY</v>
          </cell>
          <cell r="D42" t="str">
            <v>DT1-0050</v>
          </cell>
          <cell r="E42" t="str">
            <v>PARANAQUE</v>
          </cell>
          <cell r="F42" t="str">
            <v>SCHED</v>
          </cell>
        </row>
        <row r="43">
          <cell r="A43" t="str">
            <v>P2211141364</v>
          </cell>
          <cell r="B43" t="str">
            <v>RTA MN - 425FIL - DS1-0169 - Replacement of rotten, hazardous and old standard pole</v>
          </cell>
          <cell r="C43" t="str">
            <v>POLE, WOOD, CLASS 4, 9.00 m, SINGLE, SECONDARY</v>
          </cell>
          <cell r="D43" t="str">
            <v>DS1-0169</v>
          </cell>
          <cell r="E43" t="str">
            <v>PARANAQUE</v>
          </cell>
          <cell r="F43" t="str">
            <v>SCHED</v>
          </cell>
        </row>
        <row r="44">
          <cell r="A44" t="str">
            <v>P2211141365</v>
          </cell>
          <cell r="B44" t="str">
            <v>RTA MN - 425FIL - NPT(NR DT1-5850) - Replacement of rotten, hazardous and old standard pole</v>
          </cell>
          <cell r="C44" t="str">
            <v>POLE, STEEL</v>
          </cell>
          <cell r="D44" t="str">
            <v>DT1-5850</v>
          </cell>
          <cell r="E44" t="str">
            <v>PARANAQUE</v>
          </cell>
          <cell r="F44" t="str">
            <v>SCHED</v>
          </cell>
        </row>
        <row r="45">
          <cell r="A45" t="str">
            <v>P2211141366</v>
          </cell>
          <cell r="B45" t="str">
            <v>RTA MN - 425FIL - DT1-0140 - Replacement of rotten, hazardous and old standard pole</v>
          </cell>
          <cell r="C45" t="str">
            <v>POLE, WOOD, CLASS 1, 13.50 m, SINGLE, PRIMARY</v>
          </cell>
          <cell r="D45" t="str">
            <v>DT1-0140</v>
          </cell>
          <cell r="E45" t="str">
            <v>PARANAQUE</v>
          </cell>
          <cell r="F45" t="str">
            <v>SCHED</v>
          </cell>
        </row>
        <row r="46">
          <cell r="A46" t="str">
            <v>P2211141368</v>
          </cell>
          <cell r="B46" t="str">
            <v>RTA MN - 425FIL - DT1-0264 - Replacement of rotten, hazardous and old standard pole</v>
          </cell>
          <cell r="C46" t="str">
            <v>POLE, WOOD, CLASS 1, 12.00 m, SINGLE, PRIMARY</v>
          </cell>
          <cell r="D46" t="str">
            <v>DT1-0264</v>
          </cell>
          <cell r="E46" t="str">
            <v>PARANAQUE</v>
          </cell>
          <cell r="F46" t="str">
            <v>SCHED</v>
          </cell>
        </row>
        <row r="47">
          <cell r="A47" t="str">
            <v>P2211141370</v>
          </cell>
          <cell r="B47" t="str">
            <v>RTA MN - 425FIL - ALB1-1897 - Replacement of rotten, hazardous and old standard pole</v>
          </cell>
          <cell r="C47" t="str">
            <v>POLE, WOOD, CLASS 4, 9.00 m, SINGLE, SECONDARY</v>
          </cell>
          <cell r="D47" t="str">
            <v>ALB1-1897</v>
          </cell>
          <cell r="E47" t="str">
            <v>PARANAQUE</v>
          </cell>
          <cell r="F47" t="str">
            <v>SCHED</v>
          </cell>
        </row>
        <row r="48">
          <cell r="A48" t="str">
            <v>P2211141377</v>
          </cell>
          <cell r="B48" t="str">
            <v>RTA MN 425FIL  - NPT (DR1-0242) Replacement of rotten, hazardous and old standard pole</v>
          </cell>
          <cell r="C48" t="str">
            <v>POLE, WOOD</v>
          </cell>
          <cell r="D48" t="str">
            <v>DR1-0242</v>
          </cell>
          <cell r="E48" t="str">
            <v>PARANAQUE</v>
          </cell>
          <cell r="F48" t="str">
            <v>SCHED</v>
          </cell>
        </row>
        <row r="49">
          <cell r="A49" t="str">
            <v>P2301143548</v>
          </cell>
          <cell r="B49" t="str">
            <v>PQUE 43WU Loadsplit [035817|WA359894|CW9-0271|Install 1-75kVA DT on pole CW9-0211 W/POLE</v>
          </cell>
          <cell r="C49" t="str">
            <v>DXF, POLE-MOUNTED, 34.5 KV, 240 V</v>
          </cell>
          <cell r="D49" t="str">
            <v>035817</v>
          </cell>
          <cell r="E49" t="str">
            <v>PARANAQUE</v>
          </cell>
          <cell r="F49" t="str">
            <v>INPRG</v>
          </cell>
        </row>
        <row r="50">
          <cell r="A50" t="str">
            <v>P2301143554</v>
          </cell>
          <cell r="B50" t="str">
            <v>PQUE 415FIL Loadsplit [419127|WA196183|DT2-2061|Install additional 1-50kVA DT on pole DT2-2060</v>
          </cell>
          <cell r="C50" t="str">
            <v>DXF, POLE-MOUNTED, 34.5 KV, 240 V</v>
          </cell>
          <cell r="D50" t="str">
            <v>419127</v>
          </cell>
          <cell r="E50" t="str">
            <v>PARANAQUE</v>
          </cell>
          <cell r="F50" t="str">
            <v>FCOMP</v>
          </cell>
        </row>
        <row r="51">
          <cell r="A51" t="str">
            <v>P2403166300</v>
          </cell>
          <cell r="B51" t="str">
            <v>C1 414ARS  2024 PLANNED Replacement of bare primary conductor (undersized) A8-0103- A8-5058</v>
          </cell>
          <cell r="C51" t="str">
            <v>CKT, 414ARS, 34.5 KV, DISTRIBUTION</v>
          </cell>
          <cell r="D51" t="str">
            <v>414ARS</v>
          </cell>
          <cell r="E51" t="str">
            <v>PARANAQUE</v>
          </cell>
          <cell r="F51" t="str">
            <v>SCHED</v>
          </cell>
        </row>
        <row r="52">
          <cell r="A52" t="str">
            <v>P2407173485</v>
          </cell>
          <cell r="B52" t="str">
            <v>MN_MAJOR (WDESIGN), RELOCATION OF POLE AFFECTED BY ROAD WIDENING PROJECT IN TRAMO, ALIMA, BACOOR</v>
          </cell>
          <cell r="C52" t="str">
            <v>POLE, WOOD, CLASS 9, 10.50 m, SINGLE, PRIMARY</v>
          </cell>
          <cell r="D52" t="str">
            <v>CX5-0353</v>
          </cell>
          <cell r="E52" t="str">
            <v>PARANAQUE</v>
          </cell>
          <cell r="F52" t="str">
            <v>FCOMP</v>
          </cell>
        </row>
        <row r="53">
          <cell r="A53" t="str">
            <v>R19291776</v>
          </cell>
          <cell r="B53" t="str">
            <v>PCA RELOC, Overhead Facilities, Y, N, N, CITY GOVERNMENT OF BACOOR</v>
          </cell>
          <cell r="C53" t="str">
            <v>STREET, GEN. TIRONA, HABAY I, BACOOR</v>
          </cell>
          <cell r="D53" t="str">
            <v>17254</v>
          </cell>
          <cell r="E53" t="str">
            <v>PARANAQUE</v>
          </cell>
          <cell r="F53" t="str">
            <v>SCHED</v>
          </cell>
        </row>
        <row r="54">
          <cell r="A54" t="str">
            <v>R19617176</v>
          </cell>
          <cell r="B54" t="str">
            <v>PCA RELOC, Overhead Facilities, Y, Y, Y, OFFICE OF CONGRESSMAN STRIKE B. REVILLA,
E Aguinaldo  Hiway</v>
          </cell>
          <cell r="C54" t="str">
            <v>STREET, GEN. EMILIO AGUINALDO, PANAPAAN VI, BACOOR</v>
          </cell>
          <cell r="D54" t="str">
            <v>19741</v>
          </cell>
          <cell r="E54" t="str">
            <v>PARANAQUE</v>
          </cell>
          <cell r="F54" t="str">
            <v>SCHED</v>
          </cell>
        </row>
        <row r="55">
          <cell r="A55" t="str">
            <v>R19938231</v>
          </cell>
          <cell r="B55" t="str">
            <v>PCA RELOC, Overhead Facilities, N, Y, N, DEPARTMENT OF TRANSPORTATION,, CBG</v>
          </cell>
          <cell r="C55" t="str">
            <v>STREET, LAGUERTA, TUNASAN, MUNTINLUPA</v>
          </cell>
          <cell r="D55" t="str">
            <v>74413</v>
          </cell>
          <cell r="E55" t="str">
            <v>PARANAQUE</v>
          </cell>
          <cell r="F55" t="str">
            <v>SCHED</v>
          </cell>
        </row>
        <row r="56">
          <cell r="A56" t="str">
            <v>R20609999</v>
          </cell>
          <cell r="B56" t="str">
            <v>PCA RELOC, Overhead Facilities, N, Y, N, CAVITEX INFRASTRUCTURE CORP.</v>
          </cell>
          <cell r="C56" t="str">
            <v>STREET, KAINGIN RD., KAINGIN, PARANAQUE</v>
          </cell>
          <cell r="D56" t="str">
            <v>77850</v>
          </cell>
          <cell r="E56" t="str">
            <v>PARANAQUE</v>
          </cell>
          <cell r="F56" t="str">
            <v>SCHED</v>
          </cell>
        </row>
        <row r="57">
          <cell r="A57" t="str">
            <v>R20784640</v>
          </cell>
          <cell r="B57" t="str">
            <v>PCA RELOC, Guy Wires, N, N, N, ALLANIQUE REALTY DEVT CORP</v>
          </cell>
          <cell r="C57" t="str">
            <v>STREET, L. ALLANIQUE, BARANGAY VILL, PARANAQUE</v>
          </cell>
          <cell r="D57" t="str">
            <v>77153</v>
          </cell>
          <cell r="E57" t="str">
            <v>PARANAQUE</v>
          </cell>
          <cell r="F57" t="str">
            <v>SCHED</v>
          </cell>
        </row>
        <row r="58">
          <cell r="A58" t="str">
            <v>R21040226</v>
          </cell>
          <cell r="B58" t="str">
            <v>PCA RELOC, Overhead Facilities, N, Y, N, YIELDERS TRADING CORPORATION</v>
          </cell>
          <cell r="C58" t="str">
            <v>STREET, STA. AGUEDA, STO. NINO, PARANAQUE</v>
          </cell>
          <cell r="D58" t="str">
            <v>77906</v>
          </cell>
          <cell r="E58" t="str">
            <v>PARANAQUE</v>
          </cell>
          <cell r="F58" t="str">
            <v>SCHED</v>
          </cell>
        </row>
        <row r="59">
          <cell r="A59" t="str">
            <v>R21135764</v>
          </cell>
          <cell r="B59" t="str">
            <v>PCA RELOC, Overhead Facilities, N, Y, N, CAVITEX INFRASTRUCTURE CORP.</v>
          </cell>
          <cell r="C59" t="str">
            <v>STREET, MULTINATIONAL VILL, MULTINATIONAL VILL, PARANAQUE</v>
          </cell>
          <cell r="D59" t="str">
            <v>76843</v>
          </cell>
          <cell r="E59" t="str">
            <v>PARANAQUE</v>
          </cell>
          <cell r="F59" t="str">
            <v>FCOMP</v>
          </cell>
        </row>
        <row r="60">
          <cell r="A60" t="str">
            <v>R21631238</v>
          </cell>
          <cell r="B60" t="str">
            <v>PCA RELOC, Overhead Facilities, N, Y, N, CAVITEX INFRASTRUCTURE CORP., CBG</v>
          </cell>
          <cell r="C60" t="str">
            <v>STREET, N. ARMSTRONG, MOONWALK, PARANAQUE</v>
          </cell>
          <cell r="D60" t="str">
            <v>76756</v>
          </cell>
          <cell r="E60" t="str">
            <v>PARANAQUE</v>
          </cell>
          <cell r="F60" t="str">
            <v>SCHED</v>
          </cell>
        </row>
        <row r="61">
          <cell r="A61" t="str">
            <v>R21631255</v>
          </cell>
          <cell r="B61" t="str">
            <v>PCA RELOC, Overhead Facilities, N, Y, N, CAVITEX INFRASTRUCTURE CORP., CBG</v>
          </cell>
          <cell r="C61" t="str">
            <v>STREET, E. RODRIGUEZ JR. INT, STO. NINO, PARANAQUE</v>
          </cell>
          <cell r="D61" t="str">
            <v>77889</v>
          </cell>
          <cell r="E61" t="str">
            <v>PARANAQUE</v>
          </cell>
          <cell r="F61" t="str">
            <v>FCOMP</v>
          </cell>
        </row>
        <row r="62">
          <cell r="A62" t="str">
            <v>R21631694</v>
          </cell>
          <cell r="B62" t="str">
            <v>PCA RELOC, Overhead Facilities, N, Y, N, CAVITEX INFRASTRUCTURE CORP., CBG</v>
          </cell>
          <cell r="C62" t="str">
            <v>STREET, KAINGIN RD., KAINGIN, PARANAQUE</v>
          </cell>
          <cell r="D62" t="str">
            <v>77850</v>
          </cell>
          <cell r="E62" t="str">
            <v>PARANAQUE</v>
          </cell>
          <cell r="F62" t="str">
            <v>INPRG</v>
          </cell>
        </row>
        <row r="63">
          <cell r="A63" t="str">
            <v>R21662615</v>
          </cell>
          <cell r="B63" t="str">
            <v>PCA RELOC, Overhead Facilities, N, N, N, FOOD TERMINAL, INC.,, CBG</v>
          </cell>
          <cell r="C63" t="str">
            <v>STREET, LANGKA, FTI CPD, TAGUIG CITY</v>
          </cell>
          <cell r="D63" t="str">
            <v>92805</v>
          </cell>
          <cell r="E63" t="str">
            <v>PARANAQUE</v>
          </cell>
          <cell r="F63" t="str">
            <v>DPRG-PCR</v>
          </cell>
        </row>
        <row r="64">
          <cell r="A64" t="str">
            <v>R21956925</v>
          </cell>
          <cell r="B64" t="str">
            <v>PCA RELOC, Guy Wires, N, Y, N, MACAGGA DANICA RUTH RABENA, HMB</v>
          </cell>
          <cell r="C64" t="str">
            <v>STREET, REYVILLE I SUBD, REYVILLE I SUBD, BACOOR</v>
          </cell>
          <cell r="D64" t="str">
            <v>17383</v>
          </cell>
          <cell r="E64" t="str">
            <v>PARANAQUE</v>
          </cell>
          <cell r="F64" t="str">
            <v>PCAN4</v>
          </cell>
        </row>
        <row r="65">
          <cell r="A65" t="str">
            <v>R22344695</v>
          </cell>
          <cell r="B65" t="str">
            <v>PCA RELOC, Underground, N, Y, N, ALVEO LAND CORPORATION,, CBG</v>
          </cell>
          <cell r="C65" t="str">
            <v>STREET, INVESTMENT, MADRIGAL BUSINESS PARK, MUNTINLUPA</v>
          </cell>
          <cell r="D65" t="str">
            <v>73263</v>
          </cell>
          <cell r="E65" t="str">
            <v>PARANAQUE</v>
          </cell>
          <cell r="F65" t="str">
            <v>FCOMP</v>
          </cell>
        </row>
        <row r="66">
          <cell r="A66" t="str">
            <v>R22419641</v>
          </cell>
          <cell r="B66" t="str">
            <v>PCA RELOC, Overhead Facilities, N, N, N, ONOFRE, CORAZON VILLA, HMB</v>
          </cell>
          <cell r="C66" t="str">
            <v>STREET, GLORIA DIAZ, BF RESORT VILL, LAS PINAS CITY</v>
          </cell>
          <cell r="D66" t="str">
            <v>64083</v>
          </cell>
          <cell r="E66" t="str">
            <v>PARANAQUE</v>
          </cell>
          <cell r="F66" t="str">
            <v>SCHED</v>
          </cell>
        </row>
        <row r="67">
          <cell r="A67" t="str">
            <v>R22573760</v>
          </cell>
          <cell r="B67" t="str">
            <v>PCA RELOC, Overhead Facilities, N, N, N, KANE INDUSTRIAL CORP, SME</v>
          </cell>
          <cell r="C67" t="str">
            <v>STREET, NIOG III, NIOG III, BACOOR</v>
          </cell>
          <cell r="D67" t="str">
            <v>19585</v>
          </cell>
          <cell r="E67" t="str">
            <v>PARANAQUE</v>
          </cell>
          <cell r="F67" t="str">
            <v>FCOMP</v>
          </cell>
        </row>
        <row r="68">
          <cell r="A68" t="str">
            <v>R22608679</v>
          </cell>
          <cell r="B68" t="str">
            <v>PCA RELOC, Overhead Facilities, N, N, N, ODIAMAR FRANCES DE CASTRO, HMB</v>
          </cell>
          <cell r="C68" t="str">
            <v>STREET, MADRID, TOWN AND COUNTRY WEST SUBD, BACOOR</v>
          </cell>
          <cell r="D68" t="str">
            <v>18660</v>
          </cell>
          <cell r="E68" t="str">
            <v>PARANAQUE</v>
          </cell>
          <cell r="F68" t="str">
            <v>FCOMP</v>
          </cell>
        </row>
        <row r="69">
          <cell r="A69" t="str">
            <v>R22633190</v>
          </cell>
          <cell r="B69" t="str">
            <v>PCA RELOC, Overhead Facilities, N, Y, N, CANDIE CHUA CO., HMB</v>
          </cell>
          <cell r="C69" t="str">
            <v>STREET, BLK 8, PALM COAST MARINA, PARANAQUE</v>
          </cell>
          <cell r="D69" t="str">
            <v>144733</v>
          </cell>
          <cell r="E69" t="str">
            <v>PARANAQUE</v>
          </cell>
          <cell r="F69" t="str">
            <v>INPRG</v>
          </cell>
        </row>
        <row r="70">
          <cell r="A70" t="str">
            <v>R22927252</v>
          </cell>
          <cell r="B70" t="str">
            <v>PCA RELOC, Overhead Facilities, N, N, N, CARPIO, SEVILLA FESTEJO, HMB</v>
          </cell>
          <cell r="C70" t="str">
            <v>STREET, STA. MARTA, SAN ANTONIO VALLEY 14, PARANAQUE</v>
          </cell>
          <cell r="D70" t="str">
            <v>77622</v>
          </cell>
          <cell r="E70" t="str">
            <v>PARANAQUE</v>
          </cell>
          <cell r="F70" t="str">
            <v>FCOMP</v>
          </cell>
        </row>
        <row r="71">
          <cell r="A71" t="str">
            <v>R23075417</v>
          </cell>
          <cell r="B71" t="str">
            <v>PCA RELOC, Overhead Facilities, N, Y, N, CONGBALAY, SIMPLICIO C, SME</v>
          </cell>
          <cell r="C71" t="str">
            <v>STREET, N. LOPEZ, LOPEZ VILL, PARANAQUE</v>
          </cell>
          <cell r="D71" t="str">
            <v>77528</v>
          </cell>
          <cell r="E71" t="str">
            <v>PARANAQUE</v>
          </cell>
          <cell r="F71" t="str">
            <v>FCOMP</v>
          </cell>
        </row>
        <row r="72">
          <cell r="A72" t="str">
            <v>R23109971</v>
          </cell>
          <cell r="B72" t="str">
            <v>PCA RELOC, Guy Wires, N, Y, N, DOMINGO ALVIN LUY, HMB</v>
          </cell>
          <cell r="C72" t="str">
            <v>STREET, COUNTRY, COUNTRY HOMES, MUNTINLUPA</v>
          </cell>
          <cell r="D72" t="str">
            <v>73412</v>
          </cell>
          <cell r="E72" t="str">
            <v>PARANAQUE</v>
          </cell>
          <cell r="F72" t="str">
            <v>SCHED</v>
          </cell>
        </row>
        <row r="73">
          <cell r="A73" t="str">
            <v>R23110243</v>
          </cell>
          <cell r="B73" t="str">
            <v>PCA RELOC, Overhead Facilities, N, Y, N, FILINVEST LAND INC., CBG</v>
          </cell>
          <cell r="C73" t="str">
            <v>STREET, EAST SERVICE, ALABANG, MUNTINLUPA</v>
          </cell>
          <cell r="D73" t="str">
            <v>72323</v>
          </cell>
          <cell r="E73" t="str">
            <v>PARANAQUE</v>
          </cell>
          <cell r="F73" t="str">
            <v>FCOMP</v>
          </cell>
        </row>
        <row r="74">
          <cell r="A74" t="str">
            <v>R23158337</v>
          </cell>
          <cell r="B74" t="str">
            <v>PCA RELOC, Overhead Facilities, N, Y, N, CROWN ASIA PROPERTIES, INC., HMB</v>
          </cell>
          <cell r="C74" t="str">
            <v>STREET, BLOCK 10, PONTICELLI GARDENS 2, BACOOR</v>
          </cell>
          <cell r="D74" t="str">
            <v>17097310</v>
          </cell>
          <cell r="E74" t="str">
            <v>PARANAQUE</v>
          </cell>
          <cell r="F74" t="str">
            <v>FCOMP</v>
          </cell>
        </row>
        <row r="75">
          <cell r="A75" t="str">
            <v>R23158435</v>
          </cell>
          <cell r="B75" t="str">
            <v>PCA RELOC, Overhead Facilities, N, Y, N, CROWN ASIA PROPERTIES, INC., HMB</v>
          </cell>
          <cell r="C75" t="str">
            <v>STREET, BLOCK 4, PONTICELLI, BACOOR</v>
          </cell>
          <cell r="D75" t="str">
            <v>122620</v>
          </cell>
          <cell r="E75" t="str">
            <v>PARANAQUE</v>
          </cell>
          <cell r="F75" t="str">
            <v>SCHED</v>
          </cell>
        </row>
        <row r="76">
          <cell r="A76" t="str">
            <v>R23165909</v>
          </cell>
          <cell r="B76" t="str">
            <v>PCA RELOC, Overhead Facilities, N, N, N, OREZA EDGARDO CHUA, HMB</v>
          </cell>
          <cell r="C76" t="str">
            <v>STREET, V.P. CRUZ, PUROK 5, TAGUIG CITY</v>
          </cell>
          <cell r="D76" t="str">
            <v>91540</v>
          </cell>
          <cell r="E76" t="str">
            <v>PARANAQUE</v>
          </cell>
          <cell r="F76" t="str">
            <v>SCHED</v>
          </cell>
        </row>
        <row r="77">
          <cell r="A77" t="str">
            <v>R23165916</v>
          </cell>
          <cell r="B77" t="str">
            <v>PCA RELOC, Overhead Facilities, N, Y, N, POKAAN ALIREZA LUMBAYA, HMB</v>
          </cell>
          <cell r="C77" t="str">
            <v>STREET, JOLO, MAHARLIKA VILL, TAGUIG CITY</v>
          </cell>
          <cell r="D77" t="str">
            <v>91643</v>
          </cell>
          <cell r="E77" t="str">
            <v>PARANAQUE</v>
          </cell>
          <cell r="F77" t="str">
            <v>FCOMP</v>
          </cell>
        </row>
        <row r="78">
          <cell r="A78" t="str">
            <v>R23208322</v>
          </cell>
          <cell r="B78" t="str">
            <v>PCA RELOC, Overhead Facilities, N, Y, N, SM DEVELOPMENT CORPORATION,, CBG</v>
          </cell>
          <cell r="C78" t="str">
            <v>STREET, BLDG 10, FIELD RESIDENCES, PARANAQUE</v>
          </cell>
          <cell r="D78" t="str">
            <v>17656828</v>
          </cell>
          <cell r="E78" t="str">
            <v>PARANAQUE</v>
          </cell>
          <cell r="F78" t="str">
            <v>FCOMP</v>
          </cell>
        </row>
        <row r="79">
          <cell r="A79" t="str">
            <v>R23301679</v>
          </cell>
          <cell r="B79" t="str">
            <v>PCA RELOC, Guy Wires, N, N, N, HMB , JAVIER, ROSALINA</v>
          </cell>
          <cell r="C79" t="str">
            <v>STREET, GENESIS, VILLANUEVA SUBD, BACOOR</v>
          </cell>
          <cell r="D79" t="str">
            <v>19946</v>
          </cell>
          <cell r="E79" t="str">
            <v>PARANAQUE</v>
          </cell>
          <cell r="F79" t="str">
            <v>SCHED</v>
          </cell>
        </row>
        <row r="80">
          <cell r="A80" t="str">
            <v>R23354122</v>
          </cell>
          <cell r="B80" t="str">
            <v>PCA RELOC, Overhead Facilities, N, Y, N, MANAHAN, MELANIE V., HMB</v>
          </cell>
          <cell r="C80" t="str">
            <v>STREET, SAPLUNGAN, MEADOWOOD EXEC. VILLAGE PHASE 3B, BACOOR</v>
          </cell>
          <cell r="D80" t="str">
            <v>17411819</v>
          </cell>
          <cell r="E80" t="str">
            <v>PARANAQUE</v>
          </cell>
          <cell r="F80" t="str">
            <v>SCHED</v>
          </cell>
        </row>
        <row r="81">
          <cell r="A81" t="str">
            <v>R23445427</v>
          </cell>
          <cell r="B81" t="str">
            <v>PCA RELOC, Overhead Facilities, N, N, N, ARCEO, ELIZABETH, HMB</v>
          </cell>
          <cell r="C81" t="str">
            <v>STREET, BLOCK 1, LA CHARINA SUBD, MUNTINLUPA</v>
          </cell>
          <cell r="D81" t="str">
            <v>73505</v>
          </cell>
          <cell r="E81" t="str">
            <v>PARANAQUE</v>
          </cell>
          <cell r="F81" t="str">
            <v>SCHED</v>
          </cell>
        </row>
        <row r="82">
          <cell r="A82" t="str">
            <v>R23563727</v>
          </cell>
          <cell r="B82" t="str">
            <v>PCA RELOC, Overhead Facilities, N, Y, N, RICHFIELD PROPERTIES, INC., HMB</v>
          </cell>
          <cell r="C82" t="str">
            <v>STREET, BLOCK 15, LOTUS VILLAGE, BACOOR</v>
          </cell>
          <cell r="D82" t="str">
            <v>15030316</v>
          </cell>
          <cell r="E82" t="str">
            <v>PARANAQUE</v>
          </cell>
          <cell r="F82" t="str">
            <v>FCOMP</v>
          </cell>
        </row>
        <row r="83">
          <cell r="A83" t="str">
            <v>R23563729</v>
          </cell>
          <cell r="B83" t="str">
            <v>PCA RELOC, Overhead Facilities, N, Y, N, RICHFIELD PROPERTIES, INC., HMB</v>
          </cell>
          <cell r="C83" t="str">
            <v>STREET, BLOCK 9, LOTUS VILLAGE, BACOOR</v>
          </cell>
          <cell r="D83" t="str">
            <v>15030310</v>
          </cell>
          <cell r="E83" t="str">
            <v>PARANAQUE</v>
          </cell>
          <cell r="F83" t="str">
            <v>FCOMP</v>
          </cell>
        </row>
        <row r="84">
          <cell r="A84" t="str">
            <v>R23563800</v>
          </cell>
          <cell r="B84" t="str">
            <v>PCA RELOC, Overhead Facilities, N, Y, N, WOODRIDGE PROPERTIES, INC., HMB</v>
          </cell>
          <cell r="C84" t="str">
            <v>STREET, BLOCK 4, DANAROSE RESIDENCES, BACOOR</v>
          </cell>
          <cell r="D84" t="str">
            <v>135835</v>
          </cell>
          <cell r="E84" t="str">
            <v>PARANAQUE</v>
          </cell>
          <cell r="F84" t="str">
            <v>SCHED</v>
          </cell>
        </row>
        <row r="85">
          <cell r="A85" t="str">
            <v>R23605089</v>
          </cell>
          <cell r="B85" t="str">
            <v>PCA RELOC, Overhead Facilities, N, Y, N, CHAN JULIE TANG, HMB</v>
          </cell>
          <cell r="C85" t="str">
            <v>STREET, NORTH LUZON, PHILAMLIFE VILL, LAS PINAS CITY</v>
          </cell>
          <cell r="D85" t="str">
            <v>62857</v>
          </cell>
          <cell r="E85" t="str">
            <v>PARANAQUE</v>
          </cell>
          <cell r="F85" t="str">
            <v>SCHED</v>
          </cell>
        </row>
        <row r="86">
          <cell r="A86" t="str">
            <v>R23611939</v>
          </cell>
          <cell r="B86" t="str">
            <v>PCA RELOC, Overhead Facilities, Y, N, Y, DPWH DEO LAS PINAS-MUNTI,, HMB</v>
          </cell>
          <cell r="C86" t="str">
            <v>STREET, MARCOS ALVAREZ, TALON V, LAS PINAS CITY</v>
          </cell>
          <cell r="D86" t="str">
            <v>64670</v>
          </cell>
          <cell r="E86" t="str">
            <v>PARANAQUE</v>
          </cell>
          <cell r="F86" t="str">
            <v>SCHED</v>
          </cell>
        </row>
        <row r="87">
          <cell r="A87" t="str">
            <v>R23701790</v>
          </cell>
          <cell r="B87" t="str">
            <v>PCA RELOC, Overhead Facilities, N, Y, N, DAGUMANPAN, CORNELIA A, HMB</v>
          </cell>
          <cell r="C87" t="str">
            <v>STREET, STA. MARIA, SAN ANTONIO VALLEY 1, PARANAQUE</v>
          </cell>
          <cell r="D87" t="str">
            <v>77331</v>
          </cell>
          <cell r="E87" t="str">
            <v>PARANAQUE</v>
          </cell>
          <cell r="F87" t="str">
            <v>FCOMP</v>
          </cell>
        </row>
        <row r="88">
          <cell r="A88" t="str">
            <v>R23806071</v>
          </cell>
          <cell r="B88" t="str">
            <v>PCA RELOC, Overhead Facilities, N, Y, N, EL GRANDE DEVELOPMENT CORPORATION,, HMB</v>
          </cell>
          <cell r="C88" t="str">
            <v>STREET, BAGTIKAN, BF EL GRANDE, BACOOR</v>
          </cell>
          <cell r="D88" t="str">
            <v>20269</v>
          </cell>
          <cell r="E88" t="str">
            <v>PARANAQUE</v>
          </cell>
          <cell r="F88" t="str">
            <v>SCHED</v>
          </cell>
        </row>
        <row r="89">
          <cell r="A89" t="str">
            <v>X21030949643</v>
          </cell>
          <cell r="B89" t="str">
            <v>PCA, Modification of Electric Service, ROBERTO DE MESA BUNYI</v>
          </cell>
          <cell r="C89" t="str">
            <v>STREET, HENRY IDE, KATARUNGAN VILLAGE, MUNTINLUPA</v>
          </cell>
          <cell r="D89" t="str">
            <v>72921</v>
          </cell>
          <cell r="E89" t="str">
            <v>PARANAQUE</v>
          </cell>
          <cell r="F89" t="str">
            <v>PCAN</v>
          </cell>
        </row>
        <row r="90">
          <cell r="A90" t="str">
            <v>X21062562359</v>
          </cell>
          <cell r="B90" t="str">
            <v>PCA, Termination of Electric Service, NO BIA, INC.</v>
          </cell>
          <cell r="C90" t="str">
            <v>STREET, LANGKA, FTI CPD, TAGUIG CITY</v>
          </cell>
          <cell r="D90" t="str">
            <v>92805</v>
          </cell>
          <cell r="E90" t="str">
            <v>PARANAQUE</v>
          </cell>
          <cell r="F90" t="str">
            <v>PCAN</v>
          </cell>
        </row>
        <row r="91">
          <cell r="A91" t="str">
            <v>X21083519494</v>
          </cell>
          <cell r="B91" t="str">
            <v>PCA, Termination of Electric Service, SEVEN TALL TREES EVENTS, INC.</v>
          </cell>
          <cell r="C91" t="str">
            <v>STREET, ASEANA, ASEANA BUSINESS PARK, PARANAQUE</v>
          </cell>
          <cell r="D91" t="str">
            <v>75126</v>
          </cell>
          <cell r="E91" t="str">
            <v>PARANAQUE</v>
          </cell>
          <cell r="F91" t="str">
            <v>PCAN</v>
          </cell>
        </row>
        <row r="92">
          <cell r="A92" t="str">
            <v>X21094255140</v>
          </cell>
          <cell r="B92" t="str">
            <v>PCA, Termination of Electric Service, BAYPRIME PROPERTIES INC.</v>
          </cell>
          <cell r="C92" t="str">
            <v>STREET, ASEANA, ASEANA BUSINESS PARK, PARANAQUE</v>
          </cell>
          <cell r="D92" t="str">
            <v>75126</v>
          </cell>
          <cell r="E92" t="str">
            <v>PARANAQUE</v>
          </cell>
          <cell r="F92" t="str">
            <v>SCHED</v>
          </cell>
        </row>
        <row r="93">
          <cell r="A93" t="str">
            <v>X21104486609</v>
          </cell>
          <cell r="B93" t="str">
            <v>PCA, Modification of Electric Service, JEFFREY SAGUN CHAN</v>
          </cell>
          <cell r="C93" t="str">
            <v>STREET, MATTHEW, MULTINATIONAL VILL, PARANAQUE</v>
          </cell>
          <cell r="D93" t="str">
            <v>76810</v>
          </cell>
          <cell r="E93" t="str">
            <v>PARANAQUE</v>
          </cell>
          <cell r="F93" t="str">
            <v>PCAN3</v>
          </cell>
        </row>
        <row r="94">
          <cell r="A94" t="str">
            <v>X22031018462</v>
          </cell>
          <cell r="B94" t="str">
            <v>PCA, Modification of Electric Service, CBG, GLOBE TELECOM, INC.</v>
          </cell>
          <cell r="C94" t="str">
            <v>STREET, BLOCK 13, BERNABE CPD, LAS PINAS CITY</v>
          </cell>
          <cell r="D94" t="str">
            <v>63319</v>
          </cell>
          <cell r="E94" t="str">
            <v>PARANAQUE</v>
          </cell>
          <cell r="F94" t="str">
            <v>CAN</v>
          </cell>
        </row>
        <row r="95">
          <cell r="A95" t="str">
            <v>X22052042329</v>
          </cell>
          <cell r="B95" t="str">
            <v>PCA, Modification of Electric Service, HMB, MARIA IMELDA BUYOC SANDWEG</v>
          </cell>
          <cell r="C95" t="str">
            <v>STREET, JOY, DREAMLAND SUBD, PARANAQUE</v>
          </cell>
          <cell r="D95" t="str">
            <v>77186</v>
          </cell>
          <cell r="E95" t="str">
            <v>PARANAQUE</v>
          </cell>
          <cell r="F95" t="str">
            <v>PCAN3</v>
          </cell>
        </row>
        <row r="96">
          <cell r="A96" t="str">
            <v>X22093866615</v>
          </cell>
          <cell r="B96" t="str">
            <v>PCA, Modification of Electric Service, HMB, DULCINEA BALCE SANTOS</v>
          </cell>
          <cell r="C96" t="str">
            <v>STREET, HAITI, BETTER LIVING SUBD, PARANAQUE</v>
          </cell>
          <cell r="D96" t="str">
            <v>75784</v>
          </cell>
          <cell r="E96" t="str">
            <v>PARANAQUE</v>
          </cell>
          <cell r="F96" t="str">
            <v>SCHED</v>
          </cell>
        </row>
        <row r="97">
          <cell r="A97" t="str">
            <v>X22104473949</v>
          </cell>
          <cell r="B97" t="str">
            <v>PCA, Modification of Electric Service, HMB, CELEDONIA C. UTANES</v>
          </cell>
          <cell r="C97" t="str">
            <v>STREET, JERUSALEM, BF HOMES, PARANAQUE</v>
          </cell>
          <cell r="D97" t="str">
            <v>75301</v>
          </cell>
          <cell r="E97" t="str">
            <v>PARANAQUE</v>
          </cell>
          <cell r="F97" t="str">
            <v>SCHED</v>
          </cell>
        </row>
        <row r="98">
          <cell r="A98" t="str">
            <v>X22114818590</v>
          </cell>
          <cell r="B98" t="str">
            <v>PCA, Modification of Electric Service, HMB, NILO F OMILLO</v>
          </cell>
          <cell r="C98" t="str">
            <v>STREET, TOURMALINE, LAS PINAS RYL EST1, LAS PINAS CITY</v>
          </cell>
          <cell r="D98" t="str">
            <v>62469</v>
          </cell>
          <cell r="E98" t="str">
            <v>PARANAQUE</v>
          </cell>
          <cell r="F98" t="str">
            <v>SCHED</v>
          </cell>
        </row>
        <row r="99">
          <cell r="A99" t="str">
            <v>X22114887149</v>
          </cell>
          <cell r="B99" t="str">
            <v>PCA, Modification of Electric Service, HMB, ZENAIDA M. CELESTINO</v>
          </cell>
          <cell r="C99" t="str">
            <v>STREET, DOÑA INES, ALABANG HILLS SUBD PH 2, MUNTINLUPA</v>
          </cell>
          <cell r="D99" t="str">
            <v>72611</v>
          </cell>
          <cell r="E99" t="str">
            <v>PARANAQUE</v>
          </cell>
          <cell r="F99" t="str">
            <v>SCHED</v>
          </cell>
        </row>
        <row r="100">
          <cell r="A100" t="str">
            <v>X22114994258</v>
          </cell>
          <cell r="B100" t="str">
            <v>PCA, New Electric Service, CBG, MAYNILAD WATER SERVICES, INC.</v>
          </cell>
          <cell r="C100" t="str">
            <v>STREET, SAN GUILLERMO, BAYANAN, MUNTINLUPA</v>
          </cell>
          <cell r="D100" t="str">
            <v>72505</v>
          </cell>
          <cell r="E100" t="str">
            <v>PARANAQUE</v>
          </cell>
          <cell r="F100" t="str">
            <v>PCAN3</v>
          </cell>
        </row>
        <row r="101">
          <cell r="A101" t="str">
            <v>X22125062389</v>
          </cell>
          <cell r="B101" t="str">
            <v>PCA, New Electric Service, HMB, SONNY L LAGON</v>
          </cell>
          <cell r="C101" t="str">
            <v>STREET, ACACIA, MULTINATIONAL VILL, PARANAQUE</v>
          </cell>
          <cell r="D101" t="str">
            <v>76773</v>
          </cell>
          <cell r="E101" t="str">
            <v>PARANAQUE</v>
          </cell>
          <cell r="F101" t="str">
            <v>FCOMP</v>
          </cell>
        </row>
        <row r="102">
          <cell r="A102" t="str">
            <v>X22125127907</v>
          </cell>
          <cell r="B102" t="str">
            <v>PCA, Termination of Electric Service, SME, MEGAWIDE CONSTRUCTION CORPORATION</v>
          </cell>
          <cell r="C102" t="str">
            <v>STREET, ALABANG-ZAPOTE, PAMPLONA I, LAS PINAS CITY</v>
          </cell>
          <cell r="D102" t="str">
            <v>62765</v>
          </cell>
          <cell r="E102" t="str">
            <v>PARANAQUE</v>
          </cell>
          <cell r="F102" t="str">
            <v>PCAN</v>
          </cell>
        </row>
        <row r="103">
          <cell r="A103" t="str">
            <v>X23010135483</v>
          </cell>
          <cell r="B103" t="str">
            <v>PCA, New Electric Service, HMB, ELENA SALAZAR BOÑAGA</v>
          </cell>
          <cell r="C103" t="str">
            <v>STREET, P.D.A., SITIO BAGONG SILANG, PARANAQUE</v>
          </cell>
          <cell r="D103" t="str">
            <v>15006307</v>
          </cell>
          <cell r="E103" t="str">
            <v>PARANAQUE</v>
          </cell>
          <cell r="F103" t="str">
            <v>PCAN3</v>
          </cell>
        </row>
        <row r="104">
          <cell r="A104" t="str">
            <v>X23010135604</v>
          </cell>
          <cell r="B104" t="str">
            <v>PCA, New Electric Service, HMB, DANILO CASPE SEPTIMO</v>
          </cell>
          <cell r="C104" t="str">
            <v>STREET, P.D.A., SITIO BAGONG SILANG, PARANAQUE</v>
          </cell>
          <cell r="D104" t="str">
            <v>15006307</v>
          </cell>
          <cell r="E104" t="str">
            <v>PARANAQUE</v>
          </cell>
          <cell r="F104" t="str">
            <v>PCAN3</v>
          </cell>
        </row>
        <row r="105">
          <cell r="A105" t="str">
            <v>X23020656225</v>
          </cell>
          <cell r="B105" t="str">
            <v>PCA, New Electric Service, HMB, JENNIFER AUSTRIA BARZAGA</v>
          </cell>
          <cell r="C105" t="str">
            <v>STREET, LAUAN, AYALA-ALABANG VILL, MUNTINLUPA</v>
          </cell>
          <cell r="D105" t="str">
            <v>73178</v>
          </cell>
          <cell r="E105" t="str">
            <v>PARANAQUE</v>
          </cell>
          <cell r="F105" t="str">
            <v>FCOMP</v>
          </cell>
        </row>
        <row r="106">
          <cell r="A106" t="str">
            <v>X23030848776</v>
          </cell>
          <cell r="B106" t="str">
            <v>PCA, Modification of Electric Service, HMB, GRACE ZAPATA CRUZ</v>
          </cell>
          <cell r="C106" t="str">
            <v>STREET, BELMONT, ALABANG 400 VILLAGE, MUNTINLUPA</v>
          </cell>
          <cell r="D106" t="str">
            <v>72736</v>
          </cell>
          <cell r="E106" t="str">
            <v>PARANAQUE</v>
          </cell>
          <cell r="F106" t="str">
            <v>SCHED</v>
          </cell>
        </row>
        <row r="107">
          <cell r="A107" t="str">
            <v>X23030972347</v>
          </cell>
          <cell r="B107" t="str">
            <v>PCA, New Electric Service, CBG, DITO TELECOMMUNITY CORPORATION</v>
          </cell>
          <cell r="C107" t="str">
            <v>STREET, ADELFA, SAN DIONISIO, PARANAQUE</v>
          </cell>
          <cell r="D107" t="str">
            <v>77005</v>
          </cell>
          <cell r="E107" t="str">
            <v>PARANAQUE</v>
          </cell>
          <cell r="F107" t="str">
            <v>SCHED</v>
          </cell>
        </row>
        <row r="108">
          <cell r="A108" t="str">
            <v>X23031072544</v>
          </cell>
          <cell r="B108" t="str">
            <v>PCA, Modification of Electric Service, HMB, MA. FIDES CARLA OASAN TALADUA</v>
          </cell>
          <cell r="C108" t="str">
            <v>STREET, BLOCK 8, AVIDA SETTINGS CAVITE PH2, BACOOR</v>
          </cell>
          <cell r="D108" t="str">
            <v>145113</v>
          </cell>
          <cell r="E108" t="str">
            <v>PARANAQUE</v>
          </cell>
          <cell r="F108" t="str">
            <v>SCHED</v>
          </cell>
        </row>
        <row r="109">
          <cell r="A109" t="str">
            <v>X23072646097</v>
          </cell>
          <cell r="B109" t="str">
            <v>PCA, Modification of Electric Service, HMB, CATHERINE C DIAMANTE</v>
          </cell>
          <cell r="C109" t="str">
            <v>STREET, BUSUANGA, TIERRA NUEVA SUBD, MUNTINLUPA</v>
          </cell>
          <cell r="D109" t="str">
            <v>72853</v>
          </cell>
          <cell r="E109" t="str">
            <v>PARANAQUE</v>
          </cell>
          <cell r="F109" t="str">
            <v>SCHED</v>
          </cell>
        </row>
        <row r="110">
          <cell r="A110" t="str">
            <v>X23072866920</v>
          </cell>
          <cell r="B110" t="str">
            <v>PCA, Modification of Electric Service, CBG, GLOBE TELECOM, INC.</v>
          </cell>
          <cell r="C110" t="str">
            <v>STREET, STA. INES, SAN ANTONIO VALLEY 6, PARANAQUE</v>
          </cell>
          <cell r="D110" t="str">
            <v>77605</v>
          </cell>
          <cell r="E110" t="str">
            <v>PARANAQUE</v>
          </cell>
          <cell r="F110" t="str">
            <v>PCAN</v>
          </cell>
        </row>
        <row r="111">
          <cell r="A111" t="str">
            <v>X23072873118</v>
          </cell>
          <cell r="B111" t="str">
            <v>PCA, New Electric Service, HMB, JOSEPH T. CHUA</v>
          </cell>
          <cell r="C111" t="str">
            <v>STREET, NARRA, LAKEVIEW HOMES I, MUNTINLUPA</v>
          </cell>
          <cell r="D111" t="str">
            <v>73528</v>
          </cell>
          <cell r="E111" t="str">
            <v>PARANAQUE</v>
          </cell>
          <cell r="F111" t="str">
            <v>PCAN3</v>
          </cell>
        </row>
        <row r="112">
          <cell r="A112" t="str">
            <v>X23083229143</v>
          </cell>
          <cell r="B112" t="str">
            <v>PCA, Modification of Electric Service, HMB, JUSTIN PHILIP POLISTICO SARABIA</v>
          </cell>
          <cell r="C112" t="str">
            <v>STREET, ALITAGTAG, AYALA-ALABANG VILL, MUNTINLUPA</v>
          </cell>
          <cell r="D112" t="str">
            <v>73104</v>
          </cell>
          <cell r="E112" t="str">
            <v>PARANAQUE</v>
          </cell>
          <cell r="F112" t="str">
            <v>SCHED</v>
          </cell>
        </row>
        <row r="113">
          <cell r="A113" t="str">
            <v>X23093531555</v>
          </cell>
          <cell r="B113" t="str">
            <v>PCA, Modification of Electric Service, CBG, EDOTCO TOWERS, INC.</v>
          </cell>
          <cell r="C113" t="str">
            <v>STREET, PROGRESSIVE, PROGRESSIVE VILLAGE 15, BACOOR</v>
          </cell>
          <cell r="D113" t="str">
            <v>18202</v>
          </cell>
          <cell r="E113" t="str">
            <v>PARANAQUE</v>
          </cell>
          <cell r="F113" t="str">
            <v>FCOMP</v>
          </cell>
        </row>
        <row r="114">
          <cell r="A114" t="str">
            <v>X23093558896</v>
          </cell>
          <cell r="B114" t="str">
            <v>PCA, Modification of Electric Service, HMB, HELENE ASHLEY RAZO VERA CRUZ</v>
          </cell>
          <cell r="C114" t="str">
            <v>STREET, CAVITE, ALABANG HILLS SUBD PH 3, MUNTINLUPA</v>
          </cell>
          <cell r="D114" t="str">
            <v>72626</v>
          </cell>
          <cell r="E114" t="str">
            <v>PARANAQUE</v>
          </cell>
          <cell r="F114" t="str">
            <v>SCHED</v>
          </cell>
        </row>
        <row r="115">
          <cell r="A115" t="str">
            <v>X23093634405</v>
          </cell>
          <cell r="B115" t="str">
            <v>PCA, New Electric Service, SME, JESUS, THE GOOD SHEPHERD CHURCH OF MUNTINLUPA, INC</v>
          </cell>
          <cell r="C115" t="str">
            <v>STREET, NATIONAL, TUNASAN, MUNTINLUPA</v>
          </cell>
          <cell r="D115" t="str">
            <v>74415</v>
          </cell>
          <cell r="E115" t="str">
            <v>PARANAQUE</v>
          </cell>
          <cell r="F115" t="str">
            <v>CAN</v>
          </cell>
        </row>
        <row r="116">
          <cell r="A116" t="str">
            <v>X23093808497</v>
          </cell>
          <cell r="B116" t="str">
            <v>PCA, Modification of Electric Service, HMB, CITY GOVERNMENT OF PARAÑAQUE</v>
          </cell>
          <cell r="C116" t="str">
            <v>STREET, COL. E. DE LEON, STO. NINO, PARANAQUE</v>
          </cell>
          <cell r="D116" t="str">
            <v>77883</v>
          </cell>
          <cell r="E116" t="str">
            <v>PARANAQUE</v>
          </cell>
          <cell r="F116" t="str">
            <v>SCHED</v>
          </cell>
        </row>
        <row r="117">
          <cell r="A117" t="str">
            <v>X23104085941</v>
          </cell>
          <cell r="B117" t="str">
            <v>PCA, Termination of Electric Service, SME, D.L. CERVANTES CONSTRUCTION CORPORATION</v>
          </cell>
          <cell r="C117" t="str">
            <v>STREET, ARIA, STA. CECILIA VILL, LAS PINAS CITY</v>
          </cell>
          <cell r="D117" t="str">
            <v>64273</v>
          </cell>
          <cell r="E117" t="str">
            <v>PARANAQUE</v>
          </cell>
          <cell r="F117" t="str">
            <v>SCHED</v>
          </cell>
        </row>
        <row r="118">
          <cell r="A118" t="str">
            <v>X23104092125</v>
          </cell>
          <cell r="B118" t="str">
            <v>PCA, New Electric Service, HMB, PHILIP SIGFRID ALFARO FORTUN</v>
          </cell>
          <cell r="C118" t="str">
            <v>STREET, SAN AGUSTIN, SUSANA HTS SUBD VILL 6, MUNTINLUPA</v>
          </cell>
          <cell r="D118" t="str">
            <v>74397</v>
          </cell>
          <cell r="E118" t="str">
            <v>PARANAQUE</v>
          </cell>
          <cell r="F118" t="str">
            <v>PCAN3</v>
          </cell>
        </row>
        <row r="119">
          <cell r="A119" t="str">
            <v>X23114429361</v>
          </cell>
          <cell r="B119" t="str">
            <v>PCA, Temporary Electric Service, SME, GOLDSERVE HOLDING COMPANY INC.</v>
          </cell>
          <cell r="C119" t="str">
            <v>STREET, MIA, TAMBO, PARANAQUE</v>
          </cell>
          <cell r="D119" t="str">
            <v>78233</v>
          </cell>
          <cell r="E119" t="str">
            <v>PARANAQUE</v>
          </cell>
          <cell r="F119" t="str">
            <v>FCOMP</v>
          </cell>
        </row>
        <row r="120">
          <cell r="A120" t="str">
            <v>X23114600974</v>
          </cell>
          <cell r="B120" t="str">
            <v>PCA, New Electric Service, SME, BP WATERWORKS, INC.</v>
          </cell>
          <cell r="C120" t="str">
            <v>STREET, PASONG BUAYA II, PASONG BUAYA II, IMUS</v>
          </cell>
          <cell r="D120" t="str">
            <v>33954</v>
          </cell>
          <cell r="E120" t="str">
            <v>PARANAQUE</v>
          </cell>
          <cell r="F120" t="str">
            <v>PCAN3</v>
          </cell>
        </row>
        <row r="121">
          <cell r="A121" t="str">
            <v>X23114603408</v>
          </cell>
          <cell r="B121" t="str">
            <v>PCA, Modification of Electric Service, HMB, GILBERT CLAIRE O REALICA</v>
          </cell>
          <cell r="C121" t="str">
            <v>STREET, APO, AYALA-ALABANG VILL, MUNTINLUPA</v>
          </cell>
          <cell r="D121" t="str">
            <v>73110</v>
          </cell>
          <cell r="E121" t="str">
            <v>PARANAQUE</v>
          </cell>
          <cell r="F121" t="str">
            <v>FCOMP</v>
          </cell>
        </row>
        <row r="122">
          <cell r="A122" t="str">
            <v>X23124692592</v>
          </cell>
          <cell r="B122" t="str">
            <v>PCA, New Electric Service, CBG, BGST PRIME DEVELOPMENT CORP.</v>
          </cell>
          <cell r="C122" t="str">
            <v>STREET, COASTAL RD, SAN DIONISIO, PARANAQUE</v>
          </cell>
          <cell r="D122" t="str">
            <v>77078</v>
          </cell>
          <cell r="E122" t="str">
            <v>PARANAQUE</v>
          </cell>
          <cell r="F122" t="str">
            <v>FCOMP</v>
          </cell>
        </row>
        <row r="123">
          <cell r="A123" t="str">
            <v>X24010064526</v>
          </cell>
          <cell r="B123" t="str">
            <v>PCA, Modification of Electric Service, HMB, ARLEEN MARIA Z BORROMEO</v>
          </cell>
          <cell r="C123" t="str">
            <v>STREET, ZARATOGA LOOP, ALABANG 400 VILLAGE, MUNTINLUPA</v>
          </cell>
          <cell r="D123" t="str">
            <v>72753</v>
          </cell>
          <cell r="E123" t="str">
            <v>PARANAQUE</v>
          </cell>
          <cell r="F123" t="str">
            <v>FCOMP</v>
          </cell>
        </row>
        <row r="124">
          <cell r="A124" t="str">
            <v>X24010101554</v>
          </cell>
          <cell r="B124" t="str">
            <v>PCA, Modification of Electric Service, SME, TOBIE INTERNATIONAL INC.</v>
          </cell>
          <cell r="C124" t="str">
            <v>STREET, EXODUS, BF HOMES MARTINVILLE SUBD, LAS PINAS CITY</v>
          </cell>
          <cell r="D124" t="str">
            <v>15006026</v>
          </cell>
          <cell r="E124" t="str">
            <v>PARANAQUE</v>
          </cell>
          <cell r="F124" t="str">
            <v>FCOMP</v>
          </cell>
        </row>
        <row r="125">
          <cell r="A125" t="str">
            <v>X24010230692</v>
          </cell>
          <cell r="B125" t="str">
            <v>PCA, Modification of Electric Service, HMB, RONALDO RICARDO RAYMUNDO BENITEZ</v>
          </cell>
          <cell r="C125" t="str">
            <v>STREET, SUSANA HTS, SUSANA HTS SUBD VILL 1, MUNTINLUPA</v>
          </cell>
          <cell r="D125" t="str">
            <v>74390</v>
          </cell>
          <cell r="E125" t="str">
            <v>PARANAQUE</v>
          </cell>
          <cell r="F125" t="str">
            <v>INPRG</v>
          </cell>
        </row>
        <row r="126">
          <cell r="A126" t="str">
            <v>X24010234099</v>
          </cell>
          <cell r="B126" t="str">
            <v>PCA, Modification of Electric Service, HMB, LORENZO ENRIQUEZ GUERRERO</v>
          </cell>
          <cell r="C126" t="str">
            <v>STREET, LIPA, AYALA-ALABANG VILL, MUNTINLUPA</v>
          </cell>
          <cell r="D126" t="str">
            <v>73181</v>
          </cell>
          <cell r="E126" t="str">
            <v>PARANAQUE</v>
          </cell>
          <cell r="F126" t="str">
            <v>FCOMP</v>
          </cell>
        </row>
        <row r="127">
          <cell r="A127" t="str">
            <v>X24010236211</v>
          </cell>
          <cell r="B127" t="str">
            <v>PCA, Termination of Electric Service, CBG, INTERNATIONAL CONTAINER TERMINAL SERVICES, INC.</v>
          </cell>
          <cell r="C127" t="str">
            <v>STREET, ROAD 4, PAGCOR ENTERTAINMENT CITY, PARANAQUE</v>
          </cell>
          <cell r="D127" t="str">
            <v>17151510</v>
          </cell>
          <cell r="E127" t="str">
            <v>PARANAQUE</v>
          </cell>
          <cell r="F127" t="str">
            <v>FCOMP</v>
          </cell>
        </row>
        <row r="128">
          <cell r="A128" t="str">
            <v>X24010242749</v>
          </cell>
          <cell r="B128" t="str">
            <v>PCA, Modification of Electric Service, HMB, JUDD MARQUEZ TE SEE</v>
          </cell>
          <cell r="C128" t="str">
            <v>STREET, CUENCA, AYALA-ALABANG VILL, MUNTINLUPA</v>
          </cell>
          <cell r="D128" t="str">
            <v>73157</v>
          </cell>
          <cell r="E128" t="str">
            <v>PARANAQUE</v>
          </cell>
          <cell r="F128" t="str">
            <v>FCOMP</v>
          </cell>
        </row>
        <row r="129">
          <cell r="A129" t="str">
            <v>X24010310203</v>
          </cell>
          <cell r="B129" t="str">
            <v>PCA, Modification of Electric Service, SME, HSL - BRAILLE COLLEGE, INC.,</v>
          </cell>
          <cell r="C129" t="str">
            <v>STREET, DURIAN, ZONE 1, TAGUIG CITY</v>
          </cell>
          <cell r="D129" t="str">
            <v>91804</v>
          </cell>
          <cell r="E129" t="str">
            <v>PARANAQUE</v>
          </cell>
          <cell r="F129" t="str">
            <v>FCOMP</v>
          </cell>
        </row>
        <row r="130">
          <cell r="A130" t="str">
            <v>X24020411401</v>
          </cell>
          <cell r="B130" t="str">
            <v>PCA, Modification of Electric Service, CBG, JOLLIBEE FOODS CORPORATION</v>
          </cell>
          <cell r="C130" t="str">
            <v>STREET, AGUIRRE, BF HOMES, PARANAQUE</v>
          </cell>
          <cell r="D130" t="str">
            <v>75134</v>
          </cell>
          <cell r="E130" t="str">
            <v>PARANAQUE</v>
          </cell>
          <cell r="F130" t="str">
            <v>FCOMP</v>
          </cell>
        </row>
        <row r="131">
          <cell r="A131" t="str">
            <v>X24020411873</v>
          </cell>
          <cell r="B131" t="str">
            <v>PCA, Modification of Electric Service, CBG, IGLESIA NI CRISTO</v>
          </cell>
          <cell r="C131" t="str">
            <v>STREET, P. BURGOS, SAN DIONISIO, PARANAQUE</v>
          </cell>
          <cell r="D131" t="str">
            <v>77059</v>
          </cell>
          <cell r="E131" t="str">
            <v>PARANAQUE</v>
          </cell>
          <cell r="F131" t="str">
            <v>FCOMP</v>
          </cell>
        </row>
        <row r="132">
          <cell r="A132" t="str">
            <v>X24020456466</v>
          </cell>
          <cell r="B132" t="str">
            <v>PCA, Modification of Electric Service, HMB, CHRISTIAN ARTABAN M. PALINES</v>
          </cell>
          <cell r="C132" t="str">
            <v>STREET, DON P. REYES, VICTORIA HOMES-RUBY PARK SUBD, MUNTINLUPA</v>
          </cell>
          <cell r="D132" t="str">
            <v>74433</v>
          </cell>
          <cell r="E132" t="str">
            <v>PARANAQUE</v>
          </cell>
          <cell r="F132" t="str">
            <v>SCHED</v>
          </cell>
        </row>
        <row r="133">
          <cell r="A133" t="str">
            <v>X24020533373</v>
          </cell>
          <cell r="B133" t="str">
            <v>PCA, New Electric Service, SME, GRUPPO SACHIN &amp; SACHIN CO.</v>
          </cell>
          <cell r="C133" t="str">
            <v>STREET, SAN VICTORES, SEACOM CPD, PARANAQUE</v>
          </cell>
          <cell r="D133" t="str">
            <v>77387</v>
          </cell>
          <cell r="E133" t="str">
            <v>PARANAQUE</v>
          </cell>
          <cell r="F133" t="str">
            <v>FCOMP</v>
          </cell>
        </row>
        <row r="134">
          <cell r="A134" t="str">
            <v>X24020641632</v>
          </cell>
          <cell r="B134" t="str">
            <v>PCA, New Electric Service, HMB, HENRY LAO LIM</v>
          </cell>
          <cell r="C134" t="str">
            <v>STREET, BUKIDNON, MARINA SUBD, PARANAQUE</v>
          </cell>
          <cell r="D134" t="str">
            <v>78182</v>
          </cell>
          <cell r="E134" t="str">
            <v>PARANAQUE</v>
          </cell>
          <cell r="F134" t="str">
            <v>FCOMP</v>
          </cell>
        </row>
        <row r="135">
          <cell r="A135" t="str">
            <v>X24020649090</v>
          </cell>
          <cell r="B135" t="str">
            <v>PCA, New Electric Service, SME, MICHAEL CHRISTIAN R. PICHEL</v>
          </cell>
          <cell r="C135" t="str">
            <v>STREET, M.L. QUEZON, PUROK 3, TAGUIG CITY</v>
          </cell>
          <cell r="D135" t="str">
            <v>91196</v>
          </cell>
          <cell r="E135" t="str">
            <v>PARANAQUE</v>
          </cell>
          <cell r="F135" t="str">
            <v>FCOMP</v>
          </cell>
        </row>
        <row r="136">
          <cell r="A136" t="str">
            <v>X24030695765</v>
          </cell>
          <cell r="B136" t="str">
            <v>PCA, New Electric Service, SME, MITHCAH BIBLE BAPTIST CHURCH INC.</v>
          </cell>
          <cell r="C136" t="str">
            <v>STREET, ST. CECILLE, FATIMA SUBD, LAS PINAS CITY</v>
          </cell>
          <cell r="D136" t="str">
            <v>64778</v>
          </cell>
          <cell r="E136" t="str">
            <v>PARANAQUE</v>
          </cell>
          <cell r="F136" t="str">
            <v>FCOMP</v>
          </cell>
        </row>
        <row r="137">
          <cell r="A137" t="str">
            <v>X24030736106</v>
          </cell>
          <cell r="B137" t="str">
            <v>PCA, New Electric Service, HMB, ALFRED REYES FRANCIA</v>
          </cell>
          <cell r="C137" t="str">
            <v>STREET, BLOCK 29, SOLVIENTO VILLAS PH 3, BACOOR</v>
          </cell>
          <cell r="D137" t="str">
            <v>17630828</v>
          </cell>
          <cell r="E137" t="str">
            <v>PARANAQUE</v>
          </cell>
          <cell r="F137" t="str">
            <v>FCOMP</v>
          </cell>
        </row>
        <row r="138">
          <cell r="A138" t="str">
            <v>X24030736254</v>
          </cell>
          <cell r="B138" t="str">
            <v>PCA, New Electric Service, HMB, NEW PACIFIC RESOURCES MANAGEME</v>
          </cell>
          <cell r="C138" t="str">
            <v>STREET, BLOCK 36, SOLVIENTO VILLAS PH 3, BACOOR</v>
          </cell>
          <cell r="D138" t="str">
            <v>17630928</v>
          </cell>
          <cell r="E138" t="str">
            <v>PARANAQUE</v>
          </cell>
          <cell r="F138" t="str">
            <v>FCOMP</v>
          </cell>
        </row>
        <row r="139">
          <cell r="A139" t="str">
            <v>X24030740806</v>
          </cell>
          <cell r="B139" t="str">
            <v>PCA, Modification of Electric Service, HMB, REGIDOR HOOD OFRIN</v>
          </cell>
          <cell r="C139" t="str">
            <v>STREET, MAIN, MERVILLE SUBD, PARANAQUE</v>
          </cell>
          <cell r="D139" t="str">
            <v>76599</v>
          </cell>
          <cell r="E139" t="str">
            <v>PARANAQUE</v>
          </cell>
          <cell r="F139" t="str">
            <v>INPRG</v>
          </cell>
        </row>
        <row r="140">
          <cell r="A140" t="str">
            <v>X24030775968</v>
          </cell>
          <cell r="B140" t="str">
            <v>PCA, Modification of Electric Service, HMB, JOEBETH R DE CASTRO</v>
          </cell>
          <cell r="C140" t="str">
            <v>STREET, SUNFLOWER, PILAR VILL, LAS PINAS CITY</v>
          </cell>
          <cell r="D140" t="str">
            <v>63288</v>
          </cell>
          <cell r="E140" t="str">
            <v>PARANAQUE</v>
          </cell>
          <cell r="F140" t="str">
            <v>SCHED</v>
          </cell>
        </row>
        <row r="141">
          <cell r="A141" t="str">
            <v>X24030891625</v>
          </cell>
          <cell r="B141" t="str">
            <v>PCA, New Electric Service, CBG, DITO TELECOMMUNITY CORPORATION</v>
          </cell>
          <cell r="C141" t="str">
            <v>STREET, AMPARO, POBLACION, MUNTINLUPA</v>
          </cell>
          <cell r="D141" t="str">
            <v>73012</v>
          </cell>
          <cell r="E141" t="str">
            <v>PARANAQUE</v>
          </cell>
          <cell r="F141" t="str">
            <v>FCOMP</v>
          </cell>
        </row>
        <row r="142">
          <cell r="A142" t="str">
            <v>X24041001641</v>
          </cell>
          <cell r="B142" t="str">
            <v>PCA, New Electric Service, HMB, FILINVEST LAND, INC.</v>
          </cell>
          <cell r="C142" t="str">
            <v>STREET, BLOCK 2, PRINCETON HEIGHTS PH 3, BACOOR</v>
          </cell>
          <cell r="D142" t="str">
            <v>17256116</v>
          </cell>
          <cell r="E142" t="str">
            <v>PARANAQUE</v>
          </cell>
          <cell r="F142" t="str">
            <v>SCHED</v>
          </cell>
        </row>
        <row r="143">
          <cell r="A143" t="str">
            <v>X24041115574</v>
          </cell>
          <cell r="B143" t="str">
            <v>PCA, New Electric Service, CBG, DITO TELECOMMUNITY CORPORATION</v>
          </cell>
          <cell r="C143" t="str">
            <v>STREET, GULAMAN, STO. NINO, TAGUIG CITY</v>
          </cell>
          <cell r="D143" t="str">
            <v>93026</v>
          </cell>
          <cell r="E143" t="str">
            <v>PARANAQUE</v>
          </cell>
          <cell r="F143" t="str">
            <v>CLOSED-CAN</v>
          </cell>
        </row>
        <row r="144">
          <cell r="A144" t="str">
            <v>X24041183168</v>
          </cell>
          <cell r="B144" t="str">
            <v>PCA, Modification of Electric Service, HMB, ZENAIDA IGNACIO REYES</v>
          </cell>
          <cell r="C144" t="str">
            <v>STREET, DIMASALANG, HAGONOY, TAGUIG CITY</v>
          </cell>
          <cell r="D144" t="str">
            <v>91270</v>
          </cell>
          <cell r="E144" t="str">
            <v>PARANAQUE</v>
          </cell>
          <cell r="F144" t="str">
            <v>FCOMP</v>
          </cell>
        </row>
        <row r="145">
          <cell r="A145" t="str">
            <v>X24041187690</v>
          </cell>
          <cell r="B145" t="str">
            <v>PCA, Modification of Electric Service, HMB, CITY GOV'T OF LAS PINAS,</v>
          </cell>
          <cell r="C145" t="str">
            <v>STREET, S. TOLENTINO, GATCHALIAN SUBD, LAS PINAS CITY</v>
          </cell>
          <cell r="D145" t="str">
            <v>62702</v>
          </cell>
          <cell r="E145" t="str">
            <v>PARANAQUE</v>
          </cell>
          <cell r="F145" t="str">
            <v>FCOMP</v>
          </cell>
        </row>
        <row r="146">
          <cell r="A146" t="str">
            <v>X24041323481</v>
          </cell>
          <cell r="B146" t="str">
            <v>PCA, Modification of Electric Service, CBG, ASEANA BUSINESS PARK ESTATE ASSOCIATION, INC.</v>
          </cell>
          <cell r="C146" t="str">
            <v>STREET, PRES. DIOSDADO MACAPAGAL, ASEANA BUSINESS PARK, PARANAQUE</v>
          </cell>
          <cell r="D146" t="str">
            <v>75127</v>
          </cell>
          <cell r="E146" t="str">
            <v>PARANAQUE</v>
          </cell>
          <cell r="F146" t="str">
            <v>SCHED</v>
          </cell>
        </row>
        <row r="147">
          <cell r="A147" t="str">
            <v>X24041458580</v>
          </cell>
          <cell r="B147" t="str">
            <v>PCA, New Electric Service, SME, PATIO ALGADA EVENTS PLACE AND LEISURE INC.</v>
          </cell>
          <cell r="C147" t="str">
            <v>STREET, DE CASTRO, DE CASTRO I SUBD, BACOOR</v>
          </cell>
          <cell r="D147" t="str">
            <v>16792</v>
          </cell>
          <cell r="E147" t="str">
            <v>PARANAQUE</v>
          </cell>
          <cell r="F147" t="str">
            <v>FCOMP</v>
          </cell>
        </row>
        <row r="148">
          <cell r="A148" t="str">
            <v>X24051519918</v>
          </cell>
          <cell r="B148" t="str">
            <v>PCA, New Electric Service, HMB, STO. CRISTO PROPERTIES &amp; HOLDINGS CORP.</v>
          </cell>
          <cell r="C148" t="str">
            <v>STREET, PASCUAL, PARANAQUE GREEN HEIGHTS, PARANAQUE</v>
          </cell>
          <cell r="D148" t="str">
            <v>77557</v>
          </cell>
          <cell r="E148" t="str">
            <v>PARANAQUE</v>
          </cell>
          <cell r="F148" t="str">
            <v>PCAN3</v>
          </cell>
        </row>
        <row r="149">
          <cell r="A149" t="str">
            <v>X24051525654</v>
          </cell>
          <cell r="B149" t="str">
            <v>PCA, Modification of Electric Service, HMB, FERHN RUBIA BALATUCAN</v>
          </cell>
          <cell r="C149" t="str">
            <v>STREET, GARNET, PARANAQUE GREEN HEIGHTS, PARANAQUE</v>
          </cell>
          <cell r="D149" t="str">
            <v>77548</v>
          </cell>
          <cell r="E149" t="str">
            <v>PARANAQUE</v>
          </cell>
          <cell r="F149" t="str">
            <v>SCHED</v>
          </cell>
        </row>
        <row r="150">
          <cell r="A150" t="str">
            <v>X24051525908</v>
          </cell>
          <cell r="B150" t="str">
            <v>PCA, Modification of Electric Service, HMB, SUZIE CHEN TAN</v>
          </cell>
          <cell r="C150" t="str">
            <v>STREET, HEMLOCK, MGV PHASE 1, PARANAQUE</v>
          </cell>
          <cell r="D150" t="str">
            <v>76385</v>
          </cell>
          <cell r="E150" t="str">
            <v>PARANAQUE</v>
          </cell>
          <cell r="F150" t="str">
            <v>FCOMP</v>
          </cell>
        </row>
        <row r="151">
          <cell r="A151" t="str">
            <v>X24051549285</v>
          </cell>
          <cell r="B151" t="str">
            <v>PCA, New Electric Service, CBG, DITO TELECOMMUNITY CORPORATION</v>
          </cell>
          <cell r="C151" t="str">
            <v>STREET, BLOCK 1, AGUAHAN VILLAGE, TAGUIG CITY</v>
          </cell>
          <cell r="D151" t="str">
            <v>91095</v>
          </cell>
          <cell r="E151" t="str">
            <v>PARANAQUE</v>
          </cell>
          <cell r="F151" t="str">
            <v>PCAN3</v>
          </cell>
        </row>
        <row r="152">
          <cell r="A152" t="str">
            <v>X24051588113</v>
          </cell>
          <cell r="B152" t="str">
            <v>PCA, Modification of Electric Service, CBG, ASEANA BUSINESS PARK ESTATE ASSOCIATION, INC.</v>
          </cell>
          <cell r="C152" t="str">
            <v>STREET, ASEANA, ASEANA BUSINESS PARK, PARANAQUE</v>
          </cell>
          <cell r="D152" t="str">
            <v>75126</v>
          </cell>
          <cell r="E152" t="str">
            <v>PARANAQUE</v>
          </cell>
          <cell r="F152" t="str">
            <v>SCHED</v>
          </cell>
        </row>
        <row r="153">
          <cell r="A153" t="str">
            <v>X24051688503</v>
          </cell>
          <cell r="B153" t="str">
            <v>PCA, Modification of Electric Service, HMB, ALEXANDER EVAN O. UY</v>
          </cell>
          <cell r="C153" t="str">
            <v>STREET, JOHN, MULTINATIONAL VILL, PARANAQUE</v>
          </cell>
          <cell r="D153" t="str">
            <v>76798</v>
          </cell>
          <cell r="E153" t="str">
            <v>PARANAQUE</v>
          </cell>
          <cell r="F153" t="str">
            <v>SCHED</v>
          </cell>
        </row>
        <row r="154">
          <cell r="A154" t="str">
            <v>X24051726352</v>
          </cell>
          <cell r="B154" t="str">
            <v>PCA, Modification of Electric Service, HMB, ELIZA BLANCHE SANTOS ALAY-AY</v>
          </cell>
          <cell r="C154" t="str">
            <v>STREET, JOHN GLEN JR., MOONWALK, PARANAQUE</v>
          </cell>
          <cell r="D154" t="str">
            <v>76748</v>
          </cell>
          <cell r="E154" t="str">
            <v>PARANAQUE</v>
          </cell>
          <cell r="F154" t="str">
            <v>SCHED</v>
          </cell>
        </row>
        <row r="155">
          <cell r="A155" t="str">
            <v>X24051728852</v>
          </cell>
          <cell r="B155" t="str">
            <v>PCA, Modification of Electric Service, HMB, JENNY ROMANO BRAMBILLA</v>
          </cell>
          <cell r="C155" t="str">
            <v>STREET, STAFFORD, MOONWALK, PARANAQUE</v>
          </cell>
          <cell r="D155" t="str">
            <v>76764</v>
          </cell>
          <cell r="E155" t="str">
            <v>PARANAQUE</v>
          </cell>
          <cell r="F155" t="str">
            <v>SCHED</v>
          </cell>
        </row>
        <row r="156">
          <cell r="A156" t="str">
            <v>X24051731952</v>
          </cell>
          <cell r="B156" t="str">
            <v>PCA, New Electric Service, HMB, TARASH B. BERMUDEZ</v>
          </cell>
          <cell r="C156" t="str">
            <v>STREET, MONIQUE, VILLA CRISTINA SUBD, LAS PINAS CITY</v>
          </cell>
          <cell r="D156" t="str">
            <v>63138</v>
          </cell>
          <cell r="E156" t="str">
            <v>PARANAQUE</v>
          </cell>
          <cell r="F156" t="str">
            <v>SCHED</v>
          </cell>
        </row>
        <row r="157">
          <cell r="A157" t="str">
            <v>X24051781334</v>
          </cell>
          <cell r="B157" t="str">
            <v>PCA, Modification of Electric Service, HMB, MARIA NATALIA ORIG PALMA</v>
          </cell>
          <cell r="C157" t="str">
            <v>STREET, BELMONT, ALABANG 400 VILLAGE, MUNTINLUPA</v>
          </cell>
          <cell r="D157" t="str">
            <v>72736</v>
          </cell>
          <cell r="E157" t="str">
            <v>PARANAQUE</v>
          </cell>
          <cell r="F157" t="str">
            <v>SCHED</v>
          </cell>
        </row>
        <row r="158">
          <cell r="A158" t="str">
            <v>X24051787930</v>
          </cell>
          <cell r="B158" t="str">
            <v>PCA, New Electric Service, CBG, DITO TELECOMMUNITY CORPORATION</v>
          </cell>
          <cell r="C158" t="str">
            <v>STREET, BLOCK 46, PINAGSAMA PH 2 VILL, TAGUIG CITY</v>
          </cell>
          <cell r="D158" t="str">
            <v>92900</v>
          </cell>
          <cell r="E158" t="str">
            <v>PARANAQUE</v>
          </cell>
          <cell r="F158" t="str">
            <v>SCHED</v>
          </cell>
        </row>
        <row r="159">
          <cell r="A159" t="str">
            <v>X24051797098</v>
          </cell>
          <cell r="B159" t="str">
            <v>PCA, Modification of Electric Service, HMB, ERIC CHAN KE</v>
          </cell>
          <cell r="C159" t="str">
            <v>STREET, MASBATE LOOP, MARINA SUBD, PARANAQUE</v>
          </cell>
          <cell r="D159" t="str">
            <v>78190</v>
          </cell>
          <cell r="E159" t="str">
            <v>PARANAQUE</v>
          </cell>
          <cell r="F159" t="str">
            <v>SCHED</v>
          </cell>
        </row>
        <row r="160">
          <cell r="A160" t="str">
            <v>X24051821123</v>
          </cell>
          <cell r="B160" t="str">
            <v>PCA, New Electric Service, HMB, CITY GOVERNMENT OF TAGUIG</v>
          </cell>
          <cell r="C160" t="str">
            <v>STREET, C-5, WESTERN BICUTAN, TAGUIG CITY</v>
          </cell>
          <cell r="D160" t="str">
            <v>93068</v>
          </cell>
          <cell r="E160" t="str">
            <v>PARANAQUE</v>
          </cell>
          <cell r="F160" t="str">
            <v>SCHED</v>
          </cell>
        </row>
        <row r="161">
          <cell r="A161" t="str">
            <v>X24051821503</v>
          </cell>
          <cell r="B161" t="str">
            <v>PCA, Modification of Electric Service, HMB, CITY GOVERNMENT OF TAGUIG</v>
          </cell>
          <cell r="C161" t="str">
            <v>STREET, SOUTH DAANG HARI, PUROK 10, TAGUIG CITY</v>
          </cell>
          <cell r="D161" t="str">
            <v>91006</v>
          </cell>
          <cell r="E161" t="str">
            <v>PARANAQUE</v>
          </cell>
          <cell r="F161" t="str">
            <v>SCHED</v>
          </cell>
        </row>
        <row r="162">
          <cell r="A162" t="str">
            <v>X24051828444</v>
          </cell>
          <cell r="B162" t="str">
            <v>PCA, New Electric Service, CBG, DITO TELECOMMUNITY CORPORATION</v>
          </cell>
          <cell r="C162" t="str">
            <v>STREET, STA. MONICA, DON GALO, PARANAQUE</v>
          </cell>
          <cell r="D162" t="str">
            <v>76226</v>
          </cell>
          <cell r="E162" t="str">
            <v>PARANAQUE</v>
          </cell>
          <cell r="F162" t="str">
            <v>PCAN3</v>
          </cell>
        </row>
        <row r="163">
          <cell r="A163" t="str">
            <v>X24051847714</v>
          </cell>
          <cell r="B163" t="str">
            <v>PCA, New Electric Service, CBG, DITO TELECOMMUNITY CORPORATION</v>
          </cell>
          <cell r="C163" t="str">
            <v>STREET, BLOCK 5, ENLISTED PERSONNEL VIL 2, TAGUIG CITY</v>
          </cell>
          <cell r="D163" t="str">
            <v>92777</v>
          </cell>
          <cell r="E163" t="str">
            <v>PARANAQUE</v>
          </cell>
          <cell r="F163" t="str">
            <v>DCOMP</v>
          </cell>
        </row>
        <row r="164">
          <cell r="A164" t="str">
            <v>X24051926078</v>
          </cell>
          <cell r="B164" t="str">
            <v>PCA, New Electric Service, CBG, DITO TELECOMMUNITY CORPORATION</v>
          </cell>
          <cell r="C164" t="str">
            <v>STREET, CHAMPACA, STO. NINO, TAGUIG CITY</v>
          </cell>
          <cell r="D164" t="str">
            <v>93015</v>
          </cell>
          <cell r="E164" t="str">
            <v>PARANAQUE</v>
          </cell>
          <cell r="F164" t="str">
            <v>CLOSED-CAN</v>
          </cell>
        </row>
        <row r="165">
          <cell r="A165" t="str">
            <v>X24051932778</v>
          </cell>
          <cell r="B165" t="str">
            <v>PCA, New Electric Service, SME, KEN VANN JOSPEH K REYES</v>
          </cell>
          <cell r="C165" t="str">
            <v>STREET, ALABANG-ZAPOTE, TALON I, LAS PINAS CITY</v>
          </cell>
          <cell r="D165" t="str">
            <v>63944</v>
          </cell>
          <cell r="E165" t="str">
            <v>PARANAQUE</v>
          </cell>
          <cell r="F165" t="str">
            <v>FCOMP</v>
          </cell>
        </row>
        <row r="166">
          <cell r="A166" t="str">
            <v>X24051975891</v>
          </cell>
          <cell r="B166" t="str">
            <v>PCA, New Electric Service, SME, FANG LIN OASIS CORPORATION</v>
          </cell>
          <cell r="C166" t="str">
            <v>STREET, QUIRINO, TAMBO, PARANAQUE</v>
          </cell>
          <cell r="D166" t="str">
            <v>78242</v>
          </cell>
          <cell r="E166" t="str">
            <v>PARANAQUE</v>
          </cell>
          <cell r="F166" t="str">
            <v>FCOMP</v>
          </cell>
        </row>
        <row r="167">
          <cell r="A167" t="str">
            <v>X24052000269</v>
          </cell>
          <cell r="B167" t="str">
            <v>PCA, New Electric Service, HMB, CITY GOVERNMENT OF TAGUIG</v>
          </cell>
          <cell r="C167" t="str">
            <v>STREET, MAULING CREEK, PUROK 6D, TAGUIG CITY</v>
          </cell>
          <cell r="D167" t="str">
            <v>17669230</v>
          </cell>
          <cell r="E167" t="str">
            <v>PARANAQUE</v>
          </cell>
          <cell r="F167" t="str">
            <v>SCHED</v>
          </cell>
        </row>
        <row r="168">
          <cell r="A168" t="str">
            <v>X24052000319</v>
          </cell>
          <cell r="B168" t="str">
            <v>PCA, New Electric Service, HMB, CITY GOVERNMENT OF TAGUIG</v>
          </cell>
          <cell r="C168" t="str">
            <v>STREET, MAULING CREEK, PUROK 6D, TAGUIG CITY</v>
          </cell>
          <cell r="D168" t="str">
            <v>17669230</v>
          </cell>
          <cell r="E168" t="str">
            <v>PARANAQUE</v>
          </cell>
          <cell r="F168" t="str">
            <v>FCOMP</v>
          </cell>
        </row>
        <row r="169">
          <cell r="A169" t="str">
            <v>X24052001012</v>
          </cell>
          <cell r="B169" t="str">
            <v>PCA, New Electric Service, HMB, VILLA LIGHT NEIGHBORHOOD ASSOCIATION INC.</v>
          </cell>
          <cell r="C169" t="str">
            <v>STREET, BLOCK 10, VILLA LIGHT SUBD, TAGUIG CITY</v>
          </cell>
          <cell r="D169" t="str">
            <v>17444128</v>
          </cell>
          <cell r="E169" t="str">
            <v>PARANAQUE</v>
          </cell>
          <cell r="F169" t="str">
            <v>CLOSED-CAN</v>
          </cell>
        </row>
        <row r="170">
          <cell r="A170" t="str">
            <v>X24062083547</v>
          </cell>
          <cell r="B170" t="str">
            <v>PCA, New Electric Service, CBG, DITO TELECOMMUNITY CORPORATION</v>
          </cell>
          <cell r="C170" t="str">
            <v>STREET, M.L. QUEZON, PUROK 3, TAGUIG CITY</v>
          </cell>
          <cell r="D170" t="str">
            <v>91196</v>
          </cell>
          <cell r="E170" t="str">
            <v>PARANAQUE</v>
          </cell>
          <cell r="F170" t="str">
            <v>DCOMP</v>
          </cell>
        </row>
        <row r="171">
          <cell r="A171" t="str">
            <v>X24062084382</v>
          </cell>
          <cell r="B171" t="str">
            <v>PCA, New Electric Service, CBG, AMAIA LAND CORP.</v>
          </cell>
          <cell r="C171" t="str">
            <v>STREET, ISABELA, AMAIA STEPS SUCAT, PARANAQUE</v>
          </cell>
          <cell r="D171" t="str">
            <v>17131214</v>
          </cell>
          <cell r="E171" t="str">
            <v>PARANAQUE</v>
          </cell>
          <cell r="F171" t="str">
            <v>FCOMP</v>
          </cell>
        </row>
        <row r="172">
          <cell r="A172" t="str">
            <v>X24062101038</v>
          </cell>
          <cell r="B172" t="str">
            <v>PCA, New Electric Service, CBG, GLOBE TELECOM, INC.</v>
          </cell>
          <cell r="C172" t="str">
            <v>STREET, TIMBANG, MAMBOG III, BACOOR</v>
          </cell>
          <cell r="D172" t="str">
            <v>17125805</v>
          </cell>
          <cell r="E172" t="str">
            <v>PARANAQUE</v>
          </cell>
          <cell r="F172" t="str">
            <v>FCOMP</v>
          </cell>
        </row>
        <row r="173">
          <cell r="A173" t="str">
            <v>X24062104789</v>
          </cell>
          <cell r="B173" t="str">
            <v>PCA, New Electric Service, CBG, GLOBE TELECOM, INC.</v>
          </cell>
          <cell r="C173" t="str">
            <v>STREET, DON P. REYES, TUNASAN, MUNTINLUPA</v>
          </cell>
          <cell r="D173" t="str">
            <v>74411</v>
          </cell>
          <cell r="E173" t="str">
            <v>PARANAQUE</v>
          </cell>
          <cell r="F173" t="str">
            <v>FCOMP</v>
          </cell>
        </row>
        <row r="174">
          <cell r="A174" t="str">
            <v>X24062117779</v>
          </cell>
          <cell r="B174" t="str">
            <v>PCA, Modification of Electric Service, HMB, CITY GOVERNMENT OF PARAÑAQUE</v>
          </cell>
          <cell r="C174" t="str">
            <v>STREET, BENIGNO AQUINO SR., BF HOMES, PARANAQUE</v>
          </cell>
          <cell r="D174" t="str">
            <v>75167</v>
          </cell>
          <cell r="E174" t="str">
            <v>PARANAQUE</v>
          </cell>
          <cell r="F174" t="str">
            <v>FCOMP</v>
          </cell>
        </row>
        <row r="175">
          <cell r="A175" t="str">
            <v>X24062164559</v>
          </cell>
          <cell r="B175" t="str">
            <v>PCA, Modification of Electric Service, HMB, EDWARD VINCENT SANTOS DAUIGOY</v>
          </cell>
          <cell r="C175" t="str">
            <v>STREET, BLOCK 6, TOP MAN VILLAGE, LAS PINAS CITY</v>
          </cell>
          <cell r="D175" t="str">
            <v>17262710</v>
          </cell>
          <cell r="E175" t="str">
            <v>PARANAQUE</v>
          </cell>
          <cell r="F175" t="str">
            <v>SCHED</v>
          </cell>
        </row>
        <row r="176">
          <cell r="A176" t="str">
            <v>X24062171822</v>
          </cell>
          <cell r="B176" t="str">
            <v>PCA, New Electric Service, SME, M.H. BURTON REPAIR SERVICES, INC.</v>
          </cell>
          <cell r="C176" t="str">
            <v>STREET, BLOCK 5, MAGDIWANG SUBD, BACOOR</v>
          </cell>
          <cell r="D176" t="str">
            <v>119906</v>
          </cell>
          <cell r="E176" t="str">
            <v>PARANAQUE</v>
          </cell>
          <cell r="F176" t="str">
            <v>FCOMP</v>
          </cell>
        </row>
        <row r="177">
          <cell r="A177" t="str">
            <v>X24062236601</v>
          </cell>
          <cell r="B177" t="str">
            <v>PCA, Modification of Electric Service, HMB, LEIGH ANGELI ADARNA ANCHETA</v>
          </cell>
          <cell r="C177" t="str">
            <v>STREET, MA. LOURDES ATIENZA, BF RESORT VILL, LAS PINAS CITY</v>
          </cell>
          <cell r="D177" t="str">
            <v>64118</v>
          </cell>
          <cell r="E177" t="str">
            <v>PARANAQUE</v>
          </cell>
          <cell r="F177" t="str">
            <v>FCOMP</v>
          </cell>
        </row>
        <row r="178">
          <cell r="A178" t="str">
            <v>X24062342140</v>
          </cell>
          <cell r="B178" t="str">
            <v>PCA, New Electric Service, HMB, JOAN ANTONIO QUIMPO</v>
          </cell>
          <cell r="C178" t="str">
            <v>STREET, BLOCK 19, ENLISTED PERSONNEL VIL 2, TAGUIG CITY</v>
          </cell>
          <cell r="D178" t="str">
            <v>92791</v>
          </cell>
          <cell r="E178" t="str">
            <v>PARANAQUE</v>
          </cell>
          <cell r="F178" t="str">
            <v>CAN</v>
          </cell>
        </row>
        <row r="179">
          <cell r="A179" t="str">
            <v>X24062388683</v>
          </cell>
          <cell r="B179" t="str">
            <v>PCA, Modification of Electric Service, HMB, MARC MEDALLA O'CONNOR</v>
          </cell>
          <cell r="C179" t="str">
            <v>STREET, ARAGONA, CITADELLA EXEC VILL, LAS PINAS CITY</v>
          </cell>
          <cell r="D179" t="str">
            <v>63596</v>
          </cell>
          <cell r="E179" t="str">
            <v>PARANAQUE</v>
          </cell>
          <cell r="F179" t="str">
            <v>SCHED</v>
          </cell>
        </row>
        <row r="180">
          <cell r="A180" t="str">
            <v>X24062428692</v>
          </cell>
          <cell r="B180" t="str">
            <v>PCA, New Electric Service, HMB, GREENLAND NEW LOWER BICUTAN NEIGHBORHOOD ASSOCIATION</v>
          </cell>
          <cell r="C180" t="str">
            <v>STREET, RANGER, PUROK 1A, TAGUIG CITY</v>
          </cell>
          <cell r="D180" t="str">
            <v>91373</v>
          </cell>
          <cell r="E180" t="str">
            <v>PARANAQUE</v>
          </cell>
          <cell r="F180" t="str">
            <v>CLOSED-CAN</v>
          </cell>
        </row>
        <row r="181">
          <cell r="A181" t="str">
            <v>X24062436826</v>
          </cell>
          <cell r="B181" t="str">
            <v>PCA, Modification of Electric Service, HMB, DIANE VALERIE ZIGA GARCIA</v>
          </cell>
          <cell r="C181" t="str">
            <v>STREET, MA. CRISTINA, AYALA-ALABANG VILL, MUNTINLUPA</v>
          </cell>
          <cell r="D181" t="str">
            <v>73184</v>
          </cell>
          <cell r="E181" t="str">
            <v>PARANAQUE</v>
          </cell>
          <cell r="F181" t="str">
            <v>SCHED</v>
          </cell>
        </row>
        <row r="182">
          <cell r="A182" t="str">
            <v>X24062492521</v>
          </cell>
          <cell r="B182" t="str">
            <v>PCA, Termination of Electric Service, CBG, DOMINIC CONSTRUCTION, INC.</v>
          </cell>
          <cell r="C182" t="str">
            <v>STREET, DR. A. SANTOS, SAN ANTONIO, PARANAQUE</v>
          </cell>
          <cell r="D182" t="str">
            <v>77301</v>
          </cell>
          <cell r="E182" t="str">
            <v>PARANAQUE</v>
          </cell>
          <cell r="F182" t="str">
            <v>SCHED</v>
          </cell>
        </row>
        <row r="183">
          <cell r="A183" t="str">
            <v>X24072536492</v>
          </cell>
          <cell r="B183" t="str">
            <v>PCA, Modification of Electric Service, HMB, CITY GOV'T OF LAS PIÑAS</v>
          </cell>
          <cell r="C183" t="str">
            <v>STREET, BF CARNIBAL PARK, BF RESORT VILL, LAS PINAS CITY</v>
          </cell>
          <cell r="D183" t="str">
            <v>64042</v>
          </cell>
          <cell r="E183" t="str">
            <v>PARANAQUE</v>
          </cell>
          <cell r="F183" t="str">
            <v>FCOMP</v>
          </cell>
        </row>
        <row r="184">
          <cell r="A184" t="str">
            <v>X24072541358</v>
          </cell>
          <cell r="B184" t="str">
            <v>PCA, New Electric Service, SME, WILHOME DEVELOPMENT INC.</v>
          </cell>
          <cell r="C184" t="str">
            <v>STREET, MOLINO ROAD, MOLINO III, BACOOR</v>
          </cell>
          <cell r="D184" t="str">
            <v>18633</v>
          </cell>
          <cell r="E184" t="str">
            <v>PARANAQUE</v>
          </cell>
          <cell r="F184" t="str">
            <v>FCOMP</v>
          </cell>
        </row>
        <row r="185">
          <cell r="A185" t="str">
            <v>X24072565971</v>
          </cell>
          <cell r="B185" t="str">
            <v>PCA, New Electric Service, CBG, DITO TELECOMMUNITY CORPORATION</v>
          </cell>
          <cell r="C185" t="str">
            <v>STREET, DOÑA SOLEDAD, BETTER LIVING SUBD, PARANAQUE</v>
          </cell>
          <cell r="D185" t="str">
            <v>75761</v>
          </cell>
          <cell r="E185" t="str">
            <v>PARANAQUE</v>
          </cell>
          <cell r="F185" t="str">
            <v>SCHED</v>
          </cell>
        </row>
        <row r="186">
          <cell r="A186" t="str">
            <v>X24072577420</v>
          </cell>
          <cell r="B186" t="str">
            <v>PCA, Modification of Electric Service, HMB, HERMENEGILDO DENAGA SARANILLO</v>
          </cell>
          <cell r="C186" t="str">
            <v>STREET, SUMAKWEL, BARANGAY VILL, PARANAQUE</v>
          </cell>
          <cell r="D186" t="str">
            <v>77158</v>
          </cell>
          <cell r="E186" t="str">
            <v>PARANAQUE</v>
          </cell>
          <cell r="F186" t="str">
            <v>SCHED</v>
          </cell>
        </row>
        <row r="187">
          <cell r="A187" t="str">
            <v>X24072577424</v>
          </cell>
          <cell r="B187" t="str">
            <v>PCA, Modification of Electric Service, HMB, ARTHUR NOLASCO IRASUSTA</v>
          </cell>
          <cell r="C187" t="str">
            <v>STREET, R. MAGSAYSAY, FILINVEST SUBD, PARANAQUE</v>
          </cell>
          <cell r="D187" t="str">
            <v>77497</v>
          </cell>
          <cell r="E187" t="str">
            <v>PARANAQUE</v>
          </cell>
          <cell r="F187" t="str">
            <v>FCOMP</v>
          </cell>
        </row>
        <row r="188">
          <cell r="A188" t="str">
            <v>X24072590693</v>
          </cell>
          <cell r="B188" t="str">
            <v>PCA, New Electric Service, SME, HARD DISCOUNT PHILIPPINES, INC.</v>
          </cell>
          <cell r="C188" t="str">
            <v>STREET, HOLY FAMILY AVE, HOLY FAMILY VILL, TAGUIG CITY</v>
          </cell>
          <cell r="D188" t="str">
            <v>91123</v>
          </cell>
          <cell r="E188" t="str">
            <v>PARANAQUE</v>
          </cell>
          <cell r="F188" t="str">
            <v>FCOMP</v>
          </cell>
        </row>
        <row r="189">
          <cell r="A189" t="str">
            <v>X24072635271</v>
          </cell>
          <cell r="B189" t="str">
            <v>PCA, New Electric Service, SME, JOIE MEDINA GAWARAN</v>
          </cell>
          <cell r="C189" t="str">
            <v>STREET, LOURDES CPD, LOURDES CPD, BACOOR</v>
          </cell>
          <cell r="D189" t="str">
            <v>20111</v>
          </cell>
          <cell r="E189" t="str">
            <v>PARANAQUE</v>
          </cell>
          <cell r="F189" t="str">
            <v>FCOMP</v>
          </cell>
        </row>
        <row r="190">
          <cell r="A190" t="str">
            <v>X24072692499</v>
          </cell>
          <cell r="B190" t="str">
            <v>PCA, Modification of Electric Service, SME, HSL - BRAILLE COLLEGE, INC.,</v>
          </cell>
          <cell r="C190" t="str">
            <v>STREET, DURIAN, ZONE 1, TAGUIG CITY</v>
          </cell>
          <cell r="D190" t="str">
            <v>91804</v>
          </cell>
          <cell r="E190" t="str">
            <v>PARANAQUE</v>
          </cell>
          <cell r="F190" t="str">
            <v>FCOMP</v>
          </cell>
        </row>
        <row r="191">
          <cell r="A191" t="str">
            <v>X24072732976</v>
          </cell>
          <cell r="B191" t="str">
            <v>PCA, New Electric Service, HMB, LUCKY ROCKY CHUA SY</v>
          </cell>
          <cell r="C191" t="str">
            <v>STREET, STA. MARIA, SAN ANTONIO VALLEY 1, PARANAQUE</v>
          </cell>
          <cell r="D191" t="str">
            <v>77331</v>
          </cell>
          <cell r="E191" t="str">
            <v>PARANAQUE</v>
          </cell>
          <cell r="F191" t="str">
            <v>FCOMP</v>
          </cell>
        </row>
        <row r="192">
          <cell r="A192" t="str">
            <v>X24072733160</v>
          </cell>
          <cell r="B192" t="str">
            <v>PCA, Modification of Electric Service, HMB, BRGY. MARCELO GREEN</v>
          </cell>
          <cell r="C192" t="str">
            <v>STREET, MARCELO, MARCELO GREEN VILL, PARANAQUE</v>
          </cell>
          <cell r="D192" t="str">
            <v>76343</v>
          </cell>
          <cell r="E192" t="str">
            <v>PARANAQUE</v>
          </cell>
          <cell r="F192" t="str">
            <v>SCHED</v>
          </cell>
        </row>
        <row r="193">
          <cell r="A193" t="str">
            <v>X24072759958</v>
          </cell>
          <cell r="B193" t="str">
            <v>PCA, New Electric Service, HMB, CITY GOVERNMENT OF TAGUIG</v>
          </cell>
          <cell r="C193" t="str">
            <v>STREET, PRES. QUIRINO EXT, ZONE 6, TAGUIG CITY</v>
          </cell>
          <cell r="D193" t="str">
            <v>92053</v>
          </cell>
          <cell r="E193" t="str">
            <v>PARANAQUE</v>
          </cell>
          <cell r="F193" t="str">
            <v>SCHED</v>
          </cell>
        </row>
        <row r="194">
          <cell r="A194" t="str">
            <v>X24072779669</v>
          </cell>
          <cell r="B194" t="str">
            <v>PCA, Modification of Electric Service, HMB, MA FATIMA FESTIN PERDIDO</v>
          </cell>
          <cell r="C194" t="str">
            <v>STREET, TALIM, TIERRA NUEVA SUBD, MUNTINLUPA</v>
          </cell>
          <cell r="D194" t="str">
            <v>72860</v>
          </cell>
          <cell r="E194" t="str">
            <v>PARANAQUE</v>
          </cell>
          <cell r="F194" t="str">
            <v>SCHED</v>
          </cell>
        </row>
        <row r="195">
          <cell r="A195" t="str">
            <v>X24072802372</v>
          </cell>
          <cell r="B195" t="str">
            <v>PCA, Modification of Electric Service, HMB, JOSE MARTIN GRUBA NOEL</v>
          </cell>
          <cell r="C195" t="str">
            <v>STREET, QUINTIN PAREDES, BF HOMES, PARANAQUE</v>
          </cell>
          <cell r="D195" t="str">
            <v>75350</v>
          </cell>
          <cell r="E195" t="str">
            <v>PARANAQUE</v>
          </cell>
          <cell r="F195" t="str">
            <v>FCOMP</v>
          </cell>
        </row>
        <row r="196">
          <cell r="A196" t="str">
            <v>X24072816217</v>
          </cell>
          <cell r="B196" t="str">
            <v>PCA, New Electric Service, HMB, JERICK MARTIN C. FELIZARDO</v>
          </cell>
          <cell r="C196" t="str">
            <v>STREET, PALO-ALTO SUBD, PALO-ALTO SUBD, BACOOR</v>
          </cell>
          <cell r="D196" t="str">
            <v>17271</v>
          </cell>
          <cell r="E196" t="str">
            <v>PARANAQUE</v>
          </cell>
          <cell r="F196" t="str">
            <v>FCOMP</v>
          </cell>
        </row>
        <row r="197">
          <cell r="A197" t="str">
            <v>X24072831387</v>
          </cell>
          <cell r="B197" t="str">
            <v>PCA, New Electric Service, HMB, IRMA S AQUINO</v>
          </cell>
          <cell r="C197" t="str">
            <v>STREET, ARTHUR, HAPAY CPD, TAGUIG CITY</v>
          </cell>
          <cell r="D197" t="str">
            <v>91119</v>
          </cell>
          <cell r="E197" t="str">
            <v>PARANAQUE</v>
          </cell>
          <cell r="F197" t="str">
            <v>SCHED</v>
          </cell>
        </row>
        <row r="198">
          <cell r="A198" t="str">
            <v>X24072841870</v>
          </cell>
          <cell r="B198" t="str">
            <v>PCA, New Electric Service, CBG, DITO TELECOMMUNITY CORPORATION</v>
          </cell>
          <cell r="C198" t="str">
            <v>STREET, KALANTAS, PUROK 7, TAGUIG CITY</v>
          </cell>
          <cell r="D198" t="str">
            <v>92929</v>
          </cell>
          <cell r="E198" t="str">
            <v>PARANAQUE</v>
          </cell>
          <cell r="F198" t="str">
            <v>SCHED</v>
          </cell>
        </row>
        <row r="199">
          <cell r="A199" t="str">
            <v>X24072851053</v>
          </cell>
          <cell r="B199" t="str">
            <v>PCA, New Electric Service, HMB, DIOSA BELLE SANTILLANOSA CRUCERO</v>
          </cell>
          <cell r="C199" t="str">
            <v>STREET, BLOCK 27, PUROK 3, TAGUIG CITY</v>
          </cell>
          <cell r="D199" t="str">
            <v>92391</v>
          </cell>
          <cell r="E199" t="str">
            <v>PARANAQUE</v>
          </cell>
          <cell r="F199" t="str">
            <v>FCOMP</v>
          </cell>
        </row>
        <row r="200">
          <cell r="A200" t="str">
            <v>X24072854687</v>
          </cell>
          <cell r="B200" t="str">
            <v>PCA, New Electric Service, HMB, MALILIN O. RICSENIA</v>
          </cell>
          <cell r="C200" t="str">
            <v>STREET, BLOCK 12, BETTER LIVING ANX31 SUBD, PARANAQUE</v>
          </cell>
          <cell r="D200" t="str">
            <v>76279</v>
          </cell>
          <cell r="E200" t="str">
            <v>PARANAQUE</v>
          </cell>
          <cell r="F200" t="str">
            <v>FCOMP</v>
          </cell>
        </row>
        <row r="201">
          <cell r="A201" t="str">
            <v>X24072854711</v>
          </cell>
          <cell r="B201" t="str">
            <v>PCA, New Electric Service, HMB, ROBERTO BALASBAS DIMAYUGA</v>
          </cell>
          <cell r="C201" t="str">
            <v>STREET, SAN NICOLAS, SAN MARTIN VILL-4TH ESTATE, PARANAQUE</v>
          </cell>
          <cell r="D201" t="str">
            <v>77381</v>
          </cell>
          <cell r="E201" t="str">
            <v>PARANAQUE</v>
          </cell>
          <cell r="F201" t="str">
            <v>SCHED</v>
          </cell>
        </row>
        <row r="202">
          <cell r="A202" t="str">
            <v>X24072868110</v>
          </cell>
          <cell r="B202" t="str">
            <v>PCA, New Electric Service, CBG, DITO TELECOMMUNITY CORPORATION</v>
          </cell>
          <cell r="C202" t="str">
            <v>STREET, 3RD AVE, HEN HEADQUARTER SUPPRT GRP, TAGUIG CITY</v>
          </cell>
          <cell r="D202" t="str">
            <v>91760</v>
          </cell>
          <cell r="E202" t="str">
            <v>PARANAQUE</v>
          </cell>
          <cell r="F202" t="str">
            <v>FCOMP</v>
          </cell>
        </row>
        <row r="203">
          <cell r="A203" t="str">
            <v>X24072928092</v>
          </cell>
          <cell r="B203" t="str">
            <v>PCA, Modification of Electric Service, HMB, GAY ANNETTE LIM ANG</v>
          </cell>
          <cell r="C203" t="str">
            <v>STREET, ORMOC, ALABANG HILLS SUBD PH 2, MUNTINLUPA</v>
          </cell>
          <cell r="D203" t="str">
            <v>72617</v>
          </cell>
          <cell r="E203" t="str">
            <v>PARANAQUE</v>
          </cell>
          <cell r="F203" t="str">
            <v>FCOMP</v>
          </cell>
        </row>
        <row r="204">
          <cell r="A204" t="str">
            <v>X24073004063</v>
          </cell>
          <cell r="B204" t="str">
            <v>PCA, Termination of Electric Service, CBG, RODOLFO C ADRIAS</v>
          </cell>
          <cell r="C204" t="str">
            <v>STREET, MOLINO BLVD, MOLINO II, BACOOR</v>
          </cell>
          <cell r="D204" t="str">
            <v>15002257</v>
          </cell>
          <cell r="E204" t="str">
            <v>PARANAQUE</v>
          </cell>
          <cell r="F204" t="str">
            <v>FCOMP</v>
          </cell>
        </row>
        <row r="205">
          <cell r="A205" t="str">
            <v>X24073004630</v>
          </cell>
          <cell r="B205" t="str">
            <v>PCA, New Electric Service, SME, PHILIPPINE SEVEN CORPORATION</v>
          </cell>
          <cell r="C205" t="str">
            <v>STREET, UMALI, POBLACION, MUNTINLUPA</v>
          </cell>
          <cell r="D205" t="str">
            <v>73055</v>
          </cell>
          <cell r="E205" t="str">
            <v>PARANAQUE</v>
          </cell>
          <cell r="F205" t="str">
            <v>FCOMP</v>
          </cell>
        </row>
        <row r="206">
          <cell r="A206" t="str">
            <v>X24073033797</v>
          </cell>
          <cell r="B206" t="str">
            <v>PCA, Modification of Electric Service, HMB, CELSO T DIMARUCUT</v>
          </cell>
          <cell r="C206" t="str">
            <v>STREET, DOÑA CONCHA CRUZ, BF HOMES, PARANAQUE</v>
          </cell>
          <cell r="D206" t="str">
            <v>75207</v>
          </cell>
          <cell r="E206" t="str">
            <v>PARANAQUE</v>
          </cell>
          <cell r="F206" t="str">
            <v>FCOMP</v>
          </cell>
        </row>
        <row r="207">
          <cell r="A207" t="str">
            <v>X24083108742</v>
          </cell>
          <cell r="B207" t="str">
            <v>PCA, New Electric Service, HMB, GLENDA G ADEFUIN</v>
          </cell>
          <cell r="C207" t="str">
            <v>STREET, BLOCK 2, PATIO HOMES SUBD, MUNTINLUPA</v>
          </cell>
          <cell r="D207" t="str">
            <v>73982</v>
          </cell>
          <cell r="E207" t="str">
            <v>PARANAQUE</v>
          </cell>
          <cell r="F207" t="str">
            <v>FCOMP</v>
          </cell>
        </row>
        <row r="208">
          <cell r="A208" t="str">
            <v>X24083130651</v>
          </cell>
          <cell r="B208" t="str">
            <v>PCA, New Electric Service, SME, CLS GRILL AND RESTAURANTS, INC.</v>
          </cell>
          <cell r="C208" t="str">
            <v>STREET, AGUIRRE, BF HOMES, PARANAQUE</v>
          </cell>
          <cell r="D208" t="str">
            <v>75134</v>
          </cell>
          <cell r="E208" t="str">
            <v>PARANAQUE</v>
          </cell>
          <cell r="F208" t="str">
            <v>SCHED</v>
          </cell>
        </row>
        <row r="209">
          <cell r="A209" t="str">
            <v>X24083140896</v>
          </cell>
          <cell r="B209" t="str">
            <v>PCA, New Electric Service, HMB, VILLA FER-FLOR STA. TERESA NEIGHBORHOOD ASSN. INC</v>
          </cell>
          <cell r="C209" t="str">
            <v>STREET, BLOCK 1, VILLA FER FLOR SUBDIVISION, TAGUIG CITY</v>
          </cell>
          <cell r="D209" t="str">
            <v>17669228</v>
          </cell>
          <cell r="E209" t="str">
            <v>PARANAQUE</v>
          </cell>
          <cell r="F209" t="str">
            <v>SCHED</v>
          </cell>
        </row>
        <row r="210">
          <cell r="A210" t="str">
            <v>X24083141279</v>
          </cell>
          <cell r="B210" t="str">
            <v>PCA, New Electric Service, HMB, VILLA FER-FLOR STA. TERESA NEIGHBORHOOD ASSN. INC</v>
          </cell>
          <cell r="C210" t="str">
            <v>STREET, BLOCK 2, VILLA FER FLOR SUBDIVISION, TAGUIG CITY</v>
          </cell>
          <cell r="D210" t="str">
            <v>17669229</v>
          </cell>
          <cell r="E210" t="str">
            <v>PARANAQUE</v>
          </cell>
          <cell r="F210" t="str">
            <v>SCHED</v>
          </cell>
        </row>
        <row r="211">
          <cell r="A211" t="str">
            <v>X24083159101</v>
          </cell>
          <cell r="B211" t="str">
            <v>PCA, Modification of Electric Service, HMB, CHONA RODRIGUEZ GAN</v>
          </cell>
          <cell r="C211" t="str">
            <v>STREET, DOÑA AURORA, TAHANAN VILL, PARANAQUE</v>
          </cell>
          <cell r="D211" t="str">
            <v>75666</v>
          </cell>
          <cell r="E211" t="str">
            <v>PARANAQUE</v>
          </cell>
          <cell r="F211" t="str">
            <v>SCHED</v>
          </cell>
        </row>
        <row r="212">
          <cell r="A212" t="str">
            <v>X24083277607</v>
          </cell>
          <cell r="B212" t="str">
            <v>PCA, New Electric Service, HMB, JONATHAN KEE AGABIN</v>
          </cell>
          <cell r="C212" t="str">
            <v>STREET, SAMAR, MARINA SUBD, PARANAQUE</v>
          </cell>
          <cell r="D212" t="str">
            <v>78199</v>
          </cell>
          <cell r="E212" t="str">
            <v>PARANAQUE</v>
          </cell>
          <cell r="F212" t="str">
            <v>FCOMP</v>
          </cell>
        </row>
        <row r="213">
          <cell r="A213" t="str">
            <v>X24083317606</v>
          </cell>
          <cell r="B213" t="str">
            <v>PCA, New Electric Service, SME, HARD DISCOUNT PHILIPPINES, INC.</v>
          </cell>
          <cell r="C213" t="str">
            <v>STREET, M.L. QUEZON, PUROK 2, TAGUIG CITY</v>
          </cell>
          <cell r="D213" t="str">
            <v>91416</v>
          </cell>
          <cell r="E213" t="str">
            <v>PARANAQUE</v>
          </cell>
          <cell r="F213" t="str">
            <v>FCOMP</v>
          </cell>
        </row>
        <row r="214">
          <cell r="A214" t="str">
            <v>X24083323243</v>
          </cell>
          <cell r="B214" t="str">
            <v>PCA, Modification of Electric Service, HMB, NICOLE TRINIDAD LOTILLA</v>
          </cell>
          <cell r="C214" t="str">
            <v>STREET, DAFFODIL, PILAR VILL, LAS PINAS CITY</v>
          </cell>
          <cell r="D214" t="str">
            <v>63210</v>
          </cell>
          <cell r="E214" t="str">
            <v>PARANAQUE</v>
          </cell>
          <cell r="F214" t="str">
            <v>FCOMP</v>
          </cell>
        </row>
        <row r="215">
          <cell r="A215" t="str">
            <v>X24083392619</v>
          </cell>
          <cell r="B215" t="str">
            <v>PCA, New Electric Service, HMB, RONILO LANSANG DAVID</v>
          </cell>
          <cell r="C215" t="str">
            <v>STREET, LAPU-LAPU, BACLARAN, PARANAQUE</v>
          </cell>
          <cell r="D215" t="str">
            <v>75097</v>
          </cell>
          <cell r="E215" t="str">
            <v>PARANAQUE</v>
          </cell>
          <cell r="F215" t="str">
            <v>FCOMP</v>
          </cell>
        </row>
        <row r="216">
          <cell r="A216" t="str">
            <v>X24083423327</v>
          </cell>
          <cell r="B216" t="str">
            <v>PCA, Modification of Electric Service, CBG, NATIONAL RESEARCH COUNCIL OF THE PHILIPPINES</v>
          </cell>
          <cell r="C216" t="str">
            <v>STREET, GEN. SANTOS, UPPER BICUTAN, TAGUIG CITY</v>
          </cell>
          <cell r="D216" t="str">
            <v>92617</v>
          </cell>
          <cell r="E216" t="str">
            <v>PARANAQUE</v>
          </cell>
          <cell r="F216" t="str">
            <v>FCOMP</v>
          </cell>
        </row>
        <row r="217">
          <cell r="A217" t="str">
            <v>X24083434936</v>
          </cell>
          <cell r="B217" t="str">
            <v>PCA, Modification of Electric Service, SME, MAXIPRINTS INC.</v>
          </cell>
          <cell r="C217" t="str">
            <v>STREET, 1ST, TAGUIG BAGUMBAYAN INDL ASS INC, TAGUIG CITY</v>
          </cell>
          <cell r="D217" t="str">
            <v>91230</v>
          </cell>
          <cell r="E217" t="str">
            <v>PARANAQUE</v>
          </cell>
          <cell r="F217" t="str">
            <v>FCOMP</v>
          </cell>
        </row>
        <row r="218">
          <cell r="A218" t="str">
            <v>X24083439704</v>
          </cell>
          <cell r="B218" t="str">
            <v>PCA, New Electric Service, CBG, DITO TELECOMMUNITY CORPORATION</v>
          </cell>
          <cell r="C218" t="str">
            <v>STREET, CHAMPACA, STO. NINO, TAGUIG CITY</v>
          </cell>
          <cell r="D218" t="str">
            <v>93015</v>
          </cell>
          <cell r="E218" t="str">
            <v>PARANAQUE</v>
          </cell>
          <cell r="F218" t="str">
            <v>CLOSED-CAN</v>
          </cell>
        </row>
        <row r="219">
          <cell r="A219" t="str">
            <v>X24083444240</v>
          </cell>
          <cell r="B219" t="str">
            <v>PCA, New Electric Service, HMB, WOODRIDGE PROPERTIES INC.</v>
          </cell>
          <cell r="C219" t="str">
            <v>STREET, BLOCK 5, DANAROSE RESIDENCES, BACOOR</v>
          </cell>
          <cell r="D219" t="str">
            <v>17189454</v>
          </cell>
          <cell r="E219" t="str">
            <v>PARANAQUE</v>
          </cell>
          <cell r="F219" t="str">
            <v>SCHED</v>
          </cell>
        </row>
        <row r="220">
          <cell r="A220" t="str">
            <v>X24083444242</v>
          </cell>
          <cell r="B220" t="str">
            <v>PCA, New Electric Service, HMB, JEIKA PROPERTIES CORPORATION</v>
          </cell>
          <cell r="C220" t="str">
            <v>STREET, BLOCK 6, KATHLEEN PLACE 5 SUBD, BACOOR</v>
          </cell>
          <cell r="D220" t="str">
            <v>17656632</v>
          </cell>
          <cell r="E220" t="str">
            <v>PARANAQUE</v>
          </cell>
          <cell r="F220" t="str">
            <v>FCOMP</v>
          </cell>
        </row>
        <row r="221">
          <cell r="A221" t="str">
            <v>X24093485934</v>
          </cell>
          <cell r="B221" t="str">
            <v>PCA, Modification of Electric Service, HMB, MARLON WILLIAMS MARCELINO CASTILLO</v>
          </cell>
          <cell r="C221" t="str">
            <v>STREET, ORMOC, ALABANG HILLS SUBD PH 2, MUNTINLUPA</v>
          </cell>
          <cell r="D221" t="str">
            <v>72617</v>
          </cell>
          <cell r="E221" t="str">
            <v>PARANAQUE</v>
          </cell>
          <cell r="F221" t="str">
            <v>SCHED</v>
          </cell>
        </row>
        <row r="222">
          <cell r="A222" t="str">
            <v>X24093488253</v>
          </cell>
          <cell r="B222" t="str">
            <v>PCA, New Electric Service, HMB, VILLA FER-FLOR STA. TERESA NEIGHBORHOOD ASSN. INC</v>
          </cell>
          <cell r="C222" t="str">
            <v>STREET, BLOCK 1, VILLA FER FLOR SUBDIVISION, TAGUIG CITY</v>
          </cell>
          <cell r="D222" t="str">
            <v>17669228</v>
          </cell>
          <cell r="E222" t="str">
            <v>PARANAQUE</v>
          </cell>
          <cell r="F222" t="str">
            <v>SCHED</v>
          </cell>
        </row>
        <row r="223">
          <cell r="A223" t="str">
            <v>X24093502622</v>
          </cell>
          <cell r="B223" t="str">
            <v>PCA, Recontract of Electric Service, HMB, GINA BAGASIN ECLIPSE</v>
          </cell>
          <cell r="C223" t="str">
            <v>STREET, KALAYAAN VILL/BALAGBAG, KALAYAAN VILL/BALAGBAG, PASAY CITY</v>
          </cell>
          <cell r="D223" t="str">
            <v>78608</v>
          </cell>
          <cell r="E223" t="str">
            <v>PARANAQUE</v>
          </cell>
          <cell r="F223" t="str">
            <v>FCOMP</v>
          </cell>
        </row>
        <row r="224">
          <cell r="A224" t="str">
            <v>X24093549347</v>
          </cell>
          <cell r="B224" t="str">
            <v>PCA, New Electric Service, SME, CROWN OF KING SOLOMON ACADEMY INC.</v>
          </cell>
          <cell r="C224" t="str">
            <v>STREET, 6TH, SALINAS I, BACOOR</v>
          </cell>
          <cell r="D224" t="str">
            <v>20007</v>
          </cell>
          <cell r="E224" t="str">
            <v>PARANAQUE</v>
          </cell>
          <cell r="F224" t="str">
            <v>FCOMP</v>
          </cell>
        </row>
        <row r="225">
          <cell r="A225" t="str">
            <v>X24093584209</v>
          </cell>
          <cell r="B225" t="str">
            <v>PCA, Termination of Electric Service, SME, BRILLO DEL ESTE DEVELOPMENT CORP.</v>
          </cell>
          <cell r="C225" t="str">
            <v>STREET, PRES. M. ROXAS, TAMBO, PARANAQUE</v>
          </cell>
          <cell r="D225" t="str">
            <v>78240</v>
          </cell>
          <cell r="E225" t="str">
            <v>PARANAQUE</v>
          </cell>
          <cell r="F225" t="str">
            <v>FCOMP</v>
          </cell>
        </row>
        <row r="226">
          <cell r="A226" t="str">
            <v>X24093584870</v>
          </cell>
          <cell r="B226" t="str">
            <v>PCA, Modification of Electric Service, HMB, ZENAIDA IGNACIO REYES</v>
          </cell>
          <cell r="C226" t="str">
            <v>STREET, DIMASALANG, HAGONOY, TAGUIG CITY</v>
          </cell>
          <cell r="D226" t="str">
            <v>91270</v>
          </cell>
          <cell r="E226" t="str">
            <v>PARANAQUE</v>
          </cell>
          <cell r="F226" t="str">
            <v>FCOMP</v>
          </cell>
        </row>
        <row r="227">
          <cell r="A227" t="str">
            <v>X24093681665</v>
          </cell>
          <cell r="B227" t="str">
            <v>PCA, New Electric Service, HMB, DANIELA MARIE ORCINE NAPILI</v>
          </cell>
          <cell r="C227" t="str">
            <v>STREET, BLOCK 2, BAMBOO BREEZE RESIDENCES, BACOOR</v>
          </cell>
          <cell r="D227" t="str">
            <v>17208105</v>
          </cell>
          <cell r="E227" t="str">
            <v>PARANAQUE</v>
          </cell>
          <cell r="F227" t="str">
            <v>FCOMP</v>
          </cell>
        </row>
        <row r="228">
          <cell r="A228" t="str">
            <v>X24093693382</v>
          </cell>
          <cell r="B228" t="str">
            <v>PCA, Termination of Electric Service, SME, ASIA STRUCTURAL DEVELOPER CORP,</v>
          </cell>
          <cell r="C228" t="str">
            <v>STREET, PACIFIC, MARINA SUBD, PARANAQUE</v>
          </cell>
          <cell r="D228" t="str">
            <v>78195</v>
          </cell>
          <cell r="E228" t="str">
            <v>PARANAQUE</v>
          </cell>
          <cell r="F228" t="str">
            <v>FCOMP</v>
          </cell>
        </row>
        <row r="229">
          <cell r="A229" t="str">
            <v>X24093698934</v>
          </cell>
          <cell r="B229" t="str">
            <v>PCA, Termination of Electric Service, SME, BLOOMINGDALE ENTERPRISES INC</v>
          </cell>
          <cell r="C229" t="str">
            <v>STREET, ALABANG-ZAPOTE, TALON I, LAS PINAS CITY</v>
          </cell>
          <cell r="D229" t="str">
            <v>63944</v>
          </cell>
          <cell r="E229" t="str">
            <v>PARANAQUE</v>
          </cell>
          <cell r="F229" t="str">
            <v>FCOMP</v>
          </cell>
        </row>
        <row r="230">
          <cell r="A230" t="str">
            <v>X24093702490</v>
          </cell>
          <cell r="B230" t="str">
            <v>PCA, New Electric Service, HMB, BARANGAY MOLINO VI</v>
          </cell>
          <cell r="C230" t="str">
            <v>STREET, EVERLASTING, SOLDIER'S HILLS 4 PH II, BACOOR</v>
          </cell>
          <cell r="D230" t="str">
            <v>19425</v>
          </cell>
          <cell r="E230" t="str">
            <v>PARANAQUE</v>
          </cell>
          <cell r="F230" t="str">
            <v>FCOMP</v>
          </cell>
        </row>
        <row r="231">
          <cell r="A231" t="str">
            <v>X24093707345</v>
          </cell>
          <cell r="B231" t="str">
            <v>PCA, New Electric Service, HMB, CITY GOVERNMENT OF TAGUIG</v>
          </cell>
          <cell r="C231" t="str">
            <v>STREET, MAGSAYSAY, ZONE 6, TAGUIG CITY</v>
          </cell>
          <cell r="D231" t="str">
            <v>92043</v>
          </cell>
          <cell r="E231" t="str">
            <v>PARANAQUE</v>
          </cell>
          <cell r="F231" t="str">
            <v>FCOMP</v>
          </cell>
        </row>
        <row r="232">
          <cell r="A232" t="str">
            <v>X24093725089</v>
          </cell>
          <cell r="B232" t="str">
            <v>PCA, New Electric Service, HMB, RUBEN LEYVA TERRADO</v>
          </cell>
          <cell r="C232" t="str">
            <v>STREET, PILAR, ST. JOSEPH SUBD, LAS PINAS CITY</v>
          </cell>
          <cell r="D232" t="str">
            <v>61772</v>
          </cell>
          <cell r="E232" t="str">
            <v>PARANAQUE</v>
          </cell>
          <cell r="F232" t="str">
            <v>FCOMP</v>
          </cell>
        </row>
        <row r="233">
          <cell r="A233" t="str">
            <v>X24093725127</v>
          </cell>
          <cell r="B233" t="str">
            <v>PCA, New Electric Service, CBG, LIGHT RAIL MANILA CORPORATION</v>
          </cell>
          <cell r="C233" t="str">
            <v>STREET, NINOY AQUINO, STO. NINO, PARANAQUE</v>
          </cell>
          <cell r="D233" t="str">
            <v>77899</v>
          </cell>
          <cell r="E233" t="str">
            <v>PARANAQUE</v>
          </cell>
          <cell r="F233" t="str">
            <v>FCOMP</v>
          </cell>
        </row>
        <row r="234">
          <cell r="A234" t="str">
            <v>X24093762742</v>
          </cell>
          <cell r="B234" t="str">
            <v>PCA, Termination of Electric Service, SME, ALSTOM TRANSPORT CONSTRUCTION PHILIPPINES, INC.</v>
          </cell>
          <cell r="C234" t="str">
            <v>STREET, NINOY AQUINO, STO. NINO, PARANAQUE</v>
          </cell>
          <cell r="D234" t="str">
            <v>77899</v>
          </cell>
          <cell r="E234" t="str">
            <v>PARANAQUE</v>
          </cell>
          <cell r="F234" t="str">
            <v>FCOMP</v>
          </cell>
        </row>
        <row r="235">
          <cell r="A235" t="str">
            <v>X24093763605</v>
          </cell>
          <cell r="B235" t="str">
            <v>PCA, Termination of Electric Service, SME, ALSTOM TRANSPORT CONSTRUCTION PHILIPPINES, INC.</v>
          </cell>
          <cell r="C235" t="str">
            <v>STREET, DR. A SANTOS, SAN DIONISIO, PARANAQUE</v>
          </cell>
          <cell r="D235" t="str">
            <v>77026</v>
          </cell>
          <cell r="E235" t="str">
            <v>PARANAQUE</v>
          </cell>
          <cell r="F235" t="str">
            <v>SCHED</v>
          </cell>
        </row>
        <row r="236">
          <cell r="A236" t="str">
            <v>X24093766777</v>
          </cell>
          <cell r="B236" t="str">
            <v>PCA, Modification of Electric Service, HMB, ESMAIL FAIDAH BARODI</v>
          </cell>
          <cell r="C236" t="str">
            <v>STREET, DON PEDRO, GARCIA HEIGHTS, PARANAQUE</v>
          </cell>
          <cell r="D236" t="str">
            <v>77210</v>
          </cell>
          <cell r="E236" t="str">
            <v>PARANAQUE</v>
          </cell>
          <cell r="F236" t="str">
            <v>INPRG</v>
          </cell>
        </row>
        <row r="237">
          <cell r="A237" t="str">
            <v>X24093767977</v>
          </cell>
          <cell r="B237" t="str">
            <v>PCA, New Electric Service, SME, BIGBANG REALTY AND DEVELOPMENT CORPORATION</v>
          </cell>
          <cell r="C237" t="str">
            <v>STREET, ANIBAN I, ANIBAN I, BACOOR</v>
          </cell>
          <cell r="D237" t="str">
            <v>16523</v>
          </cell>
          <cell r="E237" t="str">
            <v>PARANAQUE</v>
          </cell>
          <cell r="F237" t="str">
            <v>FCOMP</v>
          </cell>
        </row>
        <row r="238">
          <cell r="A238" t="str">
            <v>X24093771340</v>
          </cell>
          <cell r="B238" t="str">
            <v>PCA, New Electric Service, HMB, STO. CRISTO PROPERTIES &amp; HOLDINGS CORP.</v>
          </cell>
          <cell r="C238" t="str">
            <v>STREET, PASCUAL, PARANAQUE GREEN HEIGHTS, PARANAQUE</v>
          </cell>
          <cell r="D238" t="str">
            <v>77557</v>
          </cell>
          <cell r="E238" t="str">
            <v>PARANAQUE</v>
          </cell>
          <cell r="F238" t="str">
            <v>FCOMP</v>
          </cell>
        </row>
        <row r="239">
          <cell r="A239" t="str">
            <v>X24093787030</v>
          </cell>
          <cell r="B239" t="str">
            <v>PCA, New Electric Service, CBG, CONVERGE INFORMATION AND COMMUNICATIONS TECHNOLOGY</v>
          </cell>
          <cell r="C239" t="str">
            <v>STREET, LAPU-LAPU, PUROK 5, TAGUIG CITY</v>
          </cell>
          <cell r="D239" t="str">
            <v>92496</v>
          </cell>
          <cell r="E239" t="str">
            <v>PARANAQUE</v>
          </cell>
          <cell r="F239" t="str">
            <v>CLOSED-CAN</v>
          </cell>
        </row>
        <row r="240">
          <cell r="A240" t="str">
            <v>X24093852320</v>
          </cell>
          <cell r="B240" t="str">
            <v>PCA, New Electric Service, HMB, ALEXANDRA MARIE PAMINTUAN CRUZ</v>
          </cell>
          <cell r="C240" t="str">
            <v>STREET, ST. BERNADETTE, SAN JOSE SUBD, MUNTINLUPA</v>
          </cell>
          <cell r="D240" t="str">
            <v>72817</v>
          </cell>
          <cell r="E240" t="str">
            <v>PARANAQUE</v>
          </cell>
          <cell r="F240" t="str">
            <v>SCHED</v>
          </cell>
        </row>
        <row r="241">
          <cell r="A241" t="str">
            <v>X24093863040</v>
          </cell>
          <cell r="B241" t="str">
            <v>PCA, New Electric Service, HMB, AIRA NAVARRO JUBILADO</v>
          </cell>
          <cell r="C241" t="str">
            <v>STREET, A. MABINI, TUAZON SUBD, LAS PINAS CITY</v>
          </cell>
          <cell r="D241" t="str">
            <v>62797</v>
          </cell>
          <cell r="E241" t="str">
            <v>PARANAQUE</v>
          </cell>
          <cell r="F241" t="str">
            <v>SCHED</v>
          </cell>
        </row>
        <row r="242">
          <cell r="A242" t="str">
            <v>X24103880983</v>
          </cell>
          <cell r="B242" t="str">
            <v>PCA, New Electric Service, CBG, GLOBE TELECOM, INC.</v>
          </cell>
          <cell r="C242" t="str">
            <v>STREET, BUHAY NA TUBIG, MOLINO III, BACOOR</v>
          </cell>
          <cell r="D242" t="str">
            <v>17142103</v>
          </cell>
          <cell r="E242" t="str">
            <v>PARANAQUE</v>
          </cell>
          <cell r="F242" t="str">
            <v>FCOMP</v>
          </cell>
        </row>
        <row r="243">
          <cell r="A243" t="str">
            <v>X24103888835</v>
          </cell>
          <cell r="B243" t="str">
            <v>PCA, Termination of Electric Service, CBG, MAKATI DEVELOPMENT CORPORATION</v>
          </cell>
          <cell r="C243" t="str">
            <v>STREET, EAST UNION, ARCA SOUTH, TAGUIG CITY</v>
          </cell>
          <cell r="D243" t="str">
            <v>17246309</v>
          </cell>
          <cell r="E243" t="str">
            <v>PARANAQUE</v>
          </cell>
          <cell r="F243" t="str">
            <v>FCOMP</v>
          </cell>
        </row>
        <row r="244">
          <cell r="A244" t="str">
            <v>X24103897542</v>
          </cell>
          <cell r="B244" t="str">
            <v>PCA, Termination of Electric Service, SME, RAICON DEVELOPMENT CORPORATION</v>
          </cell>
          <cell r="C244" t="str">
            <v>STREET, QUIRINO, PULANGLUPA I, LAS PINAS CITY</v>
          </cell>
          <cell r="D244" t="str">
            <v>63484</v>
          </cell>
          <cell r="E244" t="str">
            <v>PARANAQUE</v>
          </cell>
          <cell r="F244" t="str">
            <v>FCOMP</v>
          </cell>
        </row>
        <row r="245">
          <cell r="A245" t="str">
            <v>X24103919469</v>
          </cell>
          <cell r="B245" t="str">
            <v>PCA, New Electric Service, SME, NOR BARQUILLA CUBERO</v>
          </cell>
          <cell r="C245" t="str">
            <v>STREET, GARNET, SEVERINA DIAMOND SUBD, PARANAQUE</v>
          </cell>
          <cell r="D245" t="str">
            <v>76464</v>
          </cell>
          <cell r="E245" t="str">
            <v>PARANAQUE</v>
          </cell>
          <cell r="F245" t="str">
            <v>FCOMP</v>
          </cell>
        </row>
        <row r="246">
          <cell r="A246" t="str">
            <v>X24103956559</v>
          </cell>
          <cell r="B246" t="str">
            <v>PCA, New Electric Service, SME, LILY REAL ESTATE DEVELOPMENT CORPORATION</v>
          </cell>
          <cell r="C246" t="str">
            <v>STREET, QUIRINO, TAMBO, PARANAQUE</v>
          </cell>
          <cell r="D246" t="str">
            <v>78242</v>
          </cell>
          <cell r="E246" t="str">
            <v>PARANAQUE</v>
          </cell>
          <cell r="F246" t="str">
            <v>FCOMP</v>
          </cell>
        </row>
        <row r="247">
          <cell r="A247" t="str">
            <v>X24104022999</v>
          </cell>
          <cell r="B247" t="str">
            <v>PCA, Termination of Electric Service, SME, DAHN BERGER PHILS. CONSTRUCTION CORPORATION</v>
          </cell>
          <cell r="C247" t="str">
            <v>STREET, DOÑA SOLEDAD, BETTER LIVING SUBD, PARANAQUE</v>
          </cell>
          <cell r="D247" t="str">
            <v>75761</v>
          </cell>
          <cell r="E247" t="str">
            <v>PARANAQUE</v>
          </cell>
          <cell r="F247" t="str">
            <v>FCOMP</v>
          </cell>
        </row>
        <row r="248">
          <cell r="A248" t="str">
            <v>X24104023531</v>
          </cell>
          <cell r="B248" t="str">
            <v>PCA, Modification of Electric Service, HMB, LOWELL L. YU</v>
          </cell>
          <cell r="C248" t="str">
            <v>STREET, NARRA, AYALA-ALABANG VILL, MUNTINLUPA</v>
          </cell>
          <cell r="D248" t="str">
            <v>73198</v>
          </cell>
          <cell r="E248" t="str">
            <v>PARANAQUE</v>
          </cell>
          <cell r="F248" t="str">
            <v>FCOMP</v>
          </cell>
        </row>
        <row r="249">
          <cell r="A249" t="str">
            <v>X24104029330</v>
          </cell>
          <cell r="B249" t="str">
            <v>PCA, New Electric Service, HMB, NOEMI A SUMINISTRADO</v>
          </cell>
          <cell r="C249" t="str">
            <v>STREET, MILLARES, PUROK 4B, TAGUIG CITY</v>
          </cell>
          <cell r="D249" t="str">
            <v>91518</v>
          </cell>
          <cell r="E249" t="str">
            <v>PARANAQUE</v>
          </cell>
          <cell r="F249" t="str">
            <v>COMP-CAN</v>
          </cell>
        </row>
        <row r="250">
          <cell r="A250" t="str">
            <v>X24104037169</v>
          </cell>
          <cell r="B250" t="str">
            <v>PCA, Modification of Electric Service, SME, CHRISTIAN BIBLE BAPTIST CHURCH AND MINISTRIES OF S</v>
          </cell>
          <cell r="C250" t="str">
            <v>STREET, IMPEX CPD, IMPEX CPD, LAS PINAS CITY</v>
          </cell>
          <cell r="D250" t="str">
            <v>63081</v>
          </cell>
          <cell r="E250" t="str">
            <v>PARANAQUE</v>
          </cell>
          <cell r="F250" t="str">
            <v>SCHED</v>
          </cell>
        </row>
        <row r="251">
          <cell r="A251" t="str">
            <v>X24104044893</v>
          </cell>
          <cell r="B251" t="str">
            <v>PCA, New Electric Service, SME, SONAK HOLDINGS CORPORATION</v>
          </cell>
          <cell r="C251" t="str">
            <v>STREET, WEST SERVICE, CUPANG, MUNTINLUPA</v>
          </cell>
          <cell r="D251" t="str">
            <v>72659</v>
          </cell>
          <cell r="E251" t="str">
            <v>PARANAQUE</v>
          </cell>
          <cell r="F251" t="str">
            <v>FCOMP</v>
          </cell>
        </row>
        <row r="252">
          <cell r="A252" t="str">
            <v>X24104049812</v>
          </cell>
          <cell r="B252" t="str">
            <v>PCA, New Electric Service, HMB, RACHEL RIVERA BACALLA</v>
          </cell>
          <cell r="C252" t="str">
            <v>STREET, ILANG-ILANG, DON JUAN BAYVIEW SUBD, MUNTINLUPA</v>
          </cell>
          <cell r="D252" t="str">
            <v>73965</v>
          </cell>
          <cell r="E252" t="str">
            <v>PARANAQUE</v>
          </cell>
          <cell r="F252" t="str">
            <v>FCOMP</v>
          </cell>
        </row>
        <row r="253">
          <cell r="A253" t="str">
            <v>X24104112560</v>
          </cell>
          <cell r="B253" t="str">
            <v>PCA, Termination of Electric Service, SME, METRO STONERICH CORPORATION,</v>
          </cell>
          <cell r="C253" t="str">
            <v>STREET, INDOCHINA LANE, FILINVEST CORPORATE CITY, MUNTINLUPA</v>
          </cell>
          <cell r="D253" t="str">
            <v>124857</v>
          </cell>
          <cell r="E253" t="str">
            <v>PARANAQUE</v>
          </cell>
          <cell r="F253" t="str">
            <v>FCOMP</v>
          </cell>
        </row>
        <row r="254">
          <cell r="A254" t="str">
            <v>X24104113256</v>
          </cell>
          <cell r="B254" t="str">
            <v>PCA, New Electric Service, HMB, MA. VICTORIA DE LUNA DUQUE</v>
          </cell>
          <cell r="C254" t="str">
            <v>STREET, OSORIO COMPOUND, SITIO DE ASIS, PARANAQUE</v>
          </cell>
          <cell r="D254" t="str">
            <v>17677528</v>
          </cell>
          <cell r="E254" t="str">
            <v>PARANAQUE</v>
          </cell>
          <cell r="F254" t="str">
            <v>FCOMP</v>
          </cell>
        </row>
        <row r="255">
          <cell r="A255" t="str">
            <v>X24104312412</v>
          </cell>
          <cell r="B255" t="str">
            <v>PCA, New Electric Service, HMB, SEVRANDO OLAES LAPUZ</v>
          </cell>
          <cell r="C255" t="str">
            <v>STREET, BLOCK 6, MAGDIWANG SUBD, BACOOR</v>
          </cell>
          <cell r="D255" t="str">
            <v>117279</v>
          </cell>
          <cell r="E255" t="str">
            <v>PARANAQUE</v>
          </cell>
          <cell r="F255" t="str">
            <v>FCOMP</v>
          </cell>
        </row>
        <row r="256">
          <cell r="A256" t="str">
            <v>X24114362991</v>
          </cell>
          <cell r="B256" t="str">
            <v>PCA, Termination of Electric Service, CBG, MAKATI DEVELOPMENT CORPORATION,</v>
          </cell>
          <cell r="C256" t="str">
            <v>STREET, RAMBUTAN, FTI CPD, TAGUIG CITY</v>
          </cell>
          <cell r="D256" t="str">
            <v>92806</v>
          </cell>
          <cell r="E256" t="str">
            <v>PARANAQUE</v>
          </cell>
          <cell r="F256" t="str">
            <v>FCOMP</v>
          </cell>
        </row>
        <row r="257">
          <cell r="A257" t="str">
            <v>X24114379540</v>
          </cell>
          <cell r="B257" t="str">
            <v>PCA, Modification of Electric Service, HMB, DHAN JERICO MIKE M. DELOS SANTOS</v>
          </cell>
          <cell r="C257" t="str">
            <v>STREET, BLOCK 11, VISTA VERDE SOUTH PH I, BACOOR</v>
          </cell>
          <cell r="D257" t="str">
            <v>17020905</v>
          </cell>
          <cell r="E257" t="str">
            <v>PARANAQUE</v>
          </cell>
          <cell r="F257" t="str">
            <v>FCOMP</v>
          </cell>
        </row>
        <row r="258">
          <cell r="A258" t="str">
            <v>X24114393200</v>
          </cell>
          <cell r="B258" t="str">
            <v>PCA, Recontract of Electric Service, HMB, MACRO GOLDEN STAR CORP,</v>
          </cell>
          <cell r="C258" t="str">
            <v>STREET, ALABANG-ZAPOTE, PAMPLONA II, LAS PINAS CITY</v>
          </cell>
          <cell r="D258" t="str">
            <v>62803</v>
          </cell>
          <cell r="E258" t="str">
            <v>PARANAQUE</v>
          </cell>
          <cell r="F258" t="str">
            <v>FCOMP</v>
          </cell>
        </row>
        <row r="259">
          <cell r="A259" t="str">
            <v>X24114420508</v>
          </cell>
          <cell r="B259" t="str">
            <v>PCA, Modification of Electric Service, HMB, HERMINIO VALERIO</v>
          </cell>
          <cell r="C259" t="str">
            <v>STREET, BANABA, CAMELLA SPV CENTRAL PH 2, BACOOR</v>
          </cell>
          <cell r="D259" t="str">
            <v>18455</v>
          </cell>
          <cell r="E259" t="str">
            <v>PARANAQUE</v>
          </cell>
          <cell r="F259" t="str">
            <v>SCHED</v>
          </cell>
        </row>
        <row r="260">
          <cell r="A260" t="str">
            <v>X24114479034</v>
          </cell>
          <cell r="B260" t="str">
            <v>PCA, Termination of Electric Service, CBG, MAKATI DEVELOPMENT CORPORATION</v>
          </cell>
          <cell r="C260" t="str">
            <v>STREET, NEXUS, ARCA SOUTH, TAGUIG CITY</v>
          </cell>
          <cell r="D260" t="str">
            <v>17203604</v>
          </cell>
          <cell r="E260" t="str">
            <v>PARANAQUE</v>
          </cell>
          <cell r="F260" t="str">
            <v>FCOMP</v>
          </cell>
        </row>
        <row r="261">
          <cell r="A261" t="str">
            <v>X24114483448</v>
          </cell>
          <cell r="B261" t="str">
            <v>PCA, Termination of Electric Service, SME, MILLENIUM ERECTORS CORPORATION</v>
          </cell>
          <cell r="C261" t="str">
            <v>STREET, ALABANG-ZAPOTE, ALMANZA I, LAS PINAS CITY</v>
          </cell>
          <cell r="D261" t="str">
            <v>61639</v>
          </cell>
          <cell r="E261" t="str">
            <v>PARANAQUE</v>
          </cell>
          <cell r="F261" t="str">
            <v>FCOMP</v>
          </cell>
        </row>
        <row r="262">
          <cell r="A262" t="str">
            <v>X24114538494</v>
          </cell>
          <cell r="B262" t="str">
            <v>PCA, Modification of Electric Service, HMB, JOHN PAULE RODRIGUEZ</v>
          </cell>
          <cell r="C262" t="str">
            <v>STREET, TINDALO, UNITED PQUE PH 2 SUBD, PARANAQUE</v>
          </cell>
          <cell r="D262" t="str">
            <v>77845</v>
          </cell>
          <cell r="E262" t="str">
            <v>PARANAQUE</v>
          </cell>
          <cell r="F262" t="str">
            <v>SCHED</v>
          </cell>
        </row>
        <row r="263">
          <cell r="A263" t="str">
            <v>X24114628777</v>
          </cell>
          <cell r="B263" t="str">
            <v>PCA, Termination of Electric Service, CBG, HOUSEHOLD DEVELOPMENT CORPORATION</v>
          </cell>
          <cell r="C263" t="str">
            <v>STREET, BARCELONA, BRIA FLATS LAS PIÑAS, LAS PINAS CITY</v>
          </cell>
          <cell r="D263" t="str">
            <v>17181309</v>
          </cell>
          <cell r="E263" t="str">
            <v>PARANAQUE</v>
          </cell>
          <cell r="F263" t="str">
            <v>SCHED</v>
          </cell>
        </row>
        <row r="264">
          <cell r="A264" t="str">
            <v>X24114645437</v>
          </cell>
          <cell r="B264" t="str">
            <v>PCA, New Electric Service, CBG, SM DEVELOPMENT CORPORATION,</v>
          </cell>
          <cell r="C264" t="str">
            <v>STREET, DR. A SANTOS, SAN DIONISIO, PARANAQUE</v>
          </cell>
          <cell r="D264" t="str">
            <v>77026</v>
          </cell>
          <cell r="E264" t="str">
            <v>PARANAQUE</v>
          </cell>
          <cell r="F264" t="str">
            <v>CLOSED-CAN</v>
          </cell>
        </row>
        <row r="265">
          <cell r="A265" t="str">
            <v>X24114645553</v>
          </cell>
          <cell r="B265" t="str">
            <v>PCA, New Electric Service, BGST PRIME DEVELOPMENT CORP.</v>
          </cell>
          <cell r="C265" t="str">
            <v>STREET, COASTAL RD, SAN DIONISIO, PARANAQUE</v>
          </cell>
          <cell r="D265" t="str">
            <v>77078</v>
          </cell>
          <cell r="E265" t="str">
            <v>PARANAQUE</v>
          </cell>
          <cell r="F265" t="str">
            <v>FCOMP</v>
          </cell>
        </row>
      </sheetData>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Work Orders"/>
    </sheetNames>
    <sheetDataSet>
      <sheetData sheetId="0" refreshError="1">
        <row r="1">
          <cell r="A1" t="str">
            <v>Work Order</v>
          </cell>
          <cell r="B1" t="str">
            <v>Description</v>
          </cell>
          <cell r="C1" t="str">
            <v>Location Description</v>
          </cell>
          <cell r="D1" t="str">
            <v>Location Tag</v>
          </cell>
          <cell r="E1" t="str">
            <v>Office</v>
          </cell>
          <cell r="F1" t="str">
            <v>Status</v>
          </cell>
          <cell r="G1" t="str">
            <v>Status Date</v>
          </cell>
          <cell r="H1" t="str">
            <v>Scheduled Start</v>
          </cell>
          <cell r="I1" t="str">
            <v>Supervisor</v>
          </cell>
          <cell r="J1" t="str">
            <v>Design Team</v>
          </cell>
          <cell r="K1" t="str">
            <v>Design Team Leader</v>
          </cell>
          <cell r="L1" t="str">
            <v>Implementation Team</v>
          </cell>
          <cell r="M1" t="str">
            <v>Municipality/City</v>
          </cell>
          <cell r="N1" t="str">
            <v>Barangay</v>
          </cell>
          <cell r="O1" t="str">
            <v>Street</v>
          </cell>
        </row>
        <row r="2">
          <cell r="A2" t="str">
            <v>X22104290372</v>
          </cell>
          <cell r="B2" t="str">
            <v>PCA, New Electric Service, CBG, DITO TELECOMMUNITY CORPORATION</v>
          </cell>
          <cell r="C2" t="str">
            <v>STREET, CHRYSANTHEMUM, TALON VILL, LAS PINAS CITY</v>
          </cell>
          <cell r="D2" t="str">
            <v>64569</v>
          </cell>
          <cell r="E2" t="str">
            <v>PARANAQUE</v>
          </cell>
          <cell r="F2" t="str">
            <v>WMTRL</v>
          </cell>
          <cell r="G2">
            <v>45545.667129629626</v>
          </cell>
          <cell r="H2" t="str">
            <v/>
          </cell>
          <cell r="I2" t="str">
            <v/>
          </cell>
          <cell r="J2" t="str">
            <v>DCD TEAM 8</v>
          </cell>
          <cell r="K2" t="str">
            <v>ME158332</v>
          </cell>
          <cell r="L2" t="str">
            <v/>
          </cell>
          <cell r="M2" t="str">
            <v>LAS PINAS CITY</v>
          </cell>
          <cell r="N2" t="str">
            <v>TALON IV</v>
          </cell>
          <cell r="O2" t="str">
            <v>CHRYSANTHEMUM</v>
          </cell>
        </row>
        <row r="3">
          <cell r="A3" t="str">
            <v>X24030736106</v>
          </cell>
          <cell r="B3" t="str">
            <v>PCA, New Electric Service, HMB, ALFRED REYES FRANCIA</v>
          </cell>
          <cell r="C3" t="str">
            <v>STREET, BLOCK 29, SOLVIENTO VILLAS PH 3, BACOOR</v>
          </cell>
          <cell r="D3" t="str">
            <v>17630828</v>
          </cell>
          <cell r="E3" t="str">
            <v>PARANAQUE</v>
          </cell>
          <cell r="F3" t="str">
            <v>WMTRL</v>
          </cell>
          <cell r="G3">
            <v>45546.704641203702</v>
          </cell>
          <cell r="H3" t="str">
            <v/>
          </cell>
          <cell r="I3" t="str">
            <v/>
          </cell>
          <cell r="J3" t="str">
            <v>DCD TEAM 6</v>
          </cell>
          <cell r="K3" t="str">
            <v>ME157775</v>
          </cell>
          <cell r="L3" t="str">
            <v/>
          </cell>
          <cell r="M3" t="str">
            <v>BACOOR</v>
          </cell>
          <cell r="N3" t="str">
            <v>MAMBOG IV</v>
          </cell>
          <cell r="O3" t="str">
            <v>BLOCK 29</v>
          </cell>
        </row>
        <row r="4">
          <cell r="A4" t="str">
            <v>X24030736254</v>
          </cell>
          <cell r="B4" t="str">
            <v>PCA, New Electric Service, HMB, NEW PACIFIC RESOURCES MANAGEME</v>
          </cell>
          <cell r="C4" t="str">
            <v>STREET, BLOCK 36, SOLVIENTO VILLAS PH 3, BACOOR</v>
          </cell>
          <cell r="D4" t="str">
            <v>17630928</v>
          </cell>
          <cell r="E4" t="str">
            <v>PARANAQUE</v>
          </cell>
          <cell r="F4" t="str">
            <v>WMTRL</v>
          </cell>
          <cell r="G4">
            <v>45546.933831018519</v>
          </cell>
          <cell r="H4" t="str">
            <v/>
          </cell>
          <cell r="I4" t="str">
            <v/>
          </cell>
          <cell r="J4" t="str">
            <v>DCD TEAM 6</v>
          </cell>
          <cell r="K4" t="str">
            <v>ME157775</v>
          </cell>
          <cell r="L4" t="str">
            <v/>
          </cell>
          <cell r="M4" t="str">
            <v>BACOOR</v>
          </cell>
          <cell r="N4" t="str">
            <v>MAMBOG IV</v>
          </cell>
          <cell r="O4" t="str">
            <v>BLOCK 36</v>
          </cell>
        </row>
        <row r="5">
          <cell r="A5" t="str">
            <v>X24041299339</v>
          </cell>
          <cell r="B5" t="str">
            <v>PCA, New Electric Service, HMB, FILINVEST LAND INC.</v>
          </cell>
          <cell r="C5" t="str">
            <v>STREET, EAST SERVICE, ALABANG, MUNTINLUPA</v>
          </cell>
          <cell r="D5" t="str">
            <v>72323</v>
          </cell>
          <cell r="E5" t="str">
            <v>PARANAQUE</v>
          </cell>
          <cell r="F5" t="str">
            <v>WMTRL</v>
          </cell>
          <cell r="G5">
            <v>45546.371388888889</v>
          </cell>
          <cell r="H5" t="str">
            <v/>
          </cell>
          <cell r="I5" t="str">
            <v/>
          </cell>
          <cell r="J5" t="str">
            <v>DCD TEAM 6</v>
          </cell>
          <cell r="K5" t="str">
            <v>ME154995</v>
          </cell>
          <cell r="L5" t="str">
            <v/>
          </cell>
          <cell r="M5" t="str">
            <v>MUNTINLUPA</v>
          </cell>
          <cell r="N5" t="str">
            <v>ALABANG</v>
          </cell>
          <cell r="O5" t="str">
            <v>EAST SERVICE</v>
          </cell>
        </row>
        <row r="6">
          <cell r="A6" t="str">
            <v>X24072692499</v>
          </cell>
          <cell r="B6" t="str">
            <v>PCA, Modification of Electric Service, SME, HSL - BRAILLE COLLEGE, INC.,</v>
          </cell>
          <cell r="C6" t="str">
            <v>STREET, DURIAN, ZONE 1, TAGUIG CITY</v>
          </cell>
          <cell r="D6" t="str">
            <v>91804</v>
          </cell>
          <cell r="E6" t="str">
            <v>PARANAQUE</v>
          </cell>
          <cell r="F6" t="str">
            <v>WMTRL</v>
          </cell>
          <cell r="G6">
            <v>45546.451226851852</v>
          </cell>
          <cell r="H6" t="str">
            <v/>
          </cell>
          <cell r="I6" t="str">
            <v/>
          </cell>
          <cell r="J6" t="str">
            <v>DCD TEAM 6</v>
          </cell>
          <cell r="K6" t="str">
            <v>ME154995</v>
          </cell>
          <cell r="L6" t="str">
            <v/>
          </cell>
          <cell r="M6" t="str">
            <v>TAGUIG CITY</v>
          </cell>
          <cell r="N6" t="str">
            <v>SIGNAL VILLAGE</v>
          </cell>
          <cell r="O6" t="str">
            <v>DURIAN</v>
          </cell>
        </row>
        <row r="7">
          <cell r="A7" t="str">
            <v>X24072771166</v>
          </cell>
          <cell r="B7" t="str">
            <v>PCA, New Electric Service, CBG, DITO TELECOMMUNITY CORPORATION</v>
          </cell>
          <cell r="C7" t="str">
            <v>STREET, T. SISON, KATARUNGAN VILLAGE, MUNTINLUPA</v>
          </cell>
          <cell r="D7" t="str">
            <v>72973</v>
          </cell>
          <cell r="E7" t="str">
            <v>PARANAQUE</v>
          </cell>
          <cell r="F7" t="str">
            <v>WMTRL</v>
          </cell>
          <cell r="G7">
            <v>45547.360590277778</v>
          </cell>
          <cell r="H7" t="str">
            <v/>
          </cell>
          <cell r="I7" t="str">
            <v/>
          </cell>
          <cell r="J7" t="str">
            <v>DCD TEAM 8</v>
          </cell>
          <cell r="K7" t="str">
            <v>ME158332</v>
          </cell>
          <cell r="L7" t="str">
            <v/>
          </cell>
          <cell r="M7" t="str">
            <v>MUNTINLUPA</v>
          </cell>
          <cell r="N7" t="str">
            <v>POBLACION</v>
          </cell>
          <cell r="O7" t="str">
            <v>T. SISON</v>
          </cell>
        </row>
        <row r="8">
          <cell r="A8" t="str">
            <v>X24072777901</v>
          </cell>
          <cell r="B8" t="str">
            <v>PCA, New Electric Service, SME, PYC FOODS CORPORATION</v>
          </cell>
          <cell r="C8" t="str">
            <v>STREET, DAANG HARI, ALMANZA II, LAS PINAS CITY</v>
          </cell>
          <cell r="D8" t="str">
            <v>61845</v>
          </cell>
          <cell r="E8" t="str">
            <v>PARANAQUE</v>
          </cell>
          <cell r="F8" t="str">
            <v>WMTRL</v>
          </cell>
          <cell r="G8">
            <v>45546.519699074073</v>
          </cell>
          <cell r="H8" t="str">
            <v/>
          </cell>
          <cell r="I8" t="str">
            <v/>
          </cell>
          <cell r="J8" t="str">
            <v>DCD TEAM 6</v>
          </cell>
          <cell r="K8" t="str">
            <v>ME154995</v>
          </cell>
          <cell r="L8" t="str">
            <v/>
          </cell>
          <cell r="M8" t="str">
            <v>LAS PINAS CITY</v>
          </cell>
          <cell r="N8" t="str">
            <v>ALMANZA II</v>
          </cell>
          <cell r="O8" t="str">
            <v>DAANG HARI</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1"/>
      <sheetName val="SUPV"/>
      <sheetName val="UG-SLEM"/>
      <sheetName val="PCA SUMMARY"/>
      <sheetName val="VENDOR PRODUCTIVITY"/>
      <sheetName val="AGEING"/>
      <sheetName val="PRIORITY"/>
      <sheetName val="VIP"/>
      <sheetName val="CALCULATOR"/>
    </sheetNames>
    <sheetDataSet>
      <sheetData sheetId="0">
        <row r="2">
          <cell r="BY2" t="str">
            <v xml:space="preserve">DATE PRINTED OF POLE TAG FABRICATION FORM </v>
          </cell>
          <cell r="BZ2" t="str">
            <v>POLE / TLN TAGS</v>
          </cell>
        </row>
        <row r="3">
          <cell r="BY3"/>
          <cell r="BZ3"/>
        </row>
        <row r="4">
          <cell r="BY4"/>
          <cell r="BZ4"/>
        </row>
        <row r="5">
          <cell r="BY5"/>
          <cell r="BZ5"/>
        </row>
        <row r="6">
          <cell r="BY6"/>
          <cell r="BZ6"/>
        </row>
        <row r="7">
          <cell r="BY7"/>
          <cell r="BZ7"/>
        </row>
        <row r="8">
          <cell r="BY8"/>
          <cell r="BZ8"/>
        </row>
        <row r="9">
          <cell r="BY9"/>
          <cell r="BZ9"/>
        </row>
        <row r="10">
          <cell r="BY10"/>
          <cell r="BZ10"/>
        </row>
        <row r="11">
          <cell r="BY11"/>
          <cell r="BZ11"/>
        </row>
        <row r="12">
          <cell r="BY12"/>
          <cell r="BZ12"/>
        </row>
        <row r="13">
          <cell r="BY13"/>
          <cell r="BZ13"/>
        </row>
        <row r="14">
          <cell r="BY14"/>
          <cell r="BZ14"/>
        </row>
        <row r="15">
          <cell r="BY15"/>
          <cell r="BZ15"/>
        </row>
        <row r="16">
          <cell r="BY16"/>
          <cell r="BZ16"/>
        </row>
        <row r="17">
          <cell r="BY17"/>
          <cell r="BZ17"/>
        </row>
        <row r="18">
          <cell r="BY18"/>
          <cell r="BZ18"/>
        </row>
        <row r="19">
          <cell r="BY19"/>
          <cell r="BZ19" t="str">
            <v>B8-1847, 662411</v>
          </cell>
        </row>
        <row r="20">
          <cell r="BY20"/>
          <cell r="BZ20"/>
        </row>
        <row r="21">
          <cell r="BY21"/>
          <cell r="BZ21"/>
        </row>
        <row r="22">
          <cell r="BY22"/>
          <cell r="BZ22"/>
        </row>
        <row r="23">
          <cell r="BY23"/>
          <cell r="BZ23"/>
        </row>
        <row r="24">
          <cell r="BY24"/>
          <cell r="BZ24"/>
        </row>
        <row r="25">
          <cell r="BY25"/>
          <cell r="BZ25"/>
        </row>
        <row r="26">
          <cell r="BY26"/>
          <cell r="BZ26" t="str">
            <v>CY9-0440, CY9-5932</v>
          </cell>
        </row>
        <row r="27">
          <cell r="BY27"/>
          <cell r="BZ27"/>
        </row>
        <row r="28">
          <cell r="BY28"/>
          <cell r="BZ28" t="str">
            <v>C4-5094, 126264</v>
          </cell>
        </row>
        <row r="29">
          <cell r="BY29"/>
          <cell r="BZ29"/>
        </row>
        <row r="30">
          <cell r="BY30"/>
          <cell r="BZ30" t="str">
            <v>C5-5085, C5-5500, C5-5501, 169547</v>
          </cell>
        </row>
        <row r="31">
          <cell r="BY31"/>
          <cell r="BZ31" t="str">
            <v>B5-1677, B5-5719, B5-0469, 674317, B5-5649, 201042</v>
          </cell>
        </row>
        <row r="32">
          <cell r="BY32"/>
          <cell r="BZ32" t="str">
            <v>CZ8-0312, CZ8-0313, 204233</v>
          </cell>
        </row>
        <row r="33">
          <cell r="BY33"/>
          <cell r="BZ33" t="str">
            <v>CS9-5807, CS9-5808, CS9-5809, 195424, CS9-5812, CS9-5810, CS9-5811</v>
          </cell>
        </row>
        <row r="34">
          <cell r="BY34"/>
          <cell r="BZ34" t="str">
            <v>CW5-5786, CW5-5786, CW5-5785, CW5-5785, CW5-6392, CW5-6393, CX5-0074-T, CW5-0737, 084258, 016045, CW5-0919, 047121, CW5-5787</v>
          </cell>
        </row>
        <row r="35">
          <cell r="BY35"/>
          <cell r="BZ35"/>
        </row>
        <row r="36">
          <cell r="BY36"/>
          <cell r="BZ36"/>
        </row>
        <row r="37">
          <cell r="BY37"/>
          <cell r="BZ37" t="str">
            <v>B8-6279, B8-6280, B8-6281</v>
          </cell>
        </row>
        <row r="38">
          <cell r="BY38"/>
          <cell r="BZ38"/>
        </row>
        <row r="39">
          <cell r="BY39"/>
          <cell r="BZ39" t="str">
            <v>CX9-0863, 034987, CX9-2040, 212355, CX9-0862, CX9-5935</v>
          </cell>
        </row>
        <row r="40">
          <cell r="BY40"/>
          <cell r="BZ40"/>
        </row>
        <row r="41">
          <cell r="BY41"/>
          <cell r="BZ41"/>
        </row>
        <row r="42">
          <cell r="BY42"/>
          <cell r="BZ42" t="str">
            <v>DY1-5978</v>
          </cell>
        </row>
        <row r="43">
          <cell r="BY43"/>
          <cell r="BZ43" t="str">
            <v>CY7-2464, CY7-6092, CY7-6085, 204030</v>
          </cell>
        </row>
        <row r="44">
          <cell r="BY44"/>
          <cell r="BZ44"/>
        </row>
        <row r="45">
          <cell r="BY45"/>
          <cell r="BZ45"/>
        </row>
        <row r="46">
          <cell r="BY46"/>
          <cell r="BZ46"/>
        </row>
        <row r="47">
          <cell r="BY47"/>
          <cell r="BZ47"/>
        </row>
        <row r="48">
          <cell r="BY48"/>
          <cell r="BZ48"/>
        </row>
        <row r="49">
          <cell r="BY49"/>
          <cell r="BZ49"/>
        </row>
        <row r="50">
          <cell r="BY50"/>
          <cell r="BZ50"/>
        </row>
        <row r="51">
          <cell r="BY51"/>
          <cell r="BZ51"/>
        </row>
        <row r="52">
          <cell r="BY52"/>
          <cell r="BZ52"/>
        </row>
        <row r="53">
          <cell r="BY53"/>
          <cell r="BZ53"/>
        </row>
        <row r="54">
          <cell r="BY54"/>
          <cell r="BZ54"/>
        </row>
        <row r="55">
          <cell r="BY55"/>
          <cell r="BZ55"/>
        </row>
        <row r="56">
          <cell r="BY56"/>
          <cell r="BZ56"/>
        </row>
        <row r="57">
          <cell r="BY57"/>
          <cell r="BZ57"/>
        </row>
        <row r="58">
          <cell r="BY58"/>
          <cell r="BZ58"/>
        </row>
        <row r="59">
          <cell r="BY59"/>
          <cell r="BZ59"/>
        </row>
        <row r="60">
          <cell r="BY60"/>
          <cell r="BZ60"/>
        </row>
        <row r="61">
          <cell r="BY61"/>
          <cell r="BZ61"/>
        </row>
        <row r="62">
          <cell r="BY62"/>
          <cell r="BZ62"/>
        </row>
        <row r="63">
          <cell r="BY63"/>
          <cell r="BZ63"/>
        </row>
        <row r="64">
          <cell r="BY64"/>
          <cell r="BZ64"/>
        </row>
        <row r="65">
          <cell r="BY65"/>
          <cell r="BZ65"/>
        </row>
        <row r="66">
          <cell r="BY66"/>
          <cell r="BZ66"/>
        </row>
        <row r="67">
          <cell r="BY67"/>
          <cell r="BZ67" t="str">
            <v>CX7-5836, CX7-5837, 171617</v>
          </cell>
        </row>
        <row r="68">
          <cell r="BY68"/>
          <cell r="BZ68" t="str">
            <v>CW9-0211, 035817</v>
          </cell>
        </row>
        <row r="69">
          <cell r="BY69"/>
          <cell r="BZ69" t="str">
            <v>DT2-2060, 419127</v>
          </cell>
        </row>
        <row r="70">
          <cell r="BY70"/>
          <cell r="BZ70"/>
        </row>
        <row r="71">
          <cell r="BY71">
            <v>45027</v>
          </cell>
          <cell r="BZ71" t="str">
            <v>CU9-5930, CU9-5931, CU9-5932, CU9-8002, CU9-8003, CU9-1748</v>
          </cell>
        </row>
        <row r="72">
          <cell r="BY72">
            <v>45052</v>
          </cell>
          <cell r="BZ72" t="str">
            <v>CX8-0460, CX8-8074, CX8-0459, 514959, CX8-0547, CX8-8075</v>
          </cell>
        </row>
        <row r="73">
          <cell r="BY73">
            <v>45155</v>
          </cell>
          <cell r="BZ73" t="str">
            <v>CX8-0211, CX8-8131, 518095, CY9-0203</v>
          </cell>
        </row>
        <row r="74">
          <cell r="BY74">
            <v>45181</v>
          </cell>
          <cell r="BZ74" t="str">
            <v>B4-2049, 113551, B4-8013, B4-5058, B4-2048</v>
          </cell>
        </row>
        <row r="75">
          <cell r="BY75">
            <v>45198</v>
          </cell>
          <cell r="BZ75" t="str">
            <v>C5-5609, C5-8032, C5-8033, C5-8034, C5-8035, C5-8001, 514027</v>
          </cell>
        </row>
        <row r="76">
          <cell r="BY76">
            <v>45201</v>
          </cell>
          <cell r="BZ76" t="str">
            <v>DR1-1524, ALB1-1297, ALB1-1939, DS1-8036, DS1-8037, DS1-8038, 518136, DS1-8039, DR1-1109, DS1-8040</v>
          </cell>
        </row>
        <row r="77">
          <cell r="BY77">
            <v>45206</v>
          </cell>
          <cell r="BZ77" t="str">
            <v>DV1-0203, 801837, DV1-0204, 515089, DV1-0205</v>
          </cell>
        </row>
        <row r="78">
          <cell r="BY78" t="str">
            <v>N/A</v>
          </cell>
          <cell r="BZ78" t="str">
            <v>CW7-1298, 197239</v>
          </cell>
        </row>
        <row r="79">
          <cell r="BY79">
            <v>45238</v>
          </cell>
          <cell r="BZ79" t="str">
            <v>CP7-5251, 127774, 516578, CP7-5278</v>
          </cell>
        </row>
        <row r="80">
          <cell r="BY80">
            <v>45254</v>
          </cell>
          <cell r="BZ80" t="str">
            <v>DV1-0420, DV1-0450, DV1-8002, DV1-8003, 516687, DV1-0448</v>
          </cell>
        </row>
        <row r="81">
          <cell r="BY81">
            <v>45259</v>
          </cell>
          <cell r="BZ81" t="str">
            <v>CX7-1183, CX7-1184, CX7-1218, CX7-8039, CX7-8040, CX7-1266, 515051, CX7-1267, CU8-5016</v>
          </cell>
        </row>
        <row r="82">
          <cell r="BY82">
            <v>45259</v>
          </cell>
          <cell r="BZ82" t="str">
            <v>DW1-5973, DW1-5975, DW1-8004, DW1-8005, DW1-8006, DW1-8007, DW1-8008, 515490</v>
          </cell>
        </row>
        <row r="83">
          <cell r="BY83">
            <v>45259</v>
          </cell>
          <cell r="BZ83" t="str">
            <v>DW1-8003, 515471</v>
          </cell>
        </row>
        <row r="84">
          <cell r="BY84">
            <v>45262</v>
          </cell>
          <cell r="BZ84" t="str">
            <v>DT1-0028, DT1-5722, DT1-0493, DT1-0030-Z, DT2-0174, DT2-0031, DT2-0032, DT2-0033, DT1-0570, DT1-0038, DT1-0039, DT1-0040, DT1-0571, DT2-8001, DT1-0041, DT1-2203, DT1-2202, DT1-0043, DT1-2023, DT1-2024, DT1-2025, DT1-0242, 515166, DT2-8002, DT1-5026, DT1-0575, DT2-5044</v>
          </cell>
        </row>
        <row r="85">
          <cell r="BY85" t="str">
            <v>N/A</v>
          </cell>
          <cell r="BZ85"/>
        </row>
        <row r="86">
          <cell r="BY86">
            <v>45358</v>
          </cell>
          <cell r="BZ86" t="str">
            <v>CX8-1077, CX8-1078</v>
          </cell>
        </row>
        <row r="87">
          <cell r="BY87" t="str">
            <v>N/A</v>
          </cell>
          <cell r="BZ87" t="str">
            <v>CP8-0183, 212993</v>
          </cell>
        </row>
        <row r="88">
          <cell r="BY88">
            <v>45370</v>
          </cell>
          <cell r="BZ88" t="str">
            <v>DR1-8028, 518761</v>
          </cell>
        </row>
        <row r="89">
          <cell r="BY89">
            <v>45370</v>
          </cell>
          <cell r="BZ89" t="str">
            <v>DV1-1179, DV1-1180, DV1-8032, 520068, DV1-8033</v>
          </cell>
        </row>
        <row r="90">
          <cell r="BY90">
            <v>45373</v>
          </cell>
          <cell r="BZ90" t="str">
            <v>DV1-8017, 516321</v>
          </cell>
        </row>
        <row r="91">
          <cell r="BY91">
            <v>45387</v>
          </cell>
          <cell r="BZ91" t="str">
            <v>DU1-8004, DU1-8005, DU1-2105, DU1-8030</v>
          </cell>
        </row>
        <row r="92">
          <cell r="BY92"/>
          <cell r="BZ92"/>
        </row>
        <row r="93">
          <cell r="BY93">
            <v>45393</v>
          </cell>
          <cell r="BZ93" t="str">
            <v>DP1-0294, 211620</v>
          </cell>
        </row>
        <row r="94">
          <cell r="BY94">
            <v>45403</v>
          </cell>
          <cell r="BZ94" t="str">
            <v>A5-0123, A5-0152, A5-0119, A5-0117, A5-0115, A5-5608, A5-0346, A5-0434, A5-0168, A5-0113, 168709</v>
          </cell>
        </row>
        <row r="95">
          <cell r="BY95">
            <v>45406</v>
          </cell>
          <cell r="BZ95" t="str">
            <v>CS7-0551</v>
          </cell>
        </row>
        <row r="96">
          <cell r="BY96" t="str">
            <v>N/A</v>
          </cell>
          <cell r="BZ96" t="str">
            <v>CW9-0551, 376715</v>
          </cell>
        </row>
        <row r="97">
          <cell r="BY97">
            <v>45426</v>
          </cell>
          <cell r="BZ97"/>
        </row>
        <row r="98">
          <cell r="BY98" t="str">
            <v>N/A</v>
          </cell>
          <cell r="BZ98" t="str">
            <v>DS1-2355</v>
          </cell>
        </row>
        <row r="99">
          <cell r="BY99">
            <v>45443</v>
          </cell>
          <cell r="BZ99" t="str">
            <v>CV8-0954, CV8-0954, 520939, CV8-0955</v>
          </cell>
        </row>
        <row r="100">
          <cell r="BY100" t="str">
            <v>N/A</v>
          </cell>
          <cell r="BZ100">
            <v>151360</v>
          </cell>
        </row>
        <row r="101">
          <cell r="BY101">
            <v>45450</v>
          </cell>
          <cell r="BZ101" t="str">
            <v>CU9-1248, CU9-1247, 520342, CU9-1246</v>
          </cell>
        </row>
        <row r="102">
          <cell r="BY102" t="str">
            <v>N/A</v>
          </cell>
          <cell r="BZ102" t="str">
            <v>A8-0771</v>
          </cell>
        </row>
        <row r="103">
          <cell r="BY103">
            <v>45450</v>
          </cell>
          <cell r="BZ103" t="str">
            <v>DZ2-0507, 206703, DZ2-2249, DZ2-0153, 206703</v>
          </cell>
        </row>
        <row r="104">
          <cell r="BY104">
            <v>45467</v>
          </cell>
          <cell r="BZ104" t="str">
            <v>CW6-2017, CW6-6093, CW6-8019, CW6-6092, CW6-8020, CW6-6090, CW6-1545</v>
          </cell>
        </row>
        <row r="105">
          <cell r="BY105">
            <v>45467</v>
          </cell>
          <cell r="BZ105" t="str">
            <v>B8-5104, B8-5156, B8-5105, 520522, B8-6347</v>
          </cell>
        </row>
        <row r="106">
          <cell r="BY106"/>
          <cell r="BZ106" t="str">
            <v>B8-6311, 122357, B8-5575, ALB1-1211, B8-6313, B8-6312, B8-6314, B8-6315, B8-5320, B8-6321, 212060, B8-6323, B8-6324, B8-6325, B8-6326, B8-6327, B8-6328, B8-6329, B8-6330, B8-6331, B8-6316, 212061, B86332, B8-6333, B8-6334, B8-6335, B8-6336, B8-6337, B8-6338, 512298</v>
          </cell>
        </row>
        <row r="107">
          <cell r="BY107">
            <v>45491</v>
          </cell>
          <cell r="BZ107" t="str">
            <v>DY2-8043, 086919</v>
          </cell>
        </row>
        <row r="108">
          <cell r="BY108">
            <v>45485</v>
          </cell>
          <cell r="BZ108" t="str">
            <v>A6-0040, 520913</v>
          </cell>
        </row>
        <row r="109">
          <cell r="BY109"/>
          <cell r="BZ109"/>
        </row>
        <row r="110">
          <cell r="BY110"/>
          <cell r="BZ110"/>
        </row>
        <row r="111">
          <cell r="BY111">
            <v>45502</v>
          </cell>
          <cell r="BZ111" t="str">
            <v>B7-0676, B7-8108, 522135, B7-0187, B7-8109, 198114</v>
          </cell>
        </row>
        <row r="112">
          <cell r="BY112">
            <v>45510</v>
          </cell>
          <cell r="BZ112" t="str">
            <v>B8-8074, B9-0058, B9-5158, B9-5189, B8-0012</v>
          </cell>
        </row>
        <row r="113">
          <cell r="BY113">
            <v>45510</v>
          </cell>
          <cell r="BZ113" t="str">
            <v>CY9-0494, 035976, CY9-0495, CY9-8040, 521718, CY9-0496, CY9-0642</v>
          </cell>
        </row>
        <row r="114">
          <cell r="BY114">
            <v>45510</v>
          </cell>
          <cell r="BZ114" t="str">
            <v>CV9-8008, 515260</v>
          </cell>
        </row>
        <row r="115">
          <cell r="BY115" t="str">
            <v>N/A</v>
          </cell>
          <cell r="BZ115"/>
        </row>
        <row r="116">
          <cell r="BY116">
            <v>45514</v>
          </cell>
          <cell r="BZ116" t="str">
            <v>CT9-0228, CT9-8069, CT9-8068, CT9-8070, CT9-0230, CT9-8071, CT9-8072, CT9-0077, 522617</v>
          </cell>
        </row>
        <row r="117">
          <cell r="BY117">
            <v>45514</v>
          </cell>
          <cell r="BZ117" t="str">
            <v>DY1-0078, DY1-0079, 521753, DY1-0077</v>
          </cell>
        </row>
        <row r="118">
          <cell r="BY118" t="str">
            <v>N/A</v>
          </cell>
          <cell r="BZ118" t="str">
            <v>DZ1-2587, 107768</v>
          </cell>
        </row>
        <row r="119">
          <cell r="BY119">
            <v>45518</v>
          </cell>
          <cell r="BZ119" t="str">
            <v>DT1-8041, 519768</v>
          </cell>
        </row>
        <row r="120">
          <cell r="BY120">
            <v>45518</v>
          </cell>
          <cell r="BZ120" t="str">
            <v>CY9-1108, CY9-8039, 521704</v>
          </cell>
        </row>
        <row r="121">
          <cell r="BY121">
            <v>45518</v>
          </cell>
          <cell r="BZ121" t="str">
            <v>B5-8038, 519608</v>
          </cell>
        </row>
        <row r="122">
          <cell r="BY122">
            <v>45519</v>
          </cell>
          <cell r="BZ122" t="str">
            <v>CY9-8035, 362095</v>
          </cell>
        </row>
        <row r="123">
          <cell r="BY123">
            <v>45528</v>
          </cell>
          <cell r="BZ123" t="str">
            <v>CV6-8051, CV6-6382</v>
          </cell>
        </row>
        <row r="124">
          <cell r="BY124"/>
          <cell r="BZ124" t="str">
            <v>CZ8-5093, CZ8-5094</v>
          </cell>
        </row>
        <row r="125">
          <cell r="BY125">
            <v>45530</v>
          </cell>
          <cell r="BZ125" t="str">
            <v>CV7-0697, 522656</v>
          </cell>
        </row>
        <row r="126">
          <cell r="BY126">
            <v>45540</v>
          </cell>
          <cell r="BZ126" t="str">
            <v>CV8-8058, 522145</v>
          </cell>
        </row>
        <row r="127">
          <cell r="BY127">
            <v>45540</v>
          </cell>
          <cell r="BZ127" t="str">
            <v>CW7-0175, CW7-0174, CW7-0173</v>
          </cell>
        </row>
        <row r="128">
          <cell r="BY128">
            <v>45540</v>
          </cell>
          <cell r="BZ128" t="str">
            <v>A8-0212, A8-1517</v>
          </cell>
        </row>
        <row r="129">
          <cell r="BY129">
            <v>45547</v>
          </cell>
          <cell r="BZ129" t="str">
            <v>DQ1-0437, DQ1-8004, DQ1-2066, DQ1-2067, 516118, DQ1-5020</v>
          </cell>
        </row>
        <row r="130">
          <cell r="BY130">
            <v>45540</v>
          </cell>
          <cell r="BZ130" t="str">
            <v>CX5-2078, CX5-0353, CX5-8009, CX5-8009, CX5-0024, CX5-8010, CX5-0025, CX5-8011, CX5-0356, CX5-8012, CX5-8012, CX5-8013, CX5-0358, CX5-8014, 044767, CX5-0028</v>
          </cell>
        </row>
        <row r="131">
          <cell r="BY131">
            <v>45677</v>
          </cell>
          <cell r="BZ131" t="str">
            <v>DZ2-8070, DZ2-8071, DZ2-8072, DZ2-8073, DZ2-8074, DZ2-8075, DZ2-8076, DZ2-8077, DZ2-8078, DZ2-8079, TLN-522415,DZ2-8080,DZ2-8081,DZ2-8082,DZ2-8083</v>
          </cell>
        </row>
        <row r="132">
          <cell r="BY132">
            <v>45542</v>
          </cell>
          <cell r="BZ132" t="str">
            <v>DZ2-8082, DZ2-8083, DZ2-8088, DZ2-8089, DZ2-8090, DZ2-8091, DZ2-8092, DZ2-8093, DZ2-8094, DZ2-8095, DZ2-8096, DZ2-8097, DZ2-8098, DZ2-8099, DZ2-8100, DZ2-8106, DZ2-8107, DZ2-8108, DZ2-8109, DZ2-8110, 522536, DZ2-8111</v>
          </cell>
        </row>
        <row r="133">
          <cell r="BY133">
            <v>45547</v>
          </cell>
          <cell r="BZ133" t="str">
            <v>CV5-0683, 212309</v>
          </cell>
        </row>
        <row r="134">
          <cell r="BY134">
            <v>45548</v>
          </cell>
          <cell r="BZ134" t="str">
            <v>B7-0935, B7-0934, 521368, B7-8099, B7-8100</v>
          </cell>
        </row>
        <row r="135">
          <cell r="BY135">
            <v>45548</v>
          </cell>
          <cell r="BZ135" t="str">
            <v>CY8-8037, 522308</v>
          </cell>
        </row>
        <row r="136">
          <cell r="BY136">
            <v>45552</v>
          </cell>
          <cell r="BZ136" t="str">
            <v>CS7-8097</v>
          </cell>
        </row>
        <row r="137">
          <cell r="BY137">
            <v>45552</v>
          </cell>
          <cell r="BZ137" t="str">
            <v>A8-1197, A8-8086, A8-8087, A8-8088, A8-8089, A8-8090, A8-8091, A8-8092, A8-8093, A8-8094, 522932, A8-1189</v>
          </cell>
        </row>
        <row r="138">
          <cell r="BY138">
            <v>45559</v>
          </cell>
          <cell r="BZ138" t="str">
            <v>CT6-8001, CT6-8018, 518990, CT6-8019, 520898, CT6-8029, CT6-8030, CT6-6202, CT6-8022, CT6-6201, CT6-8020, CT6-8021</v>
          </cell>
        </row>
        <row r="139">
          <cell r="BY139">
            <v>45559</v>
          </cell>
          <cell r="BZ139" t="str">
            <v>DV1-0639, DV1-8038, DV1-8039, DV1-8040, 521480, DV1-0813</v>
          </cell>
        </row>
        <row r="140">
          <cell r="BY140">
            <v>45556</v>
          </cell>
          <cell r="BZ140" t="str">
            <v>B8-0477, B8-8115, B8-8116, B8-8117, B8-5547, B8-5546, B8-1271, B8-1272, B8-8118, B8-1273, B8-8119, B8-1274,B8-1278, B8-8120, B8-1276, B8-8121, B8-5104, B8-0428, B8-1277</v>
          </cell>
        </row>
        <row r="141">
          <cell r="BY141">
            <v>45582</v>
          </cell>
          <cell r="BZ141" t="str">
            <v>DZ2-8112, 522696</v>
          </cell>
        </row>
        <row r="142">
          <cell r="BY142" t="str">
            <v>N/A</v>
          </cell>
          <cell r="BZ142" t="str">
            <v>CR8-2143</v>
          </cell>
        </row>
        <row r="143">
          <cell r="BY143">
            <v>45563</v>
          </cell>
          <cell r="BZ143" t="str">
            <v>CY7-5947, CY7-5948, CY7-8077, 520597</v>
          </cell>
        </row>
        <row r="144">
          <cell r="BY144" t="str">
            <v>N/A</v>
          </cell>
          <cell r="BZ144" t="str">
            <v>B9-5158</v>
          </cell>
        </row>
        <row r="145">
          <cell r="BY145">
            <v>45567</v>
          </cell>
          <cell r="BZ145" t="str">
            <v>B4-0105, B4-0048, 023934, B4-5290, B4-0049, 168691, B4-0050, B4-0051, 520810</v>
          </cell>
        </row>
        <row r="146">
          <cell r="BY146" t="str">
            <v>N/A</v>
          </cell>
          <cell r="BZ146">
            <v>136405</v>
          </cell>
        </row>
        <row r="147">
          <cell r="BY147">
            <v>45567</v>
          </cell>
          <cell r="BZ147" t="str">
            <v>CW9-8050, 149595, CW9-8050</v>
          </cell>
        </row>
        <row r="148">
          <cell r="BY148">
            <v>45570</v>
          </cell>
          <cell r="BZ148" t="str">
            <v>CT6-8036, CT6-8037</v>
          </cell>
        </row>
        <row r="149">
          <cell r="BY149">
            <v>45567</v>
          </cell>
          <cell r="BZ149" t="str">
            <v>DX1-0243, DX2-8003, 515059</v>
          </cell>
        </row>
        <row r="150">
          <cell r="BY150"/>
          <cell r="BZ150" t="str">
            <v>CZ9-2124, PLDT-6512, CZ8-8003, CZ8-6100, CZ8-5441, CZ8-5460, CZ8-5472, CZ8-5474, CZ8-8004, CZ8-2165, 515259, CY8-8003, CY8-8004, CZ8-8045, CZ8-8046</v>
          </cell>
        </row>
        <row r="151">
          <cell r="BY151" t="str">
            <v>N/A</v>
          </cell>
          <cell r="BZ151" t="str">
            <v>CT6-5288</v>
          </cell>
        </row>
        <row r="152">
          <cell r="BY152">
            <v>45576</v>
          </cell>
          <cell r="BZ152" t="str">
            <v>B8-1554, B8-8153, B8-8154, B8-8155, 522623</v>
          </cell>
        </row>
        <row r="153">
          <cell r="BY153" t="str">
            <v>N/A</v>
          </cell>
          <cell r="BZ153">
            <v>124828</v>
          </cell>
        </row>
        <row r="154">
          <cell r="BY154">
            <v>45576</v>
          </cell>
          <cell r="BZ154" t="str">
            <v>036237, A5-0077, A5-0076, 204738, A5-0075</v>
          </cell>
        </row>
        <row r="155">
          <cell r="BY155">
            <v>45576</v>
          </cell>
          <cell r="BZ155" t="str">
            <v>CY9-0379, CY9-8047, 522864, CY9-0486, CY9-0485</v>
          </cell>
        </row>
        <row r="156">
          <cell r="BY156">
            <v>45576</v>
          </cell>
          <cell r="BZ156" t="str">
            <v>B7-8108, 198114, B7-0676, 522135</v>
          </cell>
        </row>
        <row r="157">
          <cell r="BY157">
            <v>45576</v>
          </cell>
          <cell r="BZ157" t="str">
            <v>CW9-0510, 034731, DW1-8039, 523347</v>
          </cell>
        </row>
        <row r="158">
          <cell r="BY158" t="str">
            <v>N/A</v>
          </cell>
          <cell r="BZ158" t="str">
            <v>C5-0530</v>
          </cell>
        </row>
        <row r="159">
          <cell r="BY159">
            <v>45582</v>
          </cell>
          <cell r="BZ159" t="str">
            <v>CV9-0669, CV9-2383, CV9-8022, 517944, CV9-0622</v>
          </cell>
        </row>
        <row r="160">
          <cell r="BY160">
            <v>45582</v>
          </cell>
          <cell r="BZ160" t="str">
            <v>A5-5544, A5-5530, 198155, A5-1071, 521395, A5-1070, A5-8015, A5-8016, A5-8017</v>
          </cell>
        </row>
        <row r="161">
          <cell r="BY161">
            <v>45586</v>
          </cell>
          <cell r="BZ161" t="str">
            <v>A5-1343, A5-8027, A5-8028, 520519, A4-0033</v>
          </cell>
        </row>
        <row r="162">
          <cell r="BY162">
            <v>45601</v>
          </cell>
          <cell r="BZ162" t="str">
            <v>CT8-8001, CT8-0653, CT8-8026, CT8-8027, CT8-8028, CT8-8029, 522240, CT8-8030, CT8-8031, 522241, CT8-8032, CT8-8033, CT8-8034, 522242, CT8-8035, CT8-8040, CT8-8045, CT8-8049, CT8-8036, 522244, 522246, 522247, CT8-8037, CT8-8041, CT8-8046, CT8-8050, CT8-8054, CT8-8038, CT8-8042, CT8-8047, CT8-8051, CT8-8055, 522243, 522245, 522248, CT8-8053, CT8-8060, CT8-8039, CT8-8043, CT8-8044, CT8-8048, CT8-8052, CT8-5057, CT8-8059, CT8-8061</v>
          </cell>
        </row>
        <row r="163">
          <cell r="BY163">
            <v>45601</v>
          </cell>
          <cell r="BZ163" t="str">
            <v>DS1-8072</v>
          </cell>
        </row>
        <row r="164">
          <cell r="BY164" t="str">
            <v>N/A</v>
          </cell>
          <cell r="BZ164" t="str">
            <v>DX1-8058</v>
          </cell>
        </row>
        <row r="165">
          <cell r="BY165" t="str">
            <v>N/A</v>
          </cell>
          <cell r="BZ165" t="str">
            <v>DV1-0339, 054468</v>
          </cell>
        </row>
        <row r="166">
          <cell r="BY166">
            <v>45589</v>
          </cell>
          <cell r="BZ166" t="str">
            <v>CX9-0868, DX1-8089, DX1-8090, DX1-8091, 523134, CX9-08762</v>
          </cell>
        </row>
        <row r="167">
          <cell r="BY167" t="str">
            <v>N/A</v>
          </cell>
          <cell r="BZ167" t="str">
            <v>CW8-8003</v>
          </cell>
        </row>
        <row r="168">
          <cell r="BY168">
            <v>45601</v>
          </cell>
          <cell r="BZ168" t="str">
            <v>A8-0139, 518094, A8-8060</v>
          </cell>
        </row>
        <row r="169">
          <cell r="BY169"/>
          <cell r="BZ169" t="str">
            <v>B8-6318, B8-6319</v>
          </cell>
        </row>
        <row r="170">
          <cell r="BY170">
            <v>45594</v>
          </cell>
          <cell r="BZ170" t="str">
            <v>CT6-3403, 394411, CT6-3402, 522343</v>
          </cell>
        </row>
        <row r="171">
          <cell r="BY171">
            <v>45601</v>
          </cell>
          <cell r="BZ171" t="str">
            <v>CV5-1041, CV5-8046, CV5-8048, CV5-8049, CV5-8050, CV5-8051, CV5-8052, CV5-8053, CV5-8054, 522689, CV5-8055</v>
          </cell>
        </row>
        <row r="172">
          <cell r="BY172">
            <v>45603</v>
          </cell>
          <cell r="BZ172" t="str">
            <v>CV9-8039, 523206</v>
          </cell>
        </row>
        <row r="173">
          <cell r="BY173">
            <v>45601</v>
          </cell>
          <cell r="BZ173" t="str">
            <v>CZ8-0155, 521943, CZ8-8082, CZ8-0170, CZ8-2001, CZ8-0169</v>
          </cell>
        </row>
        <row r="174">
          <cell r="BY174">
            <v>45602</v>
          </cell>
          <cell r="BZ174" t="str">
            <v>A5-8030, 521895</v>
          </cell>
        </row>
        <row r="175">
          <cell r="BY175">
            <v>45602</v>
          </cell>
          <cell r="BZ175" t="str">
            <v>A6-8028, 521931</v>
          </cell>
        </row>
        <row r="176">
          <cell r="BY176">
            <v>45611</v>
          </cell>
          <cell r="BZ176" t="str">
            <v>CW6-8058, 518370</v>
          </cell>
        </row>
        <row r="177">
          <cell r="BY177">
            <v>45605</v>
          </cell>
          <cell r="BZ177" t="str">
            <v>C8-5578, C8-5579, C8-5580, 198586</v>
          </cell>
        </row>
        <row r="178">
          <cell r="BY178">
            <v>45608</v>
          </cell>
          <cell r="BZ178" t="str">
            <v>A8-8097, 523471</v>
          </cell>
        </row>
        <row r="179">
          <cell r="BY179">
            <v>45605</v>
          </cell>
          <cell r="BZ179" t="str">
            <v>DY1-0538</v>
          </cell>
        </row>
        <row r="180">
          <cell r="BY180">
            <v>45605</v>
          </cell>
          <cell r="BZ180" t="str">
            <v>CS8-0058, 518428, CS8-8033, CS8-0055</v>
          </cell>
        </row>
        <row r="181">
          <cell r="BY181" t="str">
            <v>N/A</v>
          </cell>
          <cell r="BZ181" t="str">
            <v>A5-8018</v>
          </cell>
        </row>
        <row r="182">
          <cell r="BY182" t="str">
            <v>N/A</v>
          </cell>
          <cell r="BZ182" t="str">
            <v>CZ8-8021</v>
          </cell>
        </row>
        <row r="183">
          <cell r="BY183">
            <v>45605</v>
          </cell>
          <cell r="BZ183" t="str">
            <v>CP9-0126, CP9-8013, 522274</v>
          </cell>
        </row>
        <row r="184">
          <cell r="BY184">
            <v>45715</v>
          </cell>
          <cell r="BZ184" t="str">
            <v>DV1-8073,TLN-523664</v>
          </cell>
        </row>
        <row r="185">
          <cell r="BY185">
            <v>45645</v>
          </cell>
          <cell r="BZ185" t="str">
            <v>CY9-1711,087421,CY9-8051,523877,CY9-8052</v>
          </cell>
        </row>
        <row r="186">
          <cell r="BY186" t="str">
            <v>N/A</v>
          </cell>
          <cell r="BZ186" t="str">
            <v>C5-5620, 106501</v>
          </cell>
        </row>
        <row r="187">
          <cell r="BY187" t="str">
            <v>N/A</v>
          </cell>
          <cell r="BZ187" t="str">
            <v>C4-2042, 187555</v>
          </cell>
        </row>
        <row r="188">
          <cell r="BY188" t="str">
            <v>N/A</v>
          </cell>
          <cell r="BZ188"/>
        </row>
        <row r="189">
          <cell r="BY189" t="str">
            <v>N/A</v>
          </cell>
          <cell r="BZ189" t="str">
            <v>DZ1-2624</v>
          </cell>
        </row>
        <row r="190">
          <cell r="BY190">
            <v>45616</v>
          </cell>
          <cell r="BZ190" t="str">
            <v>C8-5453, C8-8106, C8-8107, 522204</v>
          </cell>
        </row>
        <row r="191">
          <cell r="BY191">
            <v>45616</v>
          </cell>
          <cell r="BZ191" t="str">
            <v>DY2-5295, DY2-8055, 523126, DY2-8056, DY2-5057, DY2-8058, 523128, DY2-8059, DY2-8060, DY2-8061, DY2-8062, DY2-8063, DY2-8064, DY2-8065, DY2-8066, DY2-8068, DY2-6067, DY2-8069,DY2-8070</v>
          </cell>
        </row>
        <row r="192">
          <cell r="BY192">
            <v>45616</v>
          </cell>
          <cell r="BZ192" t="str">
            <v>CU8-8098, CU8-8099, CU8-8100, 523464, CU8-0497</v>
          </cell>
        </row>
        <row r="193">
          <cell r="BY193" t="str">
            <v>N/A</v>
          </cell>
          <cell r="BZ193" t="str">
            <v>CY6-0769</v>
          </cell>
        </row>
        <row r="194">
          <cell r="BY194">
            <v>45611</v>
          </cell>
          <cell r="BZ194" t="str">
            <v>CV7-8090, 522895</v>
          </cell>
        </row>
        <row r="195">
          <cell r="BY195">
            <v>45611</v>
          </cell>
          <cell r="BZ195" t="str">
            <v>CZ7-0108, 516509, CZ7-0283, CZ7-2108</v>
          </cell>
        </row>
        <row r="196">
          <cell r="BY196" t="str">
            <v>N/A</v>
          </cell>
          <cell r="BZ196"/>
        </row>
        <row r="197">
          <cell r="BY197">
            <v>45616</v>
          </cell>
          <cell r="BZ197" t="str">
            <v>CW9-0663, DW1-8037, 523044, DW1-8038</v>
          </cell>
        </row>
        <row r="198">
          <cell r="BY198">
            <v>45611</v>
          </cell>
          <cell r="BZ198" t="str">
            <v>B4-5388, B4-8030, 523440, PLDT-7784</v>
          </cell>
        </row>
        <row r="199">
          <cell r="BY199" t="str">
            <v>N/A</v>
          </cell>
          <cell r="BZ199" t="str">
            <v>CS9-5212, 159523</v>
          </cell>
        </row>
        <row r="200">
          <cell r="BY200">
            <v>45623</v>
          </cell>
          <cell r="BZ200" t="str">
            <v>CX9-5827, CX9-8034, 522222, CX9-8035</v>
          </cell>
        </row>
        <row r="201">
          <cell r="BY201">
            <v>45623</v>
          </cell>
          <cell r="BZ201" t="str">
            <v>CT7-5300, CS7-5491, CS7-8098, 522047, CS7-8105, CT7-5298, CS7-8104, CS7-8106, CS7-8107, CS7-8097, CT7-5295</v>
          </cell>
        </row>
        <row r="202">
          <cell r="BY202">
            <v>45616</v>
          </cell>
          <cell r="BZ202" t="str">
            <v>C8-1139, 212145, C8-1141, C8-0637</v>
          </cell>
        </row>
        <row r="203">
          <cell r="BY203" t="str">
            <v>N/A</v>
          </cell>
          <cell r="BZ203" t="str">
            <v>B7-0169</v>
          </cell>
        </row>
        <row r="204">
          <cell r="BY204">
            <v>45616</v>
          </cell>
          <cell r="BZ204" t="str">
            <v>B7-0938, B7-8118, B7-0949, B7-8119, B7-8120, B7-0947, B7-8121, 523080, B7-0946</v>
          </cell>
        </row>
        <row r="205">
          <cell r="BY205">
            <v>45623</v>
          </cell>
          <cell r="BZ205" t="str">
            <v>CW7-1170, CW7-8078, 350025, CV6-0063</v>
          </cell>
        </row>
        <row r="206">
          <cell r="BY206" t="str">
            <v>N/A</v>
          </cell>
          <cell r="BZ206" t="str">
            <v>DR1-5135,DR2-5696,DR1-0552,DR25697,DR1-0046</v>
          </cell>
        </row>
        <row r="207">
          <cell r="BY207" t="str">
            <v>N/A</v>
          </cell>
          <cell r="BZ207" t="str">
            <v>CU5-6018, CU6-2053</v>
          </cell>
        </row>
        <row r="208">
          <cell r="BY208">
            <v>45623</v>
          </cell>
          <cell r="BZ208" t="str">
            <v>C8-0532, C8-8044, 517915</v>
          </cell>
        </row>
        <row r="209">
          <cell r="BY209">
            <v>45624</v>
          </cell>
          <cell r="BZ209" t="str">
            <v>086142, DY2-8053, 522520</v>
          </cell>
        </row>
        <row r="210">
          <cell r="BY210">
            <v>45624</v>
          </cell>
          <cell r="BZ210" t="str">
            <v>CU9-2353, CU9-8009, CU9-0017, CU9-8010, CU9-0760, CU9-0761, CU9-0492, CU9-8011, 516197, CU9-0491</v>
          </cell>
        </row>
        <row r="211">
          <cell r="BY211">
            <v>45623</v>
          </cell>
          <cell r="BZ211" t="str">
            <v>CS7-8119, 522705</v>
          </cell>
        </row>
        <row r="212">
          <cell r="BY212">
            <v>45623</v>
          </cell>
          <cell r="BZ212" t="str">
            <v>CU8-8102</v>
          </cell>
        </row>
        <row r="213">
          <cell r="BY213" t="str">
            <v>N/A</v>
          </cell>
          <cell r="BZ213" t="str">
            <v>CY9-1108, CY9-8039</v>
          </cell>
        </row>
        <row r="214">
          <cell r="BY214" t="str">
            <v>N/A</v>
          </cell>
          <cell r="BZ214"/>
        </row>
        <row r="215">
          <cell r="BY215" t="str">
            <v>N/A</v>
          </cell>
          <cell r="BZ215" t="str">
            <v>A8-5396, 193411, A8-1155</v>
          </cell>
        </row>
        <row r="216">
          <cell r="BY216" t="str">
            <v>N/A</v>
          </cell>
          <cell r="BZ216" t="str">
            <v>B8-6208</v>
          </cell>
        </row>
        <row r="217">
          <cell r="BY217">
            <v>45645</v>
          </cell>
          <cell r="BZ217" t="str">
            <v>520809,DY2-8042</v>
          </cell>
        </row>
        <row r="218">
          <cell r="BY218" t="str">
            <v>N/A</v>
          </cell>
          <cell r="BZ218" t="str">
            <v>A7-0928</v>
          </cell>
        </row>
        <row r="219">
          <cell r="BY219">
            <v>45624</v>
          </cell>
          <cell r="BZ219" t="str">
            <v>B8-0701, 523895</v>
          </cell>
        </row>
        <row r="220">
          <cell r="BY220">
            <v>45624</v>
          </cell>
          <cell r="BZ220" t="str">
            <v>DR2-8020, 523167</v>
          </cell>
        </row>
        <row r="221">
          <cell r="BY221" t="str">
            <v>N/A</v>
          </cell>
          <cell r="BZ221" t="str">
            <v>CV9-5929</v>
          </cell>
        </row>
        <row r="222">
          <cell r="BY222">
            <v>45649</v>
          </cell>
          <cell r="BZ222" t="str">
            <v>DV1-0795,DV1-8050,TLN-521987,</v>
          </cell>
        </row>
        <row r="223">
          <cell r="BY223">
            <v>45649</v>
          </cell>
          <cell r="BZ223" t="str">
            <v>CT7-2306,CT7-8090,CT7-2218,CT7-8091,CT7-8092,TLN-434054</v>
          </cell>
        </row>
        <row r="224">
          <cell r="BY224">
            <v>45624</v>
          </cell>
          <cell r="BZ224" t="str">
            <v>DX1-5182, DX1-8096, 526080</v>
          </cell>
        </row>
        <row r="225">
          <cell r="BY225">
            <v>45625</v>
          </cell>
          <cell r="BZ225" t="str">
            <v>DX1-0290, 523391, DX2-8015</v>
          </cell>
        </row>
        <row r="226">
          <cell r="BY226">
            <v>45647</v>
          </cell>
          <cell r="BZ226" t="str">
            <v>DZI-0289,DZI-8040,TLN-526312</v>
          </cell>
        </row>
        <row r="227">
          <cell r="BY227">
            <v>45649</v>
          </cell>
          <cell r="BZ227" t="str">
            <v>TLN-870204</v>
          </cell>
        </row>
        <row r="228">
          <cell r="BY228">
            <v>45645</v>
          </cell>
          <cell r="BZ228" t="str">
            <v>CW5-8034,047134,CW5-0290</v>
          </cell>
        </row>
        <row r="229">
          <cell r="BY229">
            <v>45624</v>
          </cell>
          <cell r="BZ229" t="str">
            <v>DY2-8080, DY2-8081, DY2-8082, 523344, DY2-8083, DY2-8089, DY2-8090, DY2-8103, DY2-8086, DY2-8091</v>
          </cell>
        </row>
        <row r="230">
          <cell r="BY230">
            <v>45624</v>
          </cell>
          <cell r="BZ230" t="str">
            <v>DY2-5309, DY2-5310, DY2-8075, DY2-8076, DY2-8077, DY2-8078, DY2-8080, DY2-8081, DY2-8084, DY2-8085, TLN-523342, DY2-8086, DY2-8087, DY2-8088, DY2-8101, DY2-8102</v>
          </cell>
        </row>
        <row r="231">
          <cell r="BY231">
            <v>45624</v>
          </cell>
          <cell r="BZ231" t="str">
            <v>DY2-8077, DY2-8078, 523689, DY2-8094, DY2-8095, DY2-8096, DY2-8097, DY2-8098, DY2-8099, DY2-8100</v>
          </cell>
        </row>
        <row r="232">
          <cell r="BY232" t="str">
            <v>N/A</v>
          </cell>
          <cell r="BZ232" t="str">
            <v>TLN-197564</v>
          </cell>
        </row>
        <row r="233">
          <cell r="BY233">
            <v>45645</v>
          </cell>
          <cell r="BZ233" t="str">
            <v>195632,DR2-5748,DR2-5749,212278</v>
          </cell>
        </row>
        <row r="234">
          <cell r="BY234" t="str">
            <v>N/A</v>
          </cell>
          <cell r="BZ234"/>
        </row>
        <row r="235">
          <cell r="BY235" t="str">
            <v>N/A</v>
          </cell>
          <cell r="BZ235" t="str">
            <v>CY9-8052</v>
          </cell>
        </row>
        <row r="236">
          <cell r="BY236">
            <v>45645</v>
          </cell>
          <cell r="BZ236" t="str">
            <v>CW8-5091,526220</v>
          </cell>
        </row>
        <row r="237">
          <cell r="BY237">
            <v>45636</v>
          </cell>
          <cell r="BZ237" t="str">
            <v>CW7-2221, 104426</v>
          </cell>
        </row>
        <row r="238">
          <cell r="BY238">
            <v>45636</v>
          </cell>
          <cell r="BZ238" t="str">
            <v>A7-0442, A7-8058, ALB1-3261, 520470, A7-0426</v>
          </cell>
        </row>
        <row r="239">
          <cell r="BY239">
            <v>45645</v>
          </cell>
          <cell r="BZ239" t="str">
            <v>DY1-1530,DY1-1530,DY1-5916</v>
          </cell>
        </row>
        <row r="240">
          <cell r="BY240">
            <v>45636</v>
          </cell>
          <cell r="BZ240" t="str">
            <v>CX9-0820, DX1-8095, DX1-8097, DX1-8098, DX1-8092, 523988</v>
          </cell>
        </row>
        <row r="241">
          <cell r="BY241">
            <v>45636</v>
          </cell>
          <cell r="BZ241" t="str">
            <v>CW7-8053, CW7-2005, 522055</v>
          </cell>
        </row>
        <row r="242">
          <cell r="BY242">
            <v>45636</v>
          </cell>
          <cell r="BZ242" t="str">
            <v>CX6-2484, CX6-8132, CX6-8133, 526058, CX6-0061, CX6-8134</v>
          </cell>
        </row>
        <row r="243">
          <cell r="BY243">
            <v>45636</v>
          </cell>
          <cell r="BZ243" t="str">
            <v>CS7-0681, 193090, CS7-0689, CS7-0688, CS7-0687, CS7-0686</v>
          </cell>
        </row>
        <row r="244">
          <cell r="BY244">
            <v>45636</v>
          </cell>
          <cell r="BZ244" t="str">
            <v>CZ7-0475, 515959</v>
          </cell>
        </row>
        <row r="245">
          <cell r="BY245">
            <v>45649</v>
          </cell>
          <cell r="BZ245" t="str">
            <v>CZ7-0528,CZ7-8032,CZ7-8033,CZ7-8034,CZ7-8035,CZ7-8036,CZ7-8037,CZ7-8038,CZ7-8039,CZ7-8040,CZ7-8041,CZ7-8042,CZ7-0475</v>
          </cell>
        </row>
        <row r="246">
          <cell r="BY246">
            <v>45636</v>
          </cell>
          <cell r="BZ246" t="str">
            <v>CY8-8034, CY8-8035, 521456, CY7-0020</v>
          </cell>
        </row>
        <row r="247">
          <cell r="BY247">
            <v>45349</v>
          </cell>
          <cell r="BZ247" t="str">
            <v>CU9-0314,DV1-8077,DV1-8078,DV1-8079,TLN-523975</v>
          </cell>
        </row>
        <row r="248">
          <cell r="BY248" t="str">
            <v>N/A</v>
          </cell>
          <cell r="BZ248"/>
        </row>
        <row r="249">
          <cell r="BY249" t="str">
            <v>N/A</v>
          </cell>
          <cell r="BZ249" t="str">
            <v>CZ8-8102</v>
          </cell>
        </row>
        <row r="250">
          <cell r="BY250" t="str">
            <v>N/A</v>
          </cell>
          <cell r="BZ250" t="str">
            <v>DX1-1148, 087077</v>
          </cell>
        </row>
        <row r="251">
          <cell r="BY251">
            <v>45642</v>
          </cell>
          <cell r="BZ251" t="str">
            <v>CW8-2008, CW8-8026, CW8-8027, CW8-8028, CW8-8044, CW8-8029, 522385, CW8-2007</v>
          </cell>
        </row>
        <row r="252">
          <cell r="BY252"/>
          <cell r="BZ252" t="str">
            <v>CU7-2198, CU7-8052</v>
          </cell>
        </row>
        <row r="253">
          <cell r="BY253">
            <v>45642</v>
          </cell>
          <cell r="BZ253" t="str">
            <v>CX6-1466, 518626, CX6-8027, CX6-8043</v>
          </cell>
        </row>
        <row r="254">
          <cell r="BY254">
            <v>45349</v>
          </cell>
          <cell r="BZ254" t="str">
            <v>CT7-8139,TLN-526439</v>
          </cell>
        </row>
        <row r="255">
          <cell r="BY255">
            <v>45642</v>
          </cell>
          <cell r="BZ255" t="str">
            <v>C5-0076, C5-8177, ALB1-2896, C5-8178, 523569, C5-0077, C5-0040</v>
          </cell>
        </row>
        <row r="256">
          <cell r="BY256">
            <v>45646</v>
          </cell>
          <cell r="BZ256" t="str">
            <v>CU6-6516,TLN-526581</v>
          </cell>
        </row>
        <row r="257">
          <cell r="BY257">
            <v>45649</v>
          </cell>
          <cell r="BZ257" t="str">
            <v>CV6-6330,CV6-8035,CV6-8036,CV6-8037,CV6-8038,TLN-521175,CV6-8039</v>
          </cell>
        </row>
        <row r="258">
          <cell r="BY258">
            <v>45715</v>
          </cell>
          <cell r="BZ258" t="str">
            <v>CT7-8117,TLN-523915</v>
          </cell>
        </row>
        <row r="259">
          <cell r="BY259">
            <v>45642</v>
          </cell>
          <cell r="BZ259" t="str">
            <v>CX8-0536, CV9-8058, CX8-0537, CV9-8059, CV9-8060, 523891, CV9-2409-S</v>
          </cell>
        </row>
        <row r="260">
          <cell r="BY260">
            <v>45349</v>
          </cell>
          <cell r="BZ260" t="str">
            <v>CX8-8154,CX8-8155,CX8-8156,CX8-8157,CX8-8158,CX8-8092,TLN-522627</v>
          </cell>
        </row>
        <row r="261">
          <cell r="BY261" t="str">
            <v>N/A</v>
          </cell>
          <cell r="BZ261" t="str">
            <v>DZ1-0632, 035245</v>
          </cell>
        </row>
        <row r="262">
          <cell r="BY262" t="str">
            <v>N/A</v>
          </cell>
          <cell r="BZ262"/>
        </row>
        <row r="263">
          <cell r="BY263">
            <v>45642</v>
          </cell>
          <cell r="BZ263" t="str">
            <v>C5-8144, C5-8145, 526083</v>
          </cell>
        </row>
        <row r="264">
          <cell r="BY264">
            <v>45642</v>
          </cell>
          <cell r="BZ264" t="str">
            <v>C5-0273, 522214, C5-8087</v>
          </cell>
        </row>
        <row r="265">
          <cell r="BY265">
            <v>45642</v>
          </cell>
          <cell r="BZ265" t="str">
            <v>B4-8024, 522052</v>
          </cell>
        </row>
        <row r="266">
          <cell r="BY266" t="str">
            <v>N/A</v>
          </cell>
          <cell r="BZ266">
            <v>262402</v>
          </cell>
        </row>
        <row r="267">
          <cell r="BY267" t="str">
            <v>N/A</v>
          </cell>
          <cell r="BZ267" t="str">
            <v>TLN-055640</v>
          </cell>
        </row>
        <row r="268">
          <cell r="BY268">
            <v>45680</v>
          </cell>
          <cell r="BZ268" t="str">
            <v>CS7-8136,CS7-8138,TLN-201851,CS7-8139,TLN-082385</v>
          </cell>
        </row>
        <row r="269">
          <cell r="BY269">
            <v>45642</v>
          </cell>
          <cell r="BZ269" t="str">
            <v>CZ8-8053, CZ8-8101, 526286</v>
          </cell>
        </row>
        <row r="270">
          <cell r="BY270">
            <v>45645</v>
          </cell>
          <cell r="BZ270" t="str">
            <v>DZ2-8122,526339</v>
          </cell>
        </row>
        <row r="271">
          <cell r="BY271">
            <v>45645</v>
          </cell>
          <cell r="BZ271" t="str">
            <v>B8-6311,B8-5575,ALB1-1211,513940,58-6313,513940,B8-6313,513941,B8-8161,B8-6316,212061,B8-8162,B8-8163,B8-8164,B8-8165,B8-8166,B8-8167,B8-8168,B8-8169,B8-8170,B8-8171,B8-8172,B8-8173,B8-8175,B8-8176</v>
          </cell>
        </row>
        <row r="272">
          <cell r="BY272">
            <v>45653</v>
          </cell>
          <cell r="BZ272" t="str">
            <v>B7-8108,TLN-522135</v>
          </cell>
        </row>
        <row r="273">
          <cell r="BY273" t="str">
            <v>N/A</v>
          </cell>
          <cell r="BZ273" t="str">
            <v>A5-5544, A5-5530, A5-1070, A5-8015, A5-8016, A5-8018</v>
          </cell>
        </row>
        <row r="274">
          <cell r="BY274">
            <v>45642</v>
          </cell>
          <cell r="BZ274" t="str">
            <v>CZ8-8052, 519369</v>
          </cell>
        </row>
        <row r="275">
          <cell r="BY275">
            <v>45645</v>
          </cell>
          <cell r="BZ275" t="str">
            <v>CS9-0022,523221,CS9-8031,CS9-8078</v>
          </cell>
        </row>
        <row r="276">
          <cell r="BY276" t="str">
            <v>N/A</v>
          </cell>
          <cell r="BZ276"/>
        </row>
        <row r="277">
          <cell r="BY277">
            <v>45645</v>
          </cell>
          <cell r="BZ277" t="str">
            <v>CR9-0785, CR9-8043, CR9-8044, CR9-8045, CR9-8046, 526228, CR9-8047</v>
          </cell>
        </row>
        <row r="278">
          <cell r="BY278">
            <v>45649</v>
          </cell>
          <cell r="BZ278" t="str">
            <v>CU9-2288,TLN-520302</v>
          </cell>
        </row>
        <row r="279">
          <cell r="BY279">
            <v>45649</v>
          </cell>
          <cell r="BZ279" t="str">
            <v>CU9-8036,TLN-520301</v>
          </cell>
        </row>
        <row r="280">
          <cell r="BY280">
            <v>45660</v>
          </cell>
          <cell r="BZ280" t="str">
            <v>CZ8-0913,TLN-034953,CZ8-0915,TLN-520549,CZ8-0916,CZ8-0914</v>
          </cell>
        </row>
        <row r="281">
          <cell r="BY281">
            <v>45653</v>
          </cell>
          <cell r="BZ281" t="str">
            <v>CY9-0660,TLN-520599</v>
          </cell>
        </row>
        <row r="282">
          <cell r="BY282">
            <v>45660</v>
          </cell>
          <cell r="BZ282" t="str">
            <v>CR9-0789,CR9-2362,CR9-8049,CR9-5016,CR9-5017,CR9-5010,CR9-8050,TLN-526521,CR9-5011</v>
          </cell>
        </row>
        <row r="283">
          <cell r="BY283">
            <v>45649</v>
          </cell>
          <cell r="BZ283" t="str">
            <v>A6-1003,A6-8032,A6-1404,A6-1010,TLN-522577,A6-1402</v>
          </cell>
        </row>
        <row r="284">
          <cell r="BY284">
            <v>45720</v>
          </cell>
          <cell r="BZ284" t="str">
            <v>TLN-211819</v>
          </cell>
        </row>
        <row r="285">
          <cell r="BY285" t="str">
            <v>N/A</v>
          </cell>
          <cell r="BZ285" t="str">
            <v>B8-0946,TLN-117028,C8-0523,</v>
          </cell>
        </row>
        <row r="286">
          <cell r="BY286">
            <v>45663</v>
          </cell>
          <cell r="BZ286" t="str">
            <v>CY8-8023,CY8-8024,CY8-8025,TLN-518841</v>
          </cell>
        </row>
        <row r="287">
          <cell r="BY287">
            <v>45660</v>
          </cell>
          <cell r="BZ287" t="str">
            <v>CU6-2127,CT6-8032,CT6-8033,CT6-8034,TLN-52113,CT6-8035,CU6-2128</v>
          </cell>
        </row>
        <row r="288">
          <cell r="BY288" t="str">
            <v>N/A</v>
          </cell>
          <cell r="BZ288" t="str">
            <v>TLN-142955</v>
          </cell>
        </row>
        <row r="289">
          <cell r="BY289">
            <v>45660</v>
          </cell>
          <cell r="BZ289" t="str">
            <v>CS7-0545,CS7-8118,TLN-522171,CS7-0685,CS7-0686</v>
          </cell>
        </row>
        <row r="290">
          <cell r="BY290" t="str">
            <v>NA</v>
          </cell>
          <cell r="BZ290" t="str">
            <v>DY1-1208</v>
          </cell>
        </row>
        <row r="291">
          <cell r="BY291">
            <v>45663</v>
          </cell>
          <cell r="BZ291" t="str">
            <v>CV6-8050,TLN-522707,</v>
          </cell>
        </row>
        <row r="292">
          <cell r="BY292">
            <v>45663</v>
          </cell>
          <cell r="BZ292" t="str">
            <v>CV9-8016,TLN-516928</v>
          </cell>
        </row>
        <row r="293">
          <cell r="BY293">
            <v>45663</v>
          </cell>
          <cell r="BZ293" t="str">
            <v>CS7-8128,CS7-8129,CS7-8130,CS7-8131,CS7-8132,TLN-367789,TLN-523727</v>
          </cell>
        </row>
        <row r="294">
          <cell r="BY294">
            <v>45663</v>
          </cell>
          <cell r="BZ294" t="str">
            <v>TLN-526795</v>
          </cell>
        </row>
        <row r="295">
          <cell r="BY295">
            <v>45666</v>
          </cell>
          <cell r="BZ295" t="str">
            <v>DY1-0380,DY1-0379,DY1-0378,DY1-0377,DY1-0376,DY1-0375</v>
          </cell>
        </row>
        <row r="296">
          <cell r="BY296">
            <v>45663</v>
          </cell>
          <cell r="BZ296" t="str">
            <v>DZI-0029,TLN-054237,TLN-514500</v>
          </cell>
        </row>
        <row r="297">
          <cell r="BY297" t="str">
            <v>N/A</v>
          </cell>
          <cell r="BZ297" t="str">
            <v>TLN-186673</v>
          </cell>
        </row>
        <row r="298">
          <cell r="BY298">
            <v>45684</v>
          </cell>
          <cell r="BZ298" t="str">
            <v>TLN-526858</v>
          </cell>
        </row>
        <row r="299">
          <cell r="BY299">
            <v>45670</v>
          </cell>
          <cell r="BZ299" t="str">
            <v>CU9-0191,CU6-8094,TLN-526350</v>
          </cell>
        </row>
        <row r="300">
          <cell r="BY300" t="str">
            <v>N/A</v>
          </cell>
          <cell r="BZ300" t="str">
            <v>CW7-1144,TLN-068771</v>
          </cell>
        </row>
        <row r="301">
          <cell r="BY301" t="str">
            <v>N/A</v>
          </cell>
          <cell r="BZ301" t="str">
            <v>TLN-071870,</v>
          </cell>
        </row>
        <row r="302">
          <cell r="BY302" t="str">
            <v>N/A</v>
          </cell>
          <cell r="BZ302" t="str">
            <v>TLN-169874</v>
          </cell>
        </row>
        <row r="303">
          <cell r="BY303" t="str">
            <v>N/A</v>
          </cell>
          <cell r="BZ303" t="str">
            <v>CS8-8003,CS8-8002,CS8-8001,CS8-0129</v>
          </cell>
        </row>
        <row r="304">
          <cell r="BY304">
            <v>45670</v>
          </cell>
          <cell r="BZ304" t="str">
            <v>DR1-6046,DR1-6047,DR1-6048,TLN-173161,DR1-6069</v>
          </cell>
        </row>
        <row r="305">
          <cell r="BY305" t="str">
            <v>N/A</v>
          </cell>
          <cell r="BZ305"/>
        </row>
        <row r="306">
          <cell r="BY306">
            <v>45672</v>
          </cell>
          <cell r="BZ306" t="str">
            <v>B8-8156,B8-8157,A8-8106,A8-8107,TLN-526017</v>
          </cell>
        </row>
        <row r="307">
          <cell r="BY307">
            <v>45670</v>
          </cell>
          <cell r="BZ307" t="str">
            <v>A7-0063,A7-0371,A7-8016,A7-8017,A7-0372,A7-0373,A7-0374,A7-8018,A7-8019,TLN-515608</v>
          </cell>
        </row>
        <row r="308">
          <cell r="BY308">
            <v>45684</v>
          </cell>
          <cell r="BZ308" t="str">
            <v>DR2-8014,DR2-8015,TLN-520871</v>
          </cell>
        </row>
        <row r="309">
          <cell r="BY309">
            <v>45720</v>
          </cell>
          <cell r="BZ309" t="str">
            <v>A5-8029,TLN-520796</v>
          </cell>
        </row>
        <row r="310">
          <cell r="BY310">
            <v>45684</v>
          </cell>
          <cell r="BZ310" t="str">
            <v>TLN-138990,CX5-8002</v>
          </cell>
        </row>
        <row r="311">
          <cell r="BY311">
            <v>45670</v>
          </cell>
          <cell r="BZ311" t="str">
            <v>CW9-8056,TLN-526116</v>
          </cell>
        </row>
        <row r="312">
          <cell r="BY312">
            <v>45677</v>
          </cell>
          <cell r="BZ312" t="str">
            <v>TLN-517778</v>
          </cell>
        </row>
        <row r="313">
          <cell r="BY313">
            <v>45670</v>
          </cell>
          <cell r="BZ313" t="str">
            <v>CW9-0399,DW1-8035,CW9-0400,CW9-0400,DW1-8036,CW9-0470,CW9-0470,TLN-523026</v>
          </cell>
        </row>
        <row r="314">
          <cell r="BY314"/>
          <cell r="BZ314"/>
        </row>
        <row r="315">
          <cell r="BY315">
            <v>45684</v>
          </cell>
          <cell r="BZ315" t="str">
            <v>TLN-523235</v>
          </cell>
        </row>
        <row r="316">
          <cell r="BY316">
            <v>45678</v>
          </cell>
          <cell r="BZ316" t="str">
            <v>CU6-8046,CU6-8047</v>
          </cell>
        </row>
        <row r="317">
          <cell r="BY317">
            <v>45678</v>
          </cell>
          <cell r="BZ317" t="str">
            <v>DR2-8016,TLN-521435</v>
          </cell>
        </row>
        <row r="318">
          <cell r="BY318"/>
          <cell r="BZ318"/>
        </row>
        <row r="319">
          <cell r="BY319">
            <v>45678</v>
          </cell>
          <cell r="BZ319" t="str">
            <v>TLN-523779</v>
          </cell>
        </row>
        <row r="320">
          <cell r="BY320">
            <v>45673</v>
          </cell>
          <cell r="BZ320" t="str">
            <v>DXI-8100,TLN-526189</v>
          </cell>
        </row>
        <row r="321">
          <cell r="BY321">
            <v>45673</v>
          </cell>
          <cell r="BZ321" t="str">
            <v>DZI-8031,TLN-522411</v>
          </cell>
        </row>
        <row r="322">
          <cell r="BY322"/>
          <cell r="BZ322"/>
        </row>
        <row r="323">
          <cell r="BY323">
            <v>45678</v>
          </cell>
          <cell r="BZ323" t="str">
            <v>CV9-8054,TLN-523885,CV9-8055,CV9-8056,CV9-8057</v>
          </cell>
        </row>
        <row r="324">
          <cell r="BY324">
            <v>45684</v>
          </cell>
          <cell r="BZ324" t="str">
            <v>B9-0717,B9-8085</v>
          </cell>
        </row>
        <row r="325">
          <cell r="BY325">
            <v>45680</v>
          </cell>
          <cell r="BZ325" t="str">
            <v>DZ2-5886,TLN-187901,DZ2-8121,TLN-526225</v>
          </cell>
        </row>
        <row r="326">
          <cell r="BY326">
            <v>45678</v>
          </cell>
          <cell r="BZ326" t="str">
            <v>CR9-8048</v>
          </cell>
        </row>
        <row r="327">
          <cell r="BY327">
            <v>45678</v>
          </cell>
          <cell r="BZ327" t="str">
            <v>TLN-526706</v>
          </cell>
        </row>
        <row r="328">
          <cell r="BY328">
            <v>45678</v>
          </cell>
          <cell r="BZ328" t="str">
            <v>DSI-8150</v>
          </cell>
        </row>
        <row r="329">
          <cell r="BY329" t="str">
            <v>N/A</v>
          </cell>
          <cell r="BZ329"/>
        </row>
        <row r="330">
          <cell r="BY330">
            <v>45678</v>
          </cell>
          <cell r="BZ330" t="str">
            <v>CT7-8083,TLN-108907</v>
          </cell>
        </row>
        <row r="331">
          <cell r="BY331">
            <v>45684</v>
          </cell>
          <cell r="BZ331" t="str">
            <v>CS9-8083,CS9-0167,TLN-526463</v>
          </cell>
        </row>
        <row r="332">
          <cell r="BY332" t="str">
            <v>N/A</v>
          </cell>
          <cell r="BZ332"/>
        </row>
        <row r="333">
          <cell r="BY333">
            <v>45684</v>
          </cell>
          <cell r="BZ333" t="str">
            <v>TLN-523631,B5-8084</v>
          </cell>
        </row>
        <row r="334">
          <cell r="BY334">
            <v>45684</v>
          </cell>
          <cell r="BZ334" t="str">
            <v>A7-8045,A7-8046,A7-8047,TLN-523665,A7-8048</v>
          </cell>
        </row>
        <row r="335">
          <cell r="BY335">
            <v>45685</v>
          </cell>
          <cell r="BZ335" t="str">
            <v>B8-6311,B8-5575,ALB1-1211,B8-6313,B8-8160,B8-6316,B8-8162,B8-8163,B8-8164,B8-8164,B8-8166,B8-8167,B8-8168,B8-8169,B8-8170,B8-8171,B8-8172,B8-8173,B8-8174,B8-8175,B8-8176,TLN-513940,TLN-513941,TLN-212061</v>
          </cell>
        </row>
        <row r="336">
          <cell r="BY336">
            <v>45684</v>
          </cell>
          <cell r="BZ336" t="str">
            <v>A8-5982,A8-5983,A8-0411,TLN-526056</v>
          </cell>
        </row>
        <row r="337">
          <cell r="BY337">
            <v>45684</v>
          </cell>
          <cell r="BZ337" t="str">
            <v>D5-8103,TLN-526118</v>
          </cell>
        </row>
        <row r="338">
          <cell r="BY338">
            <v>45684</v>
          </cell>
          <cell r="BZ338" t="str">
            <v>CW5-6406,CW5-8037,CW5-8038,CW5-8039,CW5-8040,TLN-523671</v>
          </cell>
        </row>
        <row r="339">
          <cell r="BY339" t="str">
            <v>N/A</v>
          </cell>
          <cell r="BZ339"/>
        </row>
        <row r="340">
          <cell r="BY340">
            <v>45684</v>
          </cell>
          <cell r="BZ340" t="str">
            <v>A5-8052,A5-8053,A5-8045</v>
          </cell>
        </row>
        <row r="341">
          <cell r="BY341">
            <v>45684</v>
          </cell>
          <cell r="BZ341" t="str">
            <v>TLN-526847</v>
          </cell>
        </row>
        <row r="342">
          <cell r="BY342" t="str">
            <v>N/A</v>
          </cell>
          <cell r="BZ342"/>
        </row>
        <row r="343">
          <cell r="BY343">
            <v>45685</v>
          </cell>
          <cell r="BZ343" t="str">
            <v>TLN-522587,DRI-6079</v>
          </cell>
        </row>
        <row r="344">
          <cell r="BY344"/>
          <cell r="BZ344"/>
        </row>
        <row r="345">
          <cell r="BY345" t="str">
            <v>N/A</v>
          </cell>
          <cell r="BZ345"/>
        </row>
        <row r="346">
          <cell r="BY346">
            <v>45699</v>
          </cell>
          <cell r="BZ346" t="str">
            <v>B9-8088,TLN-526275</v>
          </cell>
        </row>
        <row r="347">
          <cell r="BY347">
            <v>45688</v>
          </cell>
          <cell r="BZ347" t="str">
            <v>CX8-8159,CX8-8160,CX8-0648,TLN-036703,CX8-0757,CX8-8161,CX8-0647,CX8-8162,TLN-522796</v>
          </cell>
        </row>
        <row r="348">
          <cell r="BY348">
            <v>45688</v>
          </cell>
          <cell r="BZ348" t="str">
            <v>DYI-0933,DY1-8069,TLN-526556,TLN-025831</v>
          </cell>
        </row>
        <row r="349">
          <cell r="BY349">
            <v>45684</v>
          </cell>
          <cell r="BZ349" t="str">
            <v>CQ8-8010,CQ8-8011,CQ8-8012,CQ8-8013,CQ8-8014,CQ8-8015,CQ8-8016,CQ8-8017,CQ8-8018,CQ8-8019,CQ8-8020,CQ8-8021,CQ8-8022,CR8-8027,CR8-8028,CR8-8029,CR8-8030,CR8-8031,CR8-8032,CR8-8033,CR8-8034,CR8-8035,CR8-8036,CR8-8037,</v>
          </cell>
        </row>
        <row r="350">
          <cell r="BY350" t="str">
            <v>N/A</v>
          </cell>
          <cell r="BZ350"/>
        </row>
        <row r="351">
          <cell r="BY351">
            <v>45684</v>
          </cell>
          <cell r="BZ351" t="str">
            <v>TLN-526770</v>
          </cell>
        </row>
        <row r="352">
          <cell r="BY352">
            <v>45691</v>
          </cell>
          <cell r="BZ352" t="str">
            <v>D5-8119,D5-0447,D5-5353</v>
          </cell>
        </row>
        <row r="353">
          <cell r="BY353" t="str">
            <v>N/A</v>
          </cell>
          <cell r="BZ353"/>
        </row>
        <row r="354">
          <cell r="BY354">
            <v>45694</v>
          </cell>
          <cell r="BZ354" t="str">
            <v>DV1-2256,DV1-0802</v>
          </cell>
        </row>
        <row r="355">
          <cell r="BY355">
            <v>45691</v>
          </cell>
          <cell r="BZ355" t="str">
            <v>DV1-8071,TLN-523455</v>
          </cell>
        </row>
        <row r="356">
          <cell r="BY356">
            <v>45693</v>
          </cell>
          <cell r="BZ356" t="str">
            <v>CQ7-8064,CQ7-8065,CQ7-8066,CQ7-8072,CQ7-8073,TLN-523943,CQ7-8079,CQ7-8082,CQ7-8084,CQ7-8086,CQ7-8088,TLN-523945,CQ7-8090,CQ7-8091,CQ7-8092</v>
          </cell>
        </row>
        <row r="357">
          <cell r="BY357">
            <v>45693</v>
          </cell>
          <cell r="BZ357" t="str">
            <v>TLN-522711</v>
          </cell>
        </row>
        <row r="358">
          <cell r="BY358">
            <v>45691</v>
          </cell>
          <cell r="BZ358" t="str">
            <v>CS8-8051,TLN-522457</v>
          </cell>
        </row>
        <row r="359">
          <cell r="BY359" t="str">
            <v>N/A</v>
          </cell>
          <cell r="BZ359"/>
        </row>
        <row r="360">
          <cell r="BY360">
            <v>45691</v>
          </cell>
          <cell r="BZ360" t="str">
            <v>DT1-8088,TLN-526306</v>
          </cell>
        </row>
        <row r="361">
          <cell r="BY361">
            <v>45692</v>
          </cell>
          <cell r="BZ361" t="str">
            <v>CQ7-8048,CQ7-8049,TLN-523429,CQ7-8050,CQ7-8051,CQ7-8056,CQ7-8057,CQ7-8058,CQ7-8059,CQ7-8060,CQ7-8061</v>
          </cell>
        </row>
        <row r="362">
          <cell r="BY362">
            <v>45693</v>
          </cell>
          <cell r="BZ362" t="str">
            <v>DR2-8032,DQ2-0033,DQ2-5060,DQ2-8075,DQ2-0035,TLN-198894</v>
          </cell>
        </row>
        <row r="363">
          <cell r="BY363">
            <v>45693</v>
          </cell>
          <cell r="BZ363" t="str">
            <v>CU6-8071,CU6-8072,CU6-8073,CU6-8074,CU6-8075,TLN-523173</v>
          </cell>
        </row>
        <row r="364">
          <cell r="BY364" t="str">
            <v>N/A</v>
          </cell>
          <cell r="BZ364"/>
        </row>
        <row r="365">
          <cell r="BY365">
            <v>45729</v>
          </cell>
          <cell r="BZ365" t="str">
            <v>TLN-521778</v>
          </cell>
        </row>
        <row r="366">
          <cell r="BY366">
            <v>45693</v>
          </cell>
          <cell r="BZ366" t="str">
            <v>TLN-520860</v>
          </cell>
        </row>
        <row r="367">
          <cell r="BY367">
            <v>45693</v>
          </cell>
          <cell r="BZ367" t="str">
            <v>CY8-0502,TLN-516761</v>
          </cell>
        </row>
        <row r="368">
          <cell r="BY368">
            <v>45754</v>
          </cell>
          <cell r="BZ368" t="str">
            <v>A5-5443,TLN-523109</v>
          </cell>
        </row>
        <row r="369">
          <cell r="BY369">
            <v>45715</v>
          </cell>
          <cell r="BZ369" t="str">
            <v>DY2-8110,TLN-035055</v>
          </cell>
        </row>
        <row r="370">
          <cell r="BY370">
            <v>45699</v>
          </cell>
          <cell r="BZ370" t="str">
            <v>CS9-8081,TLN-526089</v>
          </cell>
        </row>
        <row r="371">
          <cell r="BY371"/>
          <cell r="BZ371"/>
        </row>
        <row r="372">
          <cell r="BY372"/>
          <cell r="BZ372"/>
        </row>
        <row r="373">
          <cell r="BY373" t="str">
            <v>N/A</v>
          </cell>
          <cell r="BZ373"/>
        </row>
        <row r="374">
          <cell r="BY374">
            <v>45705</v>
          </cell>
          <cell r="BZ374" t="str">
            <v>B5-8022,B5-8023,B5-8024,B5-8025,TLN-518634</v>
          </cell>
        </row>
        <row r="375">
          <cell r="BY375">
            <v>45754</v>
          </cell>
          <cell r="BZ375" t="str">
            <v>CV9-8061,CV9-8062,CV9-8063,CV9-8064,CV9-8065,TLN-526062</v>
          </cell>
        </row>
        <row r="376">
          <cell r="BY376" t="str">
            <v>N/A</v>
          </cell>
          <cell r="BZ376"/>
        </row>
        <row r="377">
          <cell r="BY377">
            <v>45705</v>
          </cell>
          <cell r="BZ377" t="str">
            <v>CU8-8105,CU8-8058,TLN-522058,CU8-0148</v>
          </cell>
        </row>
        <row r="378">
          <cell r="BY378">
            <v>45705</v>
          </cell>
          <cell r="BZ378" t="str">
            <v>DZ1-8092,TLN-523746</v>
          </cell>
        </row>
        <row r="379">
          <cell r="BY379">
            <v>45705</v>
          </cell>
          <cell r="BZ379" t="str">
            <v>CZ9-5983,TLN-201460</v>
          </cell>
        </row>
        <row r="380">
          <cell r="BY380">
            <v>45713</v>
          </cell>
          <cell r="BZ380" t="str">
            <v>C7-8037,C7-8038,TLN-523806</v>
          </cell>
        </row>
        <row r="381">
          <cell r="BY381">
            <v>45705</v>
          </cell>
          <cell r="BZ381" t="str">
            <v>B7-5441,TLN-198570</v>
          </cell>
        </row>
        <row r="382">
          <cell r="BY382">
            <v>45709</v>
          </cell>
          <cell r="BZ382" t="str">
            <v>TLN-527101,A8-1154,A8-8128</v>
          </cell>
        </row>
        <row r="383">
          <cell r="BY383" t="str">
            <v>N/A</v>
          </cell>
          <cell r="BZ383"/>
        </row>
        <row r="384">
          <cell r="BY384">
            <v>45705</v>
          </cell>
          <cell r="BZ384" t="str">
            <v>DR1-8042,TLN-521305</v>
          </cell>
        </row>
        <row r="385">
          <cell r="BY385">
            <v>45713</v>
          </cell>
          <cell r="BZ385" t="str">
            <v>B8-5039,B8-8103,TLN-522699</v>
          </cell>
        </row>
        <row r="386">
          <cell r="BY386"/>
          <cell r="BZ386"/>
        </row>
        <row r="387">
          <cell r="BY387" t="str">
            <v>N/A</v>
          </cell>
          <cell r="BZ387"/>
        </row>
        <row r="388">
          <cell r="BY388" t="str">
            <v>N/A</v>
          </cell>
          <cell r="BZ388"/>
        </row>
        <row r="389">
          <cell r="BY389">
            <v>45709</v>
          </cell>
          <cell r="BZ389" t="str">
            <v>A8-8096</v>
          </cell>
        </row>
        <row r="390">
          <cell r="BY390">
            <v>45706</v>
          </cell>
          <cell r="BZ390" t="str">
            <v>TLN-526895</v>
          </cell>
        </row>
        <row r="391">
          <cell r="BY391">
            <v>45706</v>
          </cell>
          <cell r="BZ391" t="str">
            <v>DY2-8123,TLN-526843</v>
          </cell>
        </row>
        <row r="392">
          <cell r="BY392" t="str">
            <v>N/A</v>
          </cell>
          <cell r="BZ392"/>
        </row>
        <row r="393">
          <cell r="BY393">
            <v>45707</v>
          </cell>
          <cell r="BZ393" t="str">
            <v>DV1-8081,TLN-526114</v>
          </cell>
        </row>
        <row r="394">
          <cell r="BY394">
            <v>45707</v>
          </cell>
          <cell r="BZ394" t="str">
            <v>TLN-527063</v>
          </cell>
        </row>
        <row r="395">
          <cell r="BY395"/>
          <cell r="BZ395"/>
        </row>
        <row r="396">
          <cell r="BY396">
            <v>45712</v>
          </cell>
          <cell r="BZ396" t="str">
            <v xml:space="preserve"> DW1-1292,DW1-8020,TLN-170991</v>
          </cell>
        </row>
        <row r="397">
          <cell r="BY397">
            <v>45754</v>
          </cell>
          <cell r="BZ397" t="str">
            <v>CV6-8056</v>
          </cell>
        </row>
        <row r="398">
          <cell r="BY398" t="str">
            <v>N/A</v>
          </cell>
          <cell r="BZ398"/>
        </row>
        <row r="399">
          <cell r="BY399">
            <v>45709</v>
          </cell>
          <cell r="BZ399" t="str">
            <v>CS9-8071,TLN-520526</v>
          </cell>
        </row>
        <row r="400">
          <cell r="BY400">
            <v>45709</v>
          </cell>
          <cell r="BZ400" t="str">
            <v>CV7-8150,TLN-526196</v>
          </cell>
        </row>
        <row r="401">
          <cell r="BY401">
            <v>45706</v>
          </cell>
          <cell r="BZ401" t="str">
            <v>CT7-8120</v>
          </cell>
        </row>
        <row r="402">
          <cell r="BY402" t="str">
            <v>N/A</v>
          </cell>
          <cell r="BZ402"/>
        </row>
        <row r="403">
          <cell r="BY403">
            <v>45709</v>
          </cell>
          <cell r="BZ403" t="str">
            <v>CY7-8111,TLN-526838</v>
          </cell>
        </row>
        <row r="404">
          <cell r="BY404" t="str">
            <v>N/A</v>
          </cell>
          <cell r="BZ404"/>
        </row>
        <row r="405">
          <cell r="BY405">
            <v>45707</v>
          </cell>
          <cell r="BZ405" t="str">
            <v>CZ8-8105,CZ8-8106,CZ8-8107</v>
          </cell>
        </row>
        <row r="406">
          <cell r="BY406">
            <v>45712</v>
          </cell>
          <cell r="BZ406" t="str">
            <v>DWI-8024,TLN-520040</v>
          </cell>
        </row>
        <row r="407">
          <cell r="BY407">
            <v>45721</v>
          </cell>
          <cell r="BZ407" t="str">
            <v>A5-8068,A5-8069,A5-8070,A5-8071,A5-8072,A5-8073,A5-8074,TLN-527297</v>
          </cell>
        </row>
        <row r="408">
          <cell r="BY408">
            <v>45720</v>
          </cell>
          <cell r="BZ408" t="str">
            <v>CW7-0130,TLN-523280</v>
          </cell>
        </row>
        <row r="409">
          <cell r="BY409">
            <v>45715</v>
          </cell>
          <cell r="BZ409" t="str">
            <v>B8-8184,B8-8185,TLN-527195</v>
          </cell>
        </row>
        <row r="410">
          <cell r="BY410">
            <v>45712</v>
          </cell>
          <cell r="BZ410" t="str">
            <v>B8-1850,TLN-185837</v>
          </cell>
        </row>
        <row r="411">
          <cell r="BY411" t="str">
            <v>N/A</v>
          </cell>
          <cell r="BZ411"/>
        </row>
        <row r="412">
          <cell r="BY412">
            <v>45715</v>
          </cell>
          <cell r="BZ412" t="str">
            <v>DY2-8104,DY2-8105,TLN-523960</v>
          </cell>
        </row>
        <row r="413">
          <cell r="BY413">
            <v>45715</v>
          </cell>
          <cell r="BZ413" t="str">
            <v>B8-8177,TLN-526380</v>
          </cell>
        </row>
        <row r="414">
          <cell r="BY414">
            <v>45721</v>
          </cell>
          <cell r="BZ414" t="str">
            <v>A5-8062,A5-8063,A5-5570,A5-5569,A5-8064,A5-5568,A5-8066,A5-5571,A5-8067</v>
          </cell>
        </row>
        <row r="415">
          <cell r="BY415" t="str">
            <v>N/A</v>
          </cell>
          <cell r="BZ415"/>
        </row>
        <row r="416">
          <cell r="BY416">
            <v>45720</v>
          </cell>
          <cell r="BZ416" t="str">
            <v>DWI-8050,TLN-526676,DWI-2066</v>
          </cell>
        </row>
        <row r="417">
          <cell r="BY417">
            <v>45716</v>
          </cell>
          <cell r="BZ417" t="str">
            <v>CV7-8161,CV7-8162,ALB1-3032,TLN-527110</v>
          </cell>
        </row>
        <row r="418">
          <cell r="BY418">
            <v>45716</v>
          </cell>
          <cell r="BZ418" t="str">
            <v>CV6-8058,CV6-8059,TLN-689612,TLN-527272</v>
          </cell>
        </row>
        <row r="419">
          <cell r="BY419">
            <v>45720</v>
          </cell>
          <cell r="BZ419" t="str">
            <v>CT6-8056,CT6-8057</v>
          </cell>
        </row>
        <row r="420">
          <cell r="BY420" t="str">
            <v>N/A</v>
          </cell>
          <cell r="BZ420"/>
        </row>
        <row r="421">
          <cell r="BY421">
            <v>45712</v>
          </cell>
          <cell r="BZ421" t="str">
            <v>CU9-8094</v>
          </cell>
        </row>
        <row r="422">
          <cell r="BY422">
            <v>45720</v>
          </cell>
          <cell r="BZ422" t="str">
            <v>CZ8-8103,CZ8-8104,TLN-526713</v>
          </cell>
        </row>
        <row r="423">
          <cell r="BY423">
            <v>45720</v>
          </cell>
          <cell r="BZ423" t="str">
            <v>TLN-526967</v>
          </cell>
        </row>
        <row r="424">
          <cell r="BY424">
            <v>45712</v>
          </cell>
          <cell r="BZ424" t="str">
            <v>TLN-523641</v>
          </cell>
        </row>
        <row r="425">
          <cell r="BY425">
            <v>45712</v>
          </cell>
          <cell r="BZ425" t="str">
            <v>N/A</v>
          </cell>
        </row>
        <row r="426">
          <cell r="BY426">
            <v>45712</v>
          </cell>
          <cell r="BZ426" t="str">
            <v>N/A</v>
          </cell>
        </row>
        <row r="427">
          <cell r="BY427">
            <v>45699</v>
          </cell>
          <cell r="BZ427" t="str">
            <v>CQ9-5764,CQ9-5765,CQ9-5766,CQ9-5767,CQ9-5768,CQ9-5768,CQ9-5770,CQ9-5771,CQ9-5772,CQ9-5773,CQ9-5774,CQ9-5775,CQ9-5777,CQ9-5778,TLN-520793</v>
          </cell>
        </row>
        <row r="428">
          <cell r="BY428">
            <v>45720</v>
          </cell>
          <cell r="BZ428" t="str">
            <v>CW9-8064,CW9-8065,TLN-526779</v>
          </cell>
        </row>
        <row r="429">
          <cell r="BY429">
            <v>45720</v>
          </cell>
          <cell r="BZ429" t="str">
            <v>TLN-521157</v>
          </cell>
        </row>
        <row r="430">
          <cell r="BY430">
            <v>45728</v>
          </cell>
          <cell r="BZ430" t="str">
            <v>CY9-8068,CY9-8069,TLN-52736</v>
          </cell>
        </row>
        <row r="431">
          <cell r="BY431" t="str">
            <v>N/A</v>
          </cell>
          <cell r="BZ431"/>
        </row>
        <row r="432">
          <cell r="BY432">
            <v>45727</v>
          </cell>
          <cell r="BZ432" t="str">
            <v>B8-8183,B8-8186,TLN-527120</v>
          </cell>
        </row>
        <row r="433">
          <cell r="BY433" t="str">
            <v>N/A</v>
          </cell>
          <cell r="BZ433"/>
        </row>
        <row r="434">
          <cell r="BY434" t="str">
            <v>N/A</v>
          </cell>
          <cell r="BZ434"/>
        </row>
        <row r="435">
          <cell r="BY435">
            <v>45727</v>
          </cell>
          <cell r="BZ435" t="str">
            <v>DZ1-0498,TLN-514223</v>
          </cell>
        </row>
        <row r="436">
          <cell r="BY436">
            <v>45727</v>
          </cell>
          <cell r="BZ436" t="str">
            <v>DW1-8034,TLN-520322</v>
          </cell>
        </row>
        <row r="437">
          <cell r="BY437">
            <v>45730</v>
          </cell>
          <cell r="BZ437" t="str">
            <v>A6-8051,TLN-526120</v>
          </cell>
        </row>
        <row r="438">
          <cell r="BY438">
            <v>45719</v>
          </cell>
          <cell r="BZ438" t="str">
            <v>A6-1028,A6-8050,TLN-523826</v>
          </cell>
        </row>
        <row r="439">
          <cell r="BY439">
            <v>45730</v>
          </cell>
          <cell r="BZ439" t="str">
            <v>TLN-527257</v>
          </cell>
        </row>
        <row r="440">
          <cell r="BY440">
            <v>45727</v>
          </cell>
          <cell r="BZ440" t="str">
            <v>TLN-522684</v>
          </cell>
        </row>
        <row r="441">
          <cell r="BY441">
            <v>45754</v>
          </cell>
          <cell r="BZ441" t="str">
            <v>CU8-8140,TLN-527331</v>
          </cell>
        </row>
        <row r="442">
          <cell r="BY442">
            <v>45728</v>
          </cell>
          <cell r="BZ442" t="str">
            <v>CY7-8078,CY7-8079,CY7-8080,CY7-8081,CY7-8082,CY7-8083,CY7-8084,TLN-521439</v>
          </cell>
        </row>
        <row r="443">
          <cell r="BY443">
            <v>45727</v>
          </cell>
          <cell r="BZ443" t="str">
            <v>TLN-527412</v>
          </cell>
        </row>
        <row r="444">
          <cell r="BY444">
            <v>45754</v>
          </cell>
          <cell r="BZ444" t="str">
            <v>CT6-5089,TLN-527036</v>
          </cell>
        </row>
        <row r="445">
          <cell r="BY445">
            <v>45730</v>
          </cell>
          <cell r="BZ445" t="str">
            <v>DSM1-3840,TLN-522951</v>
          </cell>
        </row>
        <row r="446">
          <cell r="BY446"/>
          <cell r="BZ446"/>
        </row>
        <row r="447">
          <cell r="BY447">
            <v>45730</v>
          </cell>
          <cell r="BZ447" t="str">
            <v>TLN-527605</v>
          </cell>
        </row>
        <row r="448">
          <cell r="BY448">
            <v>45730</v>
          </cell>
          <cell r="BZ448" t="str">
            <v>CT7-8094</v>
          </cell>
        </row>
        <row r="449">
          <cell r="BY449"/>
          <cell r="BZ449"/>
        </row>
        <row r="450">
          <cell r="BY450" t="str">
            <v>N/A</v>
          </cell>
          <cell r="BZ450"/>
        </row>
        <row r="451">
          <cell r="BY451">
            <v>45730</v>
          </cell>
          <cell r="BZ451" t="str">
            <v>CY8-8013</v>
          </cell>
        </row>
        <row r="452">
          <cell r="BY452">
            <v>45730</v>
          </cell>
          <cell r="BZ452" t="str">
            <v>A6-8058,TLN-527022</v>
          </cell>
        </row>
        <row r="453">
          <cell r="BY453">
            <v>45734</v>
          </cell>
          <cell r="BZ453" t="str">
            <v>DZ1-1498,TLN-035411</v>
          </cell>
        </row>
        <row r="454">
          <cell r="BY454">
            <v>45734</v>
          </cell>
          <cell r="BZ454" t="str">
            <v>CU8-8123,CU8-8124,TLN-526539</v>
          </cell>
        </row>
        <row r="455">
          <cell r="BY455">
            <v>45730</v>
          </cell>
          <cell r="BZ455" t="str">
            <v>DR1-8087,TLN-523395</v>
          </cell>
        </row>
        <row r="456">
          <cell r="BY456">
            <v>45734</v>
          </cell>
          <cell r="BZ456" t="str">
            <v>CR9-8034,CR9-8035,CR9-8036,CR9-8037,CR9-8039,TLN-523850</v>
          </cell>
        </row>
        <row r="457">
          <cell r="BY457">
            <v>45734</v>
          </cell>
          <cell r="BZ457" t="str">
            <v>TLN-527650</v>
          </cell>
        </row>
        <row r="458">
          <cell r="BY458"/>
          <cell r="BZ458"/>
        </row>
        <row r="459">
          <cell r="BY459"/>
          <cell r="BZ459"/>
        </row>
        <row r="460">
          <cell r="BY460">
            <v>45734</v>
          </cell>
          <cell r="BZ460" t="str">
            <v>TLN-211260</v>
          </cell>
        </row>
        <row r="461">
          <cell r="BY461" t="str">
            <v>N/A</v>
          </cell>
          <cell r="BZ461"/>
        </row>
        <row r="462">
          <cell r="BY462">
            <v>45734</v>
          </cell>
          <cell r="BZ462" t="str">
            <v>B8-0220,TLN-527188</v>
          </cell>
        </row>
        <row r="463">
          <cell r="BY463">
            <v>45730</v>
          </cell>
          <cell r="BZ463" t="str">
            <v>TLN-526558</v>
          </cell>
        </row>
        <row r="464">
          <cell r="BY464">
            <v>45730</v>
          </cell>
          <cell r="BZ464" t="str">
            <v>CY6-8024,CY6-8025,TLN-522865</v>
          </cell>
        </row>
        <row r="465">
          <cell r="BY465">
            <v>45733</v>
          </cell>
          <cell r="BZ465" t="str">
            <v>TLN-844456</v>
          </cell>
        </row>
        <row r="466">
          <cell r="BY466">
            <v>45733</v>
          </cell>
          <cell r="BZ466" t="str">
            <v>CX7-8166,CX7-8117,CX7-8118,CX7-8119,CX7-8120,CX7-8121,CX7-8122,CX7-8123,CX7-8093,TLN-201003,TLN-844456</v>
          </cell>
        </row>
        <row r="467">
          <cell r="BY467">
            <v>45730</v>
          </cell>
          <cell r="BZ467" t="str">
            <v>TLN-526587</v>
          </cell>
        </row>
        <row r="468">
          <cell r="BY468">
            <v>45733</v>
          </cell>
          <cell r="BZ468" t="str">
            <v>TLN-527589</v>
          </cell>
        </row>
        <row r="469">
          <cell r="BY469"/>
          <cell r="BZ469"/>
        </row>
        <row r="470">
          <cell r="BY470">
            <v>45734</v>
          </cell>
          <cell r="BZ470" t="str">
            <v>CW5-8047,CW5-8048,CW5-0725,CW5-8049,CW5-8050,CW5-8051,TLN-527345</v>
          </cell>
        </row>
        <row r="471">
          <cell r="BY471">
            <v>45762</v>
          </cell>
          <cell r="BZ471" t="str">
            <v>C5-8082</v>
          </cell>
        </row>
        <row r="472">
          <cell r="BY472" t="str">
            <v>N/A</v>
          </cell>
          <cell r="BZ472"/>
        </row>
        <row r="473">
          <cell r="BY473"/>
          <cell r="BZ473"/>
        </row>
        <row r="474">
          <cell r="BY474">
            <v>45762</v>
          </cell>
          <cell r="BZ474" t="str">
            <v>CX8-8166,TLN-523410</v>
          </cell>
        </row>
        <row r="475">
          <cell r="BY475">
            <v>45734</v>
          </cell>
          <cell r="BZ475" t="str">
            <v>CW6-8117,TLN-527355</v>
          </cell>
        </row>
        <row r="476">
          <cell r="BY476" t="str">
            <v>N/A</v>
          </cell>
          <cell r="BZ476"/>
        </row>
        <row r="477">
          <cell r="BY477" t="str">
            <v>N/A</v>
          </cell>
          <cell r="BZ477"/>
        </row>
        <row r="478">
          <cell r="BY478"/>
          <cell r="BZ478"/>
        </row>
        <row r="479">
          <cell r="BY479"/>
          <cell r="BZ479"/>
        </row>
        <row r="480">
          <cell r="BY480">
            <v>45742</v>
          </cell>
          <cell r="BZ480" t="str">
            <v>DV1-8109</v>
          </cell>
        </row>
        <row r="481">
          <cell r="BY481">
            <v>45742</v>
          </cell>
          <cell r="BZ481" t="str">
            <v>CV9-8044</v>
          </cell>
        </row>
        <row r="482">
          <cell r="BY482"/>
          <cell r="BZ482"/>
        </row>
        <row r="483">
          <cell r="BY483"/>
          <cell r="BZ483"/>
        </row>
        <row r="484">
          <cell r="BY484"/>
          <cell r="BZ484"/>
        </row>
        <row r="485">
          <cell r="BY485">
            <v>45742</v>
          </cell>
          <cell r="BZ485" t="str">
            <v>CR7-2360,TLN-522030</v>
          </cell>
        </row>
        <row r="486">
          <cell r="BY486">
            <v>45742</v>
          </cell>
          <cell r="BZ486" t="str">
            <v>TLN-523101</v>
          </cell>
        </row>
        <row r="487">
          <cell r="BY487"/>
          <cell r="BZ487"/>
        </row>
        <row r="488">
          <cell r="BY488"/>
          <cell r="BZ488"/>
        </row>
        <row r="489">
          <cell r="BY489"/>
          <cell r="BZ489"/>
        </row>
        <row r="490">
          <cell r="BY490"/>
          <cell r="BZ490"/>
        </row>
        <row r="491">
          <cell r="BY491" t="str">
            <v>N/A</v>
          </cell>
          <cell r="BZ491"/>
        </row>
        <row r="492">
          <cell r="BY492">
            <v>45762</v>
          </cell>
          <cell r="BZ492" t="str">
            <v>TLN-527522</v>
          </cell>
        </row>
        <row r="493">
          <cell r="BY493"/>
          <cell r="BZ493"/>
        </row>
        <row r="494">
          <cell r="BY494" t="str">
            <v>N/A</v>
          </cell>
          <cell r="BZ494"/>
        </row>
        <row r="495">
          <cell r="BY495"/>
          <cell r="BZ495"/>
        </row>
        <row r="496">
          <cell r="BY496"/>
          <cell r="BZ496"/>
        </row>
        <row r="497">
          <cell r="BY497"/>
          <cell r="BZ497"/>
        </row>
        <row r="498">
          <cell r="BY498"/>
          <cell r="BZ498"/>
        </row>
        <row r="499">
          <cell r="BY499"/>
          <cell r="BZ499"/>
        </row>
        <row r="500">
          <cell r="BY500"/>
          <cell r="BZ500"/>
        </row>
        <row r="501">
          <cell r="BY501"/>
          <cell r="BZ501"/>
        </row>
        <row r="502">
          <cell r="BY502"/>
          <cell r="BZ502"/>
        </row>
        <row r="503">
          <cell r="BY503"/>
          <cell r="BZ503"/>
        </row>
        <row r="504">
          <cell r="BY504"/>
          <cell r="BZ504"/>
        </row>
        <row r="505">
          <cell r="BY505">
            <v>45754</v>
          </cell>
          <cell r="BZ505" t="str">
            <v>DY1-8072,TLN-526892</v>
          </cell>
        </row>
        <row r="506">
          <cell r="BY506">
            <v>45755</v>
          </cell>
          <cell r="BZ506" t="str">
            <v>TLN-522397</v>
          </cell>
        </row>
        <row r="507">
          <cell r="BY507"/>
          <cell r="BZ507"/>
        </row>
        <row r="508">
          <cell r="BY508">
            <v>45754</v>
          </cell>
          <cell r="BZ508" t="str">
            <v>DV1-1220,DV1-8035,TLN-520316</v>
          </cell>
        </row>
        <row r="509">
          <cell r="BY509" t="str">
            <v>N/A</v>
          </cell>
          <cell r="BZ509"/>
        </row>
        <row r="510">
          <cell r="BY510">
            <v>45754</v>
          </cell>
          <cell r="BZ510" t="str">
            <v>TLN-527462</v>
          </cell>
        </row>
        <row r="511">
          <cell r="BY511">
            <v>45754</v>
          </cell>
          <cell r="BZ511" t="str">
            <v>CS9-8089,TLN-527524,TLN-060608</v>
          </cell>
        </row>
        <row r="512">
          <cell r="BY512">
            <v>45754</v>
          </cell>
          <cell r="BZ512" t="str">
            <v>CS9-8088,TLN-527142</v>
          </cell>
        </row>
        <row r="513">
          <cell r="BY513"/>
          <cell r="BZ513"/>
        </row>
        <row r="514">
          <cell r="BY514" t="str">
            <v>N/A</v>
          </cell>
          <cell r="BZ514"/>
        </row>
        <row r="515">
          <cell r="BY515" t="str">
            <v>N/A</v>
          </cell>
          <cell r="BZ515"/>
        </row>
        <row r="516">
          <cell r="BY516">
            <v>45755</v>
          </cell>
          <cell r="BZ516" t="str">
            <v>TLN-526906</v>
          </cell>
        </row>
        <row r="517">
          <cell r="BY517">
            <v>45761</v>
          </cell>
          <cell r="BZ517" t="str">
            <v>CV8-8084</v>
          </cell>
        </row>
        <row r="518">
          <cell r="BY518" t="str">
            <v>N/A</v>
          </cell>
          <cell r="BZ518"/>
        </row>
        <row r="519">
          <cell r="BY519">
            <v>45768</v>
          </cell>
          <cell r="BZ519" t="str">
            <v>TLN-527179</v>
          </cell>
        </row>
        <row r="520">
          <cell r="BY520" t="str">
            <v>N/A</v>
          </cell>
          <cell r="BZ520"/>
        </row>
        <row r="521">
          <cell r="BY521">
            <v>45768</v>
          </cell>
          <cell r="BZ521" t="str">
            <v>CP8-0235,TLN-527167</v>
          </cell>
        </row>
        <row r="522">
          <cell r="BY522"/>
          <cell r="BZ522"/>
        </row>
        <row r="523">
          <cell r="BY523"/>
          <cell r="BZ523"/>
        </row>
        <row r="524">
          <cell r="BY524">
            <v>45757</v>
          </cell>
          <cell r="BZ524" t="str">
            <v>CT9-8083,CU9-1834-S</v>
          </cell>
        </row>
        <row r="525">
          <cell r="BY525">
            <v>45757</v>
          </cell>
          <cell r="BZ525" t="str">
            <v>CU9-8092,CU9-8093,TLN-194837</v>
          </cell>
        </row>
        <row r="526">
          <cell r="BY526">
            <v>45768</v>
          </cell>
          <cell r="BZ526" t="str">
            <v>CX8-8140,TLN-521448</v>
          </cell>
        </row>
        <row r="527">
          <cell r="BY527">
            <v>45758</v>
          </cell>
          <cell r="BZ527" t="str">
            <v>DW1-8056,CW9-8067,CW9-8068</v>
          </cell>
        </row>
        <row r="528">
          <cell r="BY528">
            <v>45758</v>
          </cell>
          <cell r="BZ528" t="str">
            <v>TLN-527459</v>
          </cell>
        </row>
        <row r="529">
          <cell r="BY529"/>
          <cell r="BZ529" t="str">
            <v>A5-0565,A5-8083,TLN-527761</v>
          </cell>
        </row>
        <row r="530">
          <cell r="BY530">
            <v>45768</v>
          </cell>
          <cell r="BZ530" t="str">
            <v>DV1-8083,TLN-526399</v>
          </cell>
        </row>
        <row r="531">
          <cell r="BY531">
            <v>45757</v>
          </cell>
          <cell r="BZ531" t="str">
            <v>TLN-527710</v>
          </cell>
        </row>
        <row r="532">
          <cell r="BY532">
            <v>45761</v>
          </cell>
          <cell r="BZ532" t="str">
            <v>DW1-8032,TLN-522099</v>
          </cell>
        </row>
        <row r="533">
          <cell r="BY533">
            <v>45769</v>
          </cell>
          <cell r="BZ533" t="str">
            <v>TLN-526244,TLN-526243</v>
          </cell>
        </row>
        <row r="534">
          <cell r="BY534" t="str">
            <v>N/A</v>
          </cell>
          <cell r="BZ534"/>
        </row>
        <row r="535">
          <cell r="BY535" t="str">
            <v>N/A</v>
          </cell>
          <cell r="BZ535"/>
        </row>
        <row r="536">
          <cell r="BY536">
            <v>45768</v>
          </cell>
          <cell r="BZ536" t="str">
            <v>TLN-527934</v>
          </cell>
        </row>
        <row r="537">
          <cell r="BY537">
            <v>45762</v>
          </cell>
          <cell r="BZ537" t="str">
            <v>DX1-8104,DX1-8105,DX1-8106,DX1-8107,TLN-526825</v>
          </cell>
        </row>
        <row r="538">
          <cell r="BY538" t="str">
            <v>N/A</v>
          </cell>
          <cell r="BZ538"/>
        </row>
        <row r="539">
          <cell r="BY539" t="str">
            <v>N/A</v>
          </cell>
          <cell r="BZ539"/>
        </row>
        <row r="540">
          <cell r="BY540"/>
          <cell r="BZ540"/>
        </row>
        <row r="541">
          <cell r="BY541">
            <v>45772</v>
          </cell>
          <cell r="BZ541" t="str">
            <v>CT9-8081,CT9-8082,TLN-52647</v>
          </cell>
        </row>
        <row r="542">
          <cell r="BY542">
            <v>45768</v>
          </cell>
          <cell r="BZ542" t="str">
            <v>TLN-530015</v>
          </cell>
        </row>
        <row r="543">
          <cell r="BY543">
            <v>45772</v>
          </cell>
          <cell r="BZ543" t="str">
            <v>CS7-8169,TLN-527890</v>
          </cell>
        </row>
        <row r="544">
          <cell r="BY544" t="str">
            <v>N/A</v>
          </cell>
          <cell r="BZ544"/>
        </row>
        <row r="545">
          <cell r="BY545"/>
          <cell r="BZ545"/>
        </row>
        <row r="546">
          <cell r="BY546"/>
          <cell r="BZ546"/>
        </row>
        <row r="547">
          <cell r="BY547">
            <v>45770</v>
          </cell>
          <cell r="BZ547" t="str">
            <v>A5-8077,A5-8078,A5-8079,A5-8080,TLN-527409</v>
          </cell>
        </row>
        <row r="548">
          <cell r="BY548"/>
          <cell r="BZ548"/>
        </row>
        <row r="549">
          <cell r="BY549">
            <v>45757</v>
          </cell>
          <cell r="BZ549" t="str">
            <v>A6-8029,A6-8030,A6-8031,TLN-521988</v>
          </cell>
        </row>
        <row r="550">
          <cell r="BY550" t="str">
            <v>N/A</v>
          </cell>
          <cell r="BZ550"/>
        </row>
        <row r="551">
          <cell r="BY551" t="str">
            <v>N/A</v>
          </cell>
          <cell r="BZ551"/>
        </row>
        <row r="552">
          <cell r="BY552">
            <v>45771</v>
          </cell>
          <cell r="BZ552" t="str">
            <v>DY1-8055,TLN-523487</v>
          </cell>
        </row>
        <row r="553">
          <cell r="BY553" t="str">
            <v>N/A</v>
          </cell>
          <cell r="BZ553"/>
        </row>
        <row r="554">
          <cell r="BY554"/>
          <cell r="BZ554"/>
        </row>
        <row r="555">
          <cell r="BY555"/>
          <cell r="BZ555"/>
        </row>
        <row r="556">
          <cell r="BY556"/>
          <cell r="BZ556"/>
        </row>
        <row r="557">
          <cell r="BY557"/>
          <cell r="BZ557"/>
        </row>
        <row r="558">
          <cell r="BY558"/>
          <cell r="BZ558"/>
        </row>
        <row r="559">
          <cell r="BY559"/>
          <cell r="BZ559"/>
        </row>
        <row r="560">
          <cell r="BY560" t="str">
            <v>N/A</v>
          </cell>
          <cell r="BZ560"/>
        </row>
        <row r="561">
          <cell r="BY561">
            <v>45777</v>
          </cell>
          <cell r="BZ561" t="str">
            <v>TLN-527765</v>
          </cell>
        </row>
        <row r="562">
          <cell r="BY562">
            <v>45777</v>
          </cell>
          <cell r="BZ562" t="str">
            <v>TLN-526617,TLN-051030</v>
          </cell>
        </row>
        <row r="563">
          <cell r="BY563">
            <v>45783</v>
          </cell>
          <cell r="BZ563" t="str">
            <v>DX2-8022,TLN-527354,DX2-8023</v>
          </cell>
        </row>
        <row r="564">
          <cell r="BY564">
            <v>45775</v>
          </cell>
          <cell r="BZ564" t="str">
            <v>TLN-530039</v>
          </cell>
        </row>
        <row r="565">
          <cell r="BY565">
            <v>45772</v>
          </cell>
          <cell r="BZ565" t="str">
            <v>CS7-8154 - TLN-526661</v>
          </cell>
        </row>
        <row r="566">
          <cell r="BY566">
            <v>45772</v>
          </cell>
          <cell r="BZ566" t="str">
            <v>N/A</v>
          </cell>
        </row>
        <row r="567">
          <cell r="BY567" t="str">
            <v>N/A</v>
          </cell>
          <cell r="BZ567"/>
        </row>
        <row r="568">
          <cell r="BY568">
            <v>45784</v>
          </cell>
          <cell r="BZ568" t="str">
            <v>A7-8057,TLN-186963</v>
          </cell>
        </row>
        <row r="569">
          <cell r="BY569"/>
          <cell r="BZ569"/>
        </row>
        <row r="570">
          <cell r="BY570">
            <v>45769</v>
          </cell>
          <cell r="BZ570" t="str">
            <v>B4-8031,TLN-530185</v>
          </cell>
        </row>
        <row r="571">
          <cell r="BY571">
            <v>45772</v>
          </cell>
          <cell r="BZ571" t="str">
            <v>N/A</v>
          </cell>
        </row>
        <row r="572">
          <cell r="BY572"/>
          <cell r="BZ572"/>
        </row>
        <row r="573">
          <cell r="BY573">
            <v>45783</v>
          </cell>
          <cell r="BZ573" t="str">
            <v>A8-8144, TLN-527757</v>
          </cell>
        </row>
        <row r="574">
          <cell r="BY574"/>
          <cell r="BZ574"/>
        </row>
        <row r="575">
          <cell r="BY575"/>
          <cell r="BZ575"/>
        </row>
        <row r="576">
          <cell r="BY576">
            <v>45783</v>
          </cell>
          <cell r="BZ576" t="str">
            <v>DZ1-8102, DZ2-8103</v>
          </cell>
        </row>
        <row r="577">
          <cell r="BY577">
            <v>45783</v>
          </cell>
          <cell r="BZ577" t="str">
            <v>DX1-8116, TLN-527713</v>
          </cell>
        </row>
        <row r="578">
          <cell r="BY578">
            <v>45783</v>
          </cell>
          <cell r="BZ578" t="str">
            <v>TLN-527768</v>
          </cell>
        </row>
        <row r="579">
          <cell r="BY579">
            <v>45783</v>
          </cell>
          <cell r="BZ579" t="str">
            <v>TLN-530232</v>
          </cell>
        </row>
        <row r="580">
          <cell r="BY580">
            <v>45783</v>
          </cell>
          <cell r="BZ580" t="str">
            <v>CU9-8031,TLN-578073</v>
          </cell>
        </row>
        <row r="581">
          <cell r="BY581">
            <v>45783</v>
          </cell>
          <cell r="BZ581" t="str">
            <v>TLN-080048</v>
          </cell>
        </row>
        <row r="582">
          <cell r="BY582">
            <v>45783</v>
          </cell>
          <cell r="BZ582" t="str">
            <v>CT9-8085,TLN-527431</v>
          </cell>
        </row>
        <row r="583">
          <cell r="BY583"/>
          <cell r="BZ583"/>
        </row>
        <row r="584">
          <cell r="BY584">
            <v>45782</v>
          </cell>
          <cell r="BZ584" t="str">
            <v>CW4-8021-TLN-516593</v>
          </cell>
        </row>
        <row r="585">
          <cell r="BY585">
            <v>45776</v>
          </cell>
          <cell r="BZ585" t="str">
            <v>CS7-8160,CS7-8161,CS7-8162,CS7-8163,CS7-8164 - TLN-527319</v>
          </cell>
        </row>
        <row r="586">
          <cell r="BY586">
            <v>45782</v>
          </cell>
          <cell r="BZ586" t="str">
            <v>CV7-1408,CV7-1409</v>
          </cell>
        </row>
        <row r="587">
          <cell r="BY587">
            <v>45782</v>
          </cell>
          <cell r="BZ587" t="str">
            <v>CW5-0031-TLN-526381</v>
          </cell>
        </row>
        <row r="588">
          <cell r="BY588">
            <v>45782</v>
          </cell>
          <cell r="BZ588" t="str">
            <v>CU9-8046,CU9-8047,CU9-8048,CU9-8049,TLN-520428</v>
          </cell>
        </row>
        <row r="589">
          <cell r="BY589">
            <v>45782</v>
          </cell>
          <cell r="BZ589" t="str">
            <v>TLN-522965</v>
          </cell>
        </row>
        <row r="590">
          <cell r="BY590">
            <v>45783</v>
          </cell>
          <cell r="BZ590" t="str">
            <v>C5-8074, TLN-523059</v>
          </cell>
        </row>
        <row r="591">
          <cell r="BY591"/>
          <cell r="BZ591"/>
        </row>
        <row r="592">
          <cell r="BY592"/>
          <cell r="BZ592"/>
        </row>
        <row r="593">
          <cell r="BY593"/>
          <cell r="BZ593"/>
        </row>
        <row r="594">
          <cell r="BY594">
            <v>45783</v>
          </cell>
          <cell r="BZ594" t="str">
            <v>CR9-8055,TLN-530305</v>
          </cell>
        </row>
        <row r="595">
          <cell r="BY595" t="str">
            <v>N/A</v>
          </cell>
          <cell r="BZ595"/>
        </row>
        <row r="596">
          <cell r="BY596">
            <v>45786</v>
          </cell>
          <cell r="BZ596" t="str">
            <v>DX1-8108,DX1-8109,DX1-8110,DX1-8111,TLN-527024</v>
          </cell>
        </row>
        <row r="597">
          <cell r="BY597">
            <v>45783</v>
          </cell>
          <cell r="BZ597" t="str">
            <v>CR9-8051,CR9-8052,CR9-8053,CR9-8054,CR9-5905</v>
          </cell>
        </row>
        <row r="598">
          <cell r="BY598">
            <v>45786</v>
          </cell>
          <cell r="BZ598" t="str">
            <v>TLN-527665</v>
          </cell>
        </row>
        <row r="599">
          <cell r="BY599" t="str">
            <v>N/A</v>
          </cell>
          <cell r="BZ599"/>
        </row>
        <row r="600">
          <cell r="BY600">
            <v>45784</v>
          </cell>
          <cell r="BZ600" t="str">
            <v>A4-8009,TLN-527905</v>
          </cell>
        </row>
        <row r="601">
          <cell r="BY601">
            <v>45783</v>
          </cell>
          <cell r="BZ601" t="str">
            <v>N/A</v>
          </cell>
        </row>
        <row r="602">
          <cell r="BY602"/>
          <cell r="BZ602"/>
        </row>
        <row r="603">
          <cell r="BY603">
            <v>45786</v>
          </cell>
          <cell r="BZ603" t="str">
            <v>CW9-8098,CW9-8099,CW9-8100,TLN-530415</v>
          </cell>
        </row>
        <row r="604">
          <cell r="BY604"/>
          <cell r="BZ604"/>
        </row>
        <row r="605">
          <cell r="BY605"/>
          <cell r="BZ605"/>
        </row>
        <row r="606">
          <cell r="BY606"/>
          <cell r="BZ606"/>
        </row>
        <row r="607">
          <cell r="BY607"/>
          <cell r="BZ607"/>
        </row>
        <row r="608">
          <cell r="BY608"/>
          <cell r="BZ608"/>
        </row>
        <row r="609">
          <cell r="BY609"/>
          <cell r="BZ609"/>
        </row>
        <row r="610">
          <cell r="BY610"/>
          <cell r="BZ610"/>
        </row>
        <row r="611">
          <cell r="BY611"/>
          <cell r="BZ611"/>
        </row>
        <row r="612">
          <cell r="BY612"/>
          <cell r="BZ612"/>
        </row>
        <row r="613">
          <cell r="BY613"/>
          <cell r="BZ613"/>
        </row>
        <row r="614">
          <cell r="BY614"/>
          <cell r="BZ614"/>
        </row>
        <row r="615">
          <cell r="BY615"/>
          <cell r="BZ615"/>
        </row>
        <row r="616">
          <cell r="BY616"/>
          <cell r="BZ616"/>
        </row>
        <row r="617">
          <cell r="BY617"/>
          <cell r="BZ617"/>
        </row>
        <row r="618">
          <cell r="BY618"/>
          <cell r="BZ618"/>
        </row>
        <row r="619">
          <cell r="BY619"/>
          <cell r="BZ619"/>
        </row>
        <row r="620">
          <cell r="BY620">
            <v>45785</v>
          </cell>
          <cell r="BZ620" t="str">
            <v>TLN-527785</v>
          </cell>
        </row>
        <row r="621">
          <cell r="BY621">
            <v>45785</v>
          </cell>
          <cell r="BZ621" t="str">
            <v>C5-8239,C5-5002</v>
          </cell>
        </row>
        <row r="622">
          <cell r="BY622"/>
          <cell r="BZ622"/>
        </row>
        <row r="623">
          <cell r="BY623"/>
          <cell r="BZ623"/>
        </row>
        <row r="624">
          <cell r="BY624"/>
          <cell r="BZ624"/>
        </row>
        <row r="625">
          <cell r="BY625">
            <v>45786</v>
          </cell>
          <cell r="BZ625" t="str">
            <v>B7-8154</v>
          </cell>
        </row>
        <row r="626">
          <cell r="BY626"/>
          <cell r="BZ626"/>
        </row>
        <row r="627">
          <cell r="BY627"/>
          <cell r="BZ627"/>
        </row>
        <row r="628">
          <cell r="BY628"/>
          <cell r="BZ628"/>
        </row>
        <row r="629">
          <cell r="BY629"/>
          <cell r="BZ629"/>
        </row>
        <row r="630">
          <cell r="BY630"/>
          <cell r="BZ630"/>
        </row>
        <row r="631">
          <cell r="BY631"/>
          <cell r="BZ631"/>
        </row>
        <row r="632">
          <cell r="BY632"/>
          <cell r="BZ632"/>
        </row>
        <row r="633">
          <cell r="BY633"/>
          <cell r="BZ633"/>
        </row>
        <row r="634">
          <cell r="BY634"/>
          <cell r="BZ634"/>
        </row>
        <row r="635">
          <cell r="BY635"/>
          <cell r="BZ635"/>
        </row>
        <row r="636">
          <cell r="BY636"/>
          <cell r="BZ636"/>
        </row>
        <row r="637">
          <cell r="BY637"/>
          <cell r="BZ637"/>
        </row>
        <row r="638">
          <cell r="BY638"/>
          <cell r="BZ638"/>
        </row>
        <row r="639">
          <cell r="BY639"/>
          <cell r="BZ639"/>
        </row>
        <row r="640">
          <cell r="BY640"/>
          <cell r="BZ640"/>
        </row>
        <row r="641">
          <cell r="BY641"/>
          <cell r="BZ641"/>
        </row>
        <row r="642">
          <cell r="BY642"/>
          <cell r="BZ642"/>
        </row>
        <row r="643">
          <cell r="BY643"/>
          <cell r="BZ643"/>
        </row>
        <row r="644">
          <cell r="BY644"/>
        </row>
        <row r="645">
          <cell r="BY645"/>
        </row>
        <row r="646">
          <cell r="BY646"/>
        </row>
        <row r="647">
          <cell r="BY647"/>
        </row>
        <row r="648">
          <cell r="BY648"/>
        </row>
        <row r="649">
          <cell r="BY649"/>
        </row>
        <row r="650">
          <cell r="BY650"/>
        </row>
        <row r="651">
          <cell r="BY651"/>
        </row>
        <row r="652">
          <cell r="BY652"/>
        </row>
        <row r="653">
          <cell r="BY653"/>
        </row>
        <row r="654">
          <cell r="BY654"/>
        </row>
        <row r="655">
          <cell r="BY655"/>
        </row>
        <row r="656">
          <cell r="BY656"/>
        </row>
        <row r="657">
          <cell r="BY657"/>
        </row>
        <row r="658">
          <cell r="BY658"/>
        </row>
        <row r="659">
          <cell r="BY659"/>
        </row>
      </sheetData>
      <sheetData sheetId="1"/>
      <sheetData sheetId="2"/>
      <sheetData sheetId="3"/>
      <sheetData sheetId="4"/>
      <sheetData sheetId="5"/>
      <sheetData sheetId="6"/>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2025"/>
    </sheetNames>
    <sheetDataSet>
      <sheetData sheetId="0"/>
      <sheetData sheetId="1">
        <row r="1">
          <cell r="A1" t="str">
            <v>WO NO</v>
          </cell>
          <cell r="B1" t="str">
            <v>DESCRIPTION</v>
          </cell>
          <cell r="C1" t="str">
            <v>LOCATION</v>
          </cell>
          <cell r="D1" t="str">
            <v>PCA TYPE</v>
          </cell>
          <cell r="E1" t="str">
            <v>ASSIGNED</v>
          </cell>
          <cell r="F1" t="str">
            <v>EAM STATUS</v>
          </cell>
          <cell r="G1" t="str">
            <v>DATE WMTRL (RELEASED TO C1)</v>
          </cell>
          <cell r="H1" t="str">
            <v>C1 Mnhrs</v>
          </cell>
          <cell r="I1" t="str">
            <v>DATE FCOMP</v>
          </cell>
          <cell r="J1" t="str">
            <v>ESTIMATED TARGET DATE OF COMPLETION</v>
          </cell>
          <cell r="K1" t="str">
            <v>RELATED VIP</v>
          </cell>
          <cell r="L1" t="str">
            <v>SITE STATUS</v>
          </cell>
          <cell r="M1" t="str">
            <v>Reason of Delay</v>
          </cell>
        </row>
        <row r="2">
          <cell r="A2" t="str">
            <v>R19617176</v>
          </cell>
          <cell r="B2" t="str">
            <v>OFFICE OF CONGRESSMAN STRIKE B. REVILLA,</v>
          </cell>
          <cell r="C2" t="str">
            <v>GEN. EMILIO AGUINALDO, PANAPAAN VI, BACOOR</v>
          </cell>
          <cell r="D2" t="str">
            <v>RELOC</v>
          </cell>
          <cell r="E2" t="str">
            <v>AVECO</v>
          </cell>
          <cell r="F2" t="str">
            <v>SCHED</v>
          </cell>
          <cell r="G2">
            <v>44475.811805555553</v>
          </cell>
          <cell r="H2">
            <v>1133.2283999999993</v>
          </cell>
          <cell r="I2" t="str">
            <v>-</v>
          </cell>
          <cell r="J2">
            <v>45931</v>
          </cell>
          <cell r="K2" t="str">
            <v xml:space="preserve">LGU Mayor Strike Revilla </v>
          </cell>
          <cell r="L2" t="str">
            <v xml:space="preserve">Pending </v>
          </cell>
          <cell r="M2" t="str">
            <v xml:space="preserve">R/ Way Probelm  </v>
          </cell>
        </row>
        <row r="3">
          <cell r="A3" t="str">
            <v>R19291776</v>
          </cell>
          <cell r="B3" t="str">
            <v>CITY GOVERNMENT OF BACOOR</v>
          </cell>
          <cell r="C3" t="str">
            <v>GEN. TIRONA, HABAY I, BACOOR</v>
          </cell>
          <cell r="D3" t="str">
            <v>RELOC</v>
          </cell>
          <cell r="E3" t="str">
            <v>DASMA</v>
          </cell>
          <cell r="F3" t="str">
            <v>SCHED</v>
          </cell>
          <cell r="G3">
            <v>44531.654861111114</v>
          </cell>
          <cell r="H3">
            <v>261.88480000000004</v>
          </cell>
          <cell r="I3" t="str">
            <v>-</v>
          </cell>
          <cell r="J3" t="str">
            <v>Re-assigned to Dasma</v>
          </cell>
          <cell r="K3" t="str">
            <v xml:space="preserve">LGU Mayor Strike Revilla </v>
          </cell>
          <cell r="L3" t="str">
            <v xml:space="preserve">Pending </v>
          </cell>
          <cell r="M3" t="str">
            <v xml:space="preserve">R/ Way Probelm  SM </v>
          </cell>
        </row>
        <row r="4">
          <cell r="A4" t="str">
            <v>R21631238</v>
          </cell>
          <cell r="B4" t="str">
            <v>CAVITEX INFRASTRUCTURE CORP.</v>
          </cell>
          <cell r="C4" t="str">
            <v>N. ARMSTRONG, MOONWALK, PARANAQUE</v>
          </cell>
          <cell r="D4" t="str">
            <v>PCA RELOC</v>
          </cell>
          <cell r="E4" t="str">
            <v>CHALLENGER</v>
          </cell>
          <cell r="F4" t="str">
            <v>FCOMP</v>
          </cell>
          <cell r="G4">
            <v>44621.599999999999</v>
          </cell>
          <cell r="H4">
            <v>382.92960000000033</v>
          </cell>
          <cell r="I4">
            <v>45818</v>
          </cell>
          <cell r="J4"/>
          <cell r="K4" t="str">
            <v>PMO</v>
          </cell>
          <cell r="L4"/>
          <cell r="M4"/>
        </row>
        <row r="5">
          <cell r="A5" t="str">
            <v>R21662615</v>
          </cell>
          <cell r="B5" t="str">
            <v>FOOD TERMINAL, INC.</v>
          </cell>
          <cell r="C5" t="str">
            <v>LANGKA, FTI CPD, TAGUIG CITY</v>
          </cell>
          <cell r="D5" t="str">
            <v>RELOC</v>
          </cell>
          <cell r="E5" t="str">
            <v>VJC</v>
          </cell>
          <cell r="F5" t="str">
            <v>DPRG-PCR</v>
          </cell>
          <cell r="G5">
            <v>44673.324305555558</v>
          </cell>
          <cell r="H5">
            <v>102.0535</v>
          </cell>
          <cell r="I5" t="str">
            <v>-</v>
          </cell>
          <cell r="J5"/>
          <cell r="K5"/>
          <cell r="L5"/>
          <cell r="M5"/>
        </row>
        <row r="6">
          <cell r="A6" t="str">
            <v>R20609999</v>
          </cell>
          <cell r="B6" t="str">
            <v>CAVITEX INFRASTRUCTURE CORP.</v>
          </cell>
          <cell r="C6" t="str">
            <v>KAINGIN RD., KAINGIN, PARANAQUE</v>
          </cell>
          <cell r="D6" t="str">
            <v>RELOC</v>
          </cell>
          <cell r="E6" t="str">
            <v>ECOM</v>
          </cell>
          <cell r="F6" t="str">
            <v>SCHED</v>
          </cell>
          <cell r="G6">
            <v>44677.561805555553</v>
          </cell>
          <cell r="H6">
            <v>717.71599999999887</v>
          </cell>
          <cell r="I6" t="str">
            <v>-</v>
          </cell>
          <cell r="J6" t="str">
            <v>with ROW issue</v>
          </cell>
          <cell r="K6" t="str">
            <v>PMO</v>
          </cell>
          <cell r="L6" t="str">
            <v xml:space="preserve">Pending </v>
          </cell>
          <cell r="M6" t="str">
            <v xml:space="preserve">R/ Way Probelm  Along C5  South Link </v>
          </cell>
        </row>
        <row r="7">
          <cell r="A7" t="str">
            <v>X22052042329</v>
          </cell>
          <cell r="B7" t="str">
            <v>MARIA IMELDA BUYOC SANDWEG</v>
          </cell>
          <cell r="C7" t="str">
            <v>JOY, DREAMLAND SUBD, PARANAQUE</v>
          </cell>
          <cell r="D7" t="str">
            <v>MODIFICATION</v>
          </cell>
          <cell r="E7" t="str">
            <v>VJC</v>
          </cell>
          <cell r="F7" t="str">
            <v>PCAN3</v>
          </cell>
          <cell r="G7">
            <v>44796.46875</v>
          </cell>
          <cell r="H7">
            <v>162.57659999999993</v>
          </cell>
          <cell r="I7" t="str">
            <v>-</v>
          </cell>
          <cell r="J7"/>
          <cell r="K7"/>
          <cell r="L7"/>
          <cell r="M7"/>
        </row>
        <row r="8">
          <cell r="A8" t="str">
            <v>R21135764</v>
          </cell>
          <cell r="B8" t="str">
            <v>CAVITEX INFRASTRUCTURE CORP.</v>
          </cell>
          <cell r="C8" t="str">
            <v>MULTINATIONAL VILL, MULTINATIONAL VILL, PARANAQUE</v>
          </cell>
          <cell r="D8" t="str">
            <v>RELOC</v>
          </cell>
          <cell r="E8" t="str">
            <v>ECOM</v>
          </cell>
          <cell r="F8" t="str">
            <v>FCOMP</v>
          </cell>
          <cell r="G8">
            <v>44811.328472222223</v>
          </cell>
          <cell r="H8">
            <v>812.46230000000037</v>
          </cell>
          <cell r="I8">
            <v>45769</v>
          </cell>
          <cell r="J8"/>
          <cell r="K8" t="str">
            <v>PMO</v>
          </cell>
          <cell r="L8" t="str">
            <v xml:space="preserve">Pending </v>
          </cell>
          <cell r="M8"/>
        </row>
        <row r="9">
          <cell r="A9" t="str">
            <v>X22031018462</v>
          </cell>
          <cell r="B9" t="str">
            <v>GLOBE TELECOM, INC.</v>
          </cell>
          <cell r="C9" t="str">
            <v>BLOCK 13, BERNABE CPD, LAS PINAS CITY</v>
          </cell>
          <cell r="D9" t="str">
            <v>MODIFICATION</v>
          </cell>
          <cell r="E9" t="str">
            <v>AVECO</v>
          </cell>
          <cell r="F9" t="str">
            <v>CAN</v>
          </cell>
          <cell r="G9">
            <v>44881.379895833335</v>
          </cell>
          <cell r="H9">
            <v>76.258500000000026</v>
          </cell>
          <cell r="I9" t="str">
            <v>CAN</v>
          </cell>
          <cell r="J9"/>
          <cell r="K9" t="str">
            <v xml:space="preserve">CANCEL </v>
          </cell>
          <cell r="L9" t="str">
            <v xml:space="preserve">CANCEL </v>
          </cell>
          <cell r="M9" t="str">
            <v xml:space="preserve">CANCEL </v>
          </cell>
        </row>
        <row r="10">
          <cell r="A10" t="str">
            <v>R21631694</v>
          </cell>
          <cell r="B10" t="str">
            <v>CAVITEX INFRASTRUCTURE CORP.,</v>
          </cell>
          <cell r="C10" t="str">
            <v>KAINGIN, STO. NIÑO, PARAÑAQUE</v>
          </cell>
          <cell r="D10" t="str">
            <v>RELOC</v>
          </cell>
          <cell r="E10" t="str">
            <v>ECOM</v>
          </cell>
          <cell r="F10" t="str">
            <v>INPRG</v>
          </cell>
          <cell r="G10">
            <v>44992</v>
          </cell>
          <cell r="H10">
            <v>1059.1652000000006</v>
          </cell>
          <cell r="I10" t="str">
            <v>-</v>
          </cell>
          <cell r="J10" t="str">
            <v>with ROW issue</v>
          </cell>
          <cell r="K10" t="str">
            <v>PMO</v>
          </cell>
          <cell r="L10" t="str">
            <v>On -Going / Pending</v>
          </cell>
          <cell r="M10" t="str">
            <v xml:space="preserve">R/ Way Probelm  Along C5  South Link </v>
          </cell>
        </row>
        <row r="11">
          <cell r="A11" t="str">
            <v>R22573760</v>
          </cell>
          <cell r="B11" t="str">
            <v>KANE INDUSTRIAL CORP,</v>
          </cell>
          <cell r="C11" t="str">
            <v>NIOG III, NIOG III, BACOOR</v>
          </cell>
          <cell r="D11" t="str">
            <v>RELOC</v>
          </cell>
          <cell r="E11" t="str">
            <v>AVECO</v>
          </cell>
          <cell r="F11" t="str">
            <v>FCOMP</v>
          </cell>
          <cell r="G11">
            <v>45443.696527777778</v>
          </cell>
          <cell r="H11">
            <v>178.42439999999999</v>
          </cell>
          <cell r="I11">
            <v>45751</v>
          </cell>
          <cell r="J11"/>
          <cell r="K11" t="str">
            <v>Leilani Anastacio of ICT Business Partner (Ms Duerma )</v>
          </cell>
          <cell r="L11" t="str">
            <v xml:space="preserve">Completed </v>
          </cell>
          <cell r="M11"/>
        </row>
        <row r="12">
          <cell r="A12" t="str">
            <v>X24010310203</v>
          </cell>
          <cell r="B12" t="str">
            <v>HSL - BRAILLE COLLEGE, INC.,</v>
          </cell>
          <cell r="C12" t="str">
            <v>DURIAN, ZONE 1, TAGUIG CITY</v>
          </cell>
          <cell r="D12" t="str">
            <v>MODIFICATION</v>
          </cell>
          <cell r="E12" t="str">
            <v>CHALLENGER</v>
          </cell>
          <cell r="F12" t="str">
            <v>FCOMP</v>
          </cell>
          <cell r="G12">
            <v>45446.724305555559</v>
          </cell>
          <cell r="H12">
            <v>193.1311</v>
          </cell>
          <cell r="I12">
            <v>45747.418055555558</v>
          </cell>
          <cell r="J12"/>
          <cell r="K12" t="str">
            <v>Atty. Pamintuan thru Parañaque BC</v>
          </cell>
          <cell r="L12"/>
          <cell r="M12" t="str">
            <v>Created new supplemetary WO for the modification of service drop (X24114538494)</v>
          </cell>
        </row>
        <row r="13">
          <cell r="A13" t="str">
            <v>R23354122</v>
          </cell>
          <cell r="B13" t="str">
            <v>MANAHAN, MELANIE V.,</v>
          </cell>
          <cell r="C13" t="str">
            <v>SAPLUNGAN, MEADOWOOD EXEC. VILLAGE PHASE 3B, BACOOR</v>
          </cell>
          <cell r="D13" t="str">
            <v>RELOC</v>
          </cell>
          <cell r="E13" t="str">
            <v>AVECO</v>
          </cell>
          <cell r="F13" t="str">
            <v>FCOMP</v>
          </cell>
          <cell r="G13">
            <v>45518.397222222222</v>
          </cell>
          <cell r="H13">
            <v>21.84</v>
          </cell>
          <cell r="I13">
            <v>45799</v>
          </cell>
          <cell r="J13"/>
          <cell r="K13" t="str">
            <v>ERC /Terence Jay Gonzales (G3-Bacoor)</v>
          </cell>
          <cell r="L13" t="str">
            <v xml:space="preserve">On -going/ Completion 2nd Week o May </v>
          </cell>
          <cell r="M13"/>
        </row>
        <row r="14">
          <cell r="A14" t="str">
            <v>X24052000269</v>
          </cell>
          <cell r="B14" t="str">
            <v>CITY GOVERNMENT OF TAGUIG</v>
          </cell>
          <cell r="C14" t="str">
            <v>MAULING CREEK, PUROK 6D, TAGUIG CITY</v>
          </cell>
          <cell r="D14" t="str">
            <v>NEW</v>
          </cell>
          <cell r="E14" t="str">
            <v>AVECO</v>
          </cell>
          <cell r="F14" t="str">
            <v>FCOMP</v>
          </cell>
          <cell r="G14">
            <v>45534.675694444442</v>
          </cell>
          <cell r="H14">
            <v>831.79750000000001</v>
          </cell>
          <cell r="I14">
            <v>45786</v>
          </cell>
          <cell r="J14"/>
          <cell r="K14" t="str">
            <v>LGU Congresman Adeng / Mayor Cayetano</v>
          </cell>
          <cell r="L14" t="str">
            <v xml:space="preserve">On Going </v>
          </cell>
          <cell r="M14"/>
        </row>
        <row r="15">
          <cell r="A15" t="str">
            <v>X24072692499</v>
          </cell>
          <cell r="B15" t="str">
            <v>HSL - BRAILLE COLLEGE, INC.,</v>
          </cell>
          <cell r="C15" t="str">
            <v>DURIAN, ZONE 1, TAGUIG CITY</v>
          </cell>
          <cell r="D15" t="str">
            <v>MODIFICATION</v>
          </cell>
          <cell r="E15" t="str">
            <v>CHALLENGER</v>
          </cell>
          <cell r="F15" t="str">
            <v>FCOMP</v>
          </cell>
          <cell r="G15">
            <v>45546.451226851852</v>
          </cell>
          <cell r="H15">
            <v>550.21709999999996</v>
          </cell>
          <cell r="I15">
            <v>45747.425000000003</v>
          </cell>
          <cell r="J15"/>
          <cell r="K15" t="str">
            <v>Cong. Sonny Lagon</v>
          </cell>
          <cell r="L15" t="str">
            <v>Scheduled for pole digging 1st week of December 2024</v>
          </cell>
          <cell r="M15" t="str">
            <v>Conducted a rejoint survey for bunot tayo operations on tasks 18 and 19; Assigned crew diverted to NAIA Reliability Wos</v>
          </cell>
        </row>
        <row r="16">
          <cell r="A16" t="str">
            <v>X24020641632</v>
          </cell>
          <cell r="B16" t="str">
            <v>HENRY LAO LIM</v>
          </cell>
          <cell r="C16" t="str">
            <v>BUKIDNON, MARINA SUBD, PARANAQUE</v>
          </cell>
          <cell r="D16" t="str">
            <v>NEW</v>
          </cell>
          <cell r="E16" t="str">
            <v>POWERHOUSE</v>
          </cell>
          <cell r="F16" t="str">
            <v>FCOMP</v>
          </cell>
          <cell r="G16">
            <v>45553.692731481482</v>
          </cell>
          <cell r="H16">
            <v>224.01419999999999</v>
          </cell>
          <cell r="I16">
            <v>45677</v>
          </cell>
          <cell r="J16"/>
          <cell r="K16" t="str">
            <v>Boss Joey Alonzo thru boss Jojit Galan</v>
          </cell>
          <cell r="L16"/>
          <cell r="M16"/>
        </row>
        <row r="17">
          <cell r="A17" t="str">
            <v>X22125062389</v>
          </cell>
          <cell r="B17" t="str">
            <v>SONNY L LAGON</v>
          </cell>
          <cell r="C17" t="str">
            <v>ACACIA, MULTINATIONAL VILL, PARANAQUE</v>
          </cell>
          <cell r="D17" t="str">
            <v>NEW</v>
          </cell>
          <cell r="E17" t="str">
            <v>VJC</v>
          </cell>
          <cell r="F17" t="str">
            <v>FCOMP</v>
          </cell>
          <cell r="G17">
            <v>45561.476388888892</v>
          </cell>
          <cell r="H17">
            <v>428.8492</v>
          </cell>
          <cell r="I17">
            <v>45667</v>
          </cell>
          <cell r="J17"/>
          <cell r="K17" t="str">
            <v>Paranaque BC - Ron Bernardo</v>
          </cell>
          <cell r="L17"/>
          <cell r="M17"/>
        </row>
        <row r="18">
          <cell r="A18" t="str">
            <v>X24083444242</v>
          </cell>
          <cell r="B18" t="str">
            <v>JEIKA PROPERTIES CORPORATION</v>
          </cell>
          <cell r="C18" t="str">
            <v>BLOCK 6, KATHLEEN PLACE 5 SUBD, BACOOR</v>
          </cell>
          <cell r="D18" t="str">
            <v>NEW</v>
          </cell>
          <cell r="E18" t="str">
            <v>CHALLENGER</v>
          </cell>
          <cell r="F18" t="str">
            <v>FCOMP</v>
          </cell>
          <cell r="G18">
            <v>45575.424305555556</v>
          </cell>
          <cell r="H18">
            <v>1773.3821</v>
          </cell>
          <cell r="I18">
            <v>45694</v>
          </cell>
          <cell r="J18"/>
          <cell r="K18" t="str">
            <v>Boss Joey Alonzo</v>
          </cell>
          <cell r="L18"/>
          <cell r="M18"/>
        </row>
        <row r="19">
          <cell r="A19" t="str">
            <v>X24073033797</v>
          </cell>
          <cell r="B19" t="str">
            <v>CELSO T DIMARUCUT</v>
          </cell>
          <cell r="C19" t="str">
            <v>DOÑA CONCHA CRUZ, BF HOMES, PARANAQUE</v>
          </cell>
          <cell r="D19" t="str">
            <v>MODIFICATION</v>
          </cell>
          <cell r="E19" t="str">
            <v>POWERHOUSE</v>
          </cell>
          <cell r="F19" t="str">
            <v>FCOMP</v>
          </cell>
          <cell r="G19">
            <v>45587.710416666669</v>
          </cell>
          <cell r="H19">
            <v>47.435499999999998</v>
          </cell>
          <cell r="I19">
            <v>45668</v>
          </cell>
          <cell r="J19"/>
          <cell r="K19" t="str">
            <v xml:space="preserve">Joe R. Zaldarriaga </v>
          </cell>
          <cell r="L19"/>
          <cell r="M19"/>
        </row>
        <row r="20">
          <cell r="A20" t="str">
            <v>X24083323243</v>
          </cell>
          <cell r="B20" t="str">
            <v>NICOLE TRINIDAD LOTILLA</v>
          </cell>
          <cell r="C20" t="str">
            <v>DAFFODIL, PILAR VILL, LAS PINAS CITY</v>
          </cell>
          <cell r="D20" t="str">
            <v>MODIFICATION</v>
          </cell>
          <cell r="E20" t="str">
            <v>AVECO</v>
          </cell>
          <cell r="F20" t="str">
            <v>FCOMP</v>
          </cell>
          <cell r="G20">
            <v>45600.63958333333</v>
          </cell>
          <cell r="H20">
            <v>196.56030000000001</v>
          </cell>
          <cell r="I20">
            <v>45721</v>
          </cell>
          <cell r="J20"/>
          <cell r="K20" t="str">
            <v>Former staff and consultant of MVP</v>
          </cell>
          <cell r="L20" t="str">
            <v>Scheduled for pole digging 1st week of December 2024</v>
          </cell>
          <cell r="M20"/>
        </row>
        <row r="21">
          <cell r="A21" t="str">
            <v>X24083277607</v>
          </cell>
          <cell r="B21" t="str">
            <v>JONATHAN KEE AGABIN</v>
          </cell>
          <cell r="C21" t="str">
            <v>SAMAR, MARINA SUBD, PARANAQUE</v>
          </cell>
          <cell r="D21" t="str">
            <v>NEW</v>
          </cell>
          <cell r="E21" t="str">
            <v>VJC</v>
          </cell>
          <cell r="F21" t="str">
            <v>FCOMP</v>
          </cell>
          <cell r="G21">
            <v>45604.67597222222</v>
          </cell>
          <cell r="H21">
            <v>81.7376</v>
          </cell>
          <cell r="I21">
            <v>45671</v>
          </cell>
          <cell r="J21"/>
          <cell r="K21" t="str">
            <v>Boss Dion Cruz</v>
          </cell>
          <cell r="L21"/>
          <cell r="M21"/>
        </row>
        <row r="22">
          <cell r="A22" t="str">
            <v>X24072802372</v>
          </cell>
          <cell r="B22" t="str">
            <v>JOSE MARTIN GRUBA NOEL</v>
          </cell>
          <cell r="C22" t="str">
            <v>QUINTIN PAREDES, BF HOMES, PARANAQUE</v>
          </cell>
          <cell r="D22" t="str">
            <v>MODIFICATION</v>
          </cell>
          <cell r="E22" t="str">
            <v>ECOM</v>
          </cell>
          <cell r="F22" t="str">
            <v>FCOMP</v>
          </cell>
          <cell r="G22">
            <v>45604.676342592589</v>
          </cell>
          <cell r="H22">
            <v>119.9787</v>
          </cell>
          <cell r="I22">
            <v>45668</v>
          </cell>
          <cell r="J22"/>
          <cell r="K22" t="str">
            <v>ROLA</v>
          </cell>
          <cell r="L22" t="str">
            <v xml:space="preserve">Completed </v>
          </cell>
          <cell r="M22"/>
        </row>
        <row r="23">
          <cell r="A23" t="str">
            <v>R23611939</v>
          </cell>
          <cell r="B23" t="str">
            <v>DPWH DEO LAS PINAS-MUNTI,</v>
          </cell>
          <cell r="C23" t="str">
            <v>MARCOS ALVAREZ, TALON V, LAS PINAS CITY</v>
          </cell>
          <cell r="D23" t="str">
            <v>RELOC</v>
          </cell>
          <cell r="E23" t="str">
            <v>POWERHOUSE</v>
          </cell>
          <cell r="F23" t="str">
            <v>SCHED</v>
          </cell>
          <cell r="G23">
            <v>45610.673437500001</v>
          </cell>
          <cell r="H23">
            <v>80.494100000000003</v>
          </cell>
          <cell r="I23" t="str">
            <v>-</v>
          </cell>
          <cell r="K23" t="str">
            <v>John Y. Salamero, former LP Officer</v>
          </cell>
          <cell r="L23" t="str">
            <v>For referral to UAM to proceed with pole retirement</v>
          </cell>
          <cell r="M23" t="str">
            <v>ROW issues</v>
          </cell>
        </row>
        <row r="24">
          <cell r="A24" t="str">
            <v>X23020656225</v>
          </cell>
          <cell r="B24" t="str">
            <v>JENNIFER AUSTRIA BARZAGA</v>
          </cell>
          <cell r="C24" t="str">
            <v>LAUAN, AYALA-ALABANG VILL, MUNTINLUPA</v>
          </cell>
          <cell r="D24" t="str">
            <v>NEW</v>
          </cell>
          <cell r="E24" t="str">
            <v>CHALLENGER</v>
          </cell>
          <cell r="F24" t="str">
            <v>FCOMP</v>
          </cell>
          <cell r="G24">
            <v>45611</v>
          </cell>
          <cell r="H24">
            <v>421.59</v>
          </cell>
          <cell r="I24">
            <v>45659</v>
          </cell>
          <cell r="J24"/>
          <cell r="K24" t="str">
            <v>Boss Benjie Cusi</v>
          </cell>
          <cell r="L24"/>
          <cell r="M24"/>
        </row>
        <row r="25">
          <cell r="A25" t="str">
            <v>X24104113256</v>
          </cell>
          <cell r="B25" t="str">
            <v>MA. VICTORIA DE LUNA DUQUE</v>
          </cell>
          <cell r="C25" t="str">
            <v>OSORIO COMPOUND, SITIO DE ASIS, PARANAQUE</v>
          </cell>
          <cell r="D25" t="str">
            <v>NEW</v>
          </cell>
          <cell r="E25" t="str">
            <v>POWERHOUSE</v>
          </cell>
          <cell r="F25" t="str">
            <v>FCOMP</v>
          </cell>
          <cell r="G25">
            <v>45616.700358796297</v>
          </cell>
          <cell r="H25">
            <v>61.139499999999998</v>
          </cell>
          <cell r="I25">
            <v>45666</v>
          </cell>
          <cell r="J25"/>
          <cell r="K25" t="str">
            <v xml:space="preserve">Mayor Olivarez </v>
          </cell>
          <cell r="L25"/>
          <cell r="M25"/>
        </row>
        <row r="26">
          <cell r="A26" t="str">
            <v>X24020649090</v>
          </cell>
          <cell r="B26" t="str">
            <v>MICHAEL CHRISTIAN R. PICHEL</v>
          </cell>
          <cell r="C26" t="str">
            <v>M.L. QUEZON, PUROK 3, TAGUIG CITY</v>
          </cell>
          <cell r="D26" t="str">
            <v>NEW</v>
          </cell>
          <cell r="E26" t="str">
            <v>VJC</v>
          </cell>
          <cell r="F26" t="str">
            <v>FCOMP</v>
          </cell>
          <cell r="G26">
            <v>45618.640069444446</v>
          </cell>
          <cell r="H26">
            <v>68.040499999999994</v>
          </cell>
          <cell r="I26">
            <v>45669</v>
          </cell>
          <cell r="J26"/>
          <cell r="K26" t="str">
            <v>Boss FJS</v>
          </cell>
          <cell r="L26"/>
          <cell r="M26"/>
        </row>
        <row r="27">
          <cell r="A27" t="str">
            <v>X24062171822</v>
          </cell>
          <cell r="B27" t="str">
            <v>M.H. BURTON REPAIR SERVICES, INC.</v>
          </cell>
          <cell r="C27" t="str">
            <v>BLOCK 5, MAGDIWANG SUBD, BACOOR</v>
          </cell>
          <cell r="D27" t="str">
            <v>NEW</v>
          </cell>
          <cell r="E27" t="str">
            <v>POWERHOUSE</v>
          </cell>
          <cell r="F27" t="str">
            <v>FCOMP</v>
          </cell>
          <cell r="G27">
            <v>45618.641516203701</v>
          </cell>
          <cell r="H27">
            <v>240.51830000000001</v>
          </cell>
          <cell r="I27">
            <v>45742</v>
          </cell>
          <cell r="J27"/>
          <cell r="K27" t="str">
            <v>BIZ Partners</v>
          </cell>
          <cell r="L27"/>
          <cell r="M27"/>
        </row>
        <row r="28">
          <cell r="A28" t="str">
            <v>X24093863040</v>
          </cell>
          <cell r="B28" t="str">
            <v>AIRA NAVARRO JUBILADO</v>
          </cell>
          <cell r="C28" t="str">
            <v>A. MABINI, TUAZON SUBD, LAS PINAS CITY</v>
          </cell>
          <cell r="D28" t="str">
            <v>NEW</v>
          </cell>
          <cell r="E28" t="str">
            <v>AVECO</v>
          </cell>
          <cell r="F28" t="str">
            <v>FCOMP</v>
          </cell>
          <cell r="G28">
            <v>45625.40347222222</v>
          </cell>
          <cell r="H28">
            <v>113.706</v>
          </cell>
          <cell r="I28">
            <v>45832</v>
          </cell>
          <cell r="J28"/>
          <cell r="K28" t="str">
            <v xml:space="preserve">Noel Dizon </v>
          </cell>
          <cell r="L28" t="str">
            <v>Pending</v>
          </cell>
          <cell r="M28" t="str">
            <v>Hold by a 3rd party at Task 2 as Vendor initiate Pole erection
* Already Coordinate with LAs Pinas  Business Center -Sir Robbie 5/13/25</v>
          </cell>
        </row>
        <row r="29">
          <cell r="A29" t="str">
            <v>X24093725089</v>
          </cell>
          <cell r="B29" t="str">
            <v>RUBEN LEYVA TERRADO</v>
          </cell>
          <cell r="C29" t="str">
            <v>PILAR, ST. JOSEPH SUBD, LAS PINAS CITY</v>
          </cell>
          <cell r="D29" t="str">
            <v>NEW</v>
          </cell>
          <cell r="E29" t="str">
            <v>POWERHOUSE</v>
          </cell>
          <cell r="F29" t="str">
            <v>FCOMP</v>
          </cell>
          <cell r="G29">
            <v>45632.538888888892</v>
          </cell>
          <cell r="H29">
            <v>167.39709999999999</v>
          </cell>
          <cell r="I29">
            <v>45668</v>
          </cell>
          <cell r="J29"/>
          <cell r="K29" t="str">
            <v>Boss RoLA</v>
          </cell>
          <cell r="L29"/>
          <cell r="M29"/>
        </row>
        <row r="30">
          <cell r="A30" t="str">
            <v>X24103956559</v>
          </cell>
          <cell r="B30" t="str">
            <v>LILY REAL ESTATE DEVELOPMENT CORPORATION</v>
          </cell>
          <cell r="C30" t="str">
            <v>QUIRINO, TAMBO, PARANAQUE</v>
          </cell>
          <cell r="D30" t="str">
            <v>NEW</v>
          </cell>
          <cell r="E30" t="str">
            <v>AVECO</v>
          </cell>
          <cell r="F30" t="str">
            <v>FCOMP</v>
          </cell>
          <cell r="G30">
            <v>45637.558240740742</v>
          </cell>
          <cell r="H30">
            <v>187.60159999999999</v>
          </cell>
          <cell r="I30">
            <v>45751</v>
          </cell>
          <cell r="J30"/>
          <cell r="K30" t="str">
            <v>Taguig LGU thru Taguig BC</v>
          </cell>
          <cell r="L30" t="str">
            <v xml:space="preserve">Completed </v>
          </cell>
          <cell r="M30"/>
        </row>
        <row r="31">
          <cell r="A31" t="str">
            <v>X24104044893</v>
          </cell>
          <cell r="B31" t="str">
            <v>SONAK HOLDINGS CORPORATION</v>
          </cell>
          <cell r="C31" t="str">
            <v>WEST SERVICE, CUPANG, MUNTINLUPA</v>
          </cell>
          <cell r="D31" t="str">
            <v>NEW</v>
          </cell>
          <cell r="E31" t="str">
            <v>ECOM</v>
          </cell>
          <cell r="F31" t="str">
            <v>FCOMP</v>
          </cell>
          <cell r="G31">
            <v>45637.603865740741</v>
          </cell>
          <cell r="H31">
            <v>55.05</v>
          </cell>
          <cell r="I31">
            <v>45735.393750000003</v>
          </cell>
          <cell r="J31"/>
          <cell r="K31" t="str">
            <v>COM Sison -office of Corp Comm.</v>
          </cell>
          <cell r="L31" t="str">
            <v xml:space="preserve">Completed </v>
          </cell>
          <cell r="M31"/>
        </row>
        <row r="32">
          <cell r="A32" t="str">
            <v>X24124692677</v>
          </cell>
          <cell r="B32" t="str">
            <v>CITY GOVERNMENT OF BACOOR</v>
          </cell>
          <cell r="C32" t="str">
            <v>MOLINO HOMES I SUBD, BACOOR</v>
          </cell>
          <cell r="D32" t="str">
            <v>NEW</v>
          </cell>
          <cell r="E32" t="str">
            <v>POWERHOUSE</v>
          </cell>
          <cell r="F32" t="str">
            <v>FCOMP</v>
          </cell>
          <cell r="G32">
            <v>45652.537499999999</v>
          </cell>
          <cell r="H32">
            <v>299.65669999999977</v>
          </cell>
          <cell r="I32">
            <v>45728.61041666667</v>
          </cell>
          <cell r="J32"/>
          <cell r="K32" t="str">
            <v>Boss FJS</v>
          </cell>
          <cell r="L32"/>
          <cell r="M32"/>
        </row>
        <row r="33">
          <cell r="A33" t="str">
            <v>X24093778968</v>
          </cell>
          <cell r="B33" t="str">
            <v>CITY GOVERNMENT OF TAGUIG</v>
          </cell>
          <cell r="C33" t="str">
            <v>M.L. QUEZON, LOWER BICUTAN, TAGUIG CITY</v>
          </cell>
          <cell r="D33" t="str">
            <v>NEW</v>
          </cell>
          <cell r="E33" t="str">
            <v>VJC</v>
          </cell>
          <cell r="F33" t="str">
            <v>FCOMP</v>
          </cell>
          <cell r="G33">
            <v>45665.686111111114</v>
          </cell>
          <cell r="H33">
            <v>296.29910000000001</v>
          </cell>
          <cell r="I33">
            <v>45713</v>
          </cell>
          <cell r="J33"/>
          <cell r="K33" t="str">
            <v>Villar Group</v>
          </cell>
          <cell r="L33"/>
          <cell r="M33"/>
        </row>
        <row r="34">
          <cell r="A34" t="str">
            <v>X24124906791</v>
          </cell>
          <cell r="B34" t="str">
            <v>VILLA LIGHT NEIGHBORHOOD ASSOCIATION INC.</v>
          </cell>
          <cell r="C34" t="str">
            <v>BLOCK 10, VILLA LIGHT SUBD, TAGUIG CITY</v>
          </cell>
          <cell r="D34" t="str">
            <v>NEW</v>
          </cell>
          <cell r="E34" t="str">
            <v>VJC</v>
          </cell>
          <cell r="F34" t="str">
            <v>FCOMP</v>
          </cell>
          <cell r="G34">
            <v>45674.605555555558</v>
          </cell>
          <cell r="H34">
            <v>459.09679999999952</v>
          </cell>
          <cell r="I34">
            <v>45836</v>
          </cell>
          <cell r="J34"/>
          <cell r="K34" t="str">
            <v>Taguig BC</v>
          </cell>
          <cell r="L34" t="str">
            <v>On-going construction</v>
          </cell>
          <cell r="M34" t="str">
            <v>Sevaral locations with diverson of water pipes</v>
          </cell>
        </row>
        <row r="35">
          <cell r="A35" t="str">
            <v>X25010079615</v>
          </cell>
          <cell r="B35" t="str">
            <v>CMSTAR MANAGEMENT INC.</v>
          </cell>
          <cell r="C35" t="str">
            <v>DAANG-HARI RD., MOLINO IV, BACOOR</v>
          </cell>
          <cell r="D35" t="str">
            <v>NEW</v>
          </cell>
          <cell r="E35" t="str">
            <v>POWERHOUSE</v>
          </cell>
          <cell r="F35" t="str">
            <v>FCOMP</v>
          </cell>
          <cell r="G35">
            <v>45674.63958333333</v>
          </cell>
          <cell r="H35">
            <v>1155.0617999999999</v>
          </cell>
          <cell r="I35">
            <v>45726</v>
          </cell>
          <cell r="J35"/>
          <cell r="K35" t="str">
            <v>Boss Choi/Boss Dion</v>
          </cell>
          <cell r="L35"/>
          <cell r="M35"/>
        </row>
        <row r="36">
          <cell r="A36" t="str">
            <v>R23797676</v>
          </cell>
          <cell r="B36" t="str">
            <v>CAVITEX INFRASTRUCTURE CORP.,</v>
          </cell>
          <cell r="C36" t="str">
            <v>KAINGIN RD., KAINGIN, PARANAQUE</v>
          </cell>
          <cell r="D36" t="str">
            <v>RELOC</v>
          </cell>
          <cell r="E36" t="str">
            <v>ECOM</v>
          </cell>
          <cell r="F36" t="str">
            <v>FCOMP</v>
          </cell>
          <cell r="G36">
            <v>45677.379861111112</v>
          </cell>
          <cell r="H36">
            <v>123.76480000000001</v>
          </cell>
          <cell r="I36">
            <v>45733.363194444442</v>
          </cell>
          <cell r="J36"/>
          <cell r="K36" t="str">
            <v>Obet Galang</v>
          </cell>
          <cell r="L36" t="str">
            <v xml:space="preserve">Completed </v>
          </cell>
          <cell r="M36"/>
        </row>
        <row r="37">
          <cell r="A37" t="str">
            <v>X25010119305</v>
          </cell>
          <cell r="B37" t="str">
            <v>VICENTE P PEREZ</v>
          </cell>
          <cell r="C37" t="str">
            <v>EL GRANDE, BF HOMES, PARANAQUE</v>
          </cell>
          <cell r="D37" t="str">
            <v>NEW</v>
          </cell>
          <cell r="E37" t="str">
            <v>CHALLENGER</v>
          </cell>
          <cell r="F37" t="str">
            <v>FCOMP</v>
          </cell>
          <cell r="G37">
            <v>45679.708333333336</v>
          </cell>
          <cell r="H37">
            <v>33.4983</v>
          </cell>
          <cell r="I37">
            <v>45720</v>
          </cell>
          <cell r="J37"/>
          <cell r="K37" t="str">
            <v>Boss Erwin</v>
          </cell>
          <cell r="L37"/>
          <cell r="M37"/>
        </row>
        <row r="38">
          <cell r="A38" t="str">
            <v>X24093766158</v>
          </cell>
          <cell r="B38" t="str">
            <v>ALFAMART TRADING PHILIPPINES, INC.</v>
          </cell>
          <cell r="C38" t="str">
            <v>QUEEN'S MAIN, QUEEN'S ROW AREA A SUBD, BACOOR</v>
          </cell>
          <cell r="D38" t="str">
            <v>NEW</v>
          </cell>
          <cell r="E38" t="str">
            <v>POWERHOUSE</v>
          </cell>
          <cell r="F38" t="str">
            <v>FCOMP</v>
          </cell>
          <cell r="G38">
            <v>45681.588888888888</v>
          </cell>
          <cell r="H38">
            <v>36.519499999999994</v>
          </cell>
          <cell r="I38">
            <v>45747</v>
          </cell>
          <cell r="J38"/>
          <cell r="K38" t="str">
            <v>Boss Erwin</v>
          </cell>
          <cell r="L38"/>
          <cell r="M38"/>
        </row>
        <row r="39">
          <cell r="A39" t="str">
            <v>X24072540238</v>
          </cell>
          <cell r="B39" t="str">
            <v>HARD DISCOUNT PHILIPPINES, INC.</v>
          </cell>
          <cell r="C39" t="str">
            <v>GOV. P.F. ESPIRITU, PANAPAAN II, BACOOR</v>
          </cell>
          <cell r="D39" t="str">
            <v>NEW</v>
          </cell>
          <cell r="E39" t="str">
            <v>AVECO</v>
          </cell>
          <cell r="F39" t="str">
            <v>FCOMP</v>
          </cell>
          <cell r="G39">
            <v>45684.511111111111</v>
          </cell>
          <cell r="H39">
            <v>9.9328000000000003</v>
          </cell>
          <cell r="I39">
            <v>45777</v>
          </cell>
          <cell r="J39"/>
          <cell r="K39" t="str">
            <v>EOC/BIZ</v>
          </cell>
          <cell r="L39" t="str">
            <v xml:space="preserve">Completed </v>
          </cell>
          <cell r="M39"/>
        </row>
        <row r="40">
          <cell r="A40" t="str">
            <v>X25010059547</v>
          </cell>
          <cell r="B40" t="str">
            <v>ALFAMETRO MARKETING INC. (CORCUERRA - BANNER 4TH ESTATE)</v>
          </cell>
          <cell r="C40" t="str">
            <v>BANNER, 4TH ESTATE SUBD, PARANAQUE</v>
          </cell>
          <cell r="D40" t="str">
            <v>NEW</v>
          </cell>
          <cell r="E40" t="str">
            <v>CHALLENGER</v>
          </cell>
          <cell r="F40" t="str">
            <v>TECO</v>
          </cell>
          <cell r="G40">
            <v>45685.643055555556</v>
          </cell>
          <cell r="H40">
            <v>10.8028</v>
          </cell>
          <cell r="I40">
            <v>45720</v>
          </cell>
          <cell r="J40"/>
          <cell r="K40" t="str">
            <v>Ma'am Cecilia Domingo thru Boss RRA and Boss EOC</v>
          </cell>
          <cell r="L40"/>
          <cell r="M40"/>
        </row>
        <row r="41">
          <cell r="A41" t="str">
            <v>X24093683073</v>
          </cell>
          <cell r="B41" t="str">
            <v>ELECTRO-SYSTEMS INDUSTRIES CORPORATION</v>
          </cell>
          <cell r="C41" t="str">
            <v>BAES, PERPETUAL VILLAGE, TAGUIG CITY</v>
          </cell>
          <cell r="D41" t="str">
            <v>MODIFICATION</v>
          </cell>
          <cell r="E41" t="str">
            <v>VJC</v>
          </cell>
          <cell r="F41" t="str">
            <v>FCOMP</v>
          </cell>
          <cell r="G41">
            <v>45688</v>
          </cell>
          <cell r="H41">
            <v>214.8948</v>
          </cell>
          <cell r="I41">
            <v>45715</v>
          </cell>
          <cell r="J41"/>
          <cell r="K41" t="str">
            <v>ROLA</v>
          </cell>
          <cell r="L41"/>
          <cell r="M41"/>
        </row>
        <row r="42">
          <cell r="A42" t="str">
            <v>X23093504208</v>
          </cell>
          <cell r="B42" t="str">
            <v>YIHUA PHILIPPINES GROUP INC.</v>
          </cell>
          <cell r="C42" t="str">
            <v>QUIRINO, TAMBO, PARANAQUE</v>
          </cell>
          <cell r="D42" t="str">
            <v>NEW</v>
          </cell>
          <cell r="E42" t="str">
            <v>AVECO</v>
          </cell>
          <cell r="F42" t="str">
            <v>FCOMP</v>
          </cell>
          <cell r="G42">
            <v>45694.31527777778</v>
          </cell>
          <cell r="H42">
            <v>198.17739999999998</v>
          </cell>
          <cell r="I42">
            <v>45736</v>
          </cell>
          <cell r="J42"/>
          <cell r="K42" t="str">
            <v>Boss Choi</v>
          </cell>
          <cell r="L42" t="str">
            <v xml:space="preserve">Completed </v>
          </cell>
          <cell r="M42"/>
        </row>
        <row r="43">
          <cell r="A43" t="str">
            <v>X25010120302</v>
          </cell>
          <cell r="B43" t="str">
            <v>CDC REALTY INC.</v>
          </cell>
          <cell r="C43" t="str">
            <v>DOVE LOFTS, LION'S PARK RESIDENCES, PARANAQUE</v>
          </cell>
          <cell r="D43" t="str">
            <v>NEW</v>
          </cell>
          <cell r="E43" t="str">
            <v>VJC</v>
          </cell>
          <cell r="F43" t="str">
            <v>FCOMP</v>
          </cell>
          <cell r="G43">
            <v>45694.551388888889</v>
          </cell>
          <cell r="H43">
            <v>70.673099999999991</v>
          </cell>
          <cell r="I43">
            <v>45719</v>
          </cell>
          <cell r="J43"/>
          <cell r="K43" t="str">
            <v>Boss Dion Cruz</v>
          </cell>
          <cell r="L43"/>
          <cell r="M43"/>
        </row>
        <row r="44">
          <cell r="A44" t="str">
            <v>X24030689569</v>
          </cell>
          <cell r="B44" t="str">
            <v>PILIPINAS SHELL PETROLEUM CORPORATION</v>
          </cell>
          <cell r="C44" t="str">
            <v>SAMPAGUITA, CAMP SAMPAGUITA, MUNTINLUPA</v>
          </cell>
          <cell r="D44" t="str">
            <v>NEW</v>
          </cell>
          <cell r="E44" t="str">
            <v>AVECO</v>
          </cell>
          <cell r="F44" t="str">
            <v>TECO</v>
          </cell>
          <cell r="G44">
            <v>45696.840277777781</v>
          </cell>
          <cell r="H44">
            <v>666.33040000000028</v>
          </cell>
          <cell r="I44">
            <v>45714</v>
          </cell>
          <cell r="J44"/>
          <cell r="K44" t="str">
            <v>PMO</v>
          </cell>
          <cell r="L44" t="str">
            <v xml:space="preserve">Completed </v>
          </cell>
          <cell r="M44"/>
        </row>
        <row r="45">
          <cell r="A45" t="str">
            <v>X24124769477</v>
          </cell>
          <cell r="B45" t="str">
            <v>CMSTAR MANAGEMENT INC.</v>
          </cell>
          <cell r="C45" t="str">
            <v>DAANG-HARI RD., MOLINO IV, BACOOR</v>
          </cell>
          <cell r="D45" t="str">
            <v>NEW</v>
          </cell>
          <cell r="E45" t="str">
            <v>POWERHOUSE</v>
          </cell>
          <cell r="F45" t="str">
            <v>FCOMP</v>
          </cell>
          <cell r="G45">
            <v>45699.568749999999</v>
          </cell>
          <cell r="H45">
            <v>18.542799999999996</v>
          </cell>
          <cell r="I45">
            <v>45727.306250000001</v>
          </cell>
          <cell r="J45"/>
          <cell r="K45" t="str">
            <v>Boss Choi/Boss Dion</v>
          </cell>
          <cell r="L45"/>
          <cell r="M45"/>
        </row>
        <row r="46">
          <cell r="A46" t="str">
            <v>X24124786551</v>
          </cell>
          <cell r="B46" t="str">
            <v>OMNICO CONSORTIUM INC.</v>
          </cell>
          <cell r="C46" t="str">
            <v>CARLO, TAGUIG BAGUMBAYAN INDL ASS INC, TAGUIG CITY</v>
          </cell>
          <cell r="D46" t="str">
            <v>NEW</v>
          </cell>
          <cell r="E46" t="str">
            <v>ECOM</v>
          </cell>
          <cell r="F46" t="str">
            <v>FCOMP</v>
          </cell>
          <cell r="G46">
            <v>45699.688194444447</v>
          </cell>
          <cell r="H46">
            <v>101.17830000000002</v>
          </cell>
          <cell r="I46">
            <v>45741.580555555556</v>
          </cell>
          <cell r="J46"/>
          <cell r="K46" t="str">
            <v xml:space="preserve">TBCAI director, Mr. Mel De Leon </v>
          </cell>
          <cell r="L46" t="str">
            <v xml:space="preserve">Completed </v>
          </cell>
          <cell r="M46"/>
        </row>
        <row r="47">
          <cell r="A47" t="str">
            <v>R21631426</v>
          </cell>
          <cell r="B47" t="str">
            <v>CAVITEX INFRASTRUCTURE CORP</v>
          </cell>
          <cell r="C47" t="str">
            <v>NINOY AQUINO, LA HUERTA, PARANAQUE</v>
          </cell>
          <cell r="D47" t="str">
            <v>RELOC</v>
          </cell>
          <cell r="E47" t="str">
            <v>POWERHOUSE</v>
          </cell>
          <cell r="F47" t="str">
            <v>SCHED</v>
          </cell>
          <cell r="G47">
            <v>45705.356249999997</v>
          </cell>
          <cell r="H47">
            <v>341.82079999999996</v>
          </cell>
          <cell r="I47" t="str">
            <v>-</v>
          </cell>
          <cell r="K47" t="str">
            <v>Boss Choi</v>
          </cell>
          <cell r="L47" t="str">
            <v>Pending pole retirement</v>
          </cell>
        </row>
        <row r="48">
          <cell r="A48" t="str">
            <v>X24093492216</v>
          </cell>
          <cell r="B48" t="str">
            <v>ALFAMART TRADING PHILIPPINES, INC.</v>
          </cell>
          <cell r="C48" t="str">
            <v>SUMMIT CIRCLE SUBD, SUMMIT CIRCLE SUBD, MUNTINLUPA</v>
          </cell>
          <cell r="D48" t="str">
            <v>NEW</v>
          </cell>
          <cell r="E48" t="str">
            <v>CHALLENGER</v>
          </cell>
          <cell r="F48" t="str">
            <v>FCOMP</v>
          </cell>
          <cell r="G48">
            <v>45706.67291666667</v>
          </cell>
          <cell r="H48">
            <v>9.9328000000000003</v>
          </cell>
          <cell r="I48">
            <v>45720</v>
          </cell>
          <cell r="J48"/>
          <cell r="K48" t="str">
            <v>Boss Erwin</v>
          </cell>
          <cell r="L48"/>
          <cell r="M48"/>
        </row>
        <row r="49">
          <cell r="A49" t="str">
            <v>X24010064473</v>
          </cell>
          <cell r="B49" t="str">
            <v>ALEXANDER SANTOS ISIP</v>
          </cell>
          <cell r="C49" t="str">
            <v>LANCASTER, HILLSBOROUGH SUBD, MUNTINLUPA</v>
          </cell>
          <cell r="D49" t="str">
            <v>MODIFICATION</v>
          </cell>
          <cell r="E49" t="str">
            <v>CHALLENGER</v>
          </cell>
          <cell r="F49" t="str">
            <v>FCOMP</v>
          </cell>
          <cell r="G49">
            <v>45706.685416666667</v>
          </cell>
          <cell r="H49">
            <v>38.058499999999995</v>
          </cell>
          <cell r="I49">
            <v>45741.340277777781</v>
          </cell>
          <cell r="J49"/>
          <cell r="K49" t="str">
            <v>Rocky D. Bacani</v>
          </cell>
          <cell r="L49"/>
          <cell r="M49"/>
        </row>
        <row r="50">
          <cell r="A50" t="str">
            <v>X25010176215</v>
          </cell>
          <cell r="B50" t="str">
            <v>MARY GRACE MESINA MANDAP</v>
          </cell>
          <cell r="C50" t="str">
            <v>BASILIO ESTANISLAO, BF RESORT VILL, LAS PINAS CITY</v>
          </cell>
          <cell r="D50" t="str">
            <v>NEW</v>
          </cell>
          <cell r="E50" t="str">
            <v>AVECO</v>
          </cell>
          <cell r="F50" t="str">
            <v>FCOMP</v>
          </cell>
          <cell r="G50">
            <v>45706.738194444442</v>
          </cell>
          <cell r="H50">
            <v>119.76289999999999</v>
          </cell>
          <cell r="I50">
            <v>45864</v>
          </cell>
          <cell r="J50"/>
          <cell r="K50" t="str">
            <v>Carlo Topacio</v>
          </cell>
          <cell r="L50" t="str">
            <v>Pending</v>
          </cell>
          <cell r="M50" t="str">
            <v>Work load</v>
          </cell>
        </row>
        <row r="51">
          <cell r="A51" t="str">
            <v>R23926303</v>
          </cell>
          <cell r="B51" t="str">
            <v>CAVITEX INFRASTRUCTURE CORP., CBG</v>
          </cell>
          <cell r="C51" t="str">
            <v>KAINGIN RD., KAINGIN, PARANAQUE</v>
          </cell>
          <cell r="D51" t="str">
            <v>RELOC</v>
          </cell>
          <cell r="E51" t="str">
            <v>AVECO</v>
          </cell>
          <cell r="F51" t="str">
            <v>FCOMP</v>
          </cell>
          <cell r="G51">
            <v>45707.34652777778</v>
          </cell>
          <cell r="H51">
            <v>365.07799999999963</v>
          </cell>
          <cell r="I51">
            <v>45736</v>
          </cell>
          <cell r="J51"/>
          <cell r="K51" t="str">
            <v>Boss Choi</v>
          </cell>
          <cell r="L51" t="str">
            <v xml:space="preserve">Completed </v>
          </cell>
          <cell r="M51"/>
        </row>
        <row r="52">
          <cell r="A52" t="str">
            <v>R23926307</v>
          </cell>
          <cell r="B52" t="str">
            <v>CAVITEX INFRASTRUCTURE CORP., CBG</v>
          </cell>
          <cell r="C52" t="str">
            <v>KAINGIN RD., KAINGIN, PARANAQUE</v>
          </cell>
          <cell r="D52" t="str">
            <v>RELOC</v>
          </cell>
          <cell r="E52" t="str">
            <v>AVECO</v>
          </cell>
          <cell r="F52" t="str">
            <v>FCOMP</v>
          </cell>
          <cell r="G52">
            <v>45707.350694444445</v>
          </cell>
          <cell r="H52">
            <v>79.535699999999963</v>
          </cell>
          <cell r="I52">
            <v>45751</v>
          </cell>
          <cell r="J52"/>
          <cell r="K52" t="str">
            <v>Boss Choi</v>
          </cell>
          <cell r="L52" t="str">
            <v xml:space="preserve">Completed </v>
          </cell>
          <cell r="M52"/>
        </row>
        <row r="53">
          <cell r="A53" t="str">
            <v>X25010136657</v>
          </cell>
          <cell r="B53" t="str">
            <v>COFFEE MASTERS, INC.</v>
          </cell>
          <cell r="C53" t="str">
            <v>MOLINO BLVD, MOLINO III, BACOOR</v>
          </cell>
          <cell r="D53" t="str">
            <v>NEW</v>
          </cell>
          <cell r="E53" t="str">
            <v>CHALLENGER</v>
          </cell>
          <cell r="F53" t="str">
            <v>FCOMP</v>
          </cell>
          <cell r="G53">
            <v>45712.701388888891</v>
          </cell>
          <cell r="H53">
            <v>15.642799999999998</v>
          </cell>
          <cell r="I53">
            <v>45720</v>
          </cell>
          <cell r="J53"/>
          <cell r="K53" t="str">
            <v>Boss Erwin</v>
          </cell>
          <cell r="L53"/>
          <cell r="M53"/>
        </row>
        <row r="54">
          <cell r="A54" t="str">
            <v>X25010341636</v>
          </cell>
          <cell r="B54" t="str">
            <v>TERESITA G MANAHAN</v>
          </cell>
          <cell r="C54" t="str">
            <v>BOEING, CONCORDE SUBD, PARANAQUE</v>
          </cell>
          <cell r="D54" t="str">
            <v>NEW</v>
          </cell>
          <cell r="E54" t="str">
            <v>ECOM</v>
          </cell>
          <cell r="F54" t="str">
            <v>FCOMP</v>
          </cell>
          <cell r="G54">
            <v>45713.711805555555</v>
          </cell>
          <cell r="H54">
            <v>51.019499999999994</v>
          </cell>
          <cell r="I54">
            <v>45771</v>
          </cell>
          <cell r="J54"/>
          <cell r="K54" t="str">
            <v>Boss Pao Cruz</v>
          </cell>
          <cell r="L54" t="str">
            <v xml:space="preserve">Completed </v>
          </cell>
          <cell r="M54"/>
        </row>
        <row r="55">
          <cell r="A55" t="str">
            <v>X24093485695</v>
          </cell>
          <cell r="B55" t="str">
            <v>POSH PROPERTIES DEVELOPMENT CORPORATION</v>
          </cell>
          <cell r="C55" t="str">
            <v>BELLE, ASEANA BUSINESS PARK, PARANAQUE</v>
          </cell>
          <cell r="D55" t="str">
            <v>NEW</v>
          </cell>
          <cell r="E55" t="str">
            <v>VJC</v>
          </cell>
          <cell r="F55" t="str">
            <v>TECO</v>
          </cell>
          <cell r="G55">
            <v>45726.707638888889</v>
          </cell>
          <cell r="H55">
            <v>35.618499999999997</v>
          </cell>
          <cell r="I55">
            <v>45759</v>
          </cell>
          <cell r="J55"/>
          <cell r="K55" t="str">
            <v>Ma'am Bernice Rama</v>
          </cell>
          <cell r="L55"/>
          <cell r="M55" t="str">
            <v>Pending work permit from ABPEA</v>
          </cell>
        </row>
        <row r="56">
          <cell r="A56" t="str">
            <v>X24114614743</v>
          </cell>
          <cell r="B56" t="str">
            <v>PTR PREMIER HOLDINGS INC.</v>
          </cell>
          <cell r="C56" t="str">
            <v>ST. JOSEPH, ST. JOSEPH SUBD, LAS PINAS CITY</v>
          </cell>
          <cell r="D56" t="str">
            <v>NEW</v>
          </cell>
          <cell r="E56" t="str">
            <v>CHALLENGER</v>
          </cell>
          <cell r="F56" t="str">
            <v>FCOMP</v>
          </cell>
          <cell r="G56">
            <v>45736.634722222225</v>
          </cell>
          <cell r="H56">
            <v>42.445499999999996</v>
          </cell>
          <cell r="I56">
            <v>45819</v>
          </cell>
          <cell r="J56"/>
          <cell r="K56" t="str">
            <v>Kim Verlie/Mike Agbay</v>
          </cell>
          <cell r="L56" t="str">
            <v>Completed</v>
          </cell>
          <cell r="M56"/>
        </row>
        <row r="57">
          <cell r="A57" t="str">
            <v>X25020466847</v>
          </cell>
          <cell r="B57" t="str">
            <v>NADINE G ABELA</v>
          </cell>
          <cell r="C57" t="str">
            <v xml:space="preserve"> LUZON, AYALA-ALABANG VILL, MUNTINLUPA</v>
          </cell>
          <cell r="D57" t="str">
            <v>MODIFICATION</v>
          </cell>
          <cell r="E57" t="str">
            <v>CHALLENGER</v>
          </cell>
          <cell r="F57" t="str">
            <v>FCOMP</v>
          </cell>
          <cell r="G57">
            <v>45741.462500000001</v>
          </cell>
          <cell r="H57">
            <v>13.1828</v>
          </cell>
          <cell r="I57">
            <v>45751</v>
          </cell>
          <cell r="J57"/>
          <cell r="K57" t="str">
            <v>Boss Erwin</v>
          </cell>
          <cell r="L57"/>
          <cell r="M57"/>
        </row>
        <row r="58">
          <cell r="A58" t="str">
            <v>X25010329960</v>
          </cell>
          <cell r="B58" t="str">
            <v>RODRIGO SANGALANG LA TORRE</v>
          </cell>
          <cell r="C58" t="str">
            <v>TOPAZ, SEVERINA DIAMOND SUBD, PARANAQUE</v>
          </cell>
          <cell r="D58" t="str">
            <v>NEW</v>
          </cell>
          <cell r="E58" t="str">
            <v>ECOM</v>
          </cell>
          <cell r="F58" t="str">
            <v>FCOMP</v>
          </cell>
          <cell r="G58">
            <v>45741.959722222222</v>
          </cell>
          <cell r="H58">
            <v>36.029999999999987</v>
          </cell>
          <cell r="I58">
            <v>45769</v>
          </cell>
          <cell r="J58"/>
          <cell r="K58" t="str">
            <v>Boss Jerry Lao</v>
          </cell>
          <cell r="L58" t="str">
            <v xml:space="preserve">Completed </v>
          </cell>
          <cell r="M58"/>
        </row>
        <row r="59">
          <cell r="A59" t="str">
            <v>X25010249951</v>
          </cell>
          <cell r="B59" t="str">
            <v>ALEX JUSTINIANO CLAVERIA</v>
          </cell>
          <cell r="C59" t="str">
            <v>SANTIAGO LOOP, AYALA-ALABANG VILL, MUNTINLUPA</v>
          </cell>
          <cell r="D59" t="str">
            <v>NEW</v>
          </cell>
          <cell r="E59" t="str">
            <v>CHALLENGER</v>
          </cell>
          <cell r="F59" t="str">
            <v>FCOMP</v>
          </cell>
          <cell r="G59">
            <v>45742.416666666664</v>
          </cell>
          <cell r="H59">
            <v>56.1126</v>
          </cell>
          <cell r="I59">
            <v>45762.591666666667</v>
          </cell>
          <cell r="J59"/>
          <cell r="K59" t="str">
            <v>Anthony Almeda, NGCP President</v>
          </cell>
          <cell r="L59"/>
          <cell r="M59"/>
        </row>
        <row r="60">
          <cell r="A60" t="str">
            <v>X24083316199</v>
          </cell>
          <cell r="B60" t="str">
            <v>ADEL MUNDAN BALOGO</v>
          </cell>
          <cell r="C60" t="str">
            <v>SAUDI ARABIA, BETTER LIVING SUBD, PARANAQUE</v>
          </cell>
          <cell r="D60" t="str">
            <v>NEW</v>
          </cell>
          <cell r="E60" t="str">
            <v>VJC</v>
          </cell>
          <cell r="F60" t="str">
            <v>FCOMP</v>
          </cell>
          <cell r="G60">
            <v>45742.682638888888</v>
          </cell>
          <cell r="H60">
            <v>37.968499999999999</v>
          </cell>
          <cell r="I60">
            <v>45776</v>
          </cell>
          <cell r="J60"/>
          <cell r="K60" t="str">
            <v>George Salinas</v>
          </cell>
          <cell r="L60"/>
          <cell r="M60"/>
        </row>
        <row r="61">
          <cell r="A61" t="str">
            <v>X24062169287</v>
          </cell>
          <cell r="B61" t="str">
            <v>ALFAMART TRADING PHILIPPINES, INC.</v>
          </cell>
          <cell r="C61" t="str">
            <v>MADRID, TOWN AND COUNTRY WEST SUBD, BACOOR</v>
          </cell>
          <cell r="D61" t="str">
            <v>NEW</v>
          </cell>
          <cell r="E61" t="str">
            <v>AVECO</v>
          </cell>
          <cell r="F61" t="str">
            <v>FCOMP</v>
          </cell>
          <cell r="G61">
            <v>45743.529166666667</v>
          </cell>
          <cell r="H61">
            <v>10.9328</v>
          </cell>
          <cell r="I61">
            <v>45777</v>
          </cell>
          <cell r="J61"/>
          <cell r="K61" t="str">
            <v>Boss Obet Galang</v>
          </cell>
          <cell r="L61" t="str">
            <v xml:space="preserve">Completed </v>
          </cell>
          <cell r="M61"/>
        </row>
        <row r="62">
          <cell r="A62" t="str">
            <v>X25010350650</v>
          </cell>
          <cell r="B62" t="str">
            <v>ICE &amp; WATER STOP, INC.</v>
          </cell>
          <cell r="C62" t="str">
            <v>SAN ANTONIO VALLEY 1, SAN ANTONIO VALLEY 1, PARANAQUE</v>
          </cell>
          <cell r="D62" t="str">
            <v>MODIFICATION</v>
          </cell>
          <cell r="E62" t="str">
            <v>CHALLENGER</v>
          </cell>
          <cell r="F62" t="str">
            <v>FCOMP</v>
          </cell>
          <cell r="G62">
            <v>45744</v>
          </cell>
          <cell r="H62">
            <v>120.88</v>
          </cell>
          <cell r="I62">
            <v>45763.40625</v>
          </cell>
          <cell r="J62"/>
          <cell r="K62" t="str">
            <v>Boss Obet Galang</v>
          </cell>
          <cell r="L62"/>
          <cell r="M62"/>
        </row>
        <row r="63">
          <cell r="A63" t="str">
            <v>X25010222514</v>
          </cell>
          <cell r="B63" t="str">
            <v>PHILIPPINE SEVEN CORPORATION</v>
          </cell>
          <cell r="C63" t="str">
            <v>MAHOGANY, VICTORIA HOMES-PEARL HTS SUBD, MUNTINLUPA</v>
          </cell>
          <cell r="D63" t="str">
            <v>NEW</v>
          </cell>
          <cell r="E63" t="str">
            <v>CHALLENGER</v>
          </cell>
          <cell r="F63" t="str">
            <v>FCOMP</v>
          </cell>
          <cell r="G63">
            <v>45747.614583333336</v>
          </cell>
          <cell r="H63">
            <v>11.642799999999999</v>
          </cell>
          <cell r="I63">
            <v>45761</v>
          </cell>
          <cell r="J63"/>
          <cell r="K63" t="str">
            <v>Boss Jonald Sampol</v>
          </cell>
          <cell r="L63"/>
          <cell r="M63"/>
        </row>
        <row r="64">
          <cell r="A64" t="str">
            <v>X25020551884</v>
          </cell>
          <cell r="B64" t="str">
            <v>VAS SOLUTIONS INC.</v>
          </cell>
          <cell r="C64" t="str">
            <v>PHASE 2 ACCESS ROAD, AMVEL COMMERCIAL COMPLEX, PARANAQUE</v>
          </cell>
          <cell r="D64" t="str">
            <v>NEW</v>
          </cell>
          <cell r="E64" t="str">
            <v>POWERHOUSE</v>
          </cell>
          <cell r="F64" t="str">
            <v>FCOMP</v>
          </cell>
          <cell r="G64">
            <v>45749.540972222225</v>
          </cell>
          <cell r="H64">
            <v>14.322799999999999</v>
          </cell>
          <cell r="I64">
            <v>45789.377083333333</v>
          </cell>
          <cell r="J64"/>
          <cell r="K64" t="str">
            <v>Roberto Galang</v>
          </cell>
          <cell r="L64" t="str">
            <v>Pending approval of schedule</v>
          </cell>
          <cell r="M64" t="str">
            <v>Road access problem</v>
          </cell>
        </row>
        <row r="65">
          <cell r="A65" t="str">
            <v>X25030992057</v>
          </cell>
          <cell r="B65" t="str">
            <v>ANTONITA MOYNIHAN DAYRIT</v>
          </cell>
          <cell r="C65" t="str">
            <v>YELLOW STONE, SOUTH GREEN PARK SUBD, PARANAQUE</v>
          </cell>
          <cell r="D65" t="str">
            <v>NEW</v>
          </cell>
          <cell r="E65" t="str">
            <v>VJC</v>
          </cell>
          <cell r="F65" t="str">
            <v>FCOMP</v>
          </cell>
          <cell r="G65">
            <v>45750.978472222225</v>
          </cell>
          <cell r="H65">
            <v>160.57790000000003</v>
          </cell>
          <cell r="I65">
            <v>45777</v>
          </cell>
          <cell r="J65"/>
          <cell r="K65" t="str">
            <v>Paranaque BC - Ron Bernardo; from Maritoni Fernandez</v>
          </cell>
          <cell r="L65"/>
          <cell r="M65"/>
        </row>
        <row r="66">
          <cell r="A66" t="str">
            <v>X24104075973</v>
          </cell>
          <cell r="B66" t="str">
            <v>TOTAL GAMEZONE XTREME INCORPORATED</v>
          </cell>
          <cell r="C66" t="str">
            <v>WEST SERVICE, MERVILLE SUBD, PARANAQUE</v>
          </cell>
          <cell r="D66" t="str">
            <v>MODIFICATION</v>
          </cell>
          <cell r="E66" t="str">
            <v>CHALLENGER</v>
          </cell>
          <cell r="F66" t="str">
            <v>FCOMP</v>
          </cell>
          <cell r="G66">
            <v>45751.634027777778</v>
          </cell>
          <cell r="H66">
            <v>83.763300000000001</v>
          </cell>
          <cell r="I66">
            <v>45758</v>
          </cell>
          <cell r="J66"/>
          <cell r="K66" t="str">
            <v>Ma'am Bernice Rama</v>
          </cell>
          <cell r="L66"/>
          <cell r="M66"/>
        </row>
        <row r="67">
          <cell r="A67" t="str">
            <v>X25030863021</v>
          </cell>
          <cell r="B67" t="str">
            <v>S3A UNITED INC.</v>
          </cell>
          <cell r="C67" t="str">
            <v>PACIFIC AVE, MARINA SUBD, PARANAQUE</v>
          </cell>
          <cell r="D67" t="str">
            <v>NEW</v>
          </cell>
          <cell r="E67" t="str">
            <v>AVECO</v>
          </cell>
          <cell r="F67" t="str">
            <v>FCOMP</v>
          </cell>
          <cell r="G67">
            <v>45751.745833333334</v>
          </cell>
          <cell r="H67">
            <v>14.372799999999998</v>
          </cell>
          <cell r="I67">
            <v>45782</v>
          </cell>
          <cell r="J67"/>
          <cell r="K67" t="str">
            <v>Doy Yang of EGIP</v>
          </cell>
          <cell r="L67" t="str">
            <v xml:space="preserve">Completed </v>
          </cell>
          <cell r="M67"/>
        </row>
        <row r="68">
          <cell r="A68" t="str">
            <v>X25030992093</v>
          </cell>
          <cell r="B68" t="str">
            <v>MARCO ANGELO FELIX LIM LOPEZ</v>
          </cell>
          <cell r="C68" t="str">
            <v>YELLOW STONE, SOUTH GREEN PARK SUBD, PARANAQUE</v>
          </cell>
          <cell r="D68" t="str">
            <v>MODIFICATION</v>
          </cell>
          <cell r="E68" t="str">
            <v>VJC</v>
          </cell>
          <cell r="F68" t="str">
            <v>FCOMP</v>
          </cell>
          <cell r="G68">
            <v>45754.571527777778</v>
          </cell>
          <cell r="H68">
            <v>1.73</v>
          </cell>
          <cell r="I68">
            <v>45777</v>
          </cell>
          <cell r="J68"/>
          <cell r="K68" t="str">
            <v>Paranaque BC - Ron Bernardo; from Chief Justice Mario Lopez</v>
          </cell>
          <cell r="L68"/>
          <cell r="M68"/>
        </row>
        <row r="69">
          <cell r="A69" t="str">
            <v>X25030872408</v>
          </cell>
          <cell r="B69" t="str">
            <v>CITY GOVERNMENT OF TAGUIG</v>
          </cell>
          <cell r="C69" t="str">
            <v>BLOCK 27, PINAGSAMA PH 2 VILL, TAGUIG CITY</v>
          </cell>
          <cell r="D69" t="str">
            <v>NEW</v>
          </cell>
          <cell r="E69" t="str">
            <v>VJC</v>
          </cell>
          <cell r="F69" t="str">
            <v>FCOMP</v>
          </cell>
          <cell r="G69">
            <v>45758.321527777778</v>
          </cell>
          <cell r="H69">
            <v>53.539500000000004</v>
          </cell>
          <cell r="I69">
            <v>45775.448611111111</v>
          </cell>
          <cell r="J69"/>
          <cell r="K69" t="str">
            <v>Boss FOG</v>
          </cell>
          <cell r="L69"/>
          <cell r="M69"/>
        </row>
        <row r="70">
          <cell r="A70" t="str">
            <v>X25030884434</v>
          </cell>
          <cell r="B70" t="str">
            <v>RONALD CARANAY CALINGAY</v>
          </cell>
          <cell r="C70" t="str">
            <v>GREEN GRASS, GREEN VALLEY SUBD SECT A, BACOOR</v>
          </cell>
          <cell r="D70" t="str">
            <v>NEW</v>
          </cell>
          <cell r="E70" t="str">
            <v>AVECO</v>
          </cell>
          <cell r="F70" t="str">
            <v>FCOMP</v>
          </cell>
          <cell r="G70">
            <v>45761.443055555559</v>
          </cell>
          <cell r="H70">
            <v>18.392799999999998</v>
          </cell>
          <cell r="I70">
            <v>45799</v>
          </cell>
          <cell r="J70"/>
          <cell r="K70" t="str">
            <v>Joe Zaldarriaga</v>
          </cell>
          <cell r="L70"/>
          <cell r="M70"/>
        </row>
        <row r="71">
          <cell r="A71" t="str">
            <v>X25010118641</v>
          </cell>
          <cell r="B71" t="str">
            <v>HIJO GREENS, INC.</v>
          </cell>
          <cell r="C71" t="str">
            <v>EDISON, EDISON INDUSTRIAL COMPLEX, PARANAQUE</v>
          </cell>
          <cell r="D71" t="str">
            <v>NEW</v>
          </cell>
          <cell r="E71" t="str">
            <v>ECOM</v>
          </cell>
          <cell r="F71" t="str">
            <v>FCOMP</v>
          </cell>
          <cell r="G71">
            <v>45762.45208333333</v>
          </cell>
          <cell r="H71">
            <v>80.917399999999986</v>
          </cell>
          <cell r="I71">
            <v>45793</v>
          </cell>
          <cell r="J71"/>
          <cell r="K71" t="str">
            <v>Boss RoLA and Boss FJS</v>
          </cell>
          <cell r="L71" t="str">
            <v>On Going / Schedule on May  10-11</v>
          </cell>
          <cell r="M71" t="str">
            <v xml:space="preserve">Approval of  Permit of  Brgy  mobilzation the will for possible of road obtruction /road Closure </v>
          </cell>
        </row>
        <row r="72">
          <cell r="A72" t="str">
            <v>X25031019727</v>
          </cell>
          <cell r="B72" t="str">
            <v>CITY GOVERNMENT OF TAGUIG</v>
          </cell>
          <cell r="C72" t="str">
            <v>CHAMPACA, STO. NINO, TAGUIG CITY</v>
          </cell>
          <cell r="D72" t="str">
            <v>NEW</v>
          </cell>
          <cell r="E72" t="str">
            <v>VJC</v>
          </cell>
          <cell r="F72" t="str">
            <v>FCOMP</v>
          </cell>
          <cell r="G72">
            <v>45768.665277777778</v>
          </cell>
          <cell r="H72">
            <v>171.3066</v>
          </cell>
          <cell r="I72">
            <v>45775.443749999999</v>
          </cell>
          <cell r="J72"/>
          <cell r="K72" t="str">
            <v>Boss FOG</v>
          </cell>
          <cell r="L72"/>
          <cell r="M72"/>
        </row>
        <row r="73">
          <cell r="A73" t="str">
            <v>X23031056287</v>
          </cell>
          <cell r="B73" t="str">
            <v>ALFAMART TRADING PHILIPPINES, INC</v>
          </cell>
          <cell r="C73" t="str">
            <v>GEN. TIRONA, MABOLO I, BACOOR</v>
          </cell>
          <cell r="D73" t="str">
            <v>NEW</v>
          </cell>
          <cell r="E73" t="str">
            <v>AVECO</v>
          </cell>
          <cell r="F73" t="str">
            <v>FCOMP</v>
          </cell>
          <cell r="G73">
            <v>45769.697222222225</v>
          </cell>
          <cell r="H73">
            <v>48.593499999999999</v>
          </cell>
          <cell r="I73">
            <v>45801</v>
          </cell>
          <cell r="J73"/>
          <cell r="K73" t="str">
            <v>Roberto Galang</v>
          </cell>
          <cell r="L73"/>
          <cell r="M73"/>
        </row>
        <row r="74">
          <cell r="A74" t="str">
            <v>X25010021411</v>
          </cell>
          <cell r="B74" t="str">
            <v>FRANCES CHRISTINE RAMIREZ AGUIRRE</v>
          </cell>
          <cell r="C74" t="str">
            <v>DAO, MAYWOOD VILL, PARANAQUE</v>
          </cell>
          <cell r="D74" t="str">
            <v>MODIFICATION</v>
          </cell>
          <cell r="E74" t="str">
            <v>CHALLENGER</v>
          </cell>
          <cell r="F74" t="str">
            <v>FCOMP</v>
          </cell>
          <cell r="G74">
            <v>45775.665972222225</v>
          </cell>
          <cell r="H74">
            <v>135.69099999999995</v>
          </cell>
          <cell r="I74">
            <v>45811</v>
          </cell>
          <cell r="J74"/>
          <cell r="K74" t="str">
            <v>Boss Erville</v>
          </cell>
          <cell r="L74"/>
          <cell r="M74"/>
        </row>
        <row r="75">
          <cell r="A75" t="str">
            <v>X25041129915</v>
          </cell>
          <cell r="B75" t="str">
            <v>ROSE ANNE A. AGUIRRE</v>
          </cell>
          <cell r="C75" t="str">
            <v>C. PALANCA SR., BF HOMES, PARANAQUE</v>
          </cell>
          <cell r="D75" t="str">
            <v>MODIFICATION</v>
          </cell>
          <cell r="E75" t="str">
            <v>POWERHOUSE</v>
          </cell>
          <cell r="F75" t="str">
            <v>FCOMP</v>
          </cell>
          <cell r="G75">
            <v>45776.675000000003</v>
          </cell>
          <cell r="H75">
            <v>115.23949999999999</v>
          </cell>
          <cell r="I75">
            <v>45842</v>
          </cell>
          <cell r="J75"/>
          <cell r="K75" t="str">
            <v>Wife of Mulanay Quezon Mayor Aris Aguirre, Son of DOJ Sec. Aguirre III</v>
          </cell>
          <cell r="L75" t="str">
            <v>For execution on June 12</v>
          </cell>
          <cell r="M75" t="str">
            <v>Work load concern</v>
          </cell>
        </row>
        <row r="76">
          <cell r="A76" t="str">
            <v>X25041129547</v>
          </cell>
          <cell r="B76" t="str">
            <v>S3A UNTIED INC.</v>
          </cell>
          <cell r="C76" t="str">
            <v>PACIFIC AVE, MARINA SUBD, PARANAQUE</v>
          </cell>
          <cell r="D76" t="str">
            <v>TERMINATION</v>
          </cell>
          <cell r="E76" t="str">
            <v>AVECO</v>
          </cell>
          <cell r="F76" t="str">
            <v>FCOMP</v>
          </cell>
          <cell r="G76">
            <v>45777.347222222219</v>
          </cell>
          <cell r="H76">
            <v>7.61</v>
          </cell>
          <cell r="I76">
            <v>45782</v>
          </cell>
          <cell r="J76"/>
          <cell r="K76" t="str">
            <v>Doy Yang of EGIP</v>
          </cell>
          <cell r="L76"/>
          <cell r="M76"/>
        </row>
        <row r="77">
          <cell r="A77" t="str">
            <v>X25041173300</v>
          </cell>
          <cell r="B77" t="str">
            <v>ALBERT TIONGSON LORENZO</v>
          </cell>
          <cell r="C77" t="str">
            <v>BACOOR, MAMBOG IV, BACOOR</v>
          </cell>
          <cell r="D77" t="str">
            <v>NEW</v>
          </cell>
          <cell r="E77" t="str">
            <v>AVECO</v>
          </cell>
          <cell r="F77" t="str">
            <v>FCOMP</v>
          </cell>
          <cell r="G77">
            <v>45777.365972222222</v>
          </cell>
          <cell r="H77">
            <v>43.404699999999998</v>
          </cell>
          <cell r="I77">
            <v>45804</v>
          </cell>
          <cell r="J77"/>
          <cell r="K77" t="str">
            <v>Mr. Mark Richmund De Leon, Executive from MPTC</v>
          </cell>
          <cell r="L77"/>
          <cell r="M77"/>
        </row>
        <row r="78">
          <cell r="A78" t="str">
            <v>X25030757040</v>
          </cell>
          <cell r="B78" t="str">
            <v>AMBICA INTERNATIONAL CORPORATION</v>
          </cell>
          <cell r="C78" t="str">
            <v>MERVILLE ACCESS, KALAYAAN VILL/BALAGBAG, PASAY CITY</v>
          </cell>
          <cell r="D78" t="str">
            <v>MODIFICATION</v>
          </cell>
          <cell r="E78" t="str">
            <v>VJC</v>
          </cell>
          <cell r="F78" t="str">
            <v>FCOMP</v>
          </cell>
          <cell r="G78">
            <v>45779.697222222225</v>
          </cell>
          <cell r="H78">
            <v>153.19200000000006</v>
          </cell>
          <cell r="I78">
            <v>45805.425694444442</v>
          </cell>
          <cell r="J78"/>
          <cell r="K78" t="str">
            <v>Roberto Galang</v>
          </cell>
          <cell r="L78"/>
          <cell r="M78"/>
        </row>
        <row r="79">
          <cell r="A79" t="str">
            <v>X25020524644</v>
          </cell>
          <cell r="B79" t="str">
            <v>TIERRA BELLA PROPERTIES INC.</v>
          </cell>
          <cell r="C79" t="str">
            <v>PRES. M. ROXAS, TAMBO, PARANAQUE</v>
          </cell>
          <cell r="D79" t="str">
            <v>NEW</v>
          </cell>
          <cell r="E79" t="str">
            <v>CHALLENGER</v>
          </cell>
          <cell r="F79" t="str">
            <v>FCOMP</v>
          </cell>
          <cell r="G79">
            <v>45782.619444444441</v>
          </cell>
          <cell r="H79">
            <v>27.502800000000001</v>
          </cell>
          <cell r="I79">
            <v>45792</v>
          </cell>
          <cell r="J79"/>
          <cell r="K79" t="str">
            <v>Bernard Castro</v>
          </cell>
          <cell r="L79"/>
          <cell r="M79"/>
        </row>
        <row r="80">
          <cell r="A80" t="str">
            <v>X25020630582</v>
          </cell>
          <cell r="B80" t="str">
            <v>TIERRA BELLA PROPERTIES INC.</v>
          </cell>
          <cell r="C80" t="str">
            <v>PRES. M. ROXAS, TAMBO, PARANAQUE</v>
          </cell>
          <cell r="D80" t="str">
            <v>NEW</v>
          </cell>
          <cell r="E80" t="str">
            <v>CHALLENGER</v>
          </cell>
          <cell r="F80" t="str">
            <v>FCOMP</v>
          </cell>
          <cell r="G80">
            <v>45782.620833333334</v>
          </cell>
          <cell r="H80">
            <v>79.048499999999976</v>
          </cell>
          <cell r="I80">
            <v>45792</v>
          </cell>
          <cell r="J80"/>
          <cell r="K80" t="str">
            <v>Bernard Castro</v>
          </cell>
          <cell r="L80"/>
          <cell r="M80"/>
        </row>
        <row r="81">
          <cell r="A81" t="str">
            <v>X25020582768</v>
          </cell>
          <cell r="B81" t="str">
            <v>MIESCOR INFRASTRUCTURE DEVELOPMENT CORPORATION</v>
          </cell>
          <cell r="C81" t="str">
            <v>BAGONG SILANG INTERIOR, QUEEN'S ROW EAST , BACOOR</v>
          </cell>
          <cell r="D81" t="str">
            <v>NEW</v>
          </cell>
          <cell r="E81" t="str">
            <v>AVECO</v>
          </cell>
          <cell r="F81" t="str">
            <v>FCOMP</v>
          </cell>
          <cell r="G81">
            <v>45783.396527777775</v>
          </cell>
          <cell r="H81">
            <v>18.652799999999996</v>
          </cell>
          <cell r="I81">
            <v>45799</v>
          </cell>
          <cell r="J81"/>
          <cell r="K81" t="str">
            <v>Boss Choi</v>
          </cell>
          <cell r="L81"/>
          <cell r="M81"/>
        </row>
        <row r="82">
          <cell r="A82" t="str">
            <v>X25030926983</v>
          </cell>
          <cell r="B82" t="str">
            <v>PANCITERIA LIDO CHINESE CUISINE CORP.</v>
          </cell>
          <cell r="C82" t="str">
            <v>MOLINO BLVD., MAMBOG IV, BACOOR</v>
          </cell>
          <cell r="D82" t="str">
            <v>NEW</v>
          </cell>
          <cell r="E82" t="str">
            <v>AVECO</v>
          </cell>
          <cell r="F82" t="str">
            <v>FCOMP</v>
          </cell>
          <cell r="G82">
            <v>45786.724305555559</v>
          </cell>
          <cell r="H82">
            <v>111.5933</v>
          </cell>
          <cell r="I82">
            <v>45799</v>
          </cell>
          <cell r="J82"/>
          <cell r="K82" t="str">
            <v>Chi Padua</v>
          </cell>
          <cell r="L82" t="str">
            <v>Completed on-site</v>
          </cell>
          <cell r="M82" t="str">
            <v>System error /  For FCOMP</v>
          </cell>
        </row>
        <row r="83">
          <cell r="A83" t="str">
            <v>X25030864022</v>
          </cell>
          <cell r="B83" t="str">
            <v>RAHUL DAVE DARYANI</v>
          </cell>
          <cell r="C83" t="str">
            <v>E. RODRIGUEZ JR., STO. NINO, PARANAQUE</v>
          </cell>
          <cell r="D83" t="str">
            <v>NEW</v>
          </cell>
          <cell r="E83" t="str">
            <v>VJC</v>
          </cell>
          <cell r="F83" t="str">
            <v>FCOMP</v>
          </cell>
          <cell r="G83">
            <v>45771.67291666667</v>
          </cell>
          <cell r="H83">
            <v>33.927999999999997</v>
          </cell>
          <cell r="I83">
            <v>45827</v>
          </cell>
          <cell r="J83"/>
          <cell r="K83" t="str">
            <v>Boss Jason Calsas</v>
          </cell>
          <cell r="L83" t="str">
            <v>SSP schedule on June 18</v>
          </cell>
          <cell r="M83" t="str">
            <v>with scheduled PAI</v>
          </cell>
        </row>
        <row r="84">
          <cell r="A84" t="str">
            <v>X25030814571</v>
          </cell>
          <cell r="B84" t="str">
            <v>JOSE MARIA IBANEZ LANZA</v>
          </cell>
          <cell r="C84" t="str">
            <v>NORTH 5TH, ANGELA VILL, LAS PINAS CITY</v>
          </cell>
          <cell r="D84" t="str">
            <v>MODIFICATION</v>
          </cell>
          <cell r="E84" t="str">
            <v>POWERHOUSE</v>
          </cell>
          <cell r="F84" t="str">
            <v>FCOMP</v>
          </cell>
          <cell r="G84">
            <v>45803.713194444441</v>
          </cell>
          <cell r="H84">
            <v>99.41449999999999</v>
          </cell>
          <cell r="I84">
            <v>45847</v>
          </cell>
          <cell r="J84"/>
          <cell r="K84" t="str">
            <v>Ma'am Lani Anastacio and Rocky Bacani</v>
          </cell>
          <cell r="L84" t="str">
            <v>For survey on June 11</v>
          </cell>
          <cell r="M84" t="str">
            <v>Work load concern</v>
          </cell>
        </row>
        <row r="85">
          <cell r="A85" t="str">
            <v>X25020415616</v>
          </cell>
          <cell r="B85" t="str">
            <v>SOUTH METRO ICE PLANT CORP.</v>
          </cell>
          <cell r="C85" t="str">
            <v>NATIONAL, TUNASAN, MUNTINLUPA</v>
          </cell>
          <cell r="D85" t="str">
            <v>NEW</v>
          </cell>
          <cell r="E85" t="str">
            <v>VJC</v>
          </cell>
          <cell r="F85" t="str">
            <v>FCOMP</v>
          </cell>
          <cell r="G85">
            <v>45783.589583333334</v>
          </cell>
          <cell r="H85">
            <v>64.236800000000017</v>
          </cell>
          <cell r="I85">
            <v>45829</v>
          </cell>
          <cell r="J85"/>
          <cell r="K85" t="str">
            <v>Boss FOG and Administrator of Muntinlupa LGU</v>
          </cell>
          <cell r="L85" t="str">
            <v>On-going construction</v>
          </cell>
          <cell r="M85" t="str">
            <v>Incomplete LGU permits</v>
          </cell>
        </row>
        <row r="86">
          <cell r="A86" t="str">
            <v>X25010310869</v>
          </cell>
          <cell r="B86" t="str">
            <v>CAT COMICS LAND INC.</v>
          </cell>
          <cell r="C86" t="str">
            <v>ROSE OF HEAVEN, TALON VILL, LAS PINAS CITY</v>
          </cell>
          <cell r="D86" t="str">
            <v>NEW</v>
          </cell>
          <cell r="E86" t="str">
            <v>CHALLENGER</v>
          </cell>
          <cell r="F86" t="str">
            <v>FCOMP</v>
          </cell>
          <cell r="G86">
            <v>45790.543055555558</v>
          </cell>
          <cell r="H86">
            <v>93.228700000000003</v>
          </cell>
          <cell r="I86">
            <v>45821</v>
          </cell>
          <cell r="J86"/>
          <cell r="K86" t="str">
            <v>Gerald San Pedro</v>
          </cell>
          <cell r="L86" t="str">
            <v>On going Digging</v>
          </cell>
          <cell r="M86"/>
        </row>
        <row r="87">
          <cell r="A87" t="str">
            <v>X25030752071</v>
          </cell>
          <cell r="B87" t="str">
            <v>MICHAEL G. DAVID</v>
          </cell>
          <cell r="C87" t="str">
            <v>BLOCK 7, DOÑA ROSARIO HEIGHTS SUBD, MUNTINLUPA</v>
          </cell>
          <cell r="D87" t="str">
            <v>MODIFICATION</v>
          </cell>
          <cell r="E87" t="str">
            <v>CHALLENGER</v>
          </cell>
          <cell r="F87" t="str">
            <v>FCOMP</v>
          </cell>
          <cell r="G87">
            <v>45757.7</v>
          </cell>
          <cell r="H87">
            <v>100.01430000000002</v>
          </cell>
          <cell r="I87">
            <v>45821</v>
          </cell>
          <cell r="J87"/>
          <cell r="K87" t="str">
            <v>Boss Rensy Robles</v>
          </cell>
          <cell r="L87" t="str">
            <v>Energization 6/10/2025</v>
          </cell>
          <cell r="M87"/>
        </row>
        <row r="88">
          <cell r="A88" t="str">
            <v>X25041167587</v>
          </cell>
          <cell r="B88" t="str">
            <v>CITY GOVERNMENT OF PARANAQUE</v>
          </cell>
          <cell r="C88" t="str">
            <v>(TOWN HALL) STA. LUCIA SAN ANTONIO VALLEY 1 SN ANTONIO - PARANAQUE METRO MANILA</v>
          </cell>
          <cell r="D88" t="str">
            <v>NEW</v>
          </cell>
          <cell r="E88" t="str">
            <v>C2</v>
          </cell>
          <cell r="F88" t="str">
            <v>TECO</v>
          </cell>
          <cell r="G88">
            <v>45813.456250000003</v>
          </cell>
          <cell r="H88">
            <v>47.73</v>
          </cell>
          <cell r="I88">
            <v>45832</v>
          </cell>
          <cell r="J88"/>
          <cell r="K88" t="str">
            <v xml:space="preserve">Mayor Edwin Olivarez </v>
          </cell>
          <cell r="L88"/>
          <cell r="M88"/>
        </row>
        <row r="89">
          <cell r="A89" t="str">
            <v>X25030881259</v>
          </cell>
          <cell r="B89" t="str">
            <v>HEIDELBERG BORJA CRUZ</v>
          </cell>
          <cell r="C89" t="str">
            <v>HERRERA ST., TOWN AND COUNTRY WEST SUBD, BACOOR</v>
          </cell>
          <cell r="D89" t="str">
            <v>NEW</v>
          </cell>
          <cell r="E89" t="str">
            <v>AVECO</v>
          </cell>
          <cell r="F89" t="str">
            <v>FCOMP</v>
          </cell>
          <cell r="G89">
            <v>45754.387499999997</v>
          </cell>
          <cell r="H89">
            <v>77.123100000000022</v>
          </cell>
          <cell r="I89">
            <v>45836</v>
          </cell>
          <cell r="J89"/>
          <cell r="K89" t="str">
            <v>Bacoor BC Head, TJ Gonzales</v>
          </cell>
          <cell r="L89" t="str">
            <v>Pending</v>
          </cell>
          <cell r="M89" t="str">
            <v>Work load</v>
          </cell>
        </row>
        <row r="90">
          <cell r="A90" t="str">
            <v>X25010318160</v>
          </cell>
          <cell r="B90" t="str">
            <v>METRO SOUTH PROPERTIES CORPORATION</v>
          </cell>
          <cell r="C90" t="str">
            <v>RAVENGA, TOWN AND COUNTRY WEST SUBD, BACOOR</v>
          </cell>
          <cell r="D90" t="str">
            <v>NEW</v>
          </cell>
          <cell r="E90" t="str">
            <v>AVECO</v>
          </cell>
          <cell r="F90" t="str">
            <v>FCOMP</v>
          </cell>
          <cell r="G90">
            <v>45769.554166666669</v>
          </cell>
          <cell r="H90">
            <v>236.46709999999985</v>
          </cell>
          <cell r="I90">
            <v>45848</v>
          </cell>
          <cell r="J90"/>
          <cell r="K90" t="str">
            <v>Bacoor BC Head, TJ Gonzales</v>
          </cell>
          <cell r="L90" t="str">
            <v>Pending</v>
          </cell>
          <cell r="M90" t="str">
            <v>Work load</v>
          </cell>
        </row>
        <row r="91">
          <cell r="A91" t="str">
            <v>X25010252654</v>
          </cell>
          <cell r="B91" t="str">
            <v>ENRIQUE JOSE NUGUID LIM</v>
          </cell>
          <cell r="C91" t="str">
            <v>BURGOS, TOWN AND COUNTRY WEST SUBD, BACOOR</v>
          </cell>
          <cell r="D91" t="str">
            <v>NEW</v>
          </cell>
          <cell r="E91" t="str">
            <v>AVECO</v>
          </cell>
          <cell r="F91" t="str">
            <v>FCOMP</v>
          </cell>
          <cell r="G91">
            <v>45782.617361111108</v>
          </cell>
          <cell r="H91">
            <v>160.30519999999993</v>
          </cell>
          <cell r="I91">
            <v>45842</v>
          </cell>
          <cell r="J91"/>
          <cell r="K91" t="str">
            <v>Bacoor BC Head, TJ Gonzales</v>
          </cell>
          <cell r="L91" t="str">
            <v>Pending</v>
          </cell>
          <cell r="M91" t="str">
            <v>Work load</v>
          </cell>
        </row>
        <row r="92">
          <cell r="A92" t="str">
            <v>X24020419527</v>
          </cell>
          <cell r="B92" t="str">
            <v>D.M. WENCESLAO &amp; ASSOCIATES, INC.,</v>
          </cell>
          <cell r="C92" t="str">
            <v>BRADCO, ASEANA BUSINESS PARK, PARANAQUE</v>
          </cell>
          <cell r="D92" t="str">
            <v>NEW</v>
          </cell>
          <cell r="E92" t="str">
            <v>VJC</v>
          </cell>
          <cell r="F92" t="str">
            <v>FCOMP</v>
          </cell>
          <cell r="G92">
            <v>45817.70416666667</v>
          </cell>
          <cell r="H92">
            <v>793.14370000000019</v>
          </cell>
          <cell r="I92">
            <v>45855</v>
          </cell>
          <cell r="J92"/>
          <cell r="K92" t="str">
            <v>Related to ASEANA Substation permit approval; Ma'am Bernice</v>
          </cell>
        </row>
        <row r="93">
          <cell r="A93" t="str">
            <v>X25041423325</v>
          </cell>
          <cell r="B93" t="str">
            <v>MARIFE PIMENTEL PASCUAL</v>
          </cell>
          <cell r="C93" t="str">
            <v>PANAMUCAN, AYALA-ALABANG VILL, MUNTINLUPA</v>
          </cell>
          <cell r="D93" t="str">
            <v>MODIFICATION</v>
          </cell>
          <cell r="E93" t="str">
            <v>MAINTENANCE</v>
          </cell>
          <cell r="F93" t="str">
            <v>FCOMP</v>
          </cell>
          <cell r="G93">
            <v>45805.443055555559</v>
          </cell>
          <cell r="H93">
            <v>45.60799999999999</v>
          </cell>
          <cell r="I93">
            <v>45834</v>
          </cell>
          <cell r="J93"/>
          <cell r="K93" t="str">
            <v>Paolo Cruz</v>
          </cell>
          <cell r="L93"/>
          <cell r="M93"/>
        </row>
        <row r="94">
          <cell r="A94" t="str">
            <v>X25041438549</v>
          </cell>
          <cell r="B94" t="str">
            <v>ROSELLER SYGENCO PIERAZ</v>
          </cell>
          <cell r="C94" t="str">
            <v>MAHARLIKA, MARCELO GREEN VILL 5, PARANAQUE</v>
          </cell>
          <cell r="D94" t="str">
            <v>NEW</v>
          </cell>
          <cell r="E94" t="str">
            <v>C2</v>
          </cell>
          <cell r="F94" t="str">
            <v>TECO</v>
          </cell>
          <cell r="G94">
            <v>45813.454861111109</v>
          </cell>
          <cell r="H94">
            <v>31.58</v>
          </cell>
          <cell r="I94">
            <v>45830</v>
          </cell>
          <cell r="J94"/>
          <cell r="K94" t="str">
            <v>Carlo Topacio</v>
          </cell>
          <cell r="L94"/>
          <cell r="M94"/>
        </row>
        <row r="95">
          <cell r="A95" t="str">
            <v>X25041097966</v>
          </cell>
          <cell r="B95" t="str">
            <v>ROMAN CATHOLIC BISHOP OF PARANAQUE</v>
          </cell>
          <cell r="C95" t="str">
            <v>BARCELONA, MERVILLE SUBD, PARANAQUE</v>
          </cell>
          <cell r="D95" t="str">
            <v>MODIFICATION</v>
          </cell>
          <cell r="E95" t="str">
            <v>ECOM</v>
          </cell>
          <cell r="F95" t="str">
            <v>FCOMP</v>
          </cell>
          <cell r="G95">
            <v>45827.683333333334</v>
          </cell>
          <cell r="H95">
            <v>118.40899999999999</v>
          </cell>
          <cell r="I95">
            <v>45834</v>
          </cell>
          <cell r="J95"/>
          <cell r="K95" t="str">
            <v>Boss RoLA</v>
          </cell>
          <cell r="L95"/>
          <cell r="M95"/>
        </row>
        <row r="96">
          <cell r="A96" t="str">
            <v>X25061977034</v>
          </cell>
          <cell r="B96" t="str">
            <v>ROVIE BUGAYONG GABIOLA</v>
          </cell>
          <cell r="C96" t="str">
            <v>BF CARNIBAL PARK, BF RESORT VILL, LAS PINAS CITY</v>
          </cell>
          <cell r="D96" t="str">
            <v>NEW</v>
          </cell>
          <cell r="E96" t="str">
            <v>CHALLENGER</v>
          </cell>
          <cell r="F96" t="str">
            <v>FCOMP</v>
          </cell>
          <cell r="G96">
            <v>45827.546527777777</v>
          </cell>
          <cell r="H96">
            <v>59.72</v>
          </cell>
          <cell r="I96">
            <v>45845</v>
          </cell>
          <cell r="J96"/>
          <cell r="K96" t="str">
            <v>BIZ Partners: with escalation from the Office of the President and ERC</v>
          </cell>
        </row>
        <row r="97">
          <cell r="A97" t="str">
            <v>X25041379488</v>
          </cell>
          <cell r="B97" t="str">
            <v>PACIFIC RESOURCES CORPORATION</v>
          </cell>
          <cell r="C97" t="str">
            <v>MARCOS ALVAREZ, TALON I, LAS PINAS CITY</v>
          </cell>
          <cell r="D97" t="str">
            <v>MODIFICATION</v>
          </cell>
          <cell r="E97" t="str">
            <v>ECOM</v>
          </cell>
          <cell r="F97" t="str">
            <v>FCOMP</v>
          </cell>
          <cell r="G97">
            <v>45812.381944444445</v>
          </cell>
          <cell r="H97">
            <v>11.530000000000001</v>
          </cell>
          <cell r="I97">
            <v>45845</v>
          </cell>
          <cell r="J97"/>
          <cell r="K97" t="str">
            <v>Boss Jerry Lao</v>
          </cell>
        </row>
        <row r="98">
          <cell r="A98" t="str">
            <v>X25062037709</v>
          </cell>
          <cell r="B98" t="str">
            <v>MONICA FE ESPIRITU LUMBA</v>
          </cell>
          <cell r="C98" t="str">
            <v>AZUCENA, TAHANAN VILL, PARANAQUE</v>
          </cell>
          <cell r="D98" t="str">
            <v>MODIFICATION</v>
          </cell>
          <cell r="E98" t="str">
            <v>MAINTENANCE</v>
          </cell>
          <cell r="F98" t="str">
            <v>FCOMP</v>
          </cell>
          <cell r="G98">
            <v>45838</v>
          </cell>
          <cell r="H98">
            <v>12.47</v>
          </cell>
          <cell r="I98">
            <v>45847</v>
          </cell>
          <cell r="J98"/>
          <cell r="K98" t="str">
            <v>Boss Bien de Guzman</v>
          </cell>
          <cell r="L98"/>
          <cell r="M98"/>
        </row>
        <row r="99">
          <cell r="A99" t="str">
            <v>X25041456660</v>
          </cell>
          <cell r="B99" t="str">
            <v>PRECIOUS GRACE REYES SUBIDO</v>
          </cell>
          <cell r="C99" t="str">
            <v>M.L. QUEZON, PUROK 3, TAGUIG CITY</v>
          </cell>
          <cell r="D99" t="str">
            <v>NEW</v>
          </cell>
          <cell r="E99" t="str">
            <v>VJC</v>
          </cell>
          <cell r="F99" t="str">
            <v>FCOMP</v>
          </cell>
          <cell r="G99">
            <v>45821.623611111114</v>
          </cell>
          <cell r="H99">
            <v>38.679000000000002</v>
          </cell>
          <cell r="I99">
            <v>45847</v>
          </cell>
          <cell r="J99"/>
          <cell r="K99" t="str">
            <v>Boss Richard Ochava</v>
          </cell>
          <cell r="L99"/>
          <cell r="M99"/>
        </row>
        <row r="100">
          <cell r="A100" t="str">
            <v>X24104298635</v>
          </cell>
          <cell r="B100" t="str">
            <v>ANKONG HOLDINGS, INC.</v>
          </cell>
          <cell r="C100" t="str">
            <v>JAIME, AIRPORT VILL, PARANAQUE</v>
          </cell>
          <cell r="D100" t="str">
            <v>NEW</v>
          </cell>
          <cell r="E100" t="str">
            <v>AVECO</v>
          </cell>
          <cell r="F100" t="str">
            <v>SCHED</v>
          </cell>
          <cell r="G100">
            <v>45777.761805555558</v>
          </cell>
          <cell r="H100">
            <v>717.29960000000051</v>
          </cell>
          <cell r="I100" t="str">
            <v>-</v>
          </cell>
          <cell r="J100"/>
          <cell r="K100" t="str">
            <v>Boss Ferdie Geluz</v>
          </cell>
          <cell r="L100" t="str">
            <v>On -Going / Pending</v>
          </cell>
          <cell r="M100" t="str">
            <v xml:space="preserve">Problem with Task 20 with Underground Facilites fro Customer Side  (Resolve as of  7-18-25) </v>
          </cell>
        </row>
        <row r="101">
          <cell r="A101" t="str">
            <v>R22419641</v>
          </cell>
          <cell r="B101" t="str">
            <v>ONOFRE, CORAZON VILLA,</v>
          </cell>
          <cell r="C101" t="str">
            <v>GLORIA DIAZ, BF RESORT VILL, LAS PINAS CITY</v>
          </cell>
          <cell r="D101" t="str">
            <v>RELOC</v>
          </cell>
          <cell r="E101" t="str">
            <v>ECOM</v>
          </cell>
          <cell r="F101" t="str">
            <v>FCOMP</v>
          </cell>
          <cell r="G101">
            <v>45526.617361111108</v>
          </cell>
          <cell r="H101">
            <v>153.46879999999999</v>
          </cell>
          <cell r="I101">
            <v>45869</v>
          </cell>
          <cell r="J101"/>
          <cell r="K101" t="str">
            <v>Joe Zaldarriaga</v>
          </cell>
          <cell r="L101" t="str">
            <v xml:space="preserve">For Schedule PAI </v>
          </cell>
          <cell r="M101" t="str">
            <v xml:space="preserve">Drainage Diversion </v>
          </cell>
        </row>
        <row r="102">
          <cell r="A102" t="str">
            <v>X25030779048</v>
          </cell>
          <cell r="B102" t="str">
            <v>A R B CONSTRUCTION COMPANY, INC.</v>
          </cell>
          <cell r="C102" t="str">
            <v>BLOCK 3, SOLDIERS HILLS SUBD, MUNTINLUPA</v>
          </cell>
          <cell r="D102" t="str">
            <v>NEW</v>
          </cell>
          <cell r="E102" t="str">
            <v>CHALLENGER</v>
          </cell>
          <cell r="F102" t="str">
            <v>FCOMP</v>
          </cell>
          <cell r="G102">
            <v>45792.430555555555</v>
          </cell>
          <cell r="H102">
            <v>86.989500000000007</v>
          </cell>
          <cell r="I102">
            <v>45808</v>
          </cell>
          <cell r="J102"/>
          <cell r="K102" t="str">
            <v>Robinsons and Ms. Robina Gokongwei-Pe</v>
          </cell>
          <cell r="L102"/>
          <cell r="M102"/>
        </row>
        <row r="103">
          <cell r="A103" t="str">
            <v>X24072781796</v>
          </cell>
          <cell r="B103" t="str">
            <v>HERBERT JOSEPH GO TAN</v>
          </cell>
          <cell r="C103" t="str">
            <v>SAN CARLOS, AYALA-ALABANG VILL, MUNTINLUPA</v>
          </cell>
          <cell r="D103" t="str">
            <v>NEW</v>
          </cell>
          <cell r="E103" t="str">
            <v>MAINTENANCE</v>
          </cell>
          <cell r="F103" t="str">
            <v>FCOMP</v>
          </cell>
          <cell r="G103">
            <v>45826.401388888888</v>
          </cell>
          <cell r="H103">
            <v>387.5</v>
          </cell>
          <cell r="I103">
            <v>45855</v>
          </cell>
          <cell r="J103"/>
          <cell r="K103" t="str">
            <v>Boss Rensy Robles</v>
          </cell>
          <cell r="L103"/>
          <cell r="M103"/>
        </row>
        <row r="104">
          <cell r="A104" t="str">
            <v>X23083303906</v>
          </cell>
          <cell r="B104" t="str">
            <v>CIVIL AVIATION AUTHORITY OF THE PHILIPPINES</v>
          </cell>
          <cell r="C104" t="str">
            <v>NAIA, PASAY, PASAY CITY</v>
          </cell>
          <cell r="D104" t="str">
            <v>MODIFICATION</v>
          </cell>
          <cell r="E104" t="str">
            <v>CHALLENGER</v>
          </cell>
          <cell r="F104" t="str">
            <v>FCOMP</v>
          </cell>
          <cell r="G104">
            <v>45819.429166666669</v>
          </cell>
          <cell r="H104">
            <v>385.08</v>
          </cell>
          <cell r="I104">
            <v>45856</v>
          </cell>
          <cell r="J104"/>
          <cell r="K104" t="str">
            <v>Boss Domeng Robles</v>
          </cell>
          <cell r="L104"/>
          <cell r="M104"/>
        </row>
        <row r="105">
          <cell r="A105" t="str">
            <v>X25062023744</v>
          </cell>
          <cell r="B105" t="str">
            <v>YDLAZAVON PANCIT HABHAB, INC.</v>
          </cell>
          <cell r="C105" t="str">
            <v>SAN ANTONIO, SAN ANTONIO VALLEY 1, PARANAQUE</v>
          </cell>
          <cell r="D105" t="str">
            <v>NEW</v>
          </cell>
          <cell r="E105" t="str">
            <v>C2</v>
          </cell>
          <cell r="F105" t="str">
            <v>FCOMP</v>
          </cell>
          <cell r="G105">
            <v>45841.672222222223</v>
          </cell>
          <cell r="H105">
            <v>68.72</v>
          </cell>
          <cell r="I105">
            <v>45852.336805555555</v>
          </cell>
          <cell r="J105"/>
          <cell r="K105" t="str">
            <v>Ms.Malu &amp; Sir Froi</v>
          </cell>
          <cell r="L105"/>
          <cell r="M105"/>
        </row>
        <row r="106">
          <cell r="A106" t="str">
            <v>X24093626616</v>
          </cell>
          <cell r="B106" t="str">
            <v xml:space="preserve"> MAYNILAD WATER SERVICES, INC.,</v>
          </cell>
          <cell r="C106" t="str">
            <v>BUENDIA, TUNASAN, MUNTINLUPA</v>
          </cell>
          <cell r="D106" t="str">
            <v>NEW</v>
          </cell>
          <cell r="E106" t="str">
            <v>CHALLENGER</v>
          </cell>
          <cell r="F106" t="str">
            <v>FCOMP</v>
          </cell>
          <cell r="G106">
            <v>45817.67291666667</v>
          </cell>
          <cell r="H106">
            <v>177.76899999999995</v>
          </cell>
          <cell r="I106">
            <v>45855</v>
          </cell>
          <cell r="J106"/>
          <cell r="K106" t="str">
            <v>Maynilad</v>
          </cell>
          <cell r="L106"/>
          <cell r="M106"/>
        </row>
        <row r="107">
          <cell r="A107"/>
          <cell r="B107" t="e">
            <v>#N/A</v>
          </cell>
          <cell r="C107" t="e">
            <v>#N/A</v>
          </cell>
          <cell r="D107" t="e">
            <v>#N/A</v>
          </cell>
          <cell r="E107" t="e">
            <v>#N/A</v>
          </cell>
          <cell r="F107" t="e">
            <v>#N/A</v>
          </cell>
          <cell r="G107" t="e">
            <v>#N/A</v>
          </cell>
          <cell r="H107" t="e">
            <v>#N/A</v>
          </cell>
          <cell r="I107" t="e">
            <v>#N/A</v>
          </cell>
          <cell r="J107"/>
          <cell r="K107"/>
          <cell r="L107"/>
          <cell r="M107"/>
        </row>
        <row r="108">
          <cell r="A108"/>
          <cell r="B108" t="e">
            <v>#N/A</v>
          </cell>
          <cell r="C108" t="e">
            <v>#N/A</v>
          </cell>
          <cell r="D108" t="e">
            <v>#N/A</v>
          </cell>
          <cell r="E108" t="e">
            <v>#N/A</v>
          </cell>
          <cell r="F108" t="e">
            <v>#N/A</v>
          </cell>
          <cell r="G108" t="e">
            <v>#N/A</v>
          </cell>
          <cell r="H108" t="e">
            <v>#N/A</v>
          </cell>
          <cell r="I108" t="e">
            <v>#N/A</v>
          </cell>
          <cell r="J108"/>
          <cell r="K108"/>
          <cell r="L108"/>
          <cell r="M108"/>
        </row>
        <row r="109">
          <cell r="A109"/>
          <cell r="B109" t="e">
            <v>#N/A</v>
          </cell>
          <cell r="C109" t="e">
            <v>#N/A</v>
          </cell>
          <cell r="D109" t="e">
            <v>#N/A</v>
          </cell>
          <cell r="E109" t="e">
            <v>#N/A</v>
          </cell>
          <cell r="F109" t="e">
            <v>#N/A</v>
          </cell>
          <cell r="G109" t="e">
            <v>#N/A</v>
          </cell>
          <cell r="H109" t="e">
            <v>#N/A</v>
          </cell>
          <cell r="I109" t="e">
            <v>#N/A</v>
          </cell>
          <cell r="J109"/>
          <cell r="K109"/>
          <cell r="L109"/>
          <cell r="M109"/>
        </row>
        <row r="110">
          <cell r="A110"/>
          <cell r="B110" t="e">
            <v>#N/A</v>
          </cell>
          <cell r="C110" t="e">
            <v>#N/A</v>
          </cell>
          <cell r="D110" t="e">
            <v>#N/A</v>
          </cell>
          <cell r="E110" t="e">
            <v>#N/A</v>
          </cell>
          <cell r="F110" t="e">
            <v>#N/A</v>
          </cell>
          <cell r="G110" t="e">
            <v>#N/A</v>
          </cell>
          <cell r="H110" t="e">
            <v>#N/A</v>
          </cell>
          <cell r="I110" t="e">
            <v>#N/A</v>
          </cell>
          <cell r="J110"/>
          <cell r="K110"/>
          <cell r="L110"/>
          <cell r="M110"/>
        </row>
        <row r="111">
          <cell r="A111"/>
          <cell r="B111" t="e">
            <v>#N/A</v>
          </cell>
          <cell r="C111" t="e">
            <v>#N/A</v>
          </cell>
          <cell r="D111" t="e">
            <v>#N/A</v>
          </cell>
          <cell r="E111" t="e">
            <v>#N/A</v>
          </cell>
          <cell r="F111" t="e">
            <v>#N/A</v>
          </cell>
          <cell r="G111" t="e">
            <v>#N/A</v>
          </cell>
          <cell r="H111" t="e">
            <v>#N/A</v>
          </cell>
          <cell r="I111" t="e">
            <v>#N/A</v>
          </cell>
          <cell r="J111"/>
          <cell r="K111"/>
          <cell r="L111"/>
          <cell r="M111"/>
        </row>
        <row r="112">
          <cell r="A112"/>
          <cell r="B112" t="e">
            <v>#N/A</v>
          </cell>
          <cell r="C112" t="e">
            <v>#N/A</v>
          </cell>
          <cell r="D112" t="e">
            <v>#N/A</v>
          </cell>
          <cell r="E112" t="e">
            <v>#N/A</v>
          </cell>
          <cell r="F112" t="e">
            <v>#N/A</v>
          </cell>
          <cell r="G112" t="e">
            <v>#N/A</v>
          </cell>
          <cell r="H112" t="e">
            <v>#N/A</v>
          </cell>
          <cell r="I112" t="e">
            <v>#N/A</v>
          </cell>
          <cell r="J112"/>
          <cell r="K112"/>
          <cell r="L112"/>
          <cell r="M112"/>
        </row>
        <row r="113">
          <cell r="A113"/>
          <cell r="B113" t="e">
            <v>#N/A</v>
          </cell>
          <cell r="C113" t="e">
            <v>#N/A</v>
          </cell>
          <cell r="D113" t="e">
            <v>#N/A</v>
          </cell>
          <cell r="E113" t="e">
            <v>#N/A</v>
          </cell>
          <cell r="F113" t="e">
            <v>#N/A</v>
          </cell>
          <cell r="G113" t="e">
            <v>#N/A</v>
          </cell>
          <cell r="H113" t="e">
            <v>#N/A</v>
          </cell>
          <cell r="I113" t="e">
            <v>#N/A</v>
          </cell>
          <cell r="J113"/>
          <cell r="K113"/>
          <cell r="L113"/>
          <cell r="M113"/>
        </row>
        <row r="114">
          <cell r="A114"/>
          <cell r="B114" t="e">
            <v>#N/A</v>
          </cell>
          <cell r="C114" t="e">
            <v>#N/A</v>
          </cell>
          <cell r="D114" t="e">
            <v>#N/A</v>
          </cell>
          <cell r="E114" t="e">
            <v>#N/A</v>
          </cell>
          <cell r="F114" t="e">
            <v>#N/A</v>
          </cell>
          <cell r="G114" t="e">
            <v>#N/A</v>
          </cell>
          <cell r="H114" t="e">
            <v>#N/A</v>
          </cell>
          <cell r="I114" t="e">
            <v>#N/A</v>
          </cell>
          <cell r="J114"/>
          <cell r="K114"/>
          <cell r="L114"/>
          <cell r="M114"/>
        </row>
        <row r="115">
          <cell r="A115"/>
          <cell r="B115" t="e">
            <v>#N/A</v>
          </cell>
          <cell r="C115" t="e">
            <v>#N/A</v>
          </cell>
          <cell r="D115" t="e">
            <v>#N/A</v>
          </cell>
          <cell r="E115" t="e">
            <v>#N/A</v>
          </cell>
          <cell r="F115" t="e">
            <v>#N/A</v>
          </cell>
          <cell r="G115" t="e">
            <v>#N/A</v>
          </cell>
          <cell r="H115" t="e">
            <v>#N/A</v>
          </cell>
          <cell r="I115" t="e">
            <v>#N/A</v>
          </cell>
          <cell r="J115"/>
          <cell r="K115"/>
          <cell r="L115"/>
          <cell r="M115"/>
        </row>
        <row r="116">
          <cell r="A116"/>
          <cell r="B116" t="e">
            <v>#N/A</v>
          </cell>
          <cell r="C116" t="e">
            <v>#N/A</v>
          </cell>
          <cell r="D116" t="e">
            <v>#N/A</v>
          </cell>
          <cell r="E116" t="e">
            <v>#N/A</v>
          </cell>
          <cell r="F116" t="e">
            <v>#N/A</v>
          </cell>
          <cell r="G116" t="e">
            <v>#N/A</v>
          </cell>
          <cell r="H116" t="e">
            <v>#N/A</v>
          </cell>
          <cell r="I116" t="e">
            <v>#N/A</v>
          </cell>
          <cell r="J116"/>
          <cell r="K116"/>
          <cell r="L116"/>
          <cell r="M116"/>
        </row>
        <row r="117">
          <cell r="A117"/>
          <cell r="B117" t="e">
            <v>#N/A</v>
          </cell>
          <cell r="C117" t="e">
            <v>#N/A</v>
          </cell>
          <cell r="D117" t="e">
            <v>#N/A</v>
          </cell>
          <cell r="E117" t="e">
            <v>#N/A</v>
          </cell>
          <cell r="F117" t="e">
            <v>#N/A</v>
          </cell>
          <cell r="G117" t="e">
            <v>#N/A</v>
          </cell>
          <cell r="H117" t="e">
            <v>#N/A</v>
          </cell>
          <cell r="I117" t="e">
            <v>#N/A</v>
          </cell>
          <cell r="J117"/>
          <cell r="K117"/>
          <cell r="L117"/>
          <cell r="M117"/>
        </row>
        <row r="118">
          <cell r="A118"/>
          <cell r="B118" t="e">
            <v>#N/A</v>
          </cell>
          <cell r="C118" t="e">
            <v>#N/A</v>
          </cell>
          <cell r="D118" t="e">
            <v>#N/A</v>
          </cell>
          <cell r="E118" t="e">
            <v>#N/A</v>
          </cell>
          <cell r="F118" t="e">
            <v>#N/A</v>
          </cell>
          <cell r="G118" t="e">
            <v>#N/A</v>
          </cell>
          <cell r="H118" t="e">
            <v>#N/A</v>
          </cell>
          <cell r="I118" t="e">
            <v>#N/A</v>
          </cell>
          <cell r="J118"/>
          <cell r="K118"/>
          <cell r="L118"/>
          <cell r="M118"/>
        </row>
        <row r="119">
          <cell r="A119"/>
          <cell r="B119" t="e">
            <v>#N/A</v>
          </cell>
          <cell r="C119" t="e">
            <v>#N/A</v>
          </cell>
          <cell r="D119" t="e">
            <v>#N/A</v>
          </cell>
          <cell r="E119" t="e">
            <v>#N/A</v>
          </cell>
          <cell r="F119" t="e">
            <v>#N/A</v>
          </cell>
          <cell r="G119" t="e">
            <v>#N/A</v>
          </cell>
          <cell r="H119" t="e">
            <v>#N/A</v>
          </cell>
          <cell r="I119" t="e">
            <v>#N/A</v>
          </cell>
          <cell r="J119"/>
          <cell r="K119"/>
          <cell r="L119"/>
          <cell r="M119"/>
        </row>
        <row r="120">
          <cell r="A120"/>
          <cell r="B120" t="e">
            <v>#N/A</v>
          </cell>
          <cell r="C120" t="e">
            <v>#N/A</v>
          </cell>
          <cell r="D120" t="e">
            <v>#N/A</v>
          </cell>
          <cell r="E120" t="e">
            <v>#N/A</v>
          </cell>
          <cell r="F120" t="e">
            <v>#N/A</v>
          </cell>
          <cell r="G120" t="e">
            <v>#N/A</v>
          </cell>
          <cell r="H120" t="e">
            <v>#N/A</v>
          </cell>
          <cell r="I120" t="e">
            <v>#N/A</v>
          </cell>
          <cell r="J120"/>
          <cell r="K120"/>
          <cell r="L120"/>
          <cell r="M120"/>
        </row>
        <row r="121">
          <cell r="A121"/>
          <cell r="B121" t="e">
            <v>#N/A</v>
          </cell>
          <cell r="C121" t="e">
            <v>#N/A</v>
          </cell>
          <cell r="D121" t="e">
            <v>#N/A</v>
          </cell>
          <cell r="E121" t="e">
            <v>#N/A</v>
          </cell>
          <cell r="F121" t="e">
            <v>#N/A</v>
          </cell>
          <cell r="G121" t="e">
            <v>#N/A</v>
          </cell>
          <cell r="H121" t="e">
            <v>#N/A</v>
          </cell>
          <cell r="I121" t="e">
            <v>#N/A</v>
          </cell>
          <cell r="J121"/>
          <cell r="K121"/>
          <cell r="L121"/>
          <cell r="M121"/>
        </row>
        <row r="122">
          <cell r="A122"/>
          <cell r="B122" t="e">
            <v>#N/A</v>
          </cell>
          <cell r="C122" t="e">
            <v>#N/A</v>
          </cell>
          <cell r="D122" t="e">
            <v>#N/A</v>
          </cell>
          <cell r="E122" t="e">
            <v>#N/A</v>
          </cell>
          <cell r="F122" t="e">
            <v>#N/A</v>
          </cell>
          <cell r="G122" t="e">
            <v>#N/A</v>
          </cell>
          <cell r="H122" t="e">
            <v>#N/A</v>
          </cell>
          <cell r="I122" t="e">
            <v>#N/A</v>
          </cell>
          <cell r="J122"/>
          <cell r="K122"/>
          <cell r="L122"/>
          <cell r="M122"/>
        </row>
        <row r="123">
          <cell r="A123"/>
          <cell r="B123" t="e">
            <v>#N/A</v>
          </cell>
          <cell r="C123" t="e">
            <v>#N/A</v>
          </cell>
          <cell r="D123" t="e">
            <v>#N/A</v>
          </cell>
          <cell r="E123" t="e">
            <v>#N/A</v>
          </cell>
          <cell r="F123" t="e">
            <v>#N/A</v>
          </cell>
          <cell r="G123" t="e">
            <v>#N/A</v>
          </cell>
          <cell r="H123" t="e">
            <v>#N/A</v>
          </cell>
          <cell r="I123" t="e">
            <v>#N/A</v>
          </cell>
          <cell r="J123"/>
          <cell r="K123"/>
          <cell r="L123"/>
          <cell r="M123"/>
        </row>
        <row r="124">
          <cell r="A124"/>
          <cell r="B124" t="e">
            <v>#N/A</v>
          </cell>
          <cell r="C124" t="e">
            <v>#N/A</v>
          </cell>
          <cell r="D124" t="e">
            <v>#N/A</v>
          </cell>
          <cell r="E124" t="e">
            <v>#N/A</v>
          </cell>
          <cell r="F124" t="e">
            <v>#N/A</v>
          </cell>
          <cell r="G124" t="e">
            <v>#N/A</v>
          </cell>
          <cell r="H124" t="e">
            <v>#N/A</v>
          </cell>
          <cell r="I124" t="e">
            <v>#N/A</v>
          </cell>
          <cell r="J124"/>
          <cell r="K124"/>
          <cell r="L124"/>
          <cell r="M124"/>
        </row>
        <row r="125">
          <cell r="A125"/>
          <cell r="B125" t="e">
            <v>#N/A</v>
          </cell>
          <cell r="C125" t="e">
            <v>#N/A</v>
          </cell>
          <cell r="D125" t="e">
            <v>#N/A</v>
          </cell>
          <cell r="E125" t="e">
            <v>#N/A</v>
          </cell>
          <cell r="F125" t="e">
            <v>#N/A</v>
          </cell>
          <cell r="G125" t="e">
            <v>#N/A</v>
          </cell>
          <cell r="H125" t="e">
            <v>#N/A</v>
          </cell>
          <cell r="I125" t="e">
            <v>#N/A</v>
          </cell>
          <cell r="J125"/>
          <cell r="K125"/>
          <cell r="L125"/>
          <cell r="M125"/>
        </row>
        <row r="126">
          <cell r="A126"/>
          <cell r="B126" t="e">
            <v>#N/A</v>
          </cell>
          <cell r="C126" t="e">
            <v>#N/A</v>
          </cell>
          <cell r="D126" t="e">
            <v>#N/A</v>
          </cell>
          <cell r="E126" t="e">
            <v>#N/A</v>
          </cell>
          <cell r="F126" t="e">
            <v>#N/A</v>
          </cell>
          <cell r="G126" t="e">
            <v>#N/A</v>
          </cell>
          <cell r="H126" t="e">
            <v>#N/A</v>
          </cell>
          <cell r="I126" t="e">
            <v>#N/A</v>
          </cell>
          <cell r="J126"/>
          <cell r="K126"/>
          <cell r="L126"/>
          <cell r="M126"/>
        </row>
        <row r="127">
          <cell r="A127"/>
          <cell r="B127" t="e">
            <v>#N/A</v>
          </cell>
          <cell r="C127" t="e">
            <v>#N/A</v>
          </cell>
          <cell r="D127" t="e">
            <v>#N/A</v>
          </cell>
          <cell r="E127" t="e">
            <v>#N/A</v>
          </cell>
          <cell r="F127" t="e">
            <v>#N/A</v>
          </cell>
          <cell r="G127" t="e">
            <v>#N/A</v>
          </cell>
          <cell r="H127" t="e">
            <v>#N/A</v>
          </cell>
          <cell r="I127" t="e">
            <v>#N/A</v>
          </cell>
          <cell r="J127"/>
          <cell r="K127"/>
          <cell r="L127"/>
          <cell r="M127"/>
        </row>
        <row r="128">
          <cell r="A128"/>
          <cell r="B128" t="e">
            <v>#N/A</v>
          </cell>
          <cell r="C128" t="e">
            <v>#N/A</v>
          </cell>
          <cell r="D128" t="e">
            <v>#N/A</v>
          </cell>
          <cell r="E128" t="e">
            <v>#N/A</v>
          </cell>
          <cell r="F128" t="e">
            <v>#N/A</v>
          </cell>
          <cell r="G128" t="e">
            <v>#N/A</v>
          </cell>
          <cell r="H128" t="e">
            <v>#N/A</v>
          </cell>
          <cell r="I128" t="e">
            <v>#N/A</v>
          </cell>
          <cell r="J128"/>
          <cell r="K128"/>
          <cell r="L128"/>
          <cell r="M128"/>
        </row>
        <row r="129">
          <cell r="A129"/>
          <cell r="B129" t="e">
            <v>#N/A</v>
          </cell>
          <cell r="C129" t="e">
            <v>#N/A</v>
          </cell>
          <cell r="D129" t="e">
            <v>#N/A</v>
          </cell>
          <cell r="E129" t="e">
            <v>#N/A</v>
          </cell>
          <cell r="F129" t="e">
            <v>#N/A</v>
          </cell>
          <cell r="G129" t="e">
            <v>#N/A</v>
          </cell>
          <cell r="H129" t="e">
            <v>#N/A</v>
          </cell>
          <cell r="I129" t="e">
            <v>#N/A</v>
          </cell>
          <cell r="J129"/>
          <cell r="K129"/>
          <cell r="L129"/>
          <cell r="M129"/>
        </row>
        <row r="130">
          <cell r="A130"/>
          <cell r="B130" t="e">
            <v>#N/A</v>
          </cell>
          <cell r="C130" t="e">
            <v>#N/A</v>
          </cell>
          <cell r="D130" t="e">
            <v>#N/A</v>
          </cell>
          <cell r="E130" t="e">
            <v>#N/A</v>
          </cell>
          <cell r="F130" t="e">
            <v>#N/A</v>
          </cell>
          <cell r="G130" t="e">
            <v>#N/A</v>
          </cell>
          <cell r="H130" t="e">
            <v>#N/A</v>
          </cell>
          <cell r="I130" t="e">
            <v>#N/A</v>
          </cell>
          <cell r="J130"/>
          <cell r="K130"/>
          <cell r="L130"/>
          <cell r="M130"/>
        </row>
        <row r="131">
          <cell r="A131"/>
          <cell r="B131" t="e">
            <v>#N/A</v>
          </cell>
          <cell r="C131" t="e">
            <v>#N/A</v>
          </cell>
          <cell r="D131" t="e">
            <v>#N/A</v>
          </cell>
          <cell r="E131" t="e">
            <v>#N/A</v>
          </cell>
          <cell r="F131" t="e">
            <v>#N/A</v>
          </cell>
          <cell r="G131" t="e">
            <v>#N/A</v>
          </cell>
          <cell r="H131" t="e">
            <v>#N/A</v>
          </cell>
          <cell r="I131" t="e">
            <v>#N/A</v>
          </cell>
          <cell r="J131"/>
          <cell r="K131"/>
          <cell r="L131"/>
          <cell r="M131"/>
        </row>
        <row r="132">
          <cell r="A132"/>
          <cell r="B132" t="e">
            <v>#N/A</v>
          </cell>
          <cell r="C132" t="e">
            <v>#N/A</v>
          </cell>
          <cell r="D132" t="e">
            <v>#N/A</v>
          </cell>
          <cell r="E132" t="e">
            <v>#N/A</v>
          </cell>
          <cell r="F132" t="e">
            <v>#N/A</v>
          </cell>
          <cell r="G132" t="e">
            <v>#N/A</v>
          </cell>
          <cell r="H132" t="e">
            <v>#N/A</v>
          </cell>
          <cell r="I132" t="e">
            <v>#N/A</v>
          </cell>
          <cell r="J132"/>
          <cell r="K132"/>
          <cell r="L132"/>
          <cell r="M132"/>
        </row>
        <row r="133">
          <cell r="A133"/>
          <cell r="B133" t="e">
            <v>#N/A</v>
          </cell>
          <cell r="C133" t="e">
            <v>#N/A</v>
          </cell>
          <cell r="D133" t="e">
            <v>#N/A</v>
          </cell>
          <cell r="E133" t="e">
            <v>#N/A</v>
          </cell>
          <cell r="F133" t="e">
            <v>#N/A</v>
          </cell>
          <cell r="G133" t="e">
            <v>#N/A</v>
          </cell>
          <cell r="H133" t="e">
            <v>#N/A</v>
          </cell>
          <cell r="I133" t="e">
            <v>#N/A</v>
          </cell>
          <cell r="J133"/>
          <cell r="K133"/>
          <cell r="L133"/>
          <cell r="M133"/>
        </row>
        <row r="134">
          <cell r="A134"/>
          <cell r="B134" t="e">
            <v>#N/A</v>
          </cell>
          <cell r="C134" t="e">
            <v>#N/A</v>
          </cell>
          <cell r="D134" t="e">
            <v>#N/A</v>
          </cell>
          <cell r="E134" t="e">
            <v>#N/A</v>
          </cell>
          <cell r="F134" t="e">
            <v>#N/A</v>
          </cell>
          <cell r="G134" t="e">
            <v>#N/A</v>
          </cell>
          <cell r="H134" t="e">
            <v>#N/A</v>
          </cell>
          <cell r="I134" t="e">
            <v>#N/A</v>
          </cell>
          <cell r="J134"/>
          <cell r="K134"/>
          <cell r="L134"/>
          <cell r="M134"/>
        </row>
        <row r="135">
          <cell r="A135"/>
          <cell r="B135" t="e">
            <v>#N/A</v>
          </cell>
          <cell r="C135" t="e">
            <v>#N/A</v>
          </cell>
          <cell r="D135" t="e">
            <v>#N/A</v>
          </cell>
          <cell r="E135" t="e">
            <v>#N/A</v>
          </cell>
          <cell r="F135" t="e">
            <v>#N/A</v>
          </cell>
          <cell r="G135" t="e">
            <v>#N/A</v>
          </cell>
          <cell r="H135" t="e">
            <v>#N/A</v>
          </cell>
          <cell r="I135" t="e">
            <v>#N/A</v>
          </cell>
          <cell r="J135"/>
          <cell r="K135"/>
          <cell r="L135"/>
          <cell r="M135"/>
        </row>
        <row r="136">
          <cell r="A136"/>
          <cell r="B136" t="e">
            <v>#N/A</v>
          </cell>
          <cell r="C136" t="e">
            <v>#N/A</v>
          </cell>
          <cell r="D136" t="e">
            <v>#N/A</v>
          </cell>
          <cell r="E136" t="e">
            <v>#N/A</v>
          </cell>
          <cell r="F136" t="e">
            <v>#N/A</v>
          </cell>
          <cell r="G136" t="e">
            <v>#N/A</v>
          </cell>
          <cell r="H136" t="e">
            <v>#N/A</v>
          </cell>
          <cell r="I136" t="e">
            <v>#N/A</v>
          </cell>
          <cell r="J136"/>
          <cell r="K136"/>
          <cell r="L136"/>
          <cell r="M136"/>
        </row>
        <row r="137">
          <cell r="A137"/>
          <cell r="B137" t="e">
            <v>#N/A</v>
          </cell>
          <cell r="C137" t="e">
            <v>#N/A</v>
          </cell>
          <cell r="D137" t="e">
            <v>#N/A</v>
          </cell>
          <cell r="E137" t="e">
            <v>#N/A</v>
          </cell>
          <cell r="F137" t="e">
            <v>#N/A</v>
          </cell>
          <cell r="G137" t="e">
            <v>#N/A</v>
          </cell>
          <cell r="H137" t="e">
            <v>#N/A</v>
          </cell>
          <cell r="I137" t="e">
            <v>#N/A</v>
          </cell>
          <cell r="J137"/>
          <cell r="K137"/>
          <cell r="L137"/>
          <cell r="M137"/>
        </row>
        <row r="138">
          <cell r="A138"/>
          <cell r="B138" t="e">
            <v>#N/A</v>
          </cell>
          <cell r="C138" t="e">
            <v>#N/A</v>
          </cell>
          <cell r="D138" t="e">
            <v>#N/A</v>
          </cell>
          <cell r="E138" t="e">
            <v>#N/A</v>
          </cell>
          <cell r="F138" t="e">
            <v>#N/A</v>
          </cell>
          <cell r="G138" t="e">
            <v>#N/A</v>
          </cell>
          <cell r="H138" t="e">
            <v>#N/A</v>
          </cell>
          <cell r="I138" t="e">
            <v>#N/A</v>
          </cell>
          <cell r="J138"/>
          <cell r="K138"/>
          <cell r="L138"/>
          <cell r="M138"/>
        </row>
        <row r="139">
          <cell r="A139"/>
          <cell r="B139" t="e">
            <v>#N/A</v>
          </cell>
          <cell r="C139" t="e">
            <v>#N/A</v>
          </cell>
          <cell r="D139" t="e">
            <v>#N/A</v>
          </cell>
          <cell r="E139" t="e">
            <v>#N/A</v>
          </cell>
          <cell r="F139" t="e">
            <v>#N/A</v>
          </cell>
          <cell r="G139" t="e">
            <v>#N/A</v>
          </cell>
          <cell r="H139" t="e">
            <v>#N/A</v>
          </cell>
          <cell r="I139" t="e">
            <v>#N/A</v>
          </cell>
          <cell r="J139"/>
          <cell r="K139"/>
          <cell r="L139"/>
          <cell r="M139"/>
        </row>
        <row r="140">
          <cell r="A140"/>
          <cell r="B140" t="e">
            <v>#N/A</v>
          </cell>
          <cell r="C140" t="e">
            <v>#N/A</v>
          </cell>
          <cell r="D140" t="e">
            <v>#N/A</v>
          </cell>
          <cell r="E140" t="e">
            <v>#N/A</v>
          </cell>
          <cell r="F140" t="e">
            <v>#N/A</v>
          </cell>
          <cell r="G140" t="e">
            <v>#N/A</v>
          </cell>
          <cell r="H140" t="e">
            <v>#N/A</v>
          </cell>
          <cell r="I140" t="e">
            <v>#N/A</v>
          </cell>
          <cell r="J140"/>
          <cell r="K140"/>
          <cell r="L140"/>
          <cell r="M140"/>
        </row>
        <row r="141">
          <cell r="A141"/>
          <cell r="B141" t="e">
            <v>#N/A</v>
          </cell>
          <cell r="C141" t="e">
            <v>#N/A</v>
          </cell>
          <cell r="D141" t="e">
            <v>#N/A</v>
          </cell>
          <cell r="E141" t="e">
            <v>#N/A</v>
          </cell>
          <cell r="F141" t="e">
            <v>#N/A</v>
          </cell>
          <cell r="G141" t="e">
            <v>#N/A</v>
          </cell>
          <cell r="H141" t="e">
            <v>#N/A</v>
          </cell>
          <cell r="I141" t="e">
            <v>#N/A</v>
          </cell>
          <cell r="J141"/>
          <cell r="K141"/>
          <cell r="L141"/>
          <cell r="M141"/>
        </row>
        <row r="142">
          <cell r="A142"/>
          <cell r="B142" t="e">
            <v>#N/A</v>
          </cell>
          <cell r="C142" t="e">
            <v>#N/A</v>
          </cell>
          <cell r="D142" t="e">
            <v>#N/A</v>
          </cell>
          <cell r="E142" t="e">
            <v>#N/A</v>
          </cell>
          <cell r="F142" t="e">
            <v>#N/A</v>
          </cell>
          <cell r="G142" t="e">
            <v>#N/A</v>
          </cell>
          <cell r="H142" t="e">
            <v>#N/A</v>
          </cell>
          <cell r="I142" t="e">
            <v>#N/A</v>
          </cell>
          <cell r="J142"/>
          <cell r="K142"/>
          <cell r="L142"/>
          <cell r="M142"/>
        </row>
        <row r="143">
          <cell r="A143"/>
          <cell r="B143" t="e">
            <v>#N/A</v>
          </cell>
          <cell r="C143" t="e">
            <v>#N/A</v>
          </cell>
          <cell r="D143" t="e">
            <v>#N/A</v>
          </cell>
          <cell r="E143" t="e">
            <v>#N/A</v>
          </cell>
          <cell r="F143" t="e">
            <v>#N/A</v>
          </cell>
          <cell r="G143" t="e">
            <v>#N/A</v>
          </cell>
          <cell r="H143" t="e">
            <v>#N/A</v>
          </cell>
          <cell r="I143" t="e">
            <v>#N/A</v>
          </cell>
          <cell r="J143"/>
          <cell r="K143"/>
          <cell r="L143"/>
          <cell r="M143"/>
        </row>
        <row r="144">
          <cell r="A144"/>
          <cell r="B144" t="e">
            <v>#N/A</v>
          </cell>
          <cell r="C144" t="e">
            <v>#N/A</v>
          </cell>
          <cell r="D144" t="e">
            <v>#N/A</v>
          </cell>
          <cell r="E144" t="e">
            <v>#N/A</v>
          </cell>
          <cell r="F144" t="e">
            <v>#N/A</v>
          </cell>
          <cell r="G144" t="e">
            <v>#N/A</v>
          </cell>
          <cell r="H144" t="e">
            <v>#N/A</v>
          </cell>
          <cell r="I144" t="e">
            <v>#N/A</v>
          </cell>
          <cell r="J144"/>
          <cell r="K144"/>
          <cell r="L144"/>
          <cell r="M144"/>
        </row>
        <row r="145">
          <cell r="A145"/>
          <cell r="B145" t="e">
            <v>#N/A</v>
          </cell>
          <cell r="C145" t="e">
            <v>#N/A</v>
          </cell>
          <cell r="D145" t="e">
            <v>#N/A</v>
          </cell>
          <cell r="E145" t="e">
            <v>#N/A</v>
          </cell>
          <cell r="F145" t="e">
            <v>#N/A</v>
          </cell>
          <cell r="G145" t="e">
            <v>#N/A</v>
          </cell>
          <cell r="H145" t="e">
            <v>#N/A</v>
          </cell>
          <cell r="I145" t="e">
            <v>#N/A</v>
          </cell>
          <cell r="J145"/>
          <cell r="K145"/>
          <cell r="L145"/>
          <cell r="M145"/>
        </row>
        <row r="146">
          <cell r="A146"/>
          <cell r="B146" t="e">
            <v>#N/A</v>
          </cell>
          <cell r="C146" t="e">
            <v>#N/A</v>
          </cell>
          <cell r="D146" t="e">
            <v>#N/A</v>
          </cell>
          <cell r="E146" t="e">
            <v>#N/A</v>
          </cell>
          <cell r="F146" t="e">
            <v>#N/A</v>
          </cell>
          <cell r="G146" t="e">
            <v>#N/A</v>
          </cell>
          <cell r="H146" t="e">
            <v>#N/A</v>
          </cell>
          <cell r="I146" t="e">
            <v>#N/A</v>
          </cell>
          <cell r="J146"/>
          <cell r="K146"/>
          <cell r="L146"/>
          <cell r="M146"/>
        </row>
        <row r="147">
          <cell r="A147"/>
          <cell r="B147" t="e">
            <v>#N/A</v>
          </cell>
          <cell r="C147" t="e">
            <v>#N/A</v>
          </cell>
          <cell r="D147" t="e">
            <v>#N/A</v>
          </cell>
          <cell r="E147" t="e">
            <v>#N/A</v>
          </cell>
          <cell r="F147" t="e">
            <v>#N/A</v>
          </cell>
          <cell r="G147" t="e">
            <v>#N/A</v>
          </cell>
          <cell r="H147" t="e">
            <v>#N/A</v>
          </cell>
          <cell r="I147" t="e">
            <v>#N/A</v>
          </cell>
          <cell r="J147"/>
          <cell r="K147"/>
          <cell r="L147"/>
          <cell r="M147"/>
        </row>
        <row r="148">
          <cell r="A148"/>
          <cell r="B148" t="e">
            <v>#N/A</v>
          </cell>
          <cell r="C148" t="e">
            <v>#N/A</v>
          </cell>
          <cell r="D148" t="e">
            <v>#N/A</v>
          </cell>
          <cell r="E148" t="e">
            <v>#N/A</v>
          </cell>
          <cell r="F148" t="e">
            <v>#N/A</v>
          </cell>
          <cell r="G148" t="e">
            <v>#N/A</v>
          </cell>
          <cell r="H148" t="e">
            <v>#N/A</v>
          </cell>
          <cell r="I148" t="e">
            <v>#N/A</v>
          </cell>
          <cell r="J148"/>
          <cell r="K148"/>
          <cell r="L148"/>
          <cell r="M148"/>
        </row>
        <row r="149">
          <cell r="A149"/>
          <cell r="B149" t="e">
            <v>#N/A</v>
          </cell>
          <cell r="C149" t="e">
            <v>#N/A</v>
          </cell>
          <cell r="D149" t="e">
            <v>#N/A</v>
          </cell>
          <cell r="E149" t="e">
            <v>#N/A</v>
          </cell>
          <cell r="F149" t="e">
            <v>#N/A</v>
          </cell>
          <cell r="G149" t="e">
            <v>#N/A</v>
          </cell>
          <cell r="H149" t="e">
            <v>#N/A</v>
          </cell>
          <cell r="I149" t="e">
            <v>#N/A</v>
          </cell>
          <cell r="J149"/>
          <cell r="K149"/>
          <cell r="L149"/>
          <cell r="M149"/>
        </row>
        <row r="150">
          <cell r="A150"/>
          <cell r="B150" t="e">
            <v>#N/A</v>
          </cell>
          <cell r="C150" t="e">
            <v>#N/A</v>
          </cell>
          <cell r="D150" t="e">
            <v>#N/A</v>
          </cell>
          <cell r="E150" t="e">
            <v>#N/A</v>
          </cell>
          <cell r="F150" t="e">
            <v>#N/A</v>
          </cell>
          <cell r="G150" t="e">
            <v>#N/A</v>
          </cell>
          <cell r="H150" t="e">
            <v>#N/A</v>
          </cell>
          <cell r="I150" t="e">
            <v>#N/A</v>
          </cell>
          <cell r="J150"/>
          <cell r="K150"/>
          <cell r="L150"/>
          <cell r="M150"/>
        </row>
        <row r="151">
          <cell r="A151"/>
          <cell r="B151" t="e">
            <v>#N/A</v>
          </cell>
          <cell r="C151" t="e">
            <v>#N/A</v>
          </cell>
          <cell r="D151" t="e">
            <v>#N/A</v>
          </cell>
          <cell r="E151" t="e">
            <v>#N/A</v>
          </cell>
          <cell r="F151" t="e">
            <v>#N/A</v>
          </cell>
          <cell r="G151" t="e">
            <v>#N/A</v>
          </cell>
          <cell r="H151" t="e">
            <v>#N/A</v>
          </cell>
          <cell r="I151" t="e">
            <v>#N/A</v>
          </cell>
          <cell r="J151"/>
          <cell r="K151"/>
          <cell r="L151"/>
          <cell r="M151"/>
        </row>
        <row r="152">
          <cell r="A152"/>
          <cell r="B152" t="e">
            <v>#N/A</v>
          </cell>
          <cell r="C152" t="e">
            <v>#N/A</v>
          </cell>
          <cell r="D152" t="e">
            <v>#N/A</v>
          </cell>
          <cell r="E152" t="e">
            <v>#N/A</v>
          </cell>
          <cell r="F152" t="e">
            <v>#N/A</v>
          </cell>
          <cell r="G152" t="e">
            <v>#N/A</v>
          </cell>
          <cell r="H152" t="e">
            <v>#N/A</v>
          </cell>
          <cell r="I152" t="e">
            <v>#N/A</v>
          </cell>
          <cell r="J152"/>
          <cell r="K152"/>
          <cell r="L152"/>
          <cell r="M152"/>
        </row>
        <row r="153">
          <cell r="A153"/>
          <cell r="B153" t="e">
            <v>#N/A</v>
          </cell>
          <cell r="C153" t="e">
            <v>#N/A</v>
          </cell>
          <cell r="D153" t="e">
            <v>#N/A</v>
          </cell>
          <cell r="E153" t="e">
            <v>#N/A</v>
          </cell>
          <cell r="F153" t="e">
            <v>#N/A</v>
          </cell>
          <cell r="G153" t="e">
            <v>#N/A</v>
          </cell>
          <cell r="H153" t="e">
            <v>#N/A</v>
          </cell>
          <cell r="I153" t="e">
            <v>#N/A</v>
          </cell>
          <cell r="J153"/>
          <cell r="K153"/>
          <cell r="L153"/>
          <cell r="M153"/>
        </row>
        <row r="154">
          <cell r="A154"/>
          <cell r="B154" t="e">
            <v>#N/A</v>
          </cell>
          <cell r="C154" t="e">
            <v>#N/A</v>
          </cell>
          <cell r="D154" t="e">
            <v>#N/A</v>
          </cell>
          <cell r="E154" t="e">
            <v>#N/A</v>
          </cell>
          <cell r="F154" t="e">
            <v>#N/A</v>
          </cell>
          <cell r="G154" t="e">
            <v>#N/A</v>
          </cell>
          <cell r="H154" t="e">
            <v>#N/A</v>
          </cell>
          <cell r="I154" t="e">
            <v>#N/A</v>
          </cell>
          <cell r="J154"/>
          <cell r="K154"/>
          <cell r="L154"/>
          <cell r="M154"/>
        </row>
        <row r="155">
          <cell r="A155"/>
          <cell r="B155" t="e">
            <v>#N/A</v>
          </cell>
          <cell r="C155" t="e">
            <v>#N/A</v>
          </cell>
          <cell r="D155" t="e">
            <v>#N/A</v>
          </cell>
          <cell r="E155" t="e">
            <v>#N/A</v>
          </cell>
          <cell r="F155" t="e">
            <v>#N/A</v>
          </cell>
          <cell r="G155" t="e">
            <v>#N/A</v>
          </cell>
          <cell r="H155" t="e">
            <v>#N/A</v>
          </cell>
          <cell r="I155" t="e">
            <v>#N/A</v>
          </cell>
          <cell r="J155"/>
          <cell r="K155"/>
          <cell r="L155"/>
          <cell r="M155"/>
        </row>
        <row r="156">
          <cell r="A156"/>
          <cell r="B156" t="e">
            <v>#N/A</v>
          </cell>
          <cell r="C156" t="e">
            <v>#N/A</v>
          </cell>
          <cell r="D156" t="e">
            <v>#N/A</v>
          </cell>
          <cell r="E156" t="e">
            <v>#N/A</v>
          </cell>
          <cell r="F156" t="e">
            <v>#N/A</v>
          </cell>
          <cell r="G156" t="e">
            <v>#N/A</v>
          </cell>
          <cell r="H156" t="e">
            <v>#N/A</v>
          </cell>
          <cell r="I156" t="e">
            <v>#N/A</v>
          </cell>
          <cell r="J156"/>
          <cell r="K156"/>
          <cell r="L156"/>
          <cell r="M156"/>
        </row>
        <row r="157">
          <cell r="A157"/>
          <cell r="B157" t="e">
            <v>#N/A</v>
          </cell>
          <cell r="C157" t="e">
            <v>#N/A</v>
          </cell>
          <cell r="D157" t="e">
            <v>#N/A</v>
          </cell>
          <cell r="E157" t="e">
            <v>#N/A</v>
          </cell>
          <cell r="F157" t="e">
            <v>#N/A</v>
          </cell>
          <cell r="G157" t="e">
            <v>#N/A</v>
          </cell>
          <cell r="H157" t="e">
            <v>#N/A</v>
          </cell>
          <cell r="I157" t="e">
            <v>#N/A</v>
          </cell>
          <cell r="J157"/>
          <cell r="K157"/>
          <cell r="L157"/>
          <cell r="M157"/>
        </row>
        <row r="158">
          <cell r="A158"/>
          <cell r="B158" t="e">
            <v>#N/A</v>
          </cell>
          <cell r="C158" t="e">
            <v>#N/A</v>
          </cell>
          <cell r="D158" t="e">
            <v>#N/A</v>
          </cell>
          <cell r="E158" t="e">
            <v>#N/A</v>
          </cell>
          <cell r="F158" t="e">
            <v>#N/A</v>
          </cell>
          <cell r="G158" t="e">
            <v>#N/A</v>
          </cell>
          <cell r="H158" t="e">
            <v>#N/A</v>
          </cell>
          <cell r="I158" t="e">
            <v>#N/A</v>
          </cell>
          <cell r="J158"/>
          <cell r="K158"/>
          <cell r="L158"/>
          <cell r="M158"/>
        </row>
        <row r="159">
          <cell r="A159"/>
          <cell r="B159" t="e">
            <v>#N/A</v>
          </cell>
          <cell r="C159" t="e">
            <v>#N/A</v>
          </cell>
          <cell r="D159" t="e">
            <v>#N/A</v>
          </cell>
          <cell r="E159" t="e">
            <v>#N/A</v>
          </cell>
          <cell r="F159" t="e">
            <v>#N/A</v>
          </cell>
          <cell r="G159" t="e">
            <v>#N/A</v>
          </cell>
          <cell r="H159" t="e">
            <v>#N/A</v>
          </cell>
          <cell r="I159" t="e">
            <v>#N/A</v>
          </cell>
          <cell r="J159"/>
          <cell r="K159"/>
          <cell r="L159"/>
          <cell r="M159"/>
        </row>
        <row r="160">
          <cell r="A160"/>
          <cell r="B160" t="e">
            <v>#N/A</v>
          </cell>
          <cell r="C160" t="e">
            <v>#N/A</v>
          </cell>
          <cell r="D160" t="e">
            <v>#N/A</v>
          </cell>
          <cell r="E160" t="e">
            <v>#N/A</v>
          </cell>
          <cell r="F160" t="e">
            <v>#N/A</v>
          </cell>
          <cell r="G160" t="e">
            <v>#N/A</v>
          </cell>
          <cell r="H160" t="e">
            <v>#N/A</v>
          </cell>
          <cell r="I160" t="e">
            <v>#N/A</v>
          </cell>
          <cell r="J160"/>
          <cell r="K160"/>
          <cell r="L160"/>
          <cell r="M160"/>
        </row>
        <row r="161">
          <cell r="A161"/>
          <cell r="B161" t="e">
            <v>#N/A</v>
          </cell>
          <cell r="C161" t="e">
            <v>#N/A</v>
          </cell>
          <cell r="D161" t="e">
            <v>#N/A</v>
          </cell>
          <cell r="E161" t="e">
            <v>#N/A</v>
          </cell>
          <cell r="F161" t="e">
            <v>#N/A</v>
          </cell>
          <cell r="G161" t="e">
            <v>#N/A</v>
          </cell>
          <cell r="H161" t="e">
            <v>#N/A</v>
          </cell>
          <cell r="I161" t="e">
            <v>#N/A</v>
          </cell>
          <cell r="J161"/>
          <cell r="K161"/>
          <cell r="L161"/>
          <cell r="M161"/>
        </row>
        <row r="162">
          <cell r="A162"/>
          <cell r="B162" t="e">
            <v>#N/A</v>
          </cell>
          <cell r="C162" t="e">
            <v>#N/A</v>
          </cell>
          <cell r="D162" t="e">
            <v>#N/A</v>
          </cell>
          <cell r="E162" t="e">
            <v>#N/A</v>
          </cell>
          <cell r="F162" t="e">
            <v>#N/A</v>
          </cell>
          <cell r="G162" t="e">
            <v>#N/A</v>
          </cell>
          <cell r="H162" t="e">
            <v>#N/A</v>
          </cell>
          <cell r="I162" t="e">
            <v>#N/A</v>
          </cell>
          <cell r="J162"/>
          <cell r="K162"/>
          <cell r="L162"/>
          <cell r="M162"/>
        </row>
        <row r="163">
          <cell r="A163"/>
          <cell r="B163" t="e">
            <v>#N/A</v>
          </cell>
          <cell r="C163" t="e">
            <v>#N/A</v>
          </cell>
          <cell r="D163" t="e">
            <v>#N/A</v>
          </cell>
          <cell r="E163" t="e">
            <v>#N/A</v>
          </cell>
          <cell r="F163" t="e">
            <v>#N/A</v>
          </cell>
          <cell r="G163" t="e">
            <v>#N/A</v>
          </cell>
          <cell r="H163" t="e">
            <v>#N/A</v>
          </cell>
          <cell r="I163" t="e">
            <v>#N/A</v>
          </cell>
          <cell r="J163"/>
          <cell r="K163"/>
          <cell r="L163"/>
          <cell r="M163"/>
        </row>
        <row r="164">
          <cell r="A164"/>
          <cell r="B164" t="e">
            <v>#N/A</v>
          </cell>
          <cell r="C164" t="e">
            <v>#N/A</v>
          </cell>
          <cell r="D164" t="e">
            <v>#N/A</v>
          </cell>
          <cell r="E164" t="e">
            <v>#N/A</v>
          </cell>
          <cell r="F164" t="e">
            <v>#N/A</v>
          </cell>
          <cell r="G164" t="e">
            <v>#N/A</v>
          </cell>
          <cell r="H164" t="e">
            <v>#N/A</v>
          </cell>
          <cell r="I164" t="e">
            <v>#N/A</v>
          </cell>
          <cell r="J164"/>
          <cell r="K164"/>
          <cell r="L164"/>
          <cell r="M164"/>
        </row>
        <row r="165">
          <cell r="A165" t="str">
            <v>R22633190</v>
          </cell>
          <cell r="B165" t="str">
            <v>CANDIE CHUA CO.</v>
          </cell>
          <cell r="C165" t="str">
            <v>BLK 8, PALM COAST MARINA, PARANAQUE</v>
          </cell>
          <cell r="D165" t="str">
            <v>RELOC</v>
          </cell>
          <cell r="E165" t="str">
            <v>ECOM</v>
          </cell>
          <cell r="F165" t="str">
            <v>INPRG</v>
          </cell>
          <cell r="G165">
            <v>45169.518750000003</v>
          </cell>
          <cell r="H165">
            <v>85.584400000000002</v>
          </cell>
          <cell r="I165" t="str">
            <v>-</v>
          </cell>
          <cell r="K165" t="str">
            <v xml:space="preserve">Boss Tsops </v>
          </cell>
          <cell r="L165" t="str">
            <v>Completed on-site</v>
          </cell>
          <cell r="M165" t="str">
            <v>R/ Wau Problem / Hold by Customer for 5 timer already . Issue with HOA  adn Customer Affected.</v>
          </cell>
        </row>
        <row r="166">
          <cell r="A166" t="str">
            <v>X25062122012</v>
          </cell>
          <cell r="B166" t="str">
            <v>DISEGNO DI MILANO INC.</v>
          </cell>
          <cell r="C166" t="str">
            <v>WEST SERVICE, CUPANG, MUNTINLUPA</v>
          </cell>
          <cell r="D166" t="str">
            <v>NEW</v>
          </cell>
          <cell r="E166" t="str">
            <v>VJC</v>
          </cell>
          <cell r="F166" t="str">
            <v>FCOMP</v>
          </cell>
          <cell r="G166">
            <v>45855</v>
          </cell>
          <cell r="H166">
            <v>68.36</v>
          </cell>
          <cell r="I166">
            <v>45869</v>
          </cell>
          <cell r="J166"/>
          <cell r="K166" t="str">
            <v>Boss Jun Figueroa, GM of Memaba</v>
          </cell>
        </row>
        <row r="167">
          <cell r="A167" t="str">
            <v>X25072495380</v>
          </cell>
          <cell r="B167" t="str">
            <v>DISEGNO DI MILANO INC. DOING BUSINESS UNDER THE NA</v>
          </cell>
          <cell r="C167" t="str">
            <v>WEST SERVICE, CUPANG, MUNTINLUPA</v>
          </cell>
          <cell r="D167" t="str">
            <v>TERMINATION</v>
          </cell>
          <cell r="E167" t="str">
            <v>VJC</v>
          </cell>
          <cell r="F167" t="str">
            <v>FCOMP</v>
          </cell>
          <cell r="G167">
            <v>45856.461111111108</v>
          </cell>
          <cell r="H167">
            <v>33.799999999999997</v>
          </cell>
          <cell r="I167">
            <v>45869</v>
          </cell>
          <cell r="J167"/>
          <cell r="K167" t="str">
            <v>Boss Jun Figueroa, GM of Memaba</v>
          </cell>
        </row>
        <row r="168">
          <cell r="A168" t="str">
            <v>X25020687798</v>
          </cell>
          <cell r="B168" t="str">
            <v>TWIN KARAT REALTY CORPORATION</v>
          </cell>
          <cell r="C168" t="str">
            <v>QUIRINO, SAN DIONISIO, PARANAQUE</v>
          </cell>
          <cell r="D168" t="str">
            <v>NEW</v>
          </cell>
          <cell r="E168" t="str">
            <v>AVECO</v>
          </cell>
          <cell r="F168" t="str">
            <v>SCHED</v>
          </cell>
          <cell r="G168">
            <v>45775.667361111111</v>
          </cell>
          <cell r="H168">
            <v>117.53489999999999</v>
          </cell>
          <cell r="I168" t="str">
            <v>-</v>
          </cell>
          <cell r="K168" t="str">
            <v>Betty Sy</v>
          </cell>
        </row>
        <row r="169">
          <cell r="A169" t="str">
            <v>X23031050954</v>
          </cell>
          <cell r="B169" t="str">
            <v>DEPARTMENT OF SCIENCE AND TECHNOLOGY</v>
          </cell>
          <cell r="C169" t="str">
            <v>GEN. SANTOS, UPPER BICUTAN, TAGUIG CITY</v>
          </cell>
          <cell r="D169" t="str">
            <v>MODIFICATION</v>
          </cell>
          <cell r="E169" t="str">
            <v>CHALLENGER</v>
          </cell>
          <cell r="F169" t="str">
            <v>SCHED</v>
          </cell>
          <cell r="G169">
            <v>45863</v>
          </cell>
          <cell r="H169">
            <v>348.26</v>
          </cell>
          <cell r="I169" t="str">
            <v>-</v>
          </cell>
          <cell r="J169"/>
          <cell r="K169" t="str">
            <v>Boss FOG</v>
          </cell>
        </row>
        <row r="170">
          <cell r="A170" t="str">
            <v>X25010118994</v>
          </cell>
          <cell r="B170" t="str">
            <v>SOUTH AVENUE HOSPITALITY INC.</v>
          </cell>
          <cell r="C170" t="str">
            <v>L. GABRIEL, BACLARAN, PARANAQUE</v>
          </cell>
          <cell r="D170" t="str">
            <v>NEW</v>
          </cell>
          <cell r="E170" t="str">
            <v>ECOM</v>
          </cell>
          <cell r="F170" t="str">
            <v>SCHED</v>
          </cell>
          <cell r="G170">
            <v>45841.598611111112</v>
          </cell>
          <cell r="H170">
            <v>143.41</v>
          </cell>
          <cell r="I170" t="str">
            <v>-</v>
          </cell>
          <cell r="J170">
            <v>45878</v>
          </cell>
          <cell r="K170" t="str">
            <v>Boss Robert Nery</v>
          </cell>
        </row>
        <row r="171">
          <cell r="A171" t="str">
            <v>X25062317240</v>
          </cell>
          <cell r="B171" t="str">
            <v>SOUTH AVENUE HOSPITALITY INC.</v>
          </cell>
          <cell r="C171" t="str">
            <v>L. GABRIEL, BACLARAN, PARANAQUE</v>
          </cell>
          <cell r="D171" t="str">
            <v>NEW</v>
          </cell>
          <cell r="E171" t="str">
            <v>ECOM</v>
          </cell>
          <cell r="F171" t="str">
            <v>SCHED</v>
          </cell>
          <cell r="G171">
            <v>45841.600694444445</v>
          </cell>
          <cell r="H171">
            <v>15.93</v>
          </cell>
          <cell r="I171" t="str">
            <v>-</v>
          </cell>
          <cell r="J171">
            <v>45878</v>
          </cell>
          <cell r="K171" t="str">
            <v>Boss Robert Nery</v>
          </cell>
        </row>
        <row r="172">
          <cell r="A172" t="str">
            <v>X25041430567</v>
          </cell>
          <cell r="B172" t="str">
            <v>MEGA TRIUM FOODS CORPORATION</v>
          </cell>
          <cell r="C172" t="str">
            <v>CELESTINO, CELESTINO SUBD, BACOOR</v>
          </cell>
          <cell r="D172" t="str">
            <v>NEW</v>
          </cell>
          <cell r="E172" t="str">
            <v>CHALLENGER</v>
          </cell>
          <cell r="H172">
            <v>165.83</v>
          </cell>
          <cell r="I172" t="str">
            <v>-</v>
          </cell>
          <cell r="J172">
            <v>45875</v>
          </cell>
          <cell r="K172" t="str">
            <v>Boss Bernard Castro</v>
          </cell>
        </row>
        <row r="173">
          <cell r="A173" t="str">
            <v>X25072562347</v>
          </cell>
          <cell r="B173" t="str">
            <v>TRISTAN ENRIQUEZ TRINIDAD</v>
          </cell>
          <cell r="C173" t="str">
            <v>LIGAS III, LIGAS III, BACOOR</v>
          </cell>
          <cell r="D173" t="str">
            <v>NEW</v>
          </cell>
          <cell r="E173" t="str">
            <v>C2</v>
          </cell>
          <cell r="H173">
            <v>11.8</v>
          </cell>
          <cell r="I173">
            <v>45872</v>
          </cell>
          <cell r="J173"/>
          <cell r="K173" t="str">
            <v>DPWH Region 4 Head</v>
          </cell>
        </row>
        <row r="174">
          <cell r="A174" t="str">
            <v>X23031050954</v>
          </cell>
          <cell r="B174" t="str">
            <v>DEPARTMENT OF SCIENCE AND TECHNOLOGY</v>
          </cell>
          <cell r="C174" t="str">
            <v>GEN. SANTOS, UPPER BICUTAN, TAGUIG CITY</v>
          </cell>
          <cell r="D174" t="str">
            <v>MODIFICATION</v>
          </cell>
          <cell r="E174" t="str">
            <v>CHALLENGER</v>
          </cell>
          <cell r="H174">
            <v>348.26</v>
          </cell>
          <cell r="I174" t="str">
            <v>-</v>
          </cell>
          <cell r="J174"/>
          <cell r="K174" t="str">
            <v>Boss FOG</v>
          </cell>
        </row>
        <row r="175">
          <cell r="A175" t="str">
            <v>X25051795984</v>
          </cell>
          <cell r="B175" t="str">
            <v>CAFEFRANCE CORP.</v>
          </cell>
          <cell r="C175" t="str">
            <v>GEN. EMILIO AGUINALDO, CAMELLA HOMES PH II-A, BACOOR</v>
          </cell>
          <cell r="D175" t="str">
            <v>NEW</v>
          </cell>
          <cell r="E175" t="str">
            <v>ECOM</v>
          </cell>
          <cell r="F175" t="str">
            <v>SCHED</v>
          </cell>
          <cell r="G175">
            <v>45840.681944444441</v>
          </cell>
          <cell r="H175">
            <v>3.32</v>
          </cell>
          <cell r="I175" t="str">
            <v>-</v>
          </cell>
          <cell r="J175">
            <v>45881</v>
          </cell>
          <cell r="K175" t="str">
            <v>Mam Chi</v>
          </cell>
        </row>
        <row r="176">
          <cell r="A176" t="str">
            <v>X25020684097</v>
          </cell>
          <cell r="B176" t="str">
            <v>MANILA PRIME LAND HOLDINGS, INC.</v>
          </cell>
          <cell r="C176" t="str">
            <v>GEN EMILIO AGUINALDO, CAMELLA HOMES PH II-A, BACOOR</v>
          </cell>
          <cell r="D176" t="str">
            <v>NEW</v>
          </cell>
          <cell r="E176" t="str">
            <v>ECOM</v>
          </cell>
          <cell r="F176" t="str">
            <v>SCHED</v>
          </cell>
          <cell r="G176">
            <v>45840.542361111111</v>
          </cell>
          <cell r="H176">
            <v>99.71</v>
          </cell>
          <cell r="I176" t="str">
            <v>-</v>
          </cell>
          <cell r="J176">
            <v>45881</v>
          </cell>
          <cell r="K176" t="str">
            <v>Mam Chi</v>
          </cell>
        </row>
        <row r="177">
          <cell r="A177" t="str">
            <v>X25020682282</v>
          </cell>
          <cell r="B177" t="str">
            <v>HARD DISCOUNT PHILIPPINES, INC.</v>
          </cell>
          <cell r="C177" t="str">
            <v>PIO FELIPE, PUROK 1, TAGUIG CITY</v>
          </cell>
          <cell r="D177" t="str">
            <v>NEW</v>
          </cell>
          <cell r="E177" t="str">
            <v>VJC</v>
          </cell>
          <cell r="F177" t="str">
            <v>SCHED</v>
          </cell>
          <cell r="G177">
            <v>45831.694965277777</v>
          </cell>
          <cell r="H177">
            <v>37.049999999999997</v>
          </cell>
          <cell r="I177" t="str">
            <v>-</v>
          </cell>
          <cell r="J177" t="str">
            <v>no pole stake</v>
          </cell>
          <cell r="K177" t="str">
            <v xml:space="preserve">Boss Tsops </v>
          </cell>
        </row>
        <row r="178">
          <cell r="A178" t="str">
            <v>X25041426801</v>
          </cell>
          <cell r="B178" t="str">
            <v>HARD DISCOUNT PHILIPPINES, INC.</v>
          </cell>
          <cell r="C178" t="str">
            <v>LUZON, ZONE 5, TAGUIG CITY</v>
          </cell>
          <cell r="D178" t="str">
            <v>NEW</v>
          </cell>
          <cell r="E178" t="str">
            <v>POWERHOUSE</v>
          </cell>
          <cell r="F178" t="str">
            <v>SCHED</v>
          </cell>
          <cell r="G178">
            <v>45832</v>
          </cell>
          <cell r="H178">
            <v>12.13</v>
          </cell>
          <cell r="I178" t="str">
            <v>-</v>
          </cell>
          <cell r="K178" t="str">
            <v xml:space="preserve">Boss Tsops </v>
          </cell>
        </row>
        <row r="179">
          <cell r="A179" t="str">
            <v>X24103888991</v>
          </cell>
          <cell r="B179" t="str">
            <v>HARD DISCOUNT PHILIPPINES, INC.</v>
          </cell>
          <cell r="C179" t="str">
            <v>ILANG-ILANG, T.S. CRUZ SUBD, LAS PINAS CITY</v>
          </cell>
          <cell r="D179" t="str">
            <v>NEW</v>
          </cell>
          <cell r="E179" t="str">
            <v>MAINTENANCE</v>
          </cell>
          <cell r="F179" t="str">
            <v>SCHED</v>
          </cell>
          <cell r="G179">
            <v>45855</v>
          </cell>
          <cell r="H179">
            <v>21.93</v>
          </cell>
          <cell r="I179" t="str">
            <v>-</v>
          </cell>
          <cell r="J179">
            <v>45888</v>
          </cell>
          <cell r="K179" t="str">
            <v xml:space="preserve">Boss Tsops </v>
          </cell>
        </row>
        <row r="180">
          <cell r="A180" t="str">
            <v>X25061934575</v>
          </cell>
          <cell r="B180" t="str">
            <v xml:space="preserve"> ALFAMART TRADING PHILIPPINES, INC.</v>
          </cell>
          <cell r="C180" t="str">
            <v>MULTINATIONAL, MULTINATIONAL VILL, PARANAQUE</v>
          </cell>
          <cell r="D180" t="str">
            <v>NEW</v>
          </cell>
          <cell r="E180" t="str">
            <v>ECOM</v>
          </cell>
          <cell r="F180" t="str">
            <v>SCHED</v>
          </cell>
          <cell r="G180">
            <v>45868.451388888891</v>
          </cell>
          <cell r="H180">
            <v>36.81</v>
          </cell>
          <cell r="I180" t="str">
            <v>-</v>
          </cell>
          <cell r="J180">
            <v>45880</v>
          </cell>
          <cell r="K180" t="str">
            <v xml:space="preserve">Boss Tsops </v>
          </cell>
        </row>
        <row r="181">
          <cell r="A181" t="str">
            <v>X24072874617</v>
          </cell>
          <cell r="B181" t="str">
            <v>HERMAN HARRELL HORNE SCHOOL, INC.</v>
          </cell>
          <cell r="C181" t="str">
            <v>BASA, BAHAYANG PAG-ASA PH I, BACOOR</v>
          </cell>
          <cell r="D181" t="str">
            <v>NEW</v>
          </cell>
          <cell r="E181" t="str">
            <v>AVECO</v>
          </cell>
          <cell r="F181" t="str">
            <v>SCHED</v>
          </cell>
          <cell r="G181">
            <v>45855</v>
          </cell>
          <cell r="H181">
            <v>472.66</v>
          </cell>
          <cell r="I181" t="str">
            <v>-</v>
          </cell>
          <cell r="J181">
            <v>45880</v>
          </cell>
          <cell r="K181" t="str">
            <v>Boss Obet Galang</v>
          </cell>
        </row>
      </sheetData>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JSB" id="{D4FF08AF-425B-44AB-8DCF-AA4205909032}"/>
  <namedSheetView name="View1" id="{C9F7487D-1DCD-4E4D-A847-2B3C8B07ACB8}"/>
</namedSheetViews>
</file>

<file path=xl/persons/person.xml><?xml version="1.0" encoding="utf-8"?>
<personList xmlns="http://schemas.microsoft.com/office/spreadsheetml/2018/threadedcomments" xmlns:x="http://schemas.openxmlformats.org/spreadsheetml/2006/main">
  <person displayName="Jenneth M. Madrid" id="{2B58ECCD-7399-4755-9855-17F4A6B97730}" userId="S::jmmadrid@meralco.com.ph::797e32e8-dc6f-48ec-abde-82251160a71f" providerId="AD"/>
</personList>
</file>

<file path=xl/pivotCache/_rels/pivotCacheDefinition1.xml.rels><?xml version="1.0" encoding="UTF-8" standalone="yes"?>
<Relationships xmlns="http://schemas.openxmlformats.org/package/2006/relationships"><Relationship Id="rId2" Type="http://schemas.openxmlformats.org/officeDocument/2006/relationships/externalLinkPath" Target="/personal/rbcanaria_meralco_com_ph/_vti_history/689152/Documents/Paranaque%20CA%20Files/EAM%20MONITORING/Work%20Order%20Monitoring%202025.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nneth M. Madrid" refreshedDate="45733.773715740739" createdVersion="8" refreshedVersion="8" minRefreshableVersion="3" recordCount="564" xr:uid="{49479A3C-1DD9-404D-9AFE-0204459A0E32}">
  <cacheSource type="worksheet">
    <worksheetSource ref="A2:BZ566" sheet="C1" r:id="rId2"/>
  </cacheSource>
  <cacheFields count="78">
    <cacheField name="Date Received Jacket from P&amp;S" numFmtId="0">
      <sharedItems containsNonDate="0" containsDate="1" containsString="0" containsBlank="1" minDate="2020-06-18T00:00:00" maxDate="2025-03-04T00:00:00"/>
    </cacheField>
    <cacheField name="Date Received Awarding of Wo" numFmtId="0">
      <sharedItems containsDate="1" containsBlank="1" containsMixedTypes="1" minDate="2021-09-30T00:00:00" maxDate="2025-03-01T00:00:00"/>
    </cacheField>
    <cacheField name="VIP" numFmtId="0">
      <sharedItems containsBlank="1"/>
    </cacheField>
    <cacheField name="WO INITIATOR" numFmtId="0">
      <sharedItems containsBlank="1" count="7">
        <s v="MN"/>
        <s v="BIZ"/>
        <s v="HMB"/>
        <s v="REL"/>
        <s v="CBG"/>
        <s v="GCB"/>
        <m/>
      </sharedItems>
    </cacheField>
    <cacheField name="WO NO" numFmtId="0">
      <sharedItems containsBlank="1" containsMixedTypes="1" containsNumber="1" containsInteger="1" minValue="100338058517" maxValue="100338059056"/>
    </cacheField>
    <cacheField name="DESCRIPTION" numFmtId="0">
      <sharedItems containsBlank="1"/>
    </cacheField>
    <cacheField name="LOCATION" numFmtId="0">
      <sharedItems containsBlank="1"/>
    </cacheField>
    <cacheField name="MUNICIPALITY" numFmtId="0">
      <sharedItems containsBlank="1"/>
    </cacheField>
    <cacheField name="AREA OF RESPONSIBILITY" numFmtId="0">
      <sharedItems containsBlank="1"/>
    </cacheField>
    <cacheField name="VENDOR REMARKS (free text)" numFmtId="0">
      <sharedItems containsBlank="1"/>
    </cacheField>
    <cacheField name="C1 REMARKS (with or without issue)" numFmtId="0">
      <sharedItems containsBlank="1"/>
    </cacheField>
    <cacheField name="ASSIGNED" numFmtId="0">
      <sharedItems containsBlank="1" count="18">
        <s v="ECOM"/>
        <s v="VJC"/>
        <s v="CHALLENGER"/>
        <s v="POWERHOUSE"/>
        <s v="AVECO"/>
        <s v="MAINTENANCE"/>
        <s v="C2"/>
        <m/>
        <s v="CHALLENGER " u="1"/>
        <s v="MAINTENANCE " u="1"/>
        <s v="C2 " u="1"/>
        <s v="POWERHOUSE " u="1"/>
        <s v="VJC " u="1"/>
        <s v="UG/AVECO" u="1"/>
        <s v="ECOM " u="1"/>
        <s v="AVECO " u="1"/>
        <s v="UG " u="1"/>
        <s v="UG" u="1"/>
      </sharedItems>
    </cacheField>
    <cacheField name="STATUS" numFmtId="0">
      <sharedItems containsBlank="1"/>
    </cacheField>
    <cacheField name="SUPERVISOR" numFmtId="0">
      <sharedItems containsBlank="1"/>
    </cacheField>
    <cacheField name="C1 CONTRACTOR MANHOUR" numFmtId="0">
      <sharedItems containsString="0" containsBlank="1" containsNumber="1" minValue="0" maxValue="2347.62914"/>
    </cacheField>
    <cacheField name="TOTAL MANHOURS" numFmtId="0">
      <sharedItems containsString="0" containsBlank="1" containsNumber="1" minValue="0.93" maxValue="2637.35"/>
    </cacheField>
    <cacheField name="APPLIED LOAD" numFmtId="0">
      <sharedItems containsString="0" containsBlank="1" containsNumber="1" minValue="0" maxValue="4999"/>
    </cacheField>
    <cacheField name="TYPE" numFmtId="0">
      <sharedItems containsBlank="1" count="16">
        <s v="OLDT"/>
        <s v="RETIREMENT OF IDLE FACILITES"/>
        <s v="TERMINATION"/>
        <s v="PCA RELOC"/>
        <s v="POLE RELOC"/>
        <s v="MODIFICATION"/>
        <s v="RTA"/>
        <s v="ECP"/>
        <s v="NEW"/>
        <s v="SUPPLEMENTAL MN FOR PCA"/>
        <s v="RELOC"/>
        <s v="RECONTRACT OF SERVICE"/>
        <m/>
        <s v="TEMPORARY" u="1"/>
        <s v=" NEW" u="1"/>
        <s v=" NEW " u="1"/>
      </sharedItems>
    </cacheField>
    <cacheField name="TOTAL PLANNED PROJECT COST" numFmtId="0">
      <sharedItems containsString="0" containsBlank="1" containsNumber="1" minValue="10873.51" maxValue="8506182.5099999998"/>
    </cacheField>
    <cacheField name="TOTAL ESTIMATED COST (SERVICES)" numFmtId="0">
      <sharedItems containsString="0" containsBlank="1" containsNumber="1" minValue="980.15" maxValue="1428065.65"/>
    </cacheField>
    <cacheField name="BILLED / PARTIALLY BILLED COST" numFmtId="0">
      <sharedItems containsBlank="1" containsMixedTypes="1" containsNumber="1" minValue="19989" maxValue="93645.38"/>
    </cacheField>
    <cacheField name="% BILLED" numFmtId="0">
      <sharedItems containsString="0" containsBlank="1" containsNumber="1" minValue="0" maxValue="0.90805138105076766"/>
    </cacheField>
    <cacheField name="DATE WMTRL" numFmtId="0">
      <sharedItems containsNonDate="0" containsDate="1" containsString="0" containsBlank="1" minDate="2020-06-05T16:44:00" maxDate="2025-02-27T07:33:00"/>
    </cacheField>
    <cacheField name="DATE SCHED" numFmtId="0">
      <sharedItems containsNonDate="0" containsDate="1" containsString="0" containsBlank="1" minDate="2020-06-08T08:50:00" maxDate="2025-03-03T12:56:00"/>
    </cacheField>
    <cacheField name="DATE RECEIVED BY VC" numFmtId="0">
      <sharedItems containsNonDate="0" containsDate="1" containsString="0" containsBlank="1" minDate="2020-06-15T00:00:00" maxDate="2025-03-01T00:00:00"/>
    </cacheField>
    <cacheField name="ACTUAL DATE COMPLETED ON SITE" numFmtId="0">
      <sharedItems containsDate="1" containsBlank="1" containsMixedTypes="1" minDate="2024-11-10T00:00:00" maxDate="2024-11-11T00:00:00"/>
    </cacheField>
    <cacheField name="DATE FCOMP" numFmtId="0">
      <sharedItems containsNonDate="0" containsDate="1" containsString="0" containsBlank="1" minDate="2024-01-02T09:36:00" maxDate="2025-12-14T00:00:00" count="675">
        <m/>
        <d v="2025-01-30T00:00:00"/>
        <d v="2025-01-15T00:00:00"/>
        <d v="2025-01-28T00:00:00"/>
        <d v="2025-01-18T00:00:00"/>
        <d v="2025-02-15T00:00:00"/>
        <d v="2025-01-10T16:30:00"/>
        <d v="2024-12-13T00:00:00"/>
        <d v="2025-02-11T00:00:00"/>
        <d v="2025-02-22T00:00:00"/>
        <d v="2025-01-06T13:08:00"/>
        <d v="2025-01-10T17:04:00"/>
        <d v="2025-01-10T17:37:00"/>
        <d v="2025-01-24T00:00:00"/>
        <d v="2025-01-20T00:00:00"/>
        <d v="2025-01-10T00:00:00"/>
        <d v="2025-02-06T00:00:00"/>
        <d v="2025-01-14T09:49:00"/>
        <d v="2025-02-28T00:00:00"/>
        <d v="2025-01-31T00:00:00"/>
        <d v="2025-02-14T00:00:00"/>
        <d v="2025-01-11T11:14:00"/>
        <d v="2025-02-18T00:00:00"/>
        <d v="2025-02-01T00:00:00"/>
        <d v="2025-01-08T07:22:00"/>
        <d v="2025-02-07T00:00:00"/>
        <d v="2025-01-11T00:00:00"/>
        <d v="2025-01-14T00:00:00"/>
        <d v="2025-01-02T14:27:00"/>
        <d v="2025-01-09T11:54:00"/>
        <d v="2025-02-05T00:00:00"/>
        <d v="2025-01-12T00:00:00"/>
        <d v="2025-01-26T00:00:00"/>
        <d v="2025-01-06T15:36:00"/>
        <d v="2025-01-27T00:00:00"/>
        <d v="2025-01-09T14:41:00"/>
        <d v="2025-02-08T00:00:00"/>
        <d v="2024-12-20T00:00:00"/>
        <d v="2025-02-04T00:00:00"/>
        <d v="2025-01-06T15:35:00"/>
        <d v="2025-01-11T11:12:00"/>
        <d v="2025-02-24T00:00:00"/>
        <d v="2025-01-09T09:36:00"/>
        <d v="2025-01-11T10:06:00"/>
        <d v="2025-02-12T00:00:00"/>
        <d v="2025-01-04T00:00:00"/>
        <d v="2025-02-25T00:00:00"/>
        <d v="2025-02-10T00:00:00"/>
        <d v="2025-01-21T00:00:00"/>
        <d v="2025-01-25T00:00:00"/>
        <d v="2025-02-09T00:00:00"/>
        <d v="2025-01-27T14:12:00"/>
        <d v="2025-02-27T00:00:00"/>
        <d v="2025-02-26T15:17:00"/>
        <d v="2024-05-13T07:57:00" u="1"/>
        <d v="2024-01-27T08:02:00" u="1"/>
        <d v="2024-07-19T08:01:00" u="1"/>
        <d v="2024-09-10T17:05:00" u="1"/>
        <d v="2024-07-29T13:32:00" u="1"/>
        <d v="2024-10-23T08:08:00" u="1"/>
        <d v="2024-02-23T09:10:00" u="1"/>
        <d v="2024-04-03T06:58:00" u="1"/>
        <d v="2024-10-14T11:44:00" u="1"/>
        <d v="2024-08-15T10:09:00" u="1"/>
        <d v="2024-03-04T07:07:00" u="1"/>
        <d v="2024-10-04T12:21:00" u="1"/>
        <d v="2024-02-14T07:09:36" u="1"/>
        <d v="2024-01-10T14:45:37" u="1"/>
        <d v="2024-11-23T00:00:00" u="1"/>
        <d v="2024-05-29T07:09:00" u="1"/>
        <d v="2024-10-31T13:47:00" u="1"/>
        <d v="2024-10-29T14:55:00" u="1"/>
        <d v="2024-02-16T09:46:00" u="1"/>
        <d v="2024-04-16T06:14:00" u="1"/>
        <d v="2024-07-18T09:21:00" u="1"/>
        <d v="2024-08-12T10:29:00" u="1"/>
        <d v="2024-09-25T17:24:00" u="1"/>
        <d v="2024-03-23T14:02:00" u="1"/>
        <d v="2024-03-04T07:15:00" u="1"/>
        <d v="2024-04-11T13:34:00" u="1"/>
        <d v="2024-03-27T13:57:00" u="1"/>
        <d v="2024-03-18T06:30:00" u="1"/>
        <d v="2024-11-09T00:01:00" u="1"/>
        <d v="2024-07-18T09:29:00" u="1"/>
        <d v="2024-04-19T10:10:00" u="1"/>
        <d v="2024-09-05T08:49:00" u="1"/>
        <d v="2024-02-07T13:27:00" u="1"/>
        <d v="2024-06-07T14:26:00" u="1"/>
        <d v="2024-09-13T17:17:00" u="1"/>
        <d v="2024-06-11T16:10:00" u="1"/>
        <d v="2024-01-23T09:50:00" u="1"/>
        <d v="2024-01-09T06:43:00" u="1"/>
        <d v="2024-02-12T09:04:13" u="1"/>
        <d v="2024-05-07T09:50:00" u="1"/>
        <d v="2024-11-04T09:29:00" u="1"/>
        <d v="2024-03-06T11:23:00" u="1"/>
        <d v="2024-06-13T14:10:00" u="1"/>
        <d v="2024-03-06T15:23:00" u="1"/>
        <d v="2024-01-30T07:30:00" u="1"/>
        <d v="2024-07-17T07:49:00" u="1"/>
        <d v="2024-04-22T15:14:00" u="1"/>
        <d v="2024-02-01T06:04:00" u="1"/>
        <d v="2024-08-31T09:48:00" u="1"/>
        <d v="2024-02-22T07:54:00" u="1"/>
        <d v="2024-10-19T00:01:00" u="1"/>
        <d v="2024-05-13T06:42:00" u="1"/>
        <d v="2024-05-13T08:42:00" u="1"/>
        <d v="2024-07-23T12:33:00" u="1"/>
        <d v="2024-07-31T13:01:00" u="1"/>
        <d v="2024-07-17T15:57:00" u="1"/>
        <d v="2024-09-16T13:29:00" u="1"/>
        <d v="2024-05-31T09:41:00" u="1"/>
        <d v="2024-07-20T06:53:00" u="1"/>
        <d v="2024-08-21T08:33:00" u="1"/>
        <d v="2024-01-20T12:23:00" u="1"/>
        <d v="2024-07-17T08:02:00" u="1"/>
        <d v="2024-08-06T10:30:00" u="1"/>
        <d v="2024-09-07T09:10:00" u="1"/>
        <d v="2024-02-18T16:15:00" u="1"/>
        <d v="2024-04-29T09:10:00" u="1"/>
        <d v="2024-07-08T13:46:00" u="1"/>
        <d v="2024-04-05T13:43:00" u="1"/>
        <d v="2024-03-04T13:00:00" u="1"/>
        <d v="2024-03-02T19:08:00" u="1"/>
        <d v="2024-02-19T07:27:00" u="1"/>
        <d v="2024-03-16T07:23:00" u="1"/>
        <d v="2024-08-29T13:17:00" u="1"/>
        <d v="2024-04-03T07:59:00" u="1"/>
        <d v="2024-08-05T07:50:00" u="1"/>
        <d v="2024-10-14T11:45:00" u="1"/>
        <d v="2024-06-14T18:46:00" u="1"/>
        <d v="2024-07-29T07:41:00" u="1"/>
        <d v="2024-03-27T12:50:00" u="1"/>
        <d v="2024-07-26T12:53:00" u="1"/>
        <d v="2024-08-22T14:53:00" u="1"/>
        <d v="2024-05-15T09:03:00" u="1"/>
        <d v="2024-09-18T17:53:00" u="1"/>
        <d v="2024-09-25T17:25:00" u="1"/>
        <d v="2024-09-12T10:14:00" u="1"/>
        <d v="2024-09-09T06:34:00" u="1"/>
        <d v="2024-02-05T07:36:00" u="1"/>
        <d v="2024-03-23T14:11:00" u="1"/>
        <d v="2024-05-23T18:42:00" u="1"/>
        <d v="2024-03-25T15:03:00" u="1"/>
        <d v="2024-01-31T09:19:00" u="1"/>
        <d v="2024-07-13T06:58:00" u="1"/>
        <d v="2024-07-15T07:50:00" u="1"/>
        <d v="2024-03-12T00:00:00" u="1"/>
        <d v="2024-03-18T08:39:00" u="1"/>
        <d v="2024-07-13T11:58:00" u="1"/>
        <d v="2024-08-10T09:54:00" u="1"/>
        <d v="2024-05-04T00:00:00" u="1"/>
        <d v="2024-03-13T14:59:00" u="1"/>
        <d v="2024-11-26T15:05:00" u="1"/>
        <d v="2024-07-09T10:11:00" u="1"/>
        <d v="2024-10-02T12:54:00" u="1"/>
        <d v="2024-08-29T08:49:00" u="1"/>
        <d v="2024-06-29T08:18:00" u="1"/>
        <d v="2024-08-20T07:22:00" u="1"/>
        <d v="2024-04-10T00:00:00" u="1"/>
        <d v="2024-06-25T12:34:00" u="1"/>
        <d v="2024-09-25T14:49:00" u="1"/>
        <d v="2024-02-04T07:56:00" u="1"/>
        <d v="2024-10-07T09:42:00" u="1"/>
        <d v="2024-03-22T16:31:00" u="1"/>
        <d v="2024-06-03T10:59:00" u="1"/>
        <d v="2024-07-09T13:19:00" u="1"/>
        <d v="2024-01-04T14:09:00" u="1"/>
        <d v="2024-08-29T08:57:00" u="1"/>
        <d v="2024-04-12T00:00:00" u="1"/>
        <d v="2024-05-08T00:00:00" u="1"/>
        <d v="2024-05-13T08:43:00" u="1"/>
        <d v="2024-01-12T09:48:00" u="1"/>
        <d v="2024-02-07T08:52:00" u="1"/>
        <d v="2024-02-29T17:27:00" u="1"/>
        <d v="2024-11-07T09:34:00" u="1"/>
        <d v="2024-01-04T06:17:00" u="1"/>
        <d v="2024-05-10T15:55:00" u="1"/>
        <d v="2024-06-10T17:39:00" u="1"/>
        <d v="2024-01-10T14:20:52" u="1"/>
        <d v="2024-01-10T14:51:44" u="1"/>
        <d v="2024-02-24T09:55:00" u="1"/>
        <d v="2024-10-27T10:41:00" u="1"/>
        <d v="2024-11-27T12:25:00" u="1"/>
        <d v="2024-08-29T13:02:00" u="1"/>
        <d v="2024-01-08T08:09:00" u="1"/>
        <d v="2024-02-18T16:16:00" u="1"/>
        <d v="2024-05-10T11:00:00" u="1"/>
        <d v="2024-08-07T14:27:00" u="1"/>
        <d v="2024-03-02T19:01:00" u="1"/>
        <d v="2024-06-25T06:58:00" u="1"/>
        <d v="2024-04-23T09:35:00" u="1"/>
        <d v="2024-06-27T14:50:00" u="1"/>
        <d v="2024-04-23T13:35:00" u="1"/>
        <d v="2024-02-24T10:00:00" u="1"/>
        <d v="2024-01-16T15:48:00" u="1"/>
        <d v="2024-08-05T09:43:00" u="1"/>
        <d v="2024-01-11T08:05:00" u="1"/>
        <d v="2024-09-10T17:07:00" u="1"/>
        <d v="2024-10-29T14:49:00" u="1"/>
        <d v="2024-05-04T08:40:00" u="1"/>
        <d v="2024-05-14T08:00:00" u="1"/>
        <d v="2024-07-15T15:27:00" u="1"/>
        <d v="2024-07-19T15:11:00" u="1"/>
        <d v="2024-03-11T16:44:00" u="1"/>
        <d v="2024-09-05T16:35:00" u="1"/>
        <d v="2024-05-02T19:48:00" u="1"/>
        <d v="2024-01-24T13:26:30" u="1"/>
        <d v="2024-03-24T00:00:00" u="1"/>
        <d v="2024-07-26T12:54:00" u="1"/>
        <d v="2024-04-18T06:08:00" u="1"/>
        <d v="2024-01-18T15:56:00" u="1"/>
        <d v="2024-06-20T14:31:00" u="1"/>
        <d v="2024-08-12T10:31:00" u="1"/>
        <d v="2024-08-15T10:19:00" u="1"/>
        <d v="2024-02-23T15:20:00" u="1"/>
        <d v="2024-05-15T09:04:00" u="1"/>
        <d v="2024-10-04T07:31:00" u="1"/>
        <d v="2024-06-07T14:20:00" u="1"/>
        <d v="2024-06-10T19:08:00" u="1"/>
        <d v="2024-11-29T08:49:00" u="1"/>
        <d v="2024-02-22T06:32:00" u="1"/>
        <d v="2024-05-25T10:35:00" u="1"/>
        <d v="2024-05-27T10:27:00" u="1"/>
        <d v="2024-07-13T06:51:00" u="1"/>
        <d v="2024-07-10T00:00:00" u="1"/>
        <d v="2024-07-19T13:27:00" u="1"/>
        <d v="2024-06-27T18:11:00" u="1"/>
        <d v="2024-06-14T13:00:00" u="1"/>
        <d v="2024-08-03T09:12:00" u="1"/>
        <d v="2024-06-04T14:40:00" u="1"/>
        <d v="2024-06-13T14:04:00" u="1"/>
        <d v="2024-05-20T00:00:00" u="1"/>
        <d v="2024-01-24T10:48:00" u="1"/>
        <d v="2024-03-23T07:20:00" u="1"/>
        <d v="2024-07-13T11:59:00" u="1"/>
        <d v="2024-07-23T12:19:00" u="1"/>
        <d v="2024-10-02T07:55:00" u="1"/>
        <d v="2024-02-21T17:44:00" u="1"/>
        <d v="2024-04-12T13:48:00" u="1"/>
        <d v="2024-06-27T17:19:00" u="1"/>
        <d v="2024-02-14T10:09:00" u="1"/>
        <d v="2024-05-31T21:19:00" u="1"/>
        <d v="2024-02-16T16:01:00" u="1"/>
        <d v="2024-01-24T06:56:00" u="1"/>
        <d v="2024-01-24T08:56:00" u="1"/>
        <d v="2024-05-22T00:00:00" u="1"/>
        <d v="2024-05-24T09:55:00" u="1"/>
        <d v="2024-07-31T16:58:00" u="1"/>
        <d v="2024-01-10T14:50:16" u="1"/>
        <d v="2024-02-29T19:20:00" u="1"/>
        <d v="2024-02-01T08:06:00" u="1"/>
        <d v="2024-03-13T15:05:00" u="1"/>
        <d v="2024-07-08T15:24:00" u="1"/>
        <d v="2024-01-13T14:51:33" u="1"/>
        <d v="2024-08-31T09:50:00" u="1"/>
        <d v="2024-07-18T07:55:00" u="1"/>
        <d v="2024-02-22T15:56:00" u="1"/>
        <d v="2024-03-26T13:24:00" u="1"/>
        <d v="2024-02-07T08:53:00" u="1"/>
        <d v="2024-11-15T09:03:00" u="1"/>
        <d v="2024-02-20T13:01:00" u="1"/>
        <d v="2024-08-09T09:12:00" u="1"/>
        <d v="2024-09-03T15:20:00" u="1"/>
        <d v="2024-04-30T00:00:00" u="1"/>
        <d v="2024-06-29T08:35:00" u="1"/>
        <d v="2024-08-14T00:00:00" u="1"/>
        <d v="2024-10-31T12:26:00" u="1"/>
        <d v="2024-08-15T12:59:00" u="1"/>
        <d v="2024-04-03T06:45:00" u="1"/>
        <d v="2024-10-03T07:12:00" u="1"/>
        <d v="2024-04-05T13:37:00" u="1"/>
        <d v="2024-06-05T09:05:00" u="1"/>
        <d v="2024-05-28T00:00:00" u="1"/>
        <d v="2024-06-24T00:00:00" u="1"/>
        <d v="2024-10-31T12:34:00" u="1"/>
        <d v="2024-11-26T10:38:00" u="1"/>
        <d v="2024-01-15T08:53:00" u="1"/>
        <d v="2024-08-29T12:11:00" u="1"/>
        <d v="2024-03-18T08:09:00" u="1"/>
        <d v="2024-10-08T14:00:00" u="1"/>
        <d v="2024-10-07T16:04:00" u="1"/>
        <d v="2024-05-30T00:00:00" u="1"/>
        <d v="2024-03-27T07:44:00" u="1"/>
        <d v="2024-04-24T08:40:00" u="1"/>
        <d v="2024-08-18T00:00:00" u="1"/>
        <d v="2024-09-14T00:00:00" u="1"/>
        <d v="2024-07-30T14:31:00" u="1"/>
        <d v="2024-07-31T15:27:00" u="1"/>
        <d v="2024-06-26T10:00:00" u="1"/>
        <d v="2024-10-14T11:47:00" u="1"/>
        <d v="2024-06-20T14:24:00" u="1"/>
        <d v="2024-07-08T12:56:00" u="1"/>
        <d v="2024-08-15T10:12:00" u="1"/>
        <d v="2024-06-07T10:13:00" u="1"/>
        <d v="2024-03-12T19:41:00" u="1"/>
        <d v="2024-02-08T16:10:00" u="1"/>
        <d v="2024-08-20T00:00:00" u="1"/>
        <d v="2024-10-17T10:43:00" u="1"/>
        <d v="2024-11-08T00:00:00" u="1"/>
        <d v="2024-06-14T12:56:00" u="1"/>
        <d v="2024-06-14T13:56:00" u="1"/>
        <d v="2024-02-06T06:26:00" u="1"/>
        <d v="2024-03-23T12:05:00" u="1"/>
        <d v="2024-03-07T07:06:00" u="1"/>
        <d v="2024-10-08T09:16:00" u="1"/>
        <d v="2024-06-07T14:21:00" u="1"/>
        <d v="2024-06-10T19:09:00" u="1"/>
        <d v="2024-09-18T00:00:00" u="1"/>
        <d v="2024-01-22T09:49:00" u="1"/>
        <d v="2024-10-14T00:00:00" u="1"/>
        <d v="2024-07-16T08:40:00" u="1"/>
        <d v="2024-08-12T07:40:00" u="1"/>
        <d v="2024-05-08T06:41:00" u="1"/>
        <d v="2024-01-23T15:45:00" u="1"/>
        <d v="2024-03-23T14:13:00" u="1"/>
        <d v="2024-07-08T07:09:00" u="1"/>
        <d v="2024-08-20T13:08:00" u="1"/>
        <d v="2024-05-31T21:12:00" u="1"/>
        <d v="2024-07-08T09:09:00" u="1"/>
        <d v="2024-10-03T11:44:00" u="1"/>
        <d v="2024-06-14T19:01:00" u="1"/>
        <d v="2024-09-20T00:00:00" u="1"/>
        <d v="2024-01-23T09:53:00" u="1"/>
        <d v="2024-06-24T07:32:00" u="1"/>
        <d v="2024-10-28T07:15:00" u="1"/>
        <d v="2024-01-24T10:49:00" u="1"/>
        <d v="2024-07-17T06:44:00" u="1"/>
        <d v="2024-10-16T00:00:00" u="1"/>
        <d v="2024-01-10T14:55:19" u="1"/>
        <d v="2024-08-16T06:32:00" u="1"/>
        <d v="2024-11-12T00:00:00" u="1"/>
        <d v="2024-01-09T06:46:00" u="1"/>
        <d v="2024-03-23T13:21:00" u="1"/>
        <d v="2024-03-01T07:46:00" u="1"/>
        <d v="2024-05-07T13:53:00" u="1"/>
        <d v="2024-11-12T17:00:00" u="1"/>
        <d v="2024-09-04T16:01:00" u="1"/>
        <d v="2024-08-29T08:51:00" u="1"/>
        <d v="2024-07-31T12:59:00" u="1"/>
        <d v="2024-10-18T00:00:00" u="1"/>
        <d v="2024-11-14T00:00:00" u="1"/>
        <d v="2024-06-10T17:33:00" u="1"/>
        <d v="2024-03-14T17:02:00" u="1"/>
        <d v="2024-08-28T00:00:00" u="1"/>
        <d v="2024-01-27T07:53:00" u="1"/>
        <d v="2024-09-24T00:00:00" u="1"/>
        <d v="2024-02-24T09:49:00" u="1"/>
        <d v="2024-03-16T07:02:00" u="1"/>
        <d v="2024-01-03T07:23:00" u="1"/>
        <d v="2024-08-31T09:59:00" u="1"/>
        <d v="2024-09-26T00:00:00" u="1"/>
        <d v="2024-07-20T06:56:00" u="1"/>
        <d v="2024-04-22T11:33:00" u="1"/>
        <d v="2024-05-18T13:33:00" u="1"/>
        <d v="2024-11-14T13:16:00" u="1"/>
        <d v="2024-02-14T08:40:31" u="1"/>
        <d v="2024-05-30T08:56:00" u="1"/>
        <d v="2024-11-20T00:00:00" u="1"/>
        <d v="2024-06-10T08:57:00" u="1"/>
        <d v="2024-09-18T12:40:00" u="1"/>
        <d v="2024-11-04T00:01:00" u="1"/>
        <d v="2024-09-02T08:41:00" u="1"/>
        <d v="2024-02-07T07:07:00" u="1"/>
        <d v="2024-10-07T13:05:00" u="1"/>
        <d v="2024-09-30T00:00:00" u="1"/>
        <d v="2024-11-12T08:40:00" u="1"/>
        <d v="2024-01-18T15:50:00" u="1"/>
        <d v="2024-09-28T15:08:00" u="1"/>
        <d v="2024-01-19T17:46:00" u="1"/>
        <d v="2024-10-05T08:21:00" u="1"/>
        <d v="2024-07-19T15:13:00" u="1"/>
        <d v="2024-09-05T16:37:00" u="1"/>
        <d v="2024-07-01T13:22:00" u="1"/>
        <d v="2024-05-29T07:13:00" u="1"/>
        <d v="2024-03-27T12:53:00" u="1"/>
        <d v="2024-07-31T15:36:00" u="1"/>
        <d v="2024-02-26T12:10:00" u="1"/>
        <d v="2024-07-12T10:49:00" u="1"/>
        <d v="2024-05-04T08:50:00" u="1"/>
        <d v="2024-01-11T10:23:00" u="1"/>
        <d v="2024-03-01T08:31:00" u="1"/>
        <d v="2024-06-07T14:22:00" u="1"/>
        <d v="2024-03-08T15:03:00" u="1"/>
        <d v="2024-07-29T08:52:00" u="1"/>
        <d v="2024-11-26T00:00:00" u="1"/>
        <d v="2024-02-29T09:06:00" u="1"/>
        <d v="2024-03-20T07:26:00" u="1"/>
        <d v="2024-10-21T09:36:00" u="1"/>
        <d v="2024-07-18T09:33:00" u="1"/>
        <d v="2024-03-22T16:18:00" u="1"/>
        <d v="2024-09-13T17:21:00" u="1"/>
        <d v="2024-11-29T08:59:00" u="1"/>
        <d v="2024-06-20T08:49:00" u="1"/>
        <d v="2024-07-17T07:45:00" u="1"/>
        <d v="2024-06-25T10:29:00" u="1"/>
        <d v="2024-04-06T07:11:00" u="1"/>
        <d v="2024-05-31T21:21:00" u="1"/>
        <d v="2024-04-06T09:11:00" u="1"/>
        <d v="2024-01-28T06:42:00" u="1"/>
        <d v="2024-02-24T07:42:00" u="1"/>
        <d v="2024-10-22T07:48:00" u="1"/>
        <d v="2024-03-22T07:34:00" u="1"/>
        <d v="2024-07-16T14:57:00" u="1"/>
        <d v="2024-02-16T13:11:00" u="1"/>
        <d v="2024-01-15T16:31:00" u="1"/>
        <d v="2024-05-06T16:03:00" u="1"/>
        <d v="2024-05-31T09:37:00" u="1"/>
        <d v="2024-05-31T10:37:00" u="1"/>
        <d v="2024-10-31T14:20:00" u="1"/>
        <d v="2024-02-05T00:00:00" u="1"/>
        <d v="2024-02-22T16:58:00" u="1"/>
        <d v="2024-03-08T07:35:00" u="1"/>
        <d v="2024-03-14T10:11:00" u="1"/>
        <d v="2024-10-01T08:14:00" u="1"/>
        <d v="2024-06-03T15:07:00" u="1"/>
        <d v="2024-07-26T07:33:00" u="1"/>
        <d v="2024-10-27T10:44:00" u="1"/>
        <d v="2024-04-16T08:58:00" u="1"/>
        <d v="2024-02-20T07:11:00" u="1"/>
        <d v="2024-08-16T13:57:00" u="1"/>
        <d v="2024-01-20T12:27:00" u="1"/>
        <d v="2024-03-18T08:03:00" u="1"/>
        <d v="2024-05-18T12:34:00" u="1"/>
        <d v="2024-01-10T14:36:08" u="1"/>
        <d v="2024-01-02T09:36:00" u="1"/>
        <d v="2024-02-15T17:31:00" u="1"/>
        <d v="2024-05-10T11:03:00" u="1"/>
        <d v="2024-02-07T14:00:00" u="1"/>
        <d v="2024-01-10T14:31:52" u="1"/>
        <d v="2024-05-31T09:53:00" u="1"/>
        <d v="2024-11-20T00:01:00" u="1"/>
        <d v="2024-01-20T07:35:00" u="1"/>
        <d v="2024-06-10T08:58:00" u="1"/>
        <d v="2024-04-03T06:55:00" u="1"/>
        <d v="2024-09-16T13:49:00" u="1"/>
        <d v="2024-09-02T08:42:00" u="1"/>
        <d v="2024-03-05T15:00:00" u="1"/>
        <d v="2024-05-24T08:26:00" u="1"/>
        <d v="2024-09-21T08:37:00" u="1"/>
        <d v="2024-10-17T10:37:00" u="1"/>
        <d v="2024-01-18T15:51:00" u="1"/>
        <d v="2024-04-18T09:03:00" u="1"/>
        <d v="2024-05-09T07:23:00" u="1"/>
        <d v="2024-09-28T15:09:00" u="1"/>
        <d v="2024-07-08T12:58:00" u="1"/>
        <d v="2024-07-19T13:14:00" u="1"/>
        <d v="2024-03-13T14:39:00" u="1"/>
        <d v="2024-06-06T13:19:00" u="1"/>
        <d v="2024-06-24T06:18:00" u="1"/>
        <d v="2024-03-27T13:54:00" u="1"/>
        <d v="2024-03-18T06:27:00" u="1"/>
        <d v="2024-05-25T10:30:00" u="1"/>
        <d v="2024-03-09T00:00:00" u="1"/>
        <d v="2024-01-08T07:36:00" u="1"/>
        <d v="2024-06-20T14:34:00" u="1"/>
        <d v="2024-01-10T09:28:00" u="1"/>
        <d v="2024-01-15T10:08:00" u="1"/>
        <d v="2024-03-23T14:07:00" u="1"/>
        <d v="2024-07-08T07:03:00" u="1"/>
        <d v="2024-08-15T13:22:00" u="1"/>
        <d v="2024-06-07T14:23:00" u="1"/>
        <d v="2024-01-31T07:15:00" u="1"/>
        <d v="2024-01-30T08:19:00" u="1"/>
        <d v="2024-03-12T07:59:00" u="1"/>
        <d v="2024-05-03T00:00:00" u="1"/>
        <d v="2024-11-21T12:21:00" u="1"/>
        <d v="2024-03-23T14:15:00" u="1"/>
        <d v="2024-03-22T16:19:00" u="1"/>
        <d v="2024-10-03T11:46:00" u="1"/>
        <d v="2024-01-13T14:24:00" u="1"/>
        <d v="2024-01-29T08:31:00" u="1"/>
        <d v="2024-02-21T06:47:00" u="1"/>
        <d v="2024-06-24T07:34:00" u="1"/>
        <d v="2024-07-17T07:46:00" u="1"/>
        <d v="2024-01-10T14:37:14" u="1"/>
        <d v="2024-06-03T07:55:00" u="1"/>
        <d v="2024-06-10T07:27:00" u="1"/>
        <d v="2024-10-04T07:50:00" u="1"/>
        <d v="2024-04-10T14:59:00" u="1"/>
        <d v="2024-02-14T13:12:00" u="1"/>
        <d v="2024-05-06T15:59:00" u="1"/>
        <d v="2024-09-04T16:03:00" u="1"/>
        <d v="2024-10-22T07:49:00" u="1"/>
        <d v="2024-03-18T08:51:00" u="1"/>
        <d v="2024-05-07T00:00:00" u="1"/>
        <d v="2024-10-21T14:53:00" u="1"/>
        <d v="2024-07-16T14:58:00" u="1"/>
        <d v="2024-03-06T07:36:00" u="1"/>
        <d v="2024-02-29T19:23:00" u="1"/>
        <d v="2024-09-20T15:10:00" u="1"/>
        <d v="2024-02-19T14:00:00" u="1"/>
        <d v="2024-02-02T08:05:00" u="1"/>
        <d v="2024-07-20T06:50:00" u="1"/>
        <d v="2024-02-26T09:43:00" u="1"/>
        <d v="2024-10-23T11:53:00" u="1"/>
        <d v="2024-01-20T07:20:00" u="1"/>
        <d v="2024-10-27T15:37:00" u="1"/>
        <d v="2024-11-13T08:14:00" u="1"/>
        <d v="2024-09-24T14:02:00" u="1"/>
        <d v="2024-02-15T15:24:00" u="1"/>
        <d v="2024-06-20T21:03:00" u="1"/>
        <d v="2024-01-10T14:24:52" u="1"/>
        <d v="2024-06-24T06:58:00" u="1"/>
        <d v="2024-01-04T06:19:29" u="1"/>
        <d v="2024-05-31T09:46:00" u="1"/>
        <d v="2024-05-13T07:55:00" u="1"/>
        <d v="2024-08-16T13:58:00" u="1"/>
        <d v="2024-04-03T06:48:00" u="1"/>
        <d v="2024-09-24T15:10:00" u="1"/>
        <d v="2024-03-05T14:56:00" u="1"/>
        <d v="2024-04-17T00:00:00" u="1"/>
        <d v="2024-07-29T12:30:00" u="1"/>
        <d v="2024-03-23T13:55:00" u="1"/>
        <d v="2024-01-17T10:48:00" u="1"/>
        <d v="2024-02-28T17:51:00" u="1"/>
        <d v="2024-09-18T12:42:00" u="1"/>
        <d v="2024-01-10T06:13:00" u="1"/>
        <d v="2024-08-01T00:00:00" u="1"/>
        <d v="2024-01-08T07:21:00" u="1"/>
        <d v="2024-01-16T15:52:00" u="1"/>
        <d v="2024-04-06T10:44:00" u="1"/>
        <d v="2024-02-04T08:21:00" u="1"/>
        <d v="2024-10-05T08:15:00" u="1"/>
        <d v="2024-01-08T14:21:00" u="1"/>
        <d v="2024-05-06T14:28:00" u="1"/>
        <d v="2024-07-03T14:08:00" u="1"/>
        <d v="2024-03-23T00:00:00" u="1"/>
        <d v="2024-05-29T07:07:00" u="1"/>
        <d v="2024-07-08T06:59:00" u="1"/>
        <d v="2024-02-01T05:41:00" u="1"/>
        <d v="2024-09-28T15:10:00" u="1"/>
        <d v="2024-05-14T08:04:00" u="1"/>
        <d v="2024-06-20T14:27:00" u="1"/>
        <d v="2024-09-12T10:11:00" u="1"/>
        <d v="2024-04-03T07:01:00" u="1"/>
        <d v="2024-09-12T13:11:00" u="1"/>
        <d v="2024-02-06T12:21:00" u="1"/>
        <d v="2024-09-13T17:07:00" u="1"/>
        <d v="2024-02-29T00:00:00" u="1"/>
        <d v="2024-09-18T09:58:00" u="1"/>
        <d v="2024-07-13T06:47:00" u="1"/>
        <d v="2024-07-20T08:19:00" u="1"/>
        <d v="2024-07-18T09:27:00" u="1"/>
        <d v="2024-08-12T08:35:00" u="1"/>
        <d v="2024-03-23T12:08:00" u="1"/>
        <d v="2024-04-19T10:08:00" u="1"/>
        <d v="2024-03-16T13:36:00" u="1"/>
        <d v="2024-08-30T12:34:00" u="1"/>
        <d v="2024-09-09T06:39:00" u="1"/>
        <d v="2024-03-09T09:09:00" u="1"/>
        <d v="2024-11-06T09:19:00" u="1"/>
        <d v="2024-08-06T08:04:00" u="1"/>
        <d v="2024-02-12T17:13:00" u="1"/>
        <d v="2024-03-06T15:21:00" u="1"/>
        <d v="2024-08-06T14:04:00" u="1"/>
        <d v="2024-06-13T19:08:00" u="1"/>
        <d v="2024-08-29T08:46:00" u="1"/>
        <d v="2024-01-23T09:56:00" u="1"/>
        <d v="2024-10-28T07:18:00" u="1"/>
        <d v="2024-01-10T14:23:26" u="1"/>
        <d v="2024-02-14T06:56:56" u="1"/>
        <d v="2024-04-19T10:24:00" u="1"/>
        <d v="2024-10-02T07:59:00" u="1"/>
        <d v="2024-02-06T08:45:00" u="1"/>
        <d v="2024-03-05T15:33:00" u="1"/>
        <d v="2024-01-10T13:40:44" u="1"/>
        <d v="2024-01-30T07:36:00" u="1"/>
        <d v="2024-07-30T07:03:00" u="1"/>
        <d v="2024-05-13T07:40:00" u="1"/>
        <d v="2024-10-04T10:59:00" u="1"/>
        <d v="2024-03-07T10:33:00" u="1"/>
        <d v="2024-10-07T12:47:00" u="1"/>
        <d v="2024-06-10T17:36:00" u="1"/>
        <d v="2024-11-13T17:07:00" u="1"/>
        <d v="2024-05-06T16:05:00" u="1"/>
        <d v="2024-02-24T09:52:00" u="1"/>
        <d v="2024-07-19T07:55:00" u="1"/>
        <d v="2024-09-09T00:00:00" u="1"/>
        <d v="2024-09-20T08:19:00" u="1"/>
        <d v="2024-10-08T08:51:00" u="1"/>
        <d v="2024-05-25T17:00:00" u="1"/>
        <d v="2024-10-01T08:16:00" u="1"/>
        <d v="2024-06-24T06:59:00" u="1"/>
        <d v="2024-06-25T06:55:00" u="1"/>
        <d v="2024-02-26T09:52:00" u="1"/>
        <d v="2024-10-27T10:46:00" u="1"/>
        <d v="2024-04-24T08:28:00" u="1"/>
        <d v="2024-08-15T00:00:00" u="1"/>
        <d v="2024-06-21T09:08:00" u="1"/>
        <d v="2024-10-16T09:27:00" u="1"/>
        <d v="2024-03-18T08:05:00" u="1"/>
        <d v="2024-05-08T07:13:00" u="1"/>
        <d v="2024-10-08T13:59:00" u="1"/>
        <d v="2024-09-12T16:59:00" u="1"/>
        <d v="2024-11-12T15:27:00" u="1"/>
        <d v="2024-05-31T09:55:00" u="1"/>
        <d v="2024-09-30T16:58:00" u="1"/>
        <d v="2024-07-29T13:31:00" u="1"/>
        <d v="2024-09-21T10:31:00" u="1"/>
        <d v="2024-10-14T11:43:00" u="1"/>
        <d v="2024-05-13T08:01:00" u="1"/>
        <d v="2024-03-20T14:05:00" u="1"/>
        <d v="2024-07-19T15:08:00" u="1"/>
        <d v="2024-08-19T00:00:00" u="1"/>
        <d v="2024-03-27T12:48:00" u="1"/>
        <d v="2024-05-29T09:08:00" u="1"/>
        <d v="2024-05-28T10:12:00" u="1"/>
        <d v="2024-10-21T08:23:00" u="1"/>
        <d v="2024-10-17T10:39:00" u="1"/>
        <d v="2024-01-26T14:21:00" u="1"/>
        <d v="2024-01-04T10:46:00" u="1"/>
        <d v="2024-06-04T13:29:00" u="1"/>
        <d v="2024-07-01T13:25:00" u="1"/>
        <d v="2024-02-05T09:33:47" u="1"/>
        <d v="2024-06-10T19:05:00" u="1"/>
        <d v="2024-08-21T00:00:00" u="1"/>
        <d v="2024-03-18T06:29:00" u="1"/>
        <d v="2024-10-13T00:00:00" u="1"/>
        <d v="2024-07-20T08:20:00" u="1"/>
        <d v="2024-02-05T07:34:00" u="1"/>
        <d v="2024-02-29T19:01:00" u="1"/>
        <d v="2024-08-03T09:09:00" u="1"/>
        <d v="2024-05-28T08:28:00" u="1"/>
        <d v="2024-09-19T00:00:00" u="1"/>
        <d v="2024-01-31T09:17:00" u="1"/>
        <d v="2024-06-20T07:44:00" u="1"/>
        <d v="2024-10-15T00:00:00" u="1"/>
        <d v="2024-07-13T11:56:00" u="1"/>
        <d v="2024-08-15T09:32:00" u="1"/>
        <d v="2024-02-14T10:06:00" u="1"/>
        <d v="2024-05-31T21:16:00" u="1"/>
        <d v="2024-06-07T12:33:00" u="1"/>
        <d v="2024-03-06T11:22:00" u="1"/>
        <d v="2024-06-06T13:37:00" u="1"/>
        <d v="2024-07-29T00:00:00" u="1"/>
        <d v="2024-09-21T00:00:00" u="1"/>
        <d v="2024-10-28T07:19:00" u="1"/>
        <d v="2024-06-22T08:44:00" u="1"/>
        <d v="2024-10-17T00:00:00" u="1"/>
        <d v="2024-02-26T10:29:00" u="1"/>
        <d v="2024-02-19T13:57:00" u="1"/>
        <d v="2024-02-05T06:50:00" u="1"/>
        <d v="2024-06-03T07:57:00" u="1"/>
        <d v="2024-01-25T06:36:42" u="1"/>
        <d v="2024-03-22T16:29:00" u="1"/>
        <d v="2024-09-11T12:40:00" u="1"/>
        <d v="2024-01-12T15:38:00" u="1"/>
        <d v="2024-02-14T13:14:00" u="1"/>
        <d v="2024-01-17T17:18:00" u="1"/>
        <d v="2024-01-17T18:18:00" u="1"/>
        <d v="2024-03-11T18:10:00" u="1"/>
        <d v="2024-02-01T16:03:00" u="1"/>
        <d v="2024-08-27T00:00:00" u="1"/>
        <d v="2024-08-31T09:47:00" u="1"/>
        <d v="2024-09-23T00:00:00" u="1"/>
        <d v="2024-10-19T00:00:00" u="1"/>
        <d v="2024-07-10T08:21:00" u="1"/>
        <d v="2024-09-17T12:24:00" u="1"/>
        <d v="2024-11-06T08:36:00" u="1"/>
        <d v="2024-11-07T09:32:00" u="1"/>
        <d v="2024-01-12T14:46:00" u="1"/>
        <d v="2024-02-06T12:54:00" u="1"/>
        <d v="2024-10-03T12:01:00" u="1"/>
        <d v="2024-08-29T00:00:00" u="1"/>
        <d v="2024-09-25T00:00:00" u="1"/>
        <d v="2024-10-21T00:00:00" u="1"/>
        <d v="2025-12-13T00:00:00" u="1"/>
        <d v="2024-03-07T07:42:00" u="1"/>
        <d v="2024-03-08T07:38:00" u="1"/>
        <d v="2024-04-25T13:17:00" u="1"/>
        <d v="2024-04-08T14:22:00" u="1"/>
        <d v="2024-08-31T00:00:00" u="1"/>
        <d v="2024-07-26T07:36:00" u="1"/>
        <d v="2024-08-17T07:56:00" u="1"/>
      </sharedItems>
    </cacheField>
    <cacheField name="DATE COMP" numFmtId="0">
      <sharedItems containsNonDate="0" containsDate="1" containsString="0" containsBlank="1" minDate="2025-02-11T14:00:00" maxDate="2025-02-11T14:03:00"/>
    </cacheField>
    <cacheField name="# of days WMTRL TO FCOMP_x000a_APT Without Exclusion (SPT)" numFmtId="0">
      <sharedItems containsString="0" containsBlank="1" containsNumber="1" minValue="-45715.314583333333" maxValue="877.35972222222335"/>
    </cacheField>
    <cacheField name="# of days SCHED TO FCOMP" numFmtId="0">
      <sharedItems containsString="0" containsBlank="1" containsNumber="1" minValue="-45719.538888888892" maxValue="876"/>
    </cacheField>
    <cacheField name="# of days COMP" numFmtId="0">
      <sharedItems containsString="0" containsBlank="1" containsNumber="1" minValue="-45716" maxValue="21.585416666668607"/>
    </cacheField>
    <cacheField name="(0.75) DATE NEEDED FOR  WMTRL TO FCOMP" numFmtId="0">
      <sharedItems containsNonDate="0" containsDate="1" containsString="0" containsBlank="1" minDate="1900-01-16T08:08:08" maxDate="2025-03-21T01:32:57"/>
    </cacheField>
    <cacheField name="(0.95) DATE NEEDED FOR FCOMP" numFmtId="0">
      <sharedItems containsNonDate="0" containsDate="1" containsString="0" containsBlank="1" minDate="1900-01-24T18:18:18" maxDate="2025-03-30T20:57:13"/>
    </cacheField>
    <cacheField name="(50 DAYS) DATE NEEDED FOR  WMTRL TO FCOMP" numFmtId="0">
      <sharedItems containsNonDate="0" containsDate="1" containsString="0" containsBlank="1" minDate="1900-02-18T00:00:00" maxDate="2025-04-18T07:33:00"/>
    </cacheField>
    <cacheField name="COMPUTED INDEX (WMTRL TO FCOMP)_x000a_CCTI Without Exclusion" numFmtId="0">
      <sharedItems containsString="0" containsBlank="1" containsNumber="1" minValue="-2053.6380744791668" maxValue="25.833369598765465"/>
    </cacheField>
    <cacheField name="COMPUTED INDEX (COMP)" numFmtId="0">
      <sharedItems containsString="0" containsBlank="1" containsNumber="1" minValue="-1142.9000000000001" maxValue="0.53963541666671522"/>
    </cacheField>
    <cacheField name="SPT(M)" numFmtId="0">
      <sharedItems containsString="0" containsBlank="1" containsNumber="1" containsInteger="1" minValue="20" maxValue="50"/>
    </cacheField>
    <cacheField name="SPT(L)" numFmtId="0">
      <sharedItems containsString="0" containsBlank="1" containsNumber="1" containsInteger="1" minValue="20" maxValue="36"/>
    </cacheField>
    <cacheField name="0.75 DURATION (DAYS)" numFmtId="0">
      <sharedItems containsString="0" containsBlank="1" containsNumber="1" minValue="16.406250000000004" maxValue="29.475982532751093"/>
    </cacheField>
    <cacheField name="0.95 DURATION (DAYS)" numFmtId="0">
      <sharedItems containsString="0" containsBlank="1" containsNumber="1" minValue="20.781250000000004" maxValue="37.336244541484717"/>
    </cacheField>
    <cacheField name="TARGET DAYS" numFmtId="0">
      <sharedItems containsString="0" containsBlank="1" containsNumber="1" minValue="13.406250000000004" maxValue="26.475982532751093"/>
    </cacheField>
    <cacheField name="SPT(M) for comp" numFmtId="0">
      <sharedItems containsString="0" containsBlank="1" containsNumber="1" containsInteger="1" minValue="40" maxValue="60"/>
    </cacheField>
    <cacheField name="DURATION (DAYS)COMP" numFmtId="0">
      <sharedItems containsString="0" containsBlank="1" containsNumber="1" minValue="32" maxValue="48"/>
    </cacheField>
    <cacheField name="TARGET DAYS (COMP)" numFmtId="0">
      <sharedItems containsString="0" containsBlank="1" containsNumber="1" minValue="27" maxValue="43"/>
    </cacheField>
    <cacheField name="DATE NEEDED TO COMP" numFmtId="0">
      <sharedItems containsNonDate="0" containsDate="1" containsString="0" containsBlank="1" minDate="1900-01-31T00:00:00" maxDate="2025-04-15T15:17:00"/>
    </cacheField>
    <cacheField name="TARGET DATE TO COMP" numFmtId="0">
      <sharedItems containsNonDate="0" containsDate="1" containsString="0" containsBlank="1" minDate="1900-01-26T00:00:00" maxDate="2025-04-10T15:17:00"/>
    </cacheField>
    <cacheField name="REASON (FOR EXCLUSION)" numFmtId="0">
      <sharedItems containsBlank="1"/>
    </cacheField>
    <cacheField name="FOR CCTI EXCLUSION (Y/N)" numFmtId="0">
      <sharedItems containsBlank="1"/>
    </cacheField>
    <cacheField name="ENCODED IN EAM (Y/N)" numFmtId="0">
      <sharedItems containsBlank="1"/>
    </cacheField>
    <cacheField name="VALIDATED BY DCSAM (Y/N)" numFmtId="0">
      <sharedItems containsNonDate="0" containsString="0" containsBlank="1"/>
    </cacheField>
    <cacheField name="For APT Exclusion (Y/N)" numFmtId="0">
      <sharedItems containsBlank="1"/>
    </cacheField>
    <cacheField name="START  DATE" numFmtId="0">
      <sharedItems containsNonDate="0" containsDate="1" containsString="0" containsBlank="1" minDate="2024-09-11T00:00:00" maxDate="2024-11-05T00:00:00"/>
    </cacheField>
    <cacheField name="DURATION FOR EXCLUSION" numFmtId="0">
      <sharedItems containsString="0" containsBlank="1" containsNumber="1" containsInteger="1" minValue="29" maxValue="29"/>
    </cacheField>
    <cacheField name="END DATE (FOR EXCLUSION)" numFmtId="0">
      <sharedItems containsNonDate="0" containsDate="1" containsString="0" containsBlank="1" minDate="2024-12-03T00:00:00" maxDate="2024-12-04T00:00:00"/>
    </cacheField>
    <cacheField name="REMARKS  / FOLLOW UP BY" numFmtId="0">
      <sharedItems containsBlank="1"/>
    </cacheField>
    <cacheField name="REMARKS 2" numFmtId="0">
      <sharedItems containsBlank="1"/>
    </cacheField>
    <cacheField name="DATE NEEDED TO SUBMIT COC" numFmtId="0">
      <sharedItems containsNonDate="0" containsDate="1" containsString="0" containsBlank="1" minDate="1900-01-14T00:00:00" maxDate="2025-03-16T00:00:00"/>
    </cacheField>
    <cacheField name="AGEING SUBMISSION OF COC" numFmtId="0">
      <sharedItems containsString="0" containsBlank="1" containsNumber="1" minValue="-438" maxValue="27.397916666668607"/>
    </cacheField>
    <cacheField name="DATE COMPLETED (FROM COC)" numFmtId="0">
      <sharedItems containsNonDate="0" containsDate="1" containsString="0" containsBlank="1" minDate="2022-05-19T00:00:00" maxDate="2025-02-16T00:00:00"/>
    </cacheField>
    <cacheField name="ACTUAL RECEIVED COC" numFmtId="0">
      <sharedItems containsNonDate="0" containsDate="1" containsString="0" containsBlank="1" minDate="2022-06-25T00:00:00" maxDate="2025-03-04T00:00:00"/>
    </cacheField>
    <cacheField name="DATE AUDIT" numFmtId="0">
      <sharedItems containsNonDate="0" containsDate="1" containsString="0" containsBlank="1" minDate="2022-07-20T00:00:00" maxDate="2025-02-07T00:00:00"/>
    </cacheField>
    <cacheField name="BY:" numFmtId="0">
      <sharedItems containsBlank="1"/>
    </cacheField>
    <cacheField name="W/ BACK JOB " numFmtId="0">
      <sharedItems containsBlank="1"/>
    </cacheField>
    <cacheField name="BACKJOB TAGGED IN EAM? RE-WORK" numFmtId="0">
      <sharedItems containsBlank="1"/>
    </cacheField>
    <cacheField name="DATE RECEIVED BY CONTRACTOR" numFmtId="0">
      <sharedItems containsNonDate="0" containsDate="1" containsString="0" containsBlank="1" minDate="2022-07-20T00:00:00" maxDate="2022-07-21T00:00:00"/>
    </cacheField>
    <cacheField name="DATE CORRECTED" numFmtId="0">
      <sharedItems containsNonDate="0" containsString="0" containsBlank="1"/>
    </cacheField>
    <cacheField name="DATE MATERIAL BALANCING" numFmtId="0">
      <sharedItems containsNonDate="0" containsString="0" containsBlank="1"/>
    </cacheField>
    <cacheField name="BY" numFmtId="0">
      <sharedItems containsNonDate="0" containsString="0" containsBlank="1"/>
    </cacheField>
    <cacheField name="Y/N" numFmtId="0">
      <sharedItems containsBlank="1"/>
    </cacheField>
    <cacheField name="EMAILED TO METER" numFmtId="0">
      <sharedItems containsNonDate="0" containsDate="1" containsString="0" containsBlank="1" minDate="2024-05-30T00:00:00" maxDate="2025-03-01T00:00:00"/>
    </cacheField>
    <cacheField name="DT CORRECTION METHOD" numFmtId="0">
      <sharedItems containsBlank="1"/>
    </cacheField>
    <cacheField name="TLN" numFmtId="0">
      <sharedItems containsBlank="1"/>
    </cacheField>
    <cacheField name="WITH POLE REPL?" numFmtId="0">
      <sharedItems containsBlank="1"/>
    </cacheField>
    <cacheField name="ACTUAL FIELD STATUS" numFmtId="0">
      <sharedItems containsBlank="1"/>
    </cacheField>
    <cacheField name="REMARKS3" numFmtId="0">
      <sharedItems containsBlank="1"/>
    </cacheField>
    <cacheField name="ABF PRINTED BY (FOR AUDIT)" numFmtId="0">
      <sharedItems containsBlank="1"/>
    </cacheField>
    <cacheField name="DATE PRINTED OF POLE TAG FABRICATION FORM " numFmtId="0">
      <sharedItems containsDate="1" containsBlank="1" containsMixedTypes="1" minDate="2023-04-11T00:00:00" maxDate="2025-03-05T00:00:00"/>
    </cacheField>
    <cacheField name="POLE / TLN TAGS" numFmtId="0">
      <sharedItems containsBlank="1" containsMixedTypes="1" containsNumber="1" containsInteger="1" minValue="124828" maxValue="26240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an Carlo G. Lazaro" refreshedDate="45798.637735763892" createdVersion="8" refreshedVersion="8" minRefreshableVersion="3" recordCount="634" xr:uid="{B454EE80-203A-482F-8942-986BAAB87BD6}">
  <cacheSource type="worksheet">
    <worksheetSource ref="E3:BC636" sheet="C1"/>
  </cacheSource>
  <cacheFields count="51">
    <cacheField name="WO NO" numFmtId="0">
      <sharedItems containsMixedTypes="1" containsNumber="1" containsInteger="1" minValue="100338058517" maxValue="100338059056"/>
    </cacheField>
    <cacheField name="DESCRIPTION" numFmtId="0">
      <sharedItems/>
    </cacheField>
    <cacheField name="LOCATION" numFmtId="0">
      <sharedItems/>
    </cacheField>
    <cacheField name="MUNICIPALITY" numFmtId="0">
      <sharedItems/>
    </cacheField>
    <cacheField name="AREA OF RESPONSIBILITY" numFmtId="0">
      <sharedItems/>
    </cacheField>
    <cacheField name="VENDOR REMARKS (free text)" numFmtId="0">
      <sharedItems containsBlank="1" longText="1"/>
    </cacheField>
    <cacheField name="C1 REMARKS (with or without issue)" numFmtId="0">
      <sharedItems containsBlank="1"/>
    </cacheField>
    <cacheField name="ASSIGNED" numFmtId="0">
      <sharedItems count="9">
        <s v="OPS"/>
        <s v="VJC"/>
        <s v="ECOM"/>
        <s v="CHALLENGER"/>
        <s v="POWERHOUSE"/>
        <s v="AVECO"/>
        <s v="STA. ROSA"/>
        <s v="MAINTENANCE"/>
        <s v="C2"/>
      </sharedItems>
    </cacheField>
    <cacheField name="STATUS" numFmtId="0">
      <sharedItems/>
    </cacheField>
    <cacheField name="SUPERVISOR" numFmtId="0">
      <sharedItems count="10">
        <s v="DCB"/>
        <s v="JMM"/>
        <s v="RRG"/>
        <s v="IGL"/>
        <s v="JSP"/>
        <s v="MBF"/>
        <s v="SRO"/>
        <s v="IJP"/>
        <s v="JCF"/>
        <s v="RM"/>
      </sharedItems>
    </cacheField>
    <cacheField name="C1 CONTRACTOR MANHOUR" numFmtId="2">
      <sharedItems containsString="0" containsBlank="1" containsNumber="1" minValue="0.33" maxValue="2347.62914"/>
    </cacheField>
    <cacheField name="TOTAL MANHOURS" numFmtId="0">
      <sharedItems containsMixedTypes="1" containsNumber="1" minValue="0.93" maxValue="2637.35"/>
    </cacheField>
    <cacheField name="APPLIED LOAD" numFmtId="0">
      <sharedItems containsMixedTypes="1" containsNumber="1" minValue="0" maxValue="4999"/>
    </cacheField>
    <cacheField name="TYPE" numFmtId="0">
      <sharedItems/>
    </cacheField>
    <cacheField name="TOTAL PLANNED PROJECT COST" numFmtId="0">
      <sharedItems containsMixedTypes="1" containsNumber="1" minValue="10873.51" maxValue="8506182.5099999998"/>
    </cacheField>
    <cacheField name="TOTAL ESTIMATED COST (SERVICES)" numFmtId="0">
      <sharedItems containsBlank="1" containsMixedTypes="1" containsNumber="1" minValue="850.62" maxValue="1428065.65"/>
    </cacheField>
    <cacheField name="BILLED / PARTIALLY BILLED COST" numFmtId="43">
      <sharedItems containsBlank="1" containsMixedTypes="1" containsNumber="1" minValue="1038.46" maxValue="175011.86"/>
    </cacheField>
    <cacheField name="% BILLED" numFmtId="9">
      <sharedItems containsMixedTypes="1" containsNumber="1" minValue="0" maxValue="1.21957331871491"/>
    </cacheField>
    <cacheField name="DATE WMTRL" numFmtId="0">
      <sharedItems containsSemiMixedTypes="0" containsNonDate="0" containsDate="1" containsString="0" minDate="2020-06-05T16:44:00" maxDate="2025-05-09T17:32:00"/>
    </cacheField>
    <cacheField name="DATE SCHED" numFmtId="0">
      <sharedItems containsNonDate="0" containsDate="1" containsString="0" containsBlank="1" minDate="2020-06-08T08:50:00" maxDate="2025-05-16T10:54:00"/>
    </cacheField>
    <cacheField name="DATE RECEIVED BY VC" numFmtId="0">
      <sharedItems containsNonDate="0" containsDate="1" containsString="0" containsBlank="1" minDate="2020-06-15T00:00:00" maxDate="2025-05-17T00:00:00"/>
    </cacheField>
    <cacheField name="ACTUAL DATE COMPLETED ON SITE" numFmtId="0">
      <sharedItems containsDate="1" containsBlank="1" containsMixedTypes="1" minDate="2024-11-10T00:00:00" maxDate="2025-05-26T00:00:00"/>
    </cacheField>
    <cacheField name="DATE FCOMP" numFmtId="177">
      <sharedItems containsDate="1" containsBlank="1" containsMixedTypes="1" minDate="2024-12-13T00:00:00" maxDate="2025-05-22T00:00:00"/>
    </cacheField>
    <cacheField name="DATE COMP" numFmtId="14">
      <sharedItems containsNonDate="0" containsDate="1" containsString="0" containsBlank="1" minDate="2025-02-11T14:00:00" maxDate="2025-05-20T10:53:00"/>
    </cacheField>
    <cacheField name="# of days WMTRL TO FCOMP_x000a_APT Without Exclusion (SPT)" numFmtId="0">
      <sharedItems containsMixedTypes="1" containsNumber="1" minValue="-45786.730555555558" maxValue="1617.409722222219"/>
    </cacheField>
    <cacheField name="# of days SCHED TO FCOMP" numFmtId="0">
      <sharedItems containsMixedTypes="1" containsNumber="1" minValue="-45793.45416666667" maxValue="1615.663888888892"/>
    </cacheField>
    <cacheField name="# of days COMP" numFmtId="0">
      <sharedItems containsMixedTypes="1" containsNumber="1" minValue="-45798" maxValue="129.45347222222335"/>
    </cacheField>
    <cacheField name="(0.75) DATE NEEDED FOR  WMTRL TO FCOMP" numFmtId="0">
      <sharedItems containsSemiMixedTypes="0" containsNonDate="0" containsDate="1" containsString="0" minDate="2020-06-24T11:18:50" maxDate="2025-05-30T06:09:21"/>
    </cacheField>
    <cacheField name="(0.95) DATE NEEDED FOR FCOMP" numFmtId="0">
      <sharedItems containsSemiMixedTypes="0" containsNonDate="0" containsDate="1" containsString="0" minDate="2020-07-03T06:40:08" maxDate="2025-06-08T13:48:23"/>
    </cacheField>
    <cacheField name="(50 DAYS) DATE NEEDED FOR  WMTRL TO FCOMP" numFmtId="0">
      <sharedItems containsSemiMixedTypes="0" containsNonDate="0" containsDate="1" containsString="0" minDate="2020-07-25T16:44:00" maxDate="2025-06-28T17:32:00"/>
    </cacheField>
    <cacheField name="COMPUTED INDEX (WMTRL TO FCOMP)_x000a_CCTI Without Exclusion" numFmtId="2">
      <sharedItems containsMixedTypes="1" containsNumber="1" minValue="-2288.6296527777777" maxValue="55.710779320987541"/>
    </cacheField>
    <cacheField name="COMPUTED INDEX (COMP)" numFmtId="0">
      <sharedItems containsMixedTypes="1" containsNumber="1" minValue="-1144.925" maxValue="3.2363368055555837"/>
    </cacheField>
    <cacheField name="SPT(M)" numFmtId="0">
      <sharedItems containsSemiMixedTypes="0" containsString="0" containsNumber="1" containsInteger="1" minValue="20" maxValue="50"/>
    </cacheField>
    <cacheField name="SPT(L)" numFmtId="0">
      <sharedItems containsSemiMixedTypes="0" containsString="0" containsNumber="1" containsInteger="1" minValue="20" maxValue="36"/>
    </cacheField>
    <cacheField name="0.75 DURATION (DAYS)" numFmtId="0">
      <sharedItems containsSemiMixedTypes="0" containsString="0" containsNumber="1" minValue="15.000000000000002" maxValue="29.475982532751093"/>
    </cacheField>
    <cacheField name="0.95 DURATION (DAYS)" numFmtId="0">
      <sharedItems containsSemiMixedTypes="0" containsString="0" containsNumber="1" minValue="19" maxValue="37.336244541484717"/>
    </cacheField>
    <cacheField name="TARGET DAYS" numFmtId="0">
      <sharedItems containsSemiMixedTypes="0" containsString="0" containsNumber="1" minValue="12.000000000000002" maxValue="26.475982532751093"/>
    </cacheField>
    <cacheField name="SPT(M) for comp" numFmtId="0">
      <sharedItems containsSemiMixedTypes="0" containsString="0" containsNumber="1" containsInteger="1" minValue="40" maxValue="60"/>
    </cacheField>
    <cacheField name="DURATION (DAYS)COMP" numFmtId="0">
      <sharedItems containsSemiMixedTypes="0" containsString="0" containsNumber="1" minValue="32" maxValue="48"/>
    </cacheField>
    <cacheField name="TARGET DAYS (COMP)" numFmtId="0">
      <sharedItems containsSemiMixedTypes="0" containsString="0" containsNumber="1" minValue="27" maxValue="43"/>
    </cacheField>
    <cacheField name="DATE NEEDED TO COMP" numFmtId="14">
      <sharedItems containsDate="1" containsMixedTypes="1" minDate="1900-01-31T00:00:00" maxDate="2025-06-27T00:00:00"/>
    </cacheField>
    <cacheField name="TARGET DATE TO COMP" numFmtId="14">
      <sharedItems containsDate="1" containsMixedTypes="1" minDate="1900-01-26T00:00:00" maxDate="2025-06-22T00:00:00"/>
    </cacheField>
    <cacheField name="REASON (FOR EXCLUSION)" numFmtId="0">
      <sharedItems containsBlank="1"/>
    </cacheField>
    <cacheField name="FOR CCTI EXCLUSION (Y/N)" numFmtId="0">
      <sharedItems containsBlank="1"/>
    </cacheField>
    <cacheField name="ENCODED IN EAM (Y/N)" numFmtId="0">
      <sharedItems containsBlank="1"/>
    </cacheField>
    <cacheField name="VALIDATED BY DCSAM (Y/N)" numFmtId="0">
      <sharedItems containsNonDate="0" containsString="0" containsBlank="1"/>
    </cacheField>
    <cacheField name="For APT Exclusion (Y/N)" numFmtId="0">
      <sharedItems containsBlank="1"/>
    </cacheField>
    <cacheField name="START  DATE" numFmtId="0">
      <sharedItems containsNonDate="0" containsDate="1" containsString="0" containsBlank="1" minDate="2024-09-11T00:00:00" maxDate="2024-11-05T00:00:00"/>
    </cacheField>
    <cacheField name="DURATION FOR EXCLUSION" numFmtId="0">
      <sharedItems containsString="0" containsBlank="1" containsNumber="1" containsInteger="1" minValue="29" maxValue="29"/>
    </cacheField>
    <cacheField name="END DATE (FOR EXCLUSION)" numFmtId="0">
      <sharedItems containsNonDate="0" containsDate="1" containsString="0" containsBlank="1" minDate="2024-12-03T00:00:00" maxDate="2024-12-04T00:00:00"/>
    </cacheField>
    <cacheField name="REMARKS  / FOLLOW UP BY" numFmtId="0">
      <sharedItems containsBlank="1" count="16">
        <m/>
        <s v="NO COC"/>
        <s v="Transferred to DCB (point person for OLDT)"/>
        <s v="CHECKING OF SERVICE ITEM"/>
        <s v="FOR AUDIT"/>
        <s v="CANCELLED"/>
        <s v="RETURN COC (INC.REQUIREMENTS)"/>
        <s v="MATERIAL BALANCING"/>
        <s v="PAID"/>
        <s v="assigned to ALEGRE BUILDERS (SRO)"/>
        <s v="assigned to ACEC (SRO)"/>
        <s v="AUDITED"/>
        <s v="Cancel/ Supersedes: X24114498829"/>
        <s v="Conj. X22114887149"/>
        <s v="ON GOING MATERIAL RETURN" u="1"/>
        <s v="superseded WO. X23104092125"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4">
  <r>
    <d v="2020-06-18T00:00:00"/>
    <s v="N/A"/>
    <m/>
    <x v="0"/>
    <s v="P2004004805"/>
    <s v="MAINT -  44WU_TLN 051257 LOADSPLIT &amp; Inst Addl 25/50/50KVA on CY8-1276/CY8-1275/CY8-1273"/>
    <s v="DIAMOND, BERNABE PH 3 SUBD SAN DIONISIO PARANAQUE CITY"/>
    <s v="PARAÑAQUE CITY"/>
    <s v="PARAÑAQUE"/>
    <s v="not feasible; for survey team C1"/>
    <s v="W/ ISSUE"/>
    <x v="0"/>
    <s v="SCHED"/>
    <s v="RRG"/>
    <n v="139.20779999999996"/>
    <n v="10.1"/>
    <n v="0"/>
    <x v="0"/>
    <n v="560984.1"/>
    <n v="109904.20999999999"/>
    <m/>
    <n v="0"/>
    <d v="2020-06-05T16:44:00"/>
    <d v="2020-06-08T08:50:00"/>
    <d v="2020-06-15T00:00:00"/>
    <m/>
    <x v="0"/>
    <m/>
    <n v="-43987.697222222225"/>
    <n v="-43990.368055555555"/>
    <n v="0"/>
    <d v="2020-06-24T11:18:50"/>
    <d v="2020-07-03T06:40:08"/>
    <d v="2020-07-25T16:44:00"/>
    <n v="-1515.1317932098766"/>
    <n v="0"/>
    <n v="20"/>
    <n v="36"/>
    <n v="21.774193548387096"/>
    <n v="27.58064516129032"/>
    <n v="18.774193548387096"/>
    <n v="40"/>
    <n v="32"/>
    <n v="27"/>
    <d v="1900-01-31T00:00:00"/>
    <d v="1900-01-26T00:00:00"/>
    <m/>
    <m/>
    <m/>
    <m/>
    <m/>
    <m/>
    <m/>
    <m/>
    <m/>
    <m/>
    <d v="1900-01-14T00:00:00"/>
    <n v="0"/>
    <m/>
    <m/>
    <m/>
    <m/>
    <m/>
    <m/>
    <m/>
    <m/>
    <m/>
    <m/>
    <s v="N"/>
    <m/>
    <s v="Load-splitting"/>
    <s v="TLN 051257"/>
    <s v="Y"/>
    <s v="With concern"/>
    <s v="Transferred from Alvin to Jimmy"/>
    <m/>
    <m/>
    <m/>
  </r>
  <r>
    <d v="2020-07-13T00:00:00"/>
    <s v="N/A"/>
    <m/>
    <x v="0"/>
    <s v="P2006000420"/>
    <s v="MAINT  45WG TLN 037283; Split Loading Inst Addl 50KVA &amp; 75KVA on A8-0440&amp;ALB1-3102"/>
    <s v="BLOCK 32 PUROK 4 UPPER BICUTAN TAGUIG CITY"/>
    <s v="TAGUIG CITY"/>
    <s v="PARAÑAQUE"/>
    <s v="Sept 2023, ayaw magpahukay, for survey wityh design/For survey of C1 Team"/>
    <s v="W/ ISSUE"/>
    <x v="1"/>
    <s v="PCAN3"/>
    <s v="JMM"/>
    <n v="90.976600000000019"/>
    <n v="7.33"/>
    <n v="0"/>
    <x v="0"/>
    <n v="442337.68"/>
    <n v="91388.65"/>
    <m/>
    <n v="0"/>
    <d v="2020-07-10T14:12:00"/>
    <d v="2020-07-13T12:34:00"/>
    <d v="2020-07-13T00:00:00"/>
    <m/>
    <x v="0"/>
    <m/>
    <n v="-44022.591666666667"/>
    <n v="-44025.523611111108"/>
    <n v="0"/>
    <d v="2020-07-29T08:46:50"/>
    <d v="2020-08-07T04:08:08"/>
    <d v="2020-08-29T14:12:00"/>
    <n v="-1516.3337129629629"/>
    <n v="0"/>
    <n v="20"/>
    <n v="36"/>
    <n v="21.774193548387096"/>
    <n v="27.58064516129032"/>
    <n v="18.774193548387096"/>
    <n v="40"/>
    <n v="32"/>
    <n v="27"/>
    <d v="1900-01-31T00:00:00"/>
    <d v="1900-01-26T00:00:00"/>
    <m/>
    <m/>
    <m/>
    <m/>
    <m/>
    <m/>
    <m/>
    <m/>
    <m/>
    <m/>
    <d v="1900-01-14T00:00:00"/>
    <n v="0"/>
    <m/>
    <m/>
    <m/>
    <m/>
    <m/>
    <m/>
    <m/>
    <m/>
    <m/>
    <m/>
    <s v="N"/>
    <m/>
    <s v="Load-splitting"/>
    <s v="TLN 037283"/>
    <s v="Y"/>
    <s v="For schedule"/>
    <s v="Transferred from Marc to Jimmy"/>
    <m/>
    <m/>
    <m/>
  </r>
  <r>
    <d v="2020-07-13T00:00:00"/>
    <s v="N/A"/>
    <m/>
    <x v="0"/>
    <s v="P2006000610"/>
    <s v="MAINT - 55GG_TLN 271296 Split Loading Inst Addl 50KVA on A8-0735"/>
    <s v="JASMIN PUROK 6C LOWER BICUTAN TAGUIG CITY"/>
    <s v="TAGUIG CITY"/>
    <s v="PARAÑAQUE"/>
    <s v="Sept 2023, ayaw magpahukay, for survey wityh design/For survey of C1 Team"/>
    <s v="W/ ISSUE"/>
    <x v="1"/>
    <s v="PCAN3"/>
    <s v="JMM"/>
    <n v="22.109399999999997"/>
    <n v="3.83"/>
    <n v="0"/>
    <x v="0"/>
    <n v="186406.1"/>
    <n v="23237.07"/>
    <m/>
    <n v="0"/>
    <d v="2020-07-30T00:50:00"/>
    <d v="2020-08-05T10:47:00"/>
    <d v="2020-07-13T00:00:00"/>
    <m/>
    <x v="0"/>
    <m/>
    <n v="-44042.034722222219"/>
    <n v="-44048.449305555558"/>
    <n v="0"/>
    <d v="2020-08-17T19:24:50"/>
    <d v="2020-08-26T14:46:08"/>
    <d v="2020-09-18T00:50:00"/>
    <n v="-1517.0034182098764"/>
    <n v="0"/>
    <n v="20"/>
    <n v="36"/>
    <n v="21.774193548387096"/>
    <n v="27.58064516129032"/>
    <n v="18.774193548387096"/>
    <n v="40"/>
    <n v="32"/>
    <n v="27"/>
    <d v="1900-01-31T00:00:00"/>
    <d v="1900-01-26T00:00:00"/>
    <m/>
    <m/>
    <m/>
    <m/>
    <m/>
    <m/>
    <m/>
    <m/>
    <m/>
    <m/>
    <d v="1900-01-14T00:00:00"/>
    <n v="0"/>
    <m/>
    <m/>
    <m/>
    <m/>
    <m/>
    <m/>
    <m/>
    <m/>
    <m/>
    <m/>
    <s v="N"/>
    <m/>
    <s v="Load-splitting"/>
    <s v="TLN 271296"/>
    <s v="Y"/>
    <s v="For schedule"/>
    <s v="Transferred from Marc to Jimmy"/>
    <m/>
    <m/>
    <m/>
  </r>
  <r>
    <d v="2020-10-21T00:00:00"/>
    <s v="N/A"/>
    <m/>
    <x v="0"/>
    <s v="P2006000921"/>
    <s v="MAINT- 45WG Load-Split TLN 068256; Inst New 75KVA on DZ1-2057"/>
    <s v="ROAD 3 NORTH DAANG HARI BAGONG TANYAG TAGUIG CITY"/>
    <s v="TAGUIG CITY"/>
    <s v="PARAÑAQUE"/>
    <s v="not feasible; for survey team C1; continue digging on Dec 9"/>
    <s v="W/ ISSUE"/>
    <x v="0"/>
    <s v="SCHED"/>
    <s v="RRG"/>
    <n v="33.01"/>
    <n v="0.93"/>
    <n v="0"/>
    <x v="0"/>
    <n v="185553.84"/>
    <n v="24087.84"/>
    <m/>
    <n v="0"/>
    <d v="2020-09-28T14:10:00"/>
    <d v="2020-09-30T08:04:00"/>
    <d v="2020-10-16T00:00:00"/>
    <m/>
    <x v="0"/>
    <m/>
    <n v="-44102.590277777781"/>
    <n v="-44104.336111111108"/>
    <n v="0"/>
    <d v="2020-10-17T08:44:50"/>
    <d v="2020-10-26T04:06:08"/>
    <d v="2020-11-17T14:10:00"/>
    <n v="-1519.0892206790124"/>
    <n v="0"/>
    <n v="20"/>
    <n v="36"/>
    <n v="21.774193548387096"/>
    <n v="27.58064516129032"/>
    <n v="18.774193548387096"/>
    <n v="40"/>
    <n v="32"/>
    <n v="27"/>
    <d v="1900-01-31T00:00:00"/>
    <d v="1900-01-26T00:00:00"/>
    <m/>
    <m/>
    <m/>
    <m/>
    <m/>
    <m/>
    <m/>
    <m/>
    <m/>
    <m/>
    <d v="1900-01-14T00:00:00"/>
    <n v="0"/>
    <m/>
    <m/>
    <m/>
    <m/>
    <m/>
    <m/>
    <m/>
    <m/>
    <m/>
    <m/>
    <s v="N"/>
    <m/>
    <s v="Load-splitting"/>
    <s v="TLN 068256"/>
    <s v="Y"/>
    <s v="With concern"/>
    <s v="Transferred from Alvin to Jimmy"/>
    <m/>
    <m/>
    <m/>
  </r>
  <r>
    <d v="2020-10-20T00:00:00"/>
    <s v="N/A"/>
    <m/>
    <x v="0"/>
    <s v="P2009000813"/>
    <s v="MAINT 424WU Uprate from kVA to 75kVA : [039062|WA372558|A5-0334|QS]"/>
    <s v="ROSAL STO. NINO STO. NINO PARANAQUE"/>
    <s v="PARAÑAQUE CITY"/>
    <s v="PARAÑAQUE"/>
    <s v="for field survey by crew"/>
    <s v="W/O ISSUE"/>
    <x v="2"/>
    <s v="INPRG"/>
    <s v="IGL"/>
    <n v="15.751999999999999"/>
    <n v="8.9700000000000006"/>
    <n v="0"/>
    <x v="0"/>
    <n v="160243.01999999999"/>
    <n v="10642.55"/>
    <m/>
    <n v="0"/>
    <d v="2020-10-14T16:31:00"/>
    <d v="2020-10-16T09:09:00"/>
    <d v="2020-09-29T00:00:00"/>
    <m/>
    <x v="0"/>
    <m/>
    <n v="-44118.688194444447"/>
    <n v="-44120.381249999999"/>
    <n v="0"/>
    <d v="2020-11-02T11:05:50"/>
    <d v="2020-11-11T06:27:08"/>
    <d v="2020-12-03T16:31:00"/>
    <n v="-1519.6437044753088"/>
    <n v="0"/>
    <n v="20"/>
    <n v="36"/>
    <n v="21.774193548387096"/>
    <n v="27.58064516129032"/>
    <n v="18.774193548387096"/>
    <n v="40"/>
    <n v="32"/>
    <n v="27"/>
    <d v="1900-01-31T00:00:00"/>
    <d v="1900-01-26T00:00:00"/>
    <m/>
    <m/>
    <m/>
    <m/>
    <m/>
    <m/>
    <m/>
    <m/>
    <m/>
    <m/>
    <d v="1900-01-14T00:00:00"/>
    <n v="0"/>
    <m/>
    <m/>
    <m/>
    <m/>
    <m/>
    <m/>
    <m/>
    <m/>
    <m/>
    <m/>
    <s v="N"/>
    <m/>
    <s v="Uprating"/>
    <s v="TLN 039062"/>
    <s v="N"/>
    <s v="For schedule"/>
    <s v="Transferred from Alvin to Jimmy"/>
    <m/>
    <m/>
    <m/>
  </r>
  <r>
    <d v="2020-10-29T00:00:00"/>
    <s v="N/A"/>
    <m/>
    <x v="0"/>
    <s v="P2006000924"/>
    <s v="MAINT- 45WG Load-Split TLN 033207; Inst Addl 75KVA on DZ2-2222"/>
    <s v="ROAD 1 BAGONG TANYAG BAGONG TANYAG TAGUIG CITY"/>
    <s v="TAGUIG CITY"/>
    <s v="PARAÑAQUE"/>
    <s v="issue on task 50, customer opposition"/>
    <s v="W/ ISSUE"/>
    <x v="3"/>
    <s v="INPRG"/>
    <s v="JMM"/>
    <n v="59.228000000000016"/>
    <n v="1.53"/>
    <n v="0"/>
    <x v="0"/>
    <n v="293278.03000000003"/>
    <n v="52996.469999999994"/>
    <m/>
    <n v="0"/>
    <d v="2020-10-21T17:25:00"/>
    <d v="2020-10-23T15:47:00"/>
    <d v="2020-10-29T00:00:00"/>
    <m/>
    <x v="0"/>
    <m/>
    <n v="-44125.725694444445"/>
    <n v="-44127.657638888886"/>
    <n v="0"/>
    <d v="2020-11-09T11:59:50"/>
    <d v="2020-11-18T07:21:08"/>
    <d v="2020-12-10T17:25:00"/>
    <n v="-1519.8861072530863"/>
    <n v="0"/>
    <n v="20"/>
    <n v="36"/>
    <n v="21.774193548387096"/>
    <n v="27.58064516129032"/>
    <n v="18.774193548387096"/>
    <n v="40"/>
    <n v="32"/>
    <n v="27"/>
    <d v="1900-01-31T00:00:00"/>
    <d v="1900-01-26T00:00:00"/>
    <m/>
    <m/>
    <m/>
    <m/>
    <m/>
    <m/>
    <m/>
    <m/>
    <m/>
    <m/>
    <d v="1900-01-14T00:00:00"/>
    <n v="0"/>
    <m/>
    <m/>
    <m/>
    <m/>
    <m/>
    <m/>
    <m/>
    <m/>
    <m/>
    <m/>
    <s v="N"/>
    <m/>
    <s v="Load-splitting"/>
    <s v="TLN 033207"/>
    <s v="Y"/>
    <s v="For schedule"/>
    <s v="Transferred from Marc to Jimmy / With picture after"/>
    <m/>
    <m/>
    <m/>
  </r>
  <r>
    <d v="2020-12-03T00:00:00"/>
    <s v="N/A"/>
    <m/>
    <x v="0"/>
    <s v="P2009000788"/>
    <s v="MN_MA, Uprate from 37.5kVA to 75kVA : [452201|WA200084|A5-1345|421WG|QS]"/>
    <s v="E. RODRIGUEZ JR. MOONWALK MOONWALK PARANAQUE"/>
    <s v="PARAÑAQUE CITY"/>
    <s v="PARAÑAQUE"/>
    <s v="done by who?"/>
    <s v="W/O ISSUE"/>
    <x v="2"/>
    <s v="INPRG"/>
    <s v="IGL"/>
    <n v="15.951999999999998"/>
    <n v="6.32"/>
    <n v="0"/>
    <x v="0"/>
    <n v="151461.47"/>
    <n v="10764.63"/>
    <m/>
    <n v="0"/>
    <d v="2020-11-23T16:42:00"/>
    <d v="2020-11-25T15:58:00"/>
    <d v="2020-09-29T00:00:00"/>
    <m/>
    <x v="0"/>
    <m/>
    <n v="-44158.695833333331"/>
    <n v="-44160.665277777778"/>
    <n v="0"/>
    <d v="2020-12-12T11:16:50"/>
    <d v="2020-12-21T06:38:08"/>
    <d v="2021-01-12T16:42:00"/>
    <n v="-1521.0217453703704"/>
    <n v="0"/>
    <n v="20"/>
    <n v="36"/>
    <n v="21.774193548387096"/>
    <n v="27.58064516129032"/>
    <n v="18.774193548387096"/>
    <n v="40"/>
    <n v="32"/>
    <n v="27"/>
    <d v="1900-01-31T00:00:00"/>
    <d v="1900-01-26T00:00:00"/>
    <m/>
    <m/>
    <m/>
    <m/>
    <m/>
    <m/>
    <m/>
    <m/>
    <m/>
    <m/>
    <d v="1900-01-14T00:00:00"/>
    <n v="0"/>
    <m/>
    <m/>
    <m/>
    <m/>
    <m/>
    <m/>
    <m/>
    <m/>
    <m/>
    <m/>
    <s v="N"/>
    <m/>
    <s v="Uprating"/>
    <s v="TLN 452201"/>
    <s v="N"/>
    <s v="For schedule"/>
    <s v="Transferred from Alvin to Jimmy / Based on pics with 75KVA already"/>
    <m/>
    <m/>
    <m/>
  </r>
  <r>
    <d v="2020-12-03T00:00:00"/>
    <s v="N/A"/>
    <m/>
    <x v="0"/>
    <s v="P2007000208"/>
    <s v="MAINT 425WG Load-Split 087388/WA345584/100KVA; Inst Addl 75KVA on A7-1008"/>
    <s v="KOURUS CAMELLA HOMES MERVILLE PARANAQUE"/>
    <s v="PARAÑAQUE CITY"/>
    <s v="PARAÑAQUE"/>
    <s v="for field survey by crew"/>
    <s v="W/O ISSUE"/>
    <x v="2"/>
    <s v="INPRG"/>
    <s v="IGL"/>
    <n v="36.12850000000001"/>
    <n v="3.67"/>
    <n v="0"/>
    <x v="0"/>
    <n v="282791.21000000002"/>
    <n v="104391"/>
    <m/>
    <n v="0"/>
    <d v="2020-12-01T16:59:00"/>
    <d v="2020-12-02T09:52:00"/>
    <d v="2020-12-03T00:00:00"/>
    <m/>
    <x v="0"/>
    <m/>
    <n v="-44166.707638888889"/>
    <n v="-44167.411111111112"/>
    <n v="0"/>
    <d v="2020-12-20T11:33:50"/>
    <d v="2020-12-29T06:55:08"/>
    <d v="2021-01-20T16:59:00"/>
    <n v="-1521.2977075617282"/>
    <n v="0"/>
    <n v="20"/>
    <n v="36"/>
    <n v="21.774193548387096"/>
    <n v="27.58064516129032"/>
    <n v="18.774193548387096"/>
    <n v="40"/>
    <n v="32"/>
    <n v="27"/>
    <d v="1900-01-31T00:00:00"/>
    <d v="1900-01-26T00:00:00"/>
    <m/>
    <m/>
    <m/>
    <m/>
    <m/>
    <m/>
    <m/>
    <m/>
    <m/>
    <m/>
    <d v="1900-01-14T00:00:00"/>
    <n v="0"/>
    <m/>
    <m/>
    <m/>
    <m/>
    <m/>
    <m/>
    <m/>
    <m/>
    <m/>
    <m/>
    <s v="N"/>
    <m/>
    <s v="Load-splitting"/>
    <s v="TLN 087388"/>
    <s v="Y"/>
    <s v="For schedule"/>
    <s v="Transferred from Alvin to Jimmy"/>
    <m/>
    <m/>
    <m/>
  </r>
  <r>
    <d v="2020-12-15T00:00:00"/>
    <s v="N/A"/>
    <m/>
    <x v="0"/>
    <s v="P2009000548"/>
    <s v="MAINT 55GG Loadsplit [069426|WA145069|DZ2-0528|_x000a_Install addl 2-75 kVA on Pole DZ2-0526"/>
    <s v="V.P. CRUZ PUROK 5 LOWER BICUTAN TAGUIG CITY"/>
    <s v="TAGUIG CITY"/>
    <s v="PARAÑAQUE"/>
    <s v="Sept 2023, ayaw magpahukay, for survey wityh design/For survey of C1 Team"/>
    <s v="W/ ISSUE"/>
    <x v="1"/>
    <s v="CAN"/>
    <s v="JMM"/>
    <n v="50.338999999999999"/>
    <n v="4.5"/>
    <n v="0"/>
    <x v="0"/>
    <n v="366502.48"/>
    <n v="38657.97"/>
    <m/>
    <n v="0"/>
    <d v="2020-12-09T16:21:00"/>
    <d v="2020-12-14T13:36:00"/>
    <d v="2020-12-17T00:00:00"/>
    <m/>
    <x v="0"/>
    <m/>
    <n v="-44174.681250000001"/>
    <n v="-44179.566666666666"/>
    <n v="0"/>
    <d v="2020-12-28T10:55:50"/>
    <d v="2021-01-06T06:17:08"/>
    <d v="2021-01-28T16:21:00"/>
    <n v="-1521.5723541666666"/>
    <n v="0"/>
    <n v="20"/>
    <n v="36"/>
    <n v="21.774193548387096"/>
    <n v="27.58064516129032"/>
    <n v="18.774193548387096"/>
    <n v="40"/>
    <n v="32"/>
    <n v="27"/>
    <d v="1900-01-31T00:00:00"/>
    <d v="1900-01-26T00:00:00"/>
    <m/>
    <m/>
    <m/>
    <m/>
    <m/>
    <m/>
    <m/>
    <m/>
    <m/>
    <m/>
    <d v="1900-01-14T00:00:00"/>
    <n v="0"/>
    <m/>
    <m/>
    <m/>
    <m/>
    <m/>
    <m/>
    <m/>
    <m/>
    <m/>
    <m/>
    <s v="N"/>
    <m/>
    <s v="Load-splitting"/>
    <s v="TLN 069426"/>
    <s v="Y"/>
    <s v="With concern"/>
    <s v="Transferred from Alvin to Jimmy"/>
    <m/>
    <m/>
    <m/>
  </r>
  <r>
    <d v="2020-12-21T00:00:00"/>
    <s v="N/A"/>
    <m/>
    <x v="0"/>
    <s v="P2007000394"/>
    <s v="MAINT_55GG Load-Split 111627/WA329429/50KVA; Inst Addl 75KVA on C8-5486"/>
    <s v="7TH GHQ VILL SIGNAL VILLAGE TAGUIG CITY"/>
    <s v="TAGUIG CITY"/>
    <s v="PARAÑAQUE"/>
    <s v="for verification on site if completed"/>
    <s v="W/O ISSUE"/>
    <x v="2"/>
    <s v="INPRG"/>
    <s v="IGL"/>
    <n v="45.5807"/>
    <n v="0.93"/>
    <n v="0"/>
    <x v="0"/>
    <n v="213069.82"/>
    <n v="36545.79"/>
    <m/>
    <n v="0"/>
    <d v="2020-12-14T00:32:00"/>
    <d v="2020-12-16T12:56:00"/>
    <d v="2020-12-15T00:00:00"/>
    <m/>
    <x v="0"/>
    <m/>
    <n v="-44179.022222222222"/>
    <n v="-44181.538888888892"/>
    <n v="0"/>
    <d v="2021-01-01T19:06:50"/>
    <d v="2021-01-10T14:28:08"/>
    <d v="2021-02-02T00:32:00"/>
    <n v="-1521.7218765432099"/>
    <n v="0"/>
    <n v="20"/>
    <n v="36"/>
    <n v="21.774193548387096"/>
    <n v="27.58064516129032"/>
    <n v="18.774193548387096"/>
    <n v="40"/>
    <n v="32"/>
    <n v="27"/>
    <d v="1900-01-31T00:00:00"/>
    <d v="1900-01-26T00:00:00"/>
    <m/>
    <m/>
    <m/>
    <m/>
    <m/>
    <m/>
    <m/>
    <m/>
    <m/>
    <m/>
    <d v="1900-01-14T00:00:00"/>
    <n v="0"/>
    <m/>
    <m/>
    <m/>
    <m/>
    <m/>
    <m/>
    <m/>
    <m/>
    <m/>
    <m/>
    <s v="N"/>
    <m/>
    <s v="Load-splitting"/>
    <s v="TLN 111627"/>
    <s v="N"/>
    <s v="For schedule"/>
    <s v="Transferred from Alvin to Jimmy"/>
    <m/>
    <m/>
    <m/>
  </r>
  <r>
    <d v="2021-01-06T00:00:00"/>
    <s v="N/A"/>
    <m/>
    <x v="0"/>
    <s v="P2009000586"/>
    <s v="MN_MA, Loadsplit from kVA to 0 DT (kVA,kVA,kVA,kVA) : [134661||DV1-0012|56GG|QS]"/>
    <s v="PRES. M.L. QUEZON CUPANG CUPANG MUNTINLUPA"/>
    <s v="MUNTINLUPA CITY"/>
    <s v="PARAÑAQUE"/>
    <s v="for crew survey; road under construction; for re-survey of crew"/>
    <s v="W/ ISSUE"/>
    <x v="0"/>
    <s v="PCAN3"/>
    <s v="RRG"/>
    <n v="13.071999999999999"/>
    <n v="2.67"/>
    <n v="0"/>
    <x v="0"/>
    <n v="169419.8"/>
    <n v="17546.740000000002"/>
    <m/>
    <n v="0"/>
    <d v="2020-12-30T20:30:00"/>
    <d v="2021-01-05T10:32:00"/>
    <d v="2021-01-25T00:00:00"/>
    <m/>
    <x v="0"/>
    <m/>
    <n v="-44195.854166666664"/>
    <n v="-44201.438888888886"/>
    <n v="0"/>
    <d v="2021-01-18T15:04:50"/>
    <d v="2021-01-27T10:26:08"/>
    <d v="2021-02-18T20:30:00"/>
    <n v="-1522.3016435185184"/>
    <n v="0"/>
    <n v="20"/>
    <n v="36"/>
    <n v="21.774193548387096"/>
    <n v="27.58064516129032"/>
    <n v="18.774193548387096"/>
    <n v="40"/>
    <n v="32"/>
    <n v="27"/>
    <d v="1900-01-31T00:00:00"/>
    <d v="1900-01-26T00:00:00"/>
    <m/>
    <m/>
    <m/>
    <m/>
    <m/>
    <m/>
    <m/>
    <m/>
    <m/>
    <m/>
    <d v="1900-01-14T00:00:00"/>
    <n v="0"/>
    <m/>
    <m/>
    <m/>
    <m/>
    <m/>
    <m/>
    <m/>
    <m/>
    <m/>
    <m/>
    <s v="N"/>
    <m/>
    <s v="Load-splitting"/>
    <s v="TLN 134661"/>
    <s v="Y"/>
    <s v="For schedule"/>
    <s v="Transferred from Alvin to Jimmy  / (ERV - ECOM)"/>
    <m/>
    <m/>
    <m/>
  </r>
  <r>
    <m/>
    <s v="N/A"/>
    <m/>
    <x v="0"/>
    <s v="P2101102759"/>
    <s v="MN_MAJOR, Loadsplit 51XD  [037203|WA343521|CV8-1375||] install addl 1-75kVA  @ CV8- 1384"/>
    <s v="5TH GOLDEN GATE SUBD TALON III LAS PINAS CITY"/>
    <s v="LAS PIÑAS CITY"/>
    <s v="PARAÑAQUE"/>
    <s v="for field survey by crew"/>
    <s v="W/O ISSUE"/>
    <x v="2"/>
    <s v="SCHED"/>
    <s v="IGL"/>
    <n v="10.481999999999999"/>
    <n v="0.93"/>
    <n v="0"/>
    <x v="0"/>
    <n v="137331.68"/>
    <n v="7006.35"/>
    <m/>
    <n v="0"/>
    <d v="2021-01-31T21:24:00"/>
    <d v="2021-02-02T13:35:00"/>
    <d v="2021-02-02T00:00:00"/>
    <m/>
    <x v="0"/>
    <m/>
    <n v="-44227.89166666667"/>
    <n v="-44229.565972222219"/>
    <n v="0"/>
    <d v="2021-02-19T15:58:50"/>
    <d v="2021-02-28T11:20:08"/>
    <d v="2021-03-22T21:24:00"/>
    <n v="-1523.4051574074074"/>
    <n v="0"/>
    <n v="20"/>
    <n v="36"/>
    <n v="21.774193548387096"/>
    <n v="27.58064516129032"/>
    <n v="18.774193548387096"/>
    <n v="40"/>
    <n v="32"/>
    <n v="27"/>
    <d v="1900-01-31T00:00:00"/>
    <d v="1900-01-26T00:00:00"/>
    <m/>
    <m/>
    <m/>
    <m/>
    <m/>
    <m/>
    <m/>
    <m/>
    <m/>
    <m/>
    <d v="1900-01-14T00:00:00"/>
    <n v="0"/>
    <m/>
    <m/>
    <m/>
    <m/>
    <m/>
    <m/>
    <m/>
    <m/>
    <m/>
    <m/>
    <s v="N"/>
    <m/>
    <s v="Load-splitting"/>
    <s v="TLN 037203"/>
    <s v="N"/>
    <s v="For schedule"/>
    <s v="Transferred from Alvin to Jimmy"/>
    <m/>
    <m/>
    <m/>
  </r>
  <r>
    <d v="2021-02-22T00:00:00"/>
    <s v="N/A"/>
    <m/>
    <x v="0"/>
    <s v="P2101102674"/>
    <s v="MN_MAJOR, Loadsplit from 75kVA : [003404|WA110981|DR1-0404|57GG|]"/>
    <s v="ESTANISLAO LAKEVIEW HOMES I PUTATAN MUNTINLUPA"/>
    <s v="MUNTINLUPA CITY"/>
    <s v="PARAÑAQUE"/>
    <s v="change vendor/For Re-assignmnet "/>
    <s v="W/ ISSUE"/>
    <x v="1"/>
    <s v="INPRG"/>
    <s v="JMM"/>
    <n v="111.24599999999998"/>
    <n v="5.5"/>
    <n v="0"/>
    <x v="0"/>
    <n v="333455.39"/>
    <n v="85386.64"/>
    <m/>
    <n v="0"/>
    <d v="2021-02-18T16:40:00"/>
    <d v="2021-02-19T16:34:00"/>
    <d v="2021-02-01T00:00:00"/>
    <m/>
    <x v="0"/>
    <m/>
    <n v="-44245.694444444445"/>
    <n v="-44246.69027777778"/>
    <n v="0"/>
    <d v="2021-03-09T11:14:50"/>
    <d v="2021-03-18T06:36:08"/>
    <d v="2021-04-09T16:40:00"/>
    <n v="-1524.0183641975309"/>
    <n v="0"/>
    <n v="20"/>
    <n v="36"/>
    <n v="21.774193548387096"/>
    <n v="27.58064516129032"/>
    <n v="18.774193548387096"/>
    <n v="40"/>
    <n v="32"/>
    <n v="27"/>
    <d v="1900-01-31T00:00:00"/>
    <d v="1900-01-26T00:00:00"/>
    <m/>
    <m/>
    <m/>
    <m/>
    <m/>
    <m/>
    <m/>
    <m/>
    <m/>
    <m/>
    <d v="1900-01-14T00:00:00"/>
    <n v="0"/>
    <m/>
    <m/>
    <m/>
    <m/>
    <m/>
    <m/>
    <m/>
    <m/>
    <m/>
    <m/>
    <s v="N"/>
    <m/>
    <s v="Load-splitting"/>
    <s v="TLN 003404"/>
    <s v="Y"/>
    <s v="With concern"/>
    <s v="Transferred from Alvin to Jimmy"/>
    <m/>
    <m/>
    <m/>
  </r>
  <r>
    <d v="2021-02-24T00:00:00"/>
    <s v="N/A"/>
    <m/>
    <x v="0"/>
    <s v="P2101102720"/>
    <s v="MN_MAJOR, Loadsplit from 100kVA : [069436|WA368739|B8-0835|55GG|]"/>
    <s v="MIRANDA ZONE 1 SIGNAL VILLAGE TAGUIG CITY"/>
    <s v="TAGUIG CITY"/>
    <s v="PARAÑAQUE"/>
    <s v="not feasible; for survey team C1"/>
    <s v="W/ ISSUE"/>
    <x v="0"/>
    <s v="PCAN3"/>
    <s v="RRG"/>
    <n v="43.290500000000002"/>
    <n v="3.67"/>
    <n v="0"/>
    <x v="0"/>
    <n v="199593.3"/>
    <n v="32150.01"/>
    <m/>
    <n v="0"/>
    <d v="2021-02-19T15:50:00"/>
    <d v="2021-02-23T15:34:00"/>
    <d v="2021-02-01T00:00:00"/>
    <m/>
    <x v="0"/>
    <m/>
    <n v="-44246.659722222219"/>
    <n v="-44250.648611111108"/>
    <n v="0"/>
    <d v="2021-03-10T10:24:50"/>
    <d v="2021-03-19T05:46:08"/>
    <d v="2021-04-10T15:50:00"/>
    <n v="-1524.0516126543207"/>
    <n v="0"/>
    <n v="20"/>
    <n v="36"/>
    <n v="21.774193548387096"/>
    <n v="27.58064516129032"/>
    <n v="18.774193548387096"/>
    <n v="40"/>
    <n v="32"/>
    <n v="27"/>
    <d v="1900-01-31T00:00:00"/>
    <d v="1900-01-26T00:00:00"/>
    <m/>
    <m/>
    <m/>
    <m/>
    <m/>
    <m/>
    <m/>
    <m/>
    <m/>
    <m/>
    <d v="1900-01-14T00:00:00"/>
    <n v="0"/>
    <m/>
    <m/>
    <m/>
    <m/>
    <m/>
    <m/>
    <m/>
    <m/>
    <m/>
    <m/>
    <s v="N"/>
    <m/>
    <s v="Load-splitting"/>
    <s v="TLN 069436"/>
    <s v="Y"/>
    <s v="With concern"/>
    <s v="Transferred from Alvin to Jimmy"/>
    <m/>
    <m/>
    <m/>
  </r>
  <r>
    <d v="2021-02-24T00:00:00"/>
    <s v="N/A"/>
    <m/>
    <x v="0"/>
    <s v="P2101102682"/>
    <s v="MN_MAJOR, Loadsplit from 75kVA : [063873|WA344251|DR1-1343|46WH|]"/>
    <s v="BORACAY CAMELLA HOMES ALABANG 4 SUBD POBLACION MUNTINLUPA"/>
    <s v="MUNTINLUPA CITY"/>
    <s v="PARAÑAQUE"/>
    <s v="for crew survey; for C1 survey"/>
    <s v="W/ ISSUE"/>
    <x v="0"/>
    <s v="INPRG"/>
    <s v="RRG"/>
    <n v="34.68"/>
    <n v="3.8"/>
    <n v="0"/>
    <x v="0"/>
    <n v="187468.53"/>
    <n v="23355.85"/>
    <m/>
    <n v="0"/>
    <d v="2021-02-22T14:11:00"/>
    <d v="2021-02-23T10:38:00"/>
    <d v="2021-01-26T00:00:00"/>
    <m/>
    <x v="0"/>
    <m/>
    <n v="-44249.59097222222"/>
    <n v="-44250.443055555559"/>
    <n v="0"/>
    <d v="2021-03-13T08:45:50"/>
    <d v="2021-03-22T04:07:08"/>
    <d v="2021-04-13T14:11:00"/>
    <n v="-1524.1525779320987"/>
    <n v="0"/>
    <n v="20"/>
    <n v="36"/>
    <n v="21.774193548387096"/>
    <n v="27.58064516129032"/>
    <n v="18.774193548387096"/>
    <n v="40"/>
    <n v="32"/>
    <n v="27"/>
    <d v="1900-01-31T00:00:00"/>
    <d v="1900-01-26T00:00:00"/>
    <m/>
    <m/>
    <m/>
    <m/>
    <m/>
    <m/>
    <m/>
    <m/>
    <m/>
    <m/>
    <d v="1900-01-14T00:00:00"/>
    <n v="0"/>
    <m/>
    <m/>
    <m/>
    <m/>
    <m/>
    <m/>
    <m/>
    <m/>
    <m/>
    <m/>
    <s v="N"/>
    <m/>
    <s v="Load-splitting"/>
    <s v="TLN 063873"/>
    <s v="Y"/>
    <s v="With concern"/>
    <s v="Transferred from Alvin to Jimmy"/>
    <m/>
    <m/>
    <m/>
  </r>
  <r>
    <m/>
    <s v="N/A"/>
    <m/>
    <x v="0"/>
    <n v="100338058856"/>
    <s v="MAINT - 414FIL - Retirement of Idle poles and other facilities pole DU1-2176"/>
    <s v="ALABANG-ZAPOTE FILINVEST CORPORATE CITY ALABANG MUNTINLUPA"/>
    <s v="MUNTINLUPA CITY"/>
    <s v="PARAÑAQUE"/>
    <s v="for permit on Feb. 22, 2023; no feed back; permit lapsed (03-08-23); "/>
    <s v="W/O ISSUE"/>
    <x v="0"/>
    <s v="SCHED"/>
    <s v="RRG"/>
    <n v="12.8467"/>
    <n v="3.4"/>
    <n v="0"/>
    <x v="1"/>
    <n v="12290.71"/>
    <n v="11929.02"/>
    <m/>
    <n v="0"/>
    <d v="2021-07-06T00:33:00"/>
    <d v="2021-07-06T08:49:00"/>
    <d v="2021-10-04T00:00:00"/>
    <m/>
    <x v="0"/>
    <m/>
    <n v="-44383.022916666669"/>
    <n v="-44383.367361111108"/>
    <n v="0"/>
    <d v="2021-07-24T19:07:50"/>
    <d v="2021-08-02T14:29:08"/>
    <d v="2021-08-25T00:33:00"/>
    <n v="-1528.7485671296295"/>
    <n v="0"/>
    <n v="20"/>
    <n v="36"/>
    <n v="21.774193548387096"/>
    <n v="27.58064516129032"/>
    <n v="18.774193548387096"/>
    <n v="40"/>
    <n v="32"/>
    <n v="27"/>
    <d v="1900-01-31T00:00:00"/>
    <d v="1900-01-26T00:00:00"/>
    <m/>
    <m/>
    <m/>
    <m/>
    <m/>
    <m/>
    <m/>
    <m/>
    <m/>
    <m/>
    <d v="1900-01-14T00:00:00"/>
    <n v="0"/>
    <m/>
    <m/>
    <m/>
    <m/>
    <m/>
    <m/>
    <m/>
    <m/>
    <m/>
    <m/>
    <s v="N"/>
    <m/>
    <m/>
    <m/>
    <m/>
    <m/>
    <m/>
    <m/>
    <m/>
    <m/>
  </r>
  <r>
    <d v="2021-07-14T00:00:00"/>
    <s v="OK"/>
    <m/>
    <x v="1"/>
    <s v="X21062562359"/>
    <s v="NO BIA, INC."/>
    <s v="LANGKA, FTI CPD, TAGUIG CITY"/>
    <s v="TAGUIG CITY"/>
    <s v="PARAÑAQUE"/>
    <s v="for cancellation, 1/11-transferred to other vendors, 2-22 same remarks"/>
    <s v="W/ ISSUE"/>
    <x v="1"/>
    <s v="PCAN"/>
    <s v="JSP"/>
    <n v="98.170000000000016"/>
    <n v="164.02"/>
    <n v="0"/>
    <x v="2"/>
    <n v="98826.44"/>
    <n v="80129.87"/>
    <m/>
    <n v="0"/>
    <d v="2021-07-07T10:39:00"/>
    <d v="2021-07-13T00:00:00"/>
    <d v="2021-07-09T00:00:00"/>
    <m/>
    <x v="0"/>
    <m/>
    <n v="-44384.443749999999"/>
    <n v="-44390"/>
    <n v="0"/>
    <d v="2021-07-28T15:36:56"/>
    <d v="2021-08-07T02:32:23"/>
    <d v="2021-08-26T10:39:00"/>
    <n v="-1375.159047809829"/>
    <n v="0"/>
    <n v="26"/>
    <n v="36"/>
    <n v="24.206896551724139"/>
    <n v="30.662068965517239"/>
    <n v="21.206896551724139"/>
    <n v="44"/>
    <n v="35.200000000000003"/>
    <n v="30.200000000000003"/>
    <d v="1900-02-03T04:48:00"/>
    <d v="1900-01-29T04:48:00"/>
    <m/>
    <m/>
    <m/>
    <m/>
    <m/>
    <m/>
    <m/>
    <m/>
    <m/>
    <m/>
    <d v="1900-01-14T00:00:00"/>
    <n v="0"/>
    <m/>
    <m/>
    <m/>
    <m/>
    <m/>
    <m/>
    <m/>
    <m/>
    <m/>
    <m/>
    <s v="Y"/>
    <m/>
    <m/>
    <m/>
    <m/>
    <m/>
    <m/>
    <m/>
    <m/>
    <s v="B8-1847, 662411"/>
  </r>
  <r>
    <m/>
    <s v="N/A"/>
    <m/>
    <x v="0"/>
    <n v="100338058959"/>
    <s v="MAINT - 414FIL - Retirement of Idle poles and other facilities pole DU1-2307 &amp; DU1-2308"/>
    <s v="MALACCA LANE FILINVEST CORPORATE CITY ALABANG MUNTINLUPA"/>
    <s v="MUNTINLUPA CITY"/>
    <s v="PARAÑAQUE"/>
    <s v="w/ pole attachments"/>
    <s v="W/ ISSUE"/>
    <x v="0"/>
    <s v="SCHED"/>
    <s v="RRG"/>
    <n v="21.721399999999996"/>
    <n v="3.67"/>
    <n v="0"/>
    <x v="1"/>
    <n v="22830.98"/>
    <n v="22427.35"/>
    <m/>
    <n v="0"/>
    <d v="2021-07-08T08:49:00"/>
    <d v="2021-07-13T13:58:00"/>
    <d v="2021-10-04T00:00:00"/>
    <m/>
    <x v="0"/>
    <m/>
    <n v="-44385.367361111108"/>
    <n v="-44390.581944444442"/>
    <n v="0"/>
    <d v="2021-07-27T03:23:50"/>
    <d v="2021-08-04T22:45:08"/>
    <d v="2021-08-27T08:49:00"/>
    <n v="-1528.8293202160494"/>
    <n v="0"/>
    <n v="20"/>
    <n v="36"/>
    <n v="21.774193548387096"/>
    <n v="27.58064516129032"/>
    <n v="18.774193548387096"/>
    <n v="40"/>
    <n v="32"/>
    <n v="27"/>
    <d v="1900-01-31T00:00:00"/>
    <d v="1900-01-26T00:00:00"/>
    <m/>
    <m/>
    <m/>
    <m/>
    <m/>
    <m/>
    <m/>
    <m/>
    <m/>
    <m/>
    <d v="1900-01-14T00:00:00"/>
    <n v="0"/>
    <m/>
    <m/>
    <m/>
    <m/>
    <m/>
    <m/>
    <m/>
    <m/>
    <m/>
    <m/>
    <s v="N"/>
    <m/>
    <m/>
    <m/>
    <m/>
    <m/>
    <m/>
    <m/>
    <m/>
    <m/>
  </r>
  <r>
    <m/>
    <s v="N/A"/>
    <m/>
    <x v="0"/>
    <n v="100338059056"/>
    <s v="MAINT - 414FIL - Retirement of Idle poles and other facilities pole DT1-2353 &amp; DT1-2180 "/>
    <s v="PARKWAY FILINVEST CORPORATE CITY ALABANG MUNTINLUPA"/>
    <s v="MUNTINLUPA CITY"/>
    <s v="PARAÑAQUE"/>
    <s v="for permit on Feb. 22, 2023; no feed back; permit lapsed (03-08-23); "/>
    <s v="W/O ISSUE"/>
    <x v="0"/>
    <s v="SCHED"/>
    <s v="RRG"/>
    <n v="26.557399999999994"/>
    <n v="3.67"/>
    <n v="0"/>
    <x v="1"/>
    <n v="26074.07"/>
    <n v="25670.439999999995"/>
    <m/>
    <n v="0"/>
    <d v="2021-07-27T12:55:00"/>
    <d v="2021-07-29T09:03:00"/>
    <d v="2021-10-04T00:00:00"/>
    <m/>
    <x v="0"/>
    <m/>
    <n v="-44404.538194444445"/>
    <n v="-44406.377083333333"/>
    <n v="0"/>
    <d v="2021-08-15T07:29:50"/>
    <d v="2021-08-24T02:51:08"/>
    <d v="2021-09-15T12:55:00"/>
    <n v="-1529.4896489197531"/>
    <n v="0"/>
    <n v="20"/>
    <n v="36"/>
    <n v="21.774193548387096"/>
    <n v="27.58064516129032"/>
    <n v="18.774193548387096"/>
    <n v="40"/>
    <n v="32"/>
    <n v="27"/>
    <d v="1900-01-31T00:00:00"/>
    <d v="1900-01-26T00:00:00"/>
    <m/>
    <m/>
    <m/>
    <m/>
    <m/>
    <m/>
    <m/>
    <m/>
    <m/>
    <m/>
    <d v="1900-01-14T00:00:00"/>
    <n v="0"/>
    <m/>
    <m/>
    <m/>
    <m/>
    <m/>
    <m/>
    <m/>
    <m/>
    <m/>
    <m/>
    <s v="N"/>
    <m/>
    <m/>
    <m/>
    <m/>
    <m/>
    <m/>
    <s v="JDZ"/>
    <m/>
    <m/>
  </r>
  <r>
    <m/>
    <s v="N/A"/>
    <m/>
    <x v="0"/>
    <n v="100338058517"/>
    <s v="MAINT - 414FIL - Retirement of Idle poles &amp; facilities P# DU1-2173,DU1-2282,DU1-2172,NPT"/>
    <s v="MANDARIN PLEASANT VILL BAYANAN MUNTINLUPA"/>
    <s v="MUNTINLUPA CITY"/>
    <s v="PARAÑAQUE"/>
    <s v="w/ pole attachments"/>
    <s v="W/ ISSUE"/>
    <x v="0"/>
    <s v="SCHED"/>
    <s v="RRG"/>
    <n v="44.54"/>
    <n v="6.8"/>
    <n v="0"/>
    <x v="1"/>
    <n v="41109.69"/>
    <n v="40614.53"/>
    <m/>
    <n v="0"/>
    <d v="2021-08-06T00:00:00"/>
    <d v="2021-08-09T10:05:00"/>
    <d v="2021-10-04T00:00:00"/>
    <m/>
    <x v="0"/>
    <m/>
    <n v="-44414"/>
    <n v="-44417.420138888891"/>
    <n v="0"/>
    <d v="2021-08-24T18:34:50"/>
    <d v="2021-09-02T13:56:08"/>
    <d v="2021-09-25T00:00:00"/>
    <n v="-1529.8155555555554"/>
    <n v="0"/>
    <n v="20"/>
    <n v="36"/>
    <n v="21.774193548387096"/>
    <n v="27.58064516129032"/>
    <n v="18.774193548387096"/>
    <n v="40"/>
    <n v="32"/>
    <n v="27"/>
    <d v="1900-01-31T00:00:00"/>
    <d v="1900-01-26T00:00:00"/>
    <m/>
    <m/>
    <m/>
    <m/>
    <m/>
    <m/>
    <m/>
    <m/>
    <m/>
    <m/>
    <d v="1900-01-14T00:00:00"/>
    <n v="0"/>
    <m/>
    <m/>
    <m/>
    <m/>
    <m/>
    <m/>
    <m/>
    <m/>
    <m/>
    <m/>
    <s v="N"/>
    <m/>
    <m/>
    <m/>
    <m/>
    <m/>
    <m/>
    <m/>
    <m/>
    <m/>
  </r>
  <r>
    <m/>
    <s v="N/A"/>
    <m/>
    <x v="0"/>
    <n v="100338058622"/>
    <s v="MAINT - 414FIL - Retirement of Idle poles and other facilities pole DU1-0002-T &amp; DU1-2172-B"/>
    <s v="MANDARIN PLEASANT VILL BAYANAN MUNTINLUPA"/>
    <s v="MUNTINLUPA CITY"/>
    <s v="PARAÑAQUE"/>
    <s v="w/ pole attachments"/>
    <s v="W/ ISSUE"/>
    <x v="0"/>
    <s v="SCHED"/>
    <s v="RRG"/>
    <n v="11.987300000000001"/>
    <n v="5.83"/>
    <n v="0"/>
    <x v="1"/>
    <n v="24337.19"/>
    <n v="23777.68"/>
    <m/>
    <n v="0"/>
    <d v="2021-08-06T15:51:00"/>
    <d v="2021-08-09T10:06:00"/>
    <d v="2021-10-04T00:00:00"/>
    <m/>
    <x v="0"/>
    <m/>
    <n v="-44414.660416666666"/>
    <n v="-44417.42083333333"/>
    <n v="0"/>
    <d v="2021-08-25T10:25:50"/>
    <d v="2021-09-03T05:47:08"/>
    <d v="2021-09-25T15:51:00"/>
    <n v="-1529.8383032407407"/>
    <n v="0"/>
    <n v="20"/>
    <n v="36"/>
    <n v="21.774193548387096"/>
    <n v="27.58064516129032"/>
    <n v="18.774193548387096"/>
    <n v="40"/>
    <n v="32"/>
    <n v="27"/>
    <d v="1900-01-31T00:00:00"/>
    <d v="1900-01-26T00:00:00"/>
    <m/>
    <m/>
    <m/>
    <m/>
    <m/>
    <m/>
    <m/>
    <m/>
    <m/>
    <m/>
    <d v="1900-01-14T00:00:00"/>
    <n v="0"/>
    <m/>
    <m/>
    <m/>
    <m/>
    <m/>
    <m/>
    <m/>
    <m/>
    <m/>
    <m/>
    <s v="N"/>
    <m/>
    <m/>
    <m/>
    <m/>
    <m/>
    <m/>
    <m/>
    <m/>
    <m/>
  </r>
  <r>
    <d v="2021-09-03T00:00:00"/>
    <s v="N/A"/>
    <m/>
    <x v="0"/>
    <s v="P2106111928"/>
    <s v="MAINT 43XD Loadsplit [037150|WA196961|CX7-0436||]_x000a_Install 1-50kVA DT on pole CX7-0434"/>
    <s v="KASOY DO?A MANUELA SUBD PH 4-A PAMPLONA III LAS PINAS CITY"/>
    <s v="LAS PIÑAS CITY"/>
    <s v="PARAÑAQUE"/>
    <s v="for confirmation; crew survey of C1"/>
    <s v="W/O ISSUE"/>
    <x v="0"/>
    <s v="SCHED"/>
    <s v="RRG"/>
    <n v="48.498100000000008"/>
    <n v="2.6"/>
    <n v="0"/>
    <x v="0"/>
    <n v="193888.88"/>
    <n v="42701.27"/>
    <m/>
    <n v="0"/>
    <d v="2021-08-10T15:55:00"/>
    <d v="2021-08-13T12:56:00"/>
    <d v="2021-08-14T00:00:00"/>
    <m/>
    <x v="0"/>
    <m/>
    <n v="-44418.663194444445"/>
    <n v="-44421.538888888892"/>
    <n v="0"/>
    <d v="2021-08-29T10:29:50"/>
    <d v="2021-09-07T05:51:08"/>
    <d v="2021-09-29T15:55:00"/>
    <n v="-1529.9761766975307"/>
    <n v="0"/>
    <n v="20"/>
    <n v="36"/>
    <n v="21.774193548387096"/>
    <n v="27.58064516129032"/>
    <n v="18.774193548387096"/>
    <n v="40"/>
    <n v="32"/>
    <n v="27"/>
    <d v="1900-01-31T00:00:00"/>
    <d v="1900-01-26T00:00:00"/>
    <m/>
    <m/>
    <m/>
    <m/>
    <m/>
    <m/>
    <m/>
    <m/>
    <m/>
    <m/>
    <d v="1900-01-14T00:00:00"/>
    <n v="0"/>
    <m/>
    <m/>
    <m/>
    <m/>
    <m/>
    <m/>
    <m/>
    <m/>
    <m/>
    <m/>
    <s v="N"/>
    <m/>
    <s v="Load-splitting"/>
    <s v="TLN 037150"/>
    <s v="Y"/>
    <s v="Scheduled"/>
    <s v="Transferred from Alvin to Jimmy"/>
    <m/>
    <m/>
    <m/>
  </r>
  <r>
    <d v="2021-09-14T00:00:00"/>
    <s v="N/A"/>
    <m/>
    <x v="0"/>
    <s v="P2007000361"/>
    <s v="MAINT Load-Split 086298/WA350686/100KVA; _x000a_Inst Addl 1-75kVA DT on pole B8-6252 (new pole)"/>
    <s v="DIRECTO ZONE 2 SIGNAL VILLAGE TAGUIG CITY"/>
    <s v="TAGUIG CITY"/>
    <s v="PARAÑAQUE"/>
    <s v="for survey with QI, refer to design"/>
    <s v="W/ ISSUE"/>
    <x v="1"/>
    <s v="SCHED"/>
    <s v="JMM"/>
    <n v="27.962"/>
    <n v="3.67"/>
    <n v="0"/>
    <x v="0"/>
    <n v="195433.93"/>
    <n v="25772.589999999997"/>
    <m/>
    <n v="0"/>
    <d v="2021-08-29T23:12:00"/>
    <d v="2021-09-02T10:30:00"/>
    <d v="2021-09-15T00:00:00"/>
    <m/>
    <x v="0"/>
    <m/>
    <n v="-44437.966666666667"/>
    <n v="-44441.4375"/>
    <n v="0"/>
    <d v="2021-09-17T17:46:50"/>
    <d v="2021-09-26T13:08:08"/>
    <d v="2021-10-18T23:12:00"/>
    <n v="-1530.6410740740741"/>
    <n v="0"/>
    <n v="20"/>
    <n v="36"/>
    <n v="21.774193548387096"/>
    <n v="27.58064516129032"/>
    <n v="18.774193548387096"/>
    <n v="40"/>
    <n v="32"/>
    <n v="27"/>
    <d v="1900-01-31T00:00:00"/>
    <d v="1900-01-26T00:00:00"/>
    <m/>
    <m/>
    <m/>
    <m/>
    <m/>
    <m/>
    <m/>
    <m/>
    <m/>
    <m/>
    <d v="1900-01-14T00:00:00"/>
    <n v="0"/>
    <m/>
    <m/>
    <m/>
    <m/>
    <m/>
    <m/>
    <m/>
    <m/>
    <m/>
    <m/>
    <s v="N"/>
    <m/>
    <s v="Load-splitting"/>
    <s v="TLN 086298"/>
    <s v="Y"/>
    <s v="Scheduled"/>
    <s v="Transferred from Alvin to Jimmy / With Installation of new pole"/>
    <m/>
    <m/>
    <m/>
  </r>
  <r>
    <d v="2021-10-07T00:00:00"/>
    <d v="2021-09-30T00:00:00"/>
    <m/>
    <x v="2"/>
    <s v="R20784640"/>
    <s v="ALLANIQUE REALTY DEVT CORP"/>
    <s v="L. ALLANIQUE, BARANGAY VILL, PARANAQUE"/>
    <s v="PARAÑAQUE CITY"/>
    <s v="PARAÑAQUE"/>
    <s v="for BC coordiantion on WO cancellation 2/15_x000a__x000a_re-surveyed 07/17/2024_x000a_to install pole in-front of existing and use small aleyarm as support"/>
    <s v="(R) W/O ISSUE"/>
    <x v="2"/>
    <s v="SCHED"/>
    <s v="IGL"/>
    <n v="85.05"/>
    <n v="23.23"/>
    <n v="0"/>
    <x v="3"/>
    <n v="94979.94"/>
    <n v="33678.6"/>
    <m/>
    <n v="0"/>
    <d v="2021-09-24T15:04:00"/>
    <d v="2021-09-30T00:00:00"/>
    <d v="2021-09-30T00:00:00"/>
    <m/>
    <x v="0"/>
    <m/>
    <n v="-44463.62777777778"/>
    <n v="-44469"/>
    <n v="0"/>
    <d v="2021-10-13T09:38:50"/>
    <d v="2021-10-22T05:00:08"/>
    <d v="2021-11-13T15:04:00"/>
    <n v="-1531.5249567901233"/>
    <n v="0"/>
    <n v="20"/>
    <n v="36"/>
    <n v="21.774193548387096"/>
    <n v="27.58064516129032"/>
    <n v="18.774193548387096"/>
    <n v="40"/>
    <n v="32"/>
    <n v="27"/>
    <d v="1900-01-31T00:00:00"/>
    <d v="1900-01-26T00:00:00"/>
    <m/>
    <m/>
    <m/>
    <m/>
    <m/>
    <m/>
    <m/>
    <m/>
    <m/>
    <m/>
    <d v="1900-01-14T00:00:00"/>
    <n v="0"/>
    <m/>
    <m/>
    <m/>
    <m/>
    <m/>
    <m/>
    <m/>
    <m/>
    <m/>
    <m/>
    <s v="N"/>
    <m/>
    <m/>
    <m/>
    <m/>
    <m/>
    <m/>
    <m/>
    <m/>
    <s v="CY9-0440, CY9-5932"/>
  </r>
  <r>
    <d v="2021-10-21T00:00:00"/>
    <d v="2021-10-22T00:00:00"/>
    <m/>
    <x v="3"/>
    <s v="R19617176"/>
    <s v="OFFICE OF CONGRESSMAN STRIKE B. REVILLA,"/>
    <s v="GEN. EMILIO AGUINALDO, PANAPAAN VI, BACOOR"/>
    <s v="BACOOR CITY"/>
    <s v="DASMA"/>
    <s v="Job 3 for SSP/liveline, Job 4 with telco for email to FA, Job 5 for survey live line, Task 10 with issue on hukay, request assistance bacoor, job 7 for PAI sched;"/>
    <s v="W/ ISSUE"/>
    <x v="4"/>
    <s v="SCHED"/>
    <s v="RRG"/>
    <n v="1133.2283999999993"/>
    <n v="1281.78"/>
    <n v="0"/>
    <x v="4"/>
    <n v="1921072.21"/>
    <n v="821316.27"/>
    <m/>
    <n v="0"/>
    <d v="2021-10-06T19:29:00"/>
    <d v="2021-10-12T00:00:00"/>
    <d v="2021-10-13T00:00:00"/>
    <m/>
    <x v="0"/>
    <m/>
    <n v="-44475.811805555553"/>
    <n v="-44481"/>
    <n v="0"/>
    <d v="2021-11-02T06:54:25"/>
    <d v="2021-11-13T03:33:12"/>
    <d v="2021-11-25T19:29:00"/>
    <n v="-1131.6623226080246"/>
    <n v="0"/>
    <n v="50"/>
    <n v="36"/>
    <n v="29.475982532751093"/>
    <n v="37.336244541484717"/>
    <n v="26.475982532751093"/>
    <n v="60"/>
    <n v="48"/>
    <n v="43"/>
    <d v="1900-02-16T00:00:00"/>
    <d v="1900-02-11T00:00:00"/>
    <m/>
    <m/>
    <m/>
    <m/>
    <m/>
    <m/>
    <m/>
    <m/>
    <m/>
    <m/>
    <d v="1900-01-14T00:00:00"/>
    <n v="0"/>
    <m/>
    <m/>
    <m/>
    <m/>
    <m/>
    <m/>
    <m/>
    <m/>
    <m/>
    <m/>
    <s v="N"/>
    <m/>
    <m/>
    <m/>
    <m/>
    <m/>
    <m/>
    <m/>
    <m/>
    <m/>
  </r>
  <r>
    <d v="2021-10-21T00:00:00"/>
    <d v="2021-10-20T00:00:00"/>
    <m/>
    <x v="1"/>
    <s v="X21083519494"/>
    <s v="SEVEN TALL TREES EVENTS, INC."/>
    <s v="ASEANA, ASEANA BUSINESS PARK, PARANAQUE"/>
    <s v="PARAÑAQUE CITY"/>
    <s v="PARAÑAQUE"/>
    <s v="for permit re application 2/15"/>
    <s v="W/ ISSUE"/>
    <x v="2"/>
    <s v="PCAN"/>
    <s v="JSP"/>
    <n v="97.660000000000011"/>
    <n v="150.88"/>
    <n v="0"/>
    <x v="2"/>
    <n v="87040.66"/>
    <n v="73733.14"/>
    <m/>
    <n v="0"/>
    <d v="2021-10-13T16:33:00"/>
    <d v="2021-10-15T00:00:00"/>
    <d v="2021-10-20T00:00:00"/>
    <m/>
    <x v="0"/>
    <m/>
    <n v="-44482.689583333333"/>
    <n v="-44484"/>
    <n v="0"/>
    <d v="2021-11-03T21:30:56"/>
    <d v="2021-11-13T08:26:23"/>
    <d v="2021-12-02T16:33:00"/>
    <n v="-1378.202989227208"/>
    <n v="0"/>
    <n v="26"/>
    <n v="36"/>
    <n v="24.206896551724139"/>
    <n v="30.662068965517239"/>
    <n v="21.206896551724139"/>
    <n v="44"/>
    <n v="35.200000000000003"/>
    <n v="30.200000000000003"/>
    <d v="1900-02-03T04:48:00"/>
    <d v="1900-01-29T04:48:00"/>
    <m/>
    <m/>
    <m/>
    <m/>
    <m/>
    <m/>
    <m/>
    <m/>
    <m/>
    <m/>
    <d v="1900-01-14T00:00:00"/>
    <n v="0"/>
    <m/>
    <m/>
    <m/>
    <m/>
    <m/>
    <m/>
    <m/>
    <m/>
    <m/>
    <m/>
    <s v="Y"/>
    <m/>
    <m/>
    <m/>
    <m/>
    <m/>
    <m/>
    <m/>
    <m/>
    <s v="C4-5094, 126264"/>
  </r>
  <r>
    <d v="2023-05-12T00:00:00"/>
    <s v="N/A"/>
    <m/>
    <x v="0"/>
    <s v="P2106111943"/>
    <s v="MAINT 45XD Loadsplit [035879|WA141444|CX8-0551||]_x000a_install 1-75kVA DT on pole CX8-0552"/>
    <s v="KYOTO BF HOMES BF HOMES PARANAQUE"/>
    <s v="PARAÑAQUE CITY"/>
    <s v="PARAÑAQUE"/>
    <s v="done digging, for pole erection"/>
    <m/>
    <x v="3"/>
    <s v="INPRG"/>
    <s v="JMM"/>
    <n v="53.318299999999994"/>
    <n v="73.63"/>
    <n v="0"/>
    <x v="0"/>
    <n v="224779.02"/>
    <n v="49304.030000000006"/>
    <m/>
    <n v="0"/>
    <d v="2021-10-15T08:36:00"/>
    <d v="2021-10-15T12:31:00"/>
    <d v="2023-02-10T00:00:00"/>
    <m/>
    <x v="0"/>
    <m/>
    <n v="-44484.35833333333"/>
    <n v="-44484.521527777775"/>
    <n v="0"/>
    <d v="2021-11-04T10:39:07"/>
    <d v="2021-11-13T14:23:57"/>
    <d v="2021-12-04T08:36:00"/>
    <n v="-1445.2043951288242"/>
    <n v="0"/>
    <n v="23"/>
    <n v="36"/>
    <n v="23.085501858736059"/>
    <n v="29.241635687732341"/>
    <n v="20.085501858736059"/>
    <n v="42"/>
    <n v="33.6"/>
    <n v="28.6"/>
    <d v="1900-02-01T14:24:00"/>
    <d v="1900-01-27T14:24:00"/>
    <m/>
    <m/>
    <m/>
    <m/>
    <m/>
    <m/>
    <m/>
    <m/>
    <m/>
    <m/>
    <d v="1900-01-14T00:00:00"/>
    <n v="0"/>
    <m/>
    <m/>
    <m/>
    <m/>
    <m/>
    <m/>
    <m/>
    <m/>
    <m/>
    <m/>
    <m/>
    <m/>
    <s v="Load-splitting"/>
    <s v="TLN 035879"/>
    <s v="Y"/>
    <s v="Scheduled"/>
    <s v="Transferred from Alvin to Jimmy_x000a_Issued and returned as surplus, for re-sched by MECO crew but re-assign to C1 and assign to powerhouse"/>
    <m/>
    <m/>
    <m/>
  </r>
  <r>
    <d v="2021-11-18T00:00:00"/>
    <d v="2021-10-30T00:00:00"/>
    <m/>
    <x v="4"/>
    <s v="X21094255140"/>
    <s v="BAYPRIME PROPERTIES INC."/>
    <s v="ASEANA, ASEANA BUSINESS PARK, PARANAQUE"/>
    <s v="PARAÑAQUE CITY"/>
    <s v="PARAÑAQUE"/>
    <s v="for WO cancellation? DT still in used by Shakey's"/>
    <s v="FOR CANCELLATION"/>
    <x v="2"/>
    <s v="SCHED"/>
    <s v="IGL"/>
    <n v="118.93339999999999"/>
    <n v="220.37"/>
    <n v="0"/>
    <x v="2"/>
    <n v="139589.22"/>
    <n v="107671.03999999999"/>
    <m/>
    <n v="0"/>
    <d v="2021-10-27T14:20:00"/>
    <d v="2021-10-29T15:15:00"/>
    <d v="2021-10-30T00:00:00"/>
    <m/>
    <x v="0"/>
    <m/>
    <n v="-44496.597222222219"/>
    <n v="-44498.635416666664"/>
    <n v="0"/>
    <d v="2021-11-18T11:10:32"/>
    <d v="2021-11-28T02:20:00"/>
    <d v="2021-12-16T14:20:00"/>
    <n v="-1341.9608686067018"/>
    <n v="0"/>
    <n v="28"/>
    <n v="36"/>
    <n v="24.868421052631579"/>
    <n v="31.499999999999996"/>
    <n v="21.868421052631579"/>
    <n v="46"/>
    <n v="36.800000000000004"/>
    <n v="31.800000000000004"/>
    <d v="1900-02-04T19:12:00"/>
    <d v="1900-01-30T19:12:00"/>
    <m/>
    <m/>
    <m/>
    <m/>
    <m/>
    <m/>
    <m/>
    <m/>
    <m/>
    <m/>
    <d v="1900-01-14T00:00:00"/>
    <n v="0"/>
    <m/>
    <m/>
    <m/>
    <m/>
    <m/>
    <m/>
    <m/>
    <m/>
    <m/>
    <m/>
    <s v="Y"/>
    <m/>
    <m/>
    <m/>
    <m/>
    <m/>
    <m/>
    <m/>
    <m/>
    <s v="C5-5085, C5-5500, C5-5501, 169547"/>
  </r>
  <r>
    <d v="2021-12-02T00:00:00"/>
    <d v="2021-11-18T00:00:00"/>
    <m/>
    <x v="1"/>
    <s v="R21040226"/>
    <s v="YIELDERS TRADING CORPORATION"/>
    <s v="STA. AGUEDA, STO. NINO, PARANAQUE"/>
    <s v="PARAÑAQUE CITY"/>
    <s v="PARAÑAQUE"/>
    <m/>
    <s v="W/ ISSUE"/>
    <x v="2"/>
    <s v="SCHED"/>
    <s v="IGL"/>
    <n v="97.325899999999976"/>
    <n v="256.02999999999997"/>
    <n v="0"/>
    <x v="3"/>
    <n v="541158.15"/>
    <n v="110955.08"/>
    <m/>
    <n v="0"/>
    <d v="2021-11-12T16:42:00"/>
    <d v="2021-11-18T12:41:00"/>
    <d v="2021-11-18T00:00:00"/>
    <m/>
    <x v="0"/>
    <m/>
    <n v="-44512.695833333331"/>
    <n v="-44518.52847222222"/>
    <n v="0"/>
    <d v="2021-12-04T13:32:32"/>
    <d v="2021-12-14T04:42:00"/>
    <d v="2022-01-01T16:42:00"/>
    <n v="-1342.4463822751322"/>
    <n v="0"/>
    <n v="28"/>
    <n v="36"/>
    <n v="24.868421052631579"/>
    <n v="31.499999999999996"/>
    <n v="21.868421052631579"/>
    <n v="46"/>
    <n v="36.800000000000004"/>
    <n v="31.800000000000004"/>
    <d v="1900-02-04T19:12:00"/>
    <d v="1900-01-30T19:12:00"/>
    <m/>
    <m/>
    <m/>
    <m/>
    <m/>
    <m/>
    <m/>
    <m/>
    <m/>
    <m/>
    <d v="1900-01-14T00:00:00"/>
    <n v="0"/>
    <m/>
    <m/>
    <m/>
    <m/>
    <m/>
    <m/>
    <m/>
    <m/>
    <m/>
    <m/>
    <s v="Y"/>
    <m/>
    <m/>
    <m/>
    <m/>
    <m/>
    <m/>
    <m/>
    <m/>
    <s v="B5-1677, B5-5719, B5-0469, 674317, B5-5649, 201042"/>
  </r>
  <r>
    <d v="2021-12-21T00:00:00"/>
    <d v="2021-11-24T00:00:00"/>
    <m/>
    <x v="2"/>
    <s v="X21104486609"/>
    <s v="JEFFREY SAGUN CHAN"/>
    <s v="MATTHEW, MULTINATIONAL VILL, PARANAQUE"/>
    <s v="PARAÑAQUE CITY"/>
    <s v="PARAÑAQUE"/>
    <s v="for follow up Pque BC, DT location issue, 1/11-customer doesn't want DT in front of house, task 3, neighbor holds execution, DT already installed on site - 2/22"/>
    <s v="W/ ISSUE"/>
    <x v="1"/>
    <s v="SCHED"/>
    <s v="JMM"/>
    <n v="26.167999999999996"/>
    <n v="63.82"/>
    <n v="44"/>
    <x v="5"/>
    <n v="201770.89"/>
    <n v="30870.26"/>
    <m/>
    <n v="0"/>
    <d v="2021-11-18T16:50:00"/>
    <d v="2021-11-24T00:00:00"/>
    <d v="2021-11-24T00:00:00"/>
    <m/>
    <x v="0"/>
    <m/>
    <n v="-44518.701388888891"/>
    <n v="-44524"/>
    <n v="0"/>
    <d v="2021-12-08T18:53:07"/>
    <d v="2021-12-17T22:37:57"/>
    <d v="2022-01-07T16:50:00"/>
    <n v="-1446.3201296631778"/>
    <n v="0"/>
    <n v="23"/>
    <n v="36"/>
    <n v="23.085501858736059"/>
    <n v="29.241635687732341"/>
    <n v="20.085501858736059"/>
    <n v="42"/>
    <n v="33.6"/>
    <n v="28.6"/>
    <d v="1900-02-01T14:24:00"/>
    <d v="1900-01-27T14:24:00"/>
    <m/>
    <m/>
    <m/>
    <m/>
    <m/>
    <m/>
    <m/>
    <m/>
    <m/>
    <m/>
    <d v="1900-01-14T00:00:00"/>
    <n v="0"/>
    <m/>
    <m/>
    <m/>
    <m/>
    <m/>
    <m/>
    <m/>
    <m/>
    <m/>
    <m/>
    <s v="Y"/>
    <m/>
    <m/>
    <m/>
    <m/>
    <m/>
    <m/>
    <m/>
    <m/>
    <s v="CZ8-0312, CZ8-0313, 204233"/>
  </r>
  <r>
    <d v="2021-12-02T00:00:00"/>
    <d v="2021-12-02T00:00:00"/>
    <m/>
    <x v="2"/>
    <s v="X21030949643"/>
    <s v="ROBERTO DE MESA BUNYI"/>
    <s v="HENRY IDE, KATARUNGAN VILLAGE, MUNTINLUPA"/>
    <s v="MUNTINLUPA CITY"/>
    <s v="PARAÑAQUE"/>
    <s v="HOA ISSUE; HOA holds exection of project; FOR CANCELLATION (superseded by WO X23010211288)"/>
    <s v="W/ ISSUE"/>
    <x v="0"/>
    <s v="PCAN"/>
    <s v="RRG"/>
    <n v="169.18339999999995"/>
    <n v="331.95"/>
    <n v="14"/>
    <x v="5"/>
    <n v="814987.11"/>
    <n v="132587.32999999999"/>
    <m/>
    <n v="0"/>
    <d v="2021-11-24T11:52:00"/>
    <d v="2021-11-29T12:35:00"/>
    <d v="2021-12-01T00:00:00"/>
    <m/>
    <x v="0"/>
    <m/>
    <n v="-44524.494444444441"/>
    <n v="-44529.524305555555"/>
    <n v="0"/>
    <d v="2021-12-16T23:11:15"/>
    <d v="2021-12-26T18:12:23"/>
    <d v="2022-01-13T11:52:00"/>
    <n v="-1310.9990030864196"/>
    <n v="0"/>
    <n v="30"/>
    <n v="36"/>
    <n v="25.471698113207545"/>
    <n v="32.264150943396224"/>
    <n v="22.471698113207545"/>
    <n v="48"/>
    <n v="38.400000000000006"/>
    <n v="33.400000000000006"/>
    <d v="1900-02-06T09:36:00"/>
    <d v="1900-02-01T09:36:00"/>
    <m/>
    <m/>
    <m/>
    <m/>
    <m/>
    <m/>
    <m/>
    <m/>
    <m/>
    <m/>
    <d v="1900-01-14T00:00:00"/>
    <n v="0"/>
    <m/>
    <m/>
    <m/>
    <m/>
    <m/>
    <m/>
    <m/>
    <m/>
    <m/>
    <m/>
    <s v="Y"/>
    <m/>
    <m/>
    <m/>
    <m/>
    <m/>
    <m/>
    <m/>
    <m/>
    <s v="CS9-5807, CS9-5808, CS9-5809, 195424, CS9-5812, CS9-5810, CS9-5811"/>
  </r>
  <r>
    <d v="2021-12-14T00:00:00"/>
    <d v="2021-12-04T00:00:00"/>
    <m/>
    <x v="2"/>
    <s v="R19291776"/>
    <s v="CITY GOVERNMENT OF BACOOR"/>
    <s v="GEN. TIRONA, HABAY I, BACOOR"/>
    <s v="BACOOR CITY"/>
    <s v="DASMA"/>
    <s v="pole location issue (02-15-23); +1 POLE TASK 1"/>
    <s v="W/ ISSUE"/>
    <x v="4"/>
    <s v="SCHED"/>
    <s v="RRG"/>
    <n v="261.88480000000004"/>
    <n v="1071.6500000000001"/>
    <n v="0"/>
    <x v="4"/>
    <n v="1370048.35"/>
    <n v="323549.71999999997"/>
    <m/>
    <n v="0"/>
    <d v="2021-12-01T15:43:00"/>
    <d v="2021-12-03T00:00:00"/>
    <d v="2021-12-03T00:00:00"/>
    <m/>
    <x v="0"/>
    <m/>
    <n v="-44531.654861111114"/>
    <n v="-44533"/>
    <n v="0"/>
    <d v="2021-12-28T03:08:25"/>
    <d v="2022-01-07T23:47:12"/>
    <d v="2022-01-20T15:43:00"/>
    <n v="-1133.0832181327162"/>
    <n v="0"/>
    <n v="50"/>
    <n v="36"/>
    <n v="29.475982532751093"/>
    <n v="37.336244541484717"/>
    <n v="26.475982532751093"/>
    <n v="60"/>
    <n v="48"/>
    <n v="43"/>
    <d v="1900-02-16T00:00:00"/>
    <d v="1900-02-11T00:00:00"/>
    <m/>
    <m/>
    <m/>
    <m/>
    <m/>
    <m/>
    <m/>
    <m/>
    <m/>
    <m/>
    <d v="1900-01-14T00:00:00"/>
    <n v="0"/>
    <m/>
    <m/>
    <m/>
    <m/>
    <m/>
    <m/>
    <m/>
    <m/>
    <m/>
    <m/>
    <s v="N"/>
    <m/>
    <m/>
    <m/>
    <m/>
    <m/>
    <m/>
    <m/>
    <m/>
    <s v="CW5-5786, CW5-5786, CW5-5785, CW5-5785, CW5-6392, CW5-6393, CX5-0074-T, CW5-0737, 084258, 016045, CW5-0919, 047121, CW5-5787"/>
  </r>
  <r>
    <d v="2022-03-03T00:00:00"/>
    <s v="OK"/>
    <s v="Y"/>
    <x v="4"/>
    <s v="R21631238"/>
    <s v="CAVITEX INFRASTRUCTURE CORP."/>
    <s v="N. ARMSTRONG, MOONWALK, PARANAQUE"/>
    <s v="PARAÑAQUE CITY"/>
    <s v="PARAÑAQUE"/>
    <s v="awaiting clearance from CAVITEX on completion of project, task 11 modification"/>
    <s v="W/ ISSUE"/>
    <x v="2"/>
    <s v="SCHED"/>
    <s v="IGL"/>
    <n v="382.92960000000033"/>
    <n v="992.52"/>
    <n v="0"/>
    <x v="4"/>
    <n v="1414835.62"/>
    <n v="433240.12"/>
    <m/>
    <n v="0"/>
    <d v="2022-03-01T14:24:00"/>
    <d v="2022-03-03T12:33:00"/>
    <d v="2022-03-03T00:00:00"/>
    <m/>
    <x v="0"/>
    <m/>
    <n v="-44621.599999999999"/>
    <n v="-44623.522916666669"/>
    <n v="0"/>
    <d v="2022-03-26T10:26:28"/>
    <d v="2022-04-05T20:35:08"/>
    <d v="2022-04-20T14:24:00"/>
    <n v="-1202.3042222222221"/>
    <n v="0"/>
    <n v="40"/>
    <n v="36"/>
    <n v="27.835051546391753"/>
    <n v="35.257731958762882"/>
    <n v="24.835051546391753"/>
    <n v="55"/>
    <n v="44"/>
    <n v="39"/>
    <d v="1900-02-12T00:00:00"/>
    <d v="1900-02-07T00:00:00"/>
    <m/>
    <m/>
    <m/>
    <m/>
    <m/>
    <m/>
    <m/>
    <m/>
    <m/>
    <m/>
    <d v="1900-01-14T00:00:00"/>
    <n v="0"/>
    <m/>
    <m/>
    <m/>
    <m/>
    <m/>
    <m/>
    <m/>
    <m/>
    <m/>
    <m/>
    <s v="Y"/>
    <m/>
    <m/>
    <m/>
    <m/>
    <m/>
    <m/>
    <m/>
    <m/>
    <m/>
  </r>
  <r>
    <d v="2022-05-16T00:00:00"/>
    <s v="N/A"/>
    <m/>
    <x v="3"/>
    <s v="P2107115141"/>
    <s v="MN_MAJOR (WDESIGN), CONGRESSMAN OFFICE STRIKE B. REVILLA, Relocation Request along Bacoor,Cavite"/>
    <s v="MOLINO BLVD., BAYANAN, BACOOR"/>
    <s v="BACOOR CITY"/>
    <s v="DASMA"/>
    <s v="ongoing pole installation - with overlapping to P2111120001; for prioritization; for execution on 5th week of March; for execution for the month of May; job 3 done; job 4 hotline works; job 2 hotline works; job 1 PAI_x000a__x000a_remaining site 1 site 2 and site 4"/>
    <s v="W/O ISSUE"/>
    <x v="4"/>
    <s v="SCHED"/>
    <s v="RRG"/>
    <n v="395.85699999999974"/>
    <n v="1208.97"/>
    <n v="0"/>
    <x v="4"/>
    <n v="2185454.33"/>
    <n v="433474.43"/>
    <m/>
    <n v="0"/>
    <d v="2022-04-18T18:57:00"/>
    <d v="2022-05-06T13:44:00"/>
    <d v="2022-05-05T00:00:00"/>
    <m/>
    <x v="0"/>
    <m/>
    <n v="-44669.789583333331"/>
    <n v="-44687.572222222225"/>
    <n v="0"/>
    <d v="2022-05-15T06:22:25"/>
    <d v="2022-05-26T03:01:12"/>
    <d v="2022-06-07T18:57:00"/>
    <n v="-1136.597979398148"/>
    <n v="0"/>
    <n v="50"/>
    <n v="36"/>
    <n v="29.475982532751093"/>
    <n v="37.336244541484717"/>
    <n v="26.475982532751093"/>
    <n v="60"/>
    <n v="48"/>
    <n v="43"/>
    <d v="1900-02-16T00:00:00"/>
    <d v="1900-02-11T00:00:00"/>
    <m/>
    <m/>
    <m/>
    <m/>
    <m/>
    <m/>
    <m/>
    <m/>
    <m/>
    <m/>
    <d v="1900-01-14T00:00:00"/>
    <n v="0"/>
    <m/>
    <m/>
    <m/>
    <m/>
    <m/>
    <m/>
    <m/>
    <m/>
    <m/>
    <m/>
    <s v="N"/>
    <m/>
    <m/>
    <m/>
    <m/>
    <m/>
    <m/>
    <m/>
    <m/>
    <m/>
  </r>
  <r>
    <d v="2022-04-29T00:00:00"/>
    <s v="OK"/>
    <s v="Y"/>
    <x v="4"/>
    <s v="R21662615"/>
    <s v="FOOD TERMINAL, INC."/>
    <s v="LANGKA, FTI CPD, TAGUIG CITY"/>
    <s v="TAGUIG CITY"/>
    <s v="PARAÑAQUE"/>
    <s v="for completion May 2022"/>
    <s v="W/O ISSUE"/>
    <x v="1"/>
    <s v="DPRG-PCR"/>
    <s v="MBF"/>
    <n v="102.0535"/>
    <n v="253.43"/>
    <n v="0"/>
    <x v="3"/>
    <n v="160444.01999999999"/>
    <n v="92012.91"/>
    <n v="83552.45"/>
    <n v="0.90805138105076766"/>
    <d v="2022-04-22T07:47:00"/>
    <d v="2022-04-28T00:00:00"/>
    <d v="2022-04-27T00:00:00"/>
    <m/>
    <x v="0"/>
    <m/>
    <n v="-44673.324305555558"/>
    <n v="-44679"/>
    <n v="0"/>
    <d v="2022-05-14T04:37:32"/>
    <d v="2022-05-23T19:47:00"/>
    <d v="2022-06-11T07:47:00"/>
    <n v="-1347.2907330246912"/>
    <n v="0"/>
    <n v="28"/>
    <n v="36"/>
    <n v="24.868421052631579"/>
    <n v="31.499999999999996"/>
    <n v="21.868421052631579"/>
    <n v="46"/>
    <n v="36.800000000000004"/>
    <n v="31.800000000000004"/>
    <d v="1900-02-04T19:12:00"/>
    <d v="1900-01-30T19:12:00"/>
    <m/>
    <m/>
    <m/>
    <m/>
    <m/>
    <m/>
    <m/>
    <m/>
    <s v="CHECKING OF SERVICE ITEM"/>
    <s v="WITH BACKJOB , BILLED"/>
    <d v="1900-01-14T00:00:00"/>
    <n v="0"/>
    <d v="2022-05-19T00:00:00"/>
    <d v="2022-06-25T00:00:00"/>
    <d v="2022-07-20T00:00:00"/>
    <s v="ECI"/>
    <s v="Y"/>
    <s v="Y"/>
    <d v="2022-07-20T00:00:00"/>
    <m/>
    <m/>
    <m/>
    <s v="N"/>
    <m/>
    <m/>
    <m/>
    <m/>
    <m/>
    <m/>
    <s v="AZT"/>
    <m/>
    <s v="B8-6279, B8-6280, B8-6281"/>
  </r>
  <r>
    <d v="2022-04-29T00:00:00"/>
    <s v="OK"/>
    <s v="Y"/>
    <x v="3"/>
    <s v="R20609999"/>
    <s v="CAVITEX INFRASTRUCTURE CORP."/>
    <s v="KAINGIN RD., KAINGIN, PARANAQUE"/>
    <s v="PARAÑAQUE CITY"/>
    <s v="PARAÑAQUE"/>
    <s v="PENDING MPTS"/>
    <s v="W/ ISSUE"/>
    <x v="0"/>
    <s v="SCHED"/>
    <s v="RRG"/>
    <n v="717.71599999999887"/>
    <n v="2086.0500000000002"/>
    <n v="0"/>
    <x v="4"/>
    <n v="1575766.41"/>
    <n v="923509.73"/>
    <m/>
    <n v="0"/>
    <d v="2022-04-26T13:29:00"/>
    <d v="2022-04-29T15:17:00"/>
    <d v="2022-04-29T00:00:00"/>
    <m/>
    <x v="0"/>
    <m/>
    <n v="-44677.561805555553"/>
    <n v="-44680.636805555558"/>
    <n v="0"/>
    <d v="2022-05-23T00:54:25"/>
    <d v="2022-06-02T21:33:12"/>
    <d v="2022-06-15T13:29:00"/>
    <n v="-1136.7957392746912"/>
    <n v="0"/>
    <n v="50"/>
    <n v="36"/>
    <n v="29.475982532751093"/>
    <n v="37.336244541484717"/>
    <n v="26.475982532751093"/>
    <n v="60"/>
    <n v="48"/>
    <n v="43"/>
    <d v="1900-02-16T00:00:00"/>
    <d v="1900-02-11T00:00:00"/>
    <m/>
    <m/>
    <m/>
    <m/>
    <m/>
    <m/>
    <m/>
    <m/>
    <m/>
    <m/>
    <d v="1900-01-14T00:00:00"/>
    <n v="0"/>
    <m/>
    <m/>
    <m/>
    <m/>
    <m/>
    <m/>
    <m/>
    <m/>
    <m/>
    <m/>
    <s v="N"/>
    <m/>
    <m/>
    <m/>
    <m/>
    <m/>
    <m/>
    <s v="PDZC"/>
    <m/>
    <m/>
  </r>
  <r>
    <d v="2022-09-01T00:00:00"/>
    <d v="2022-08-24T00:00:00"/>
    <s v="Y"/>
    <x v="2"/>
    <s v="X22052042329"/>
    <s v="MARIA IMELDA BUYOC SANDWEG"/>
    <s v="JOY, DREAMLAND SUBD, PARANAQUE"/>
    <s v="PARAÑAQUE CITY"/>
    <s v="PARAÑAQUE"/>
    <s v="with issue, 1/11-with cash bond"/>
    <s v="W/ ISSUE"/>
    <x v="1"/>
    <s v="PCAN3"/>
    <s v="JSP"/>
    <n v="162.57659999999993"/>
    <n v="305.68"/>
    <n v="45"/>
    <x v="5"/>
    <n v="803861.8"/>
    <n v="139773.07999999999"/>
    <m/>
    <n v="0"/>
    <d v="2022-08-23T11:15:00"/>
    <d v="2022-08-31T00:00:00"/>
    <d v="2022-08-31T00:00:00"/>
    <m/>
    <x v="0"/>
    <m/>
    <n v="-44796.46875"/>
    <n v="-44804"/>
    <n v="0"/>
    <d v="2022-09-14T22:34:15"/>
    <d v="2022-09-24T17:35:23"/>
    <d v="2022-10-12T11:15:00"/>
    <n v="-1319.0071354166666"/>
    <n v="0"/>
    <n v="30"/>
    <n v="36"/>
    <n v="25.471698113207545"/>
    <n v="32.264150943396224"/>
    <n v="22.471698113207545"/>
    <n v="48"/>
    <n v="38.400000000000006"/>
    <n v="33.400000000000006"/>
    <d v="1900-02-06T09:36:00"/>
    <d v="1900-02-01T09:36:00"/>
    <m/>
    <m/>
    <m/>
    <m/>
    <m/>
    <m/>
    <m/>
    <m/>
    <m/>
    <m/>
    <d v="1900-01-14T00:00:00"/>
    <n v="0"/>
    <m/>
    <m/>
    <m/>
    <m/>
    <m/>
    <m/>
    <m/>
    <m/>
    <m/>
    <m/>
    <s v="Y"/>
    <m/>
    <m/>
    <m/>
    <m/>
    <m/>
    <m/>
    <m/>
    <m/>
    <s v="CX9-0863, 034987, CX9-2040, 212355, CX9-0862, CX9-5935"/>
  </r>
  <r>
    <d v="2022-09-10T00:00:00"/>
    <d v="2022-09-09T00:00:00"/>
    <m/>
    <x v="4"/>
    <s v="R21631255"/>
    <s v="CAVITEX INFRASTRUCTURE CORP.,"/>
    <s v="E. RODRIGUEZ JR. INT, STO. NINO, PARANAQUE"/>
    <s v="PARAÑAQUE CITY"/>
    <s v="PARAÑAQUE"/>
    <s v="for completion within September; w/ ROW issue w/ SM; pending MPTS"/>
    <s v="W/ ISSUE"/>
    <x v="0"/>
    <s v="FCOMP"/>
    <s v="RRG"/>
    <n v="79.675600000000017"/>
    <n v="322.48"/>
    <n v="0"/>
    <x v="4"/>
    <n v="412145.24"/>
    <n v="84176.76"/>
    <m/>
    <n v="0"/>
    <d v="2022-09-05T15:22:00"/>
    <d v="2022-09-07T00:00:00"/>
    <d v="2022-09-07T00:00:00"/>
    <m/>
    <x v="1"/>
    <m/>
    <n v="877.35972222222335"/>
    <n v="876"/>
    <n v="-45687"/>
    <d v="2022-09-28T02:41:15"/>
    <d v="2022-10-07T21:42:23"/>
    <d v="2022-10-25T15:22:00"/>
    <n v="25.833369598765465"/>
    <n v="-951.8125"/>
    <n v="30"/>
    <n v="36"/>
    <n v="25.471698113207545"/>
    <n v="32.264150943396224"/>
    <n v="22.471698113207545"/>
    <n v="48"/>
    <n v="38.400000000000006"/>
    <n v="33.400000000000006"/>
    <d v="2025-03-09T09:36:00"/>
    <d v="2025-03-04T09:36:00"/>
    <m/>
    <m/>
    <m/>
    <m/>
    <m/>
    <m/>
    <m/>
    <m/>
    <s v="NO COC"/>
    <m/>
    <d v="2025-02-14T00:00:00"/>
    <n v="-409"/>
    <m/>
    <m/>
    <m/>
    <m/>
    <m/>
    <m/>
    <m/>
    <m/>
    <m/>
    <m/>
    <s v="N"/>
    <m/>
    <m/>
    <m/>
    <m/>
    <m/>
    <m/>
    <m/>
    <m/>
    <m/>
  </r>
  <r>
    <d v="2022-09-10T00:00:00"/>
    <s v="OK"/>
    <s v="Y"/>
    <x v="3"/>
    <s v="R21135764"/>
    <s v="CAVITEX INFRASTRUCTURE CORP."/>
    <s v="MULTINATIONAL VILL, MULTINATIONAL VILL, PARANAQUE"/>
    <s v="PARAÑAQUE CITY"/>
    <s v="PARAÑAQUE"/>
    <s v="for completion within October; on going digging, tasks 5 and 7(90 ft), 11; asking for assistance w/ MPTS"/>
    <s v="W/ ISSUE"/>
    <x v="0"/>
    <s v="SCHED"/>
    <s v="RRG"/>
    <n v="812.46230000000037"/>
    <n v="1669.08"/>
    <n v="0"/>
    <x v="4"/>
    <n v="2403133.25"/>
    <n v="809631.02"/>
    <m/>
    <n v="0"/>
    <d v="2022-09-07T07:53:00"/>
    <d v="2022-09-09T00:00:00"/>
    <d v="2022-09-12T00:00:00"/>
    <m/>
    <x v="0"/>
    <m/>
    <n v="-44811.328472222223"/>
    <n v="-44813"/>
    <n v="0"/>
    <d v="2022-10-03T19:18:25"/>
    <d v="2022-10-14T15:57:12"/>
    <d v="2022-10-27T07:53:00"/>
    <n v="-1140.1993577932099"/>
    <n v="0"/>
    <n v="50"/>
    <n v="36"/>
    <n v="29.475982532751093"/>
    <n v="37.336244541484717"/>
    <n v="26.475982532751093"/>
    <n v="60"/>
    <n v="48"/>
    <n v="43"/>
    <d v="1900-02-16T00:00:00"/>
    <d v="1900-02-11T00:00:00"/>
    <m/>
    <m/>
    <m/>
    <m/>
    <m/>
    <m/>
    <m/>
    <m/>
    <m/>
    <m/>
    <d v="1900-01-14T00:00:00"/>
    <n v="0"/>
    <m/>
    <m/>
    <m/>
    <m/>
    <m/>
    <m/>
    <m/>
    <m/>
    <m/>
    <m/>
    <s v="N"/>
    <m/>
    <m/>
    <m/>
    <m/>
    <m/>
    <m/>
    <m/>
    <m/>
    <m/>
  </r>
  <r>
    <d v="2022-10-18T00:00:00"/>
    <d v="2022-10-13T00:00:00"/>
    <m/>
    <x v="2"/>
    <s v="X22093866615"/>
    <s v="DULCINEA BALCE SANTOS"/>
    <s v="HAITI, BETTER LIVING SUBD, PARANAQUE"/>
    <s v="PARAÑAQUE CITY"/>
    <s v="PARAÑAQUE"/>
    <s v="joint survey within September 2023/ Pole location issue for Survey "/>
    <s v="W/ ISSUE"/>
    <x v="1"/>
    <s v="SCHED"/>
    <s v="JMM"/>
    <n v="29.89"/>
    <n v="54.35"/>
    <n v="45"/>
    <x v="5"/>
    <n v="167939.25"/>
    <n v="22082.54"/>
    <m/>
    <n v="0"/>
    <d v="2022-10-11T15:39:00"/>
    <d v="2022-10-14T00:00:00"/>
    <d v="2022-10-13T00:00:00"/>
    <m/>
    <x v="0"/>
    <m/>
    <n v="-44845.652083333334"/>
    <n v="-44848"/>
    <n v="0"/>
    <d v="2022-10-31T17:42:07"/>
    <d v="2022-11-09T21:26:57"/>
    <d v="2022-11-30T15:39:00"/>
    <n v="-1456.9420785527373"/>
    <n v="0"/>
    <n v="23"/>
    <n v="36"/>
    <n v="23.085501858736059"/>
    <n v="29.241635687732341"/>
    <n v="20.085501858736059"/>
    <n v="42"/>
    <n v="33.6"/>
    <n v="28.6"/>
    <d v="1900-02-01T14:24:00"/>
    <d v="1900-01-27T14:24:00"/>
    <m/>
    <m/>
    <m/>
    <m/>
    <m/>
    <m/>
    <m/>
    <m/>
    <m/>
    <m/>
    <d v="1900-01-14T00:00:00"/>
    <n v="0"/>
    <m/>
    <m/>
    <m/>
    <m/>
    <m/>
    <m/>
    <m/>
    <m/>
    <m/>
    <m/>
    <s v="N"/>
    <m/>
    <m/>
    <m/>
    <m/>
    <m/>
    <m/>
    <m/>
    <m/>
    <s v="DY1-5978"/>
  </r>
  <r>
    <d v="2022-11-23T00:00:00"/>
    <d v="2022-11-18T00:00:00"/>
    <s v="Y"/>
    <x v="4"/>
    <s v="X22031018462"/>
    <s v="GLOBE TELECOM, INC."/>
    <s v="BLOCK 13, BERNABE CPD, LAS PINAS CITY"/>
    <s v="LAS PIÑAS CITY"/>
    <s v="PARAÑAQUE"/>
    <m/>
    <s v="W/ ISSUE"/>
    <x v="4"/>
    <s v="PCAN"/>
    <s v="RRG"/>
    <n v="76.258500000000026"/>
    <n v="145.87"/>
    <n v="23"/>
    <x v="5"/>
    <n v="359981.35"/>
    <n v="63350.41"/>
    <m/>
    <n v="0"/>
    <d v="2022-11-16T09:07:03"/>
    <d v="2022-11-21T00:00:00"/>
    <d v="2022-11-18T00:00:00"/>
    <m/>
    <x v="0"/>
    <m/>
    <n v="-44881.379895833335"/>
    <n v="-44886"/>
    <n v="0"/>
    <d v="2022-12-07T14:04:59"/>
    <d v="2022-12-17T01:00:26"/>
    <d v="2023-01-05T09:07:03"/>
    <n v="-1390.5555736956908"/>
    <n v="0"/>
    <n v="26"/>
    <n v="36"/>
    <n v="24.206896551724139"/>
    <n v="30.662068965517239"/>
    <n v="21.206896551724139"/>
    <n v="44"/>
    <n v="35.200000000000003"/>
    <n v="30.200000000000003"/>
    <d v="1900-02-03T04:48:00"/>
    <d v="1900-01-29T04:48:00"/>
    <m/>
    <m/>
    <m/>
    <m/>
    <m/>
    <m/>
    <m/>
    <m/>
    <m/>
    <m/>
    <d v="1900-01-14T00:00:00"/>
    <n v="0"/>
    <m/>
    <m/>
    <m/>
    <m/>
    <m/>
    <m/>
    <m/>
    <m/>
    <m/>
    <m/>
    <s v="Y"/>
    <m/>
    <m/>
    <m/>
    <m/>
    <m/>
    <m/>
    <m/>
    <m/>
    <s v="CY7-2464, CY7-6092, CY7-6085, 204030"/>
  </r>
  <r>
    <d v="2023-01-12T00:00:00"/>
    <s v="N/A"/>
    <m/>
    <x v="0"/>
    <s v="P2207136641"/>
    <s v="RTA MN_ 415FIL Replacement of Wood Pole on DU1-0017"/>
    <s v="ILAYA ALABANG ALABANG MUNTINLUPA"/>
    <s v="MUNTINLUPA CITY"/>
    <s v="PARAÑAQUE"/>
    <s v="contact person needed from BC; for checking w/ PnS"/>
    <s v="W/O ISSUE"/>
    <x v="4"/>
    <s v="SCHED"/>
    <s v="RRG"/>
    <n v="111.413"/>
    <n v="156.03"/>
    <n v="0"/>
    <x v="6"/>
    <n v="223165.1"/>
    <n v="121601.57999999996"/>
    <m/>
    <n v="0"/>
    <d v="2022-12-02T14:45:00"/>
    <d v="2023-01-11T10:38:00"/>
    <d v="2023-01-13T00:00:00"/>
    <m/>
    <x v="0"/>
    <m/>
    <n v="-44897.614583333336"/>
    <n v="-44937.443055555559"/>
    <n v="0"/>
    <d v="2022-12-23T19:42:56"/>
    <d v="2023-01-02T06:38:23"/>
    <d v="2023-01-21T14:45:00"/>
    <n v="-1391.0585714921654"/>
    <n v="0"/>
    <n v="26"/>
    <n v="36"/>
    <n v="24.206896551724139"/>
    <n v="30.662068965517239"/>
    <n v="21.206896551724139"/>
    <n v="44"/>
    <n v="35.200000000000003"/>
    <n v="30.200000000000003"/>
    <d v="1900-02-03T04:48:00"/>
    <d v="1900-01-29T04:48:00"/>
    <m/>
    <m/>
    <m/>
    <m/>
    <m/>
    <m/>
    <m/>
    <m/>
    <m/>
    <m/>
    <d v="1900-01-14T00:00:00"/>
    <n v="0"/>
    <m/>
    <m/>
    <m/>
    <m/>
    <m/>
    <m/>
    <m/>
    <m/>
    <m/>
    <m/>
    <s v="N"/>
    <m/>
    <m/>
    <m/>
    <m/>
    <m/>
    <m/>
    <m/>
    <m/>
    <m/>
  </r>
  <r>
    <d v="2023-01-12T00:00:00"/>
    <s v="N/A"/>
    <m/>
    <x v="0"/>
    <s v="P2211141348"/>
    <s v="RTA MN - 415FIL - DT1-0065 - Replacement of rotten, hazardous and old standard pole"/>
    <s v="T. MOLINA ALABANG ALABANG MUNTINLUPA"/>
    <s v="MUNTINLUPA CITY"/>
    <s v="PARAÑAQUE"/>
    <s v="for crew survey; for C1 survey"/>
    <s v="W/O ISSUE"/>
    <x v="0"/>
    <s v="SCHED"/>
    <s v="RRG"/>
    <n v="39.280100000000004"/>
    <n v="25.37"/>
    <n v="0"/>
    <x v="6"/>
    <n v="69142.179999999993"/>
    <n v="30610.91"/>
    <m/>
    <n v="0"/>
    <d v="2022-12-04T21:37:00"/>
    <d v="2023-01-11T10:30:00"/>
    <d v="2023-01-14T00:00:00"/>
    <m/>
    <x v="0"/>
    <m/>
    <n v="-44899.900694444441"/>
    <n v="-44937.4375"/>
    <n v="0"/>
    <d v="2022-12-23T16:11:50"/>
    <d v="2023-01-01T11:33:08"/>
    <d v="2023-01-23T21:37:00"/>
    <n v="-1546.5521350308641"/>
    <n v="0"/>
    <n v="20"/>
    <n v="36"/>
    <n v="21.774193548387096"/>
    <n v="27.58064516129032"/>
    <n v="18.774193548387096"/>
    <n v="40"/>
    <n v="32"/>
    <n v="27"/>
    <d v="1900-01-31T00:00:00"/>
    <d v="1900-01-26T00:00:00"/>
    <m/>
    <m/>
    <m/>
    <m/>
    <m/>
    <m/>
    <m/>
    <m/>
    <m/>
    <m/>
    <d v="1900-01-14T00:00:00"/>
    <n v="0"/>
    <m/>
    <m/>
    <m/>
    <m/>
    <m/>
    <m/>
    <m/>
    <m/>
    <m/>
    <m/>
    <s v="N"/>
    <m/>
    <m/>
    <m/>
    <m/>
    <m/>
    <m/>
    <m/>
    <m/>
    <m/>
  </r>
  <r>
    <d v="2023-01-12T00:00:00"/>
    <s v="N/A"/>
    <m/>
    <x v="0"/>
    <s v="P2211141350"/>
    <s v="RTA MN - 415FIL - DU1-0445 - Replacement of rotten, hazardous and old standard pole"/>
    <s v="T. MOLINA ALABANG ALABANG MUNTINLUPA"/>
    <s v="MUNTINLUPA CITY"/>
    <s v="PARAÑAQUE"/>
    <s v="contact person needed from BC; for checking w/ PnS"/>
    <s v="W/O ISSUE"/>
    <x v="4"/>
    <s v="SCHED"/>
    <s v="RRG"/>
    <n v="40.302400000000006"/>
    <n v="25.37"/>
    <n v="0"/>
    <x v="6"/>
    <n v="70118.66"/>
    <n v="31407.589999999997"/>
    <m/>
    <n v="0"/>
    <d v="2022-12-05T10:43:00"/>
    <d v="2023-01-11T10:33:00"/>
    <d v="2023-01-13T00:00:00"/>
    <m/>
    <x v="0"/>
    <m/>
    <n v="-44900.446527777778"/>
    <n v="-44937.439583333333"/>
    <n v="0"/>
    <d v="2022-12-24T05:17:50"/>
    <d v="2023-01-02T00:39:08"/>
    <d v="2023-01-24T10:43:00"/>
    <n v="-1546.57093595679"/>
    <n v="0"/>
    <n v="20"/>
    <n v="36"/>
    <n v="21.774193548387096"/>
    <n v="27.58064516129032"/>
    <n v="18.774193548387096"/>
    <n v="40"/>
    <n v="32"/>
    <n v="27"/>
    <d v="1900-01-31T00:00:00"/>
    <d v="1900-01-26T00:00:00"/>
    <m/>
    <m/>
    <m/>
    <m/>
    <m/>
    <m/>
    <m/>
    <m/>
    <m/>
    <m/>
    <d v="1900-01-14T00:00:00"/>
    <n v="0"/>
    <m/>
    <m/>
    <m/>
    <m/>
    <m/>
    <m/>
    <m/>
    <m/>
    <m/>
    <m/>
    <s v="N"/>
    <m/>
    <m/>
    <m/>
    <m/>
    <m/>
    <m/>
    <m/>
    <m/>
    <m/>
  </r>
  <r>
    <d v="2023-01-12T00:00:00"/>
    <s v="N/A"/>
    <m/>
    <x v="0"/>
    <s v="P2211141356"/>
    <s v="RTA MN - 415FIL - DT1-0057 - Replacement of rotten, hazardous and old standard pole"/>
    <s v="ILAYA PUROK 7 ALABANG MUNTINLUPA"/>
    <s v="MUNTINLUPA CITY"/>
    <s v="PARAÑAQUE"/>
    <s v="for crew survey; for C1 survey"/>
    <s v="W/O ISSUE"/>
    <x v="0"/>
    <s v="SCHED"/>
    <s v="RRG"/>
    <n v="42.586100000000002"/>
    <n v="25.37"/>
    <n v="0"/>
    <x v="6"/>
    <n v="73123.350000000006"/>
    <n v="33187.269999999997"/>
    <m/>
    <n v="0"/>
    <d v="2022-12-06T22:36:00"/>
    <d v="2023-01-11T14:20:00"/>
    <d v="2023-01-14T00:00:00"/>
    <m/>
    <x v="0"/>
    <m/>
    <n v="-44901.941666666666"/>
    <n v="-44937.597222222219"/>
    <n v="0"/>
    <d v="2022-12-25T17:10:50"/>
    <d v="2023-01-03T12:32:08"/>
    <d v="2023-01-25T22:36:00"/>
    <n v="-1546.6224351851852"/>
    <n v="0"/>
    <n v="20"/>
    <n v="36"/>
    <n v="21.774193548387096"/>
    <n v="27.58064516129032"/>
    <n v="18.774193548387096"/>
    <n v="40"/>
    <n v="32"/>
    <n v="27"/>
    <d v="1900-01-31T00:00:00"/>
    <d v="1900-01-26T00:00:00"/>
    <m/>
    <m/>
    <m/>
    <m/>
    <m/>
    <m/>
    <m/>
    <m/>
    <m/>
    <m/>
    <d v="1900-01-14T00:00:00"/>
    <n v="0"/>
    <m/>
    <m/>
    <m/>
    <m/>
    <m/>
    <m/>
    <m/>
    <m/>
    <m/>
    <m/>
    <s v="N"/>
    <m/>
    <m/>
    <m/>
    <m/>
    <m/>
    <m/>
    <m/>
    <m/>
    <m/>
  </r>
  <r>
    <d v="2023-01-12T00:00:00"/>
    <s v="N/A"/>
    <m/>
    <x v="0"/>
    <s v="P2211141357"/>
    <s v="RTA MN - 415FIL - DU1-0003 - Replacement of rotten, hazardous and old standard pole"/>
    <s v="ILAYA ALABANG ALABANG MUNTINLUPA"/>
    <s v="MUNTINLUPA CITY"/>
    <s v="PARAÑAQUE"/>
    <s v="contact person needed from BC; for checking w/ PnS"/>
    <s v="W/O ISSUE"/>
    <x v="4"/>
    <s v="SCHED"/>
    <s v="RRG"/>
    <n v="51.012500000000003"/>
    <n v="25.37"/>
    <n v="0"/>
    <x v="6"/>
    <n v="80899.28"/>
    <n v="39753.950000000004"/>
    <m/>
    <n v="0"/>
    <d v="2022-12-06T22:38:00"/>
    <d v="2023-01-11T14:24:00"/>
    <d v="2023-01-13T00:00:00"/>
    <m/>
    <x v="0"/>
    <m/>
    <n v="-44901.943055555559"/>
    <n v="-44937.599999999999"/>
    <n v="0"/>
    <d v="2022-12-25T17:12:50"/>
    <d v="2023-01-03T12:34:08"/>
    <d v="2023-01-25T22:38:00"/>
    <n v="-1546.6224830246913"/>
    <n v="0"/>
    <n v="20"/>
    <n v="36"/>
    <n v="21.774193548387096"/>
    <n v="27.58064516129032"/>
    <n v="18.774193548387096"/>
    <n v="40"/>
    <n v="32"/>
    <n v="27"/>
    <d v="1900-01-31T00:00:00"/>
    <d v="1900-01-26T00:00:00"/>
    <m/>
    <m/>
    <m/>
    <m/>
    <m/>
    <m/>
    <m/>
    <m/>
    <m/>
    <m/>
    <d v="1900-01-14T00:00:00"/>
    <n v="0"/>
    <m/>
    <m/>
    <m/>
    <m/>
    <m/>
    <m/>
    <m/>
    <m/>
    <m/>
    <m/>
    <s v="N"/>
    <m/>
    <m/>
    <m/>
    <m/>
    <m/>
    <m/>
    <m/>
    <m/>
    <m/>
  </r>
  <r>
    <d v="2023-01-12T00:00:00"/>
    <s v="N/A"/>
    <m/>
    <x v="0"/>
    <s v="P2211141358"/>
    <s v="RTA MN - 415FIL - DV1-0001 - Replacement of rotten, hazardous and old standard pole"/>
    <s v="VINALON PUROK 3 CUPANG MUNTINLUPA"/>
    <s v="MUNTINLUPA CITY"/>
    <s v="PARAÑAQUE"/>
    <s v="contact person needed from BC; for checking w/ PnS"/>
    <s v="W/O ISSUE"/>
    <x v="4"/>
    <s v="SCHED"/>
    <s v="RRG"/>
    <n v="39.280100000000004"/>
    <n v="25.37"/>
    <n v="0"/>
    <x v="6"/>
    <n v="69142.179999999993"/>
    <n v="30610.91"/>
    <m/>
    <n v="0"/>
    <d v="2022-12-06T22:39:00"/>
    <d v="2023-01-11T14:29:00"/>
    <d v="2023-01-13T00:00:00"/>
    <m/>
    <x v="0"/>
    <m/>
    <n v="-44901.943749999999"/>
    <n v="-44937.603472222225"/>
    <n v="0"/>
    <d v="2022-12-25T17:13:50"/>
    <d v="2023-01-03T12:35:08"/>
    <d v="2023-01-25T22:39:00"/>
    <n v="-1546.6225069444445"/>
    <n v="0"/>
    <n v="20"/>
    <n v="36"/>
    <n v="21.774193548387096"/>
    <n v="27.58064516129032"/>
    <n v="18.774193548387096"/>
    <n v="40"/>
    <n v="32"/>
    <n v="27"/>
    <d v="1900-01-31T00:00:00"/>
    <d v="1900-01-26T00:00:00"/>
    <m/>
    <m/>
    <m/>
    <m/>
    <m/>
    <m/>
    <m/>
    <m/>
    <m/>
    <m/>
    <d v="1900-01-14T00:00:00"/>
    <n v="0"/>
    <m/>
    <m/>
    <m/>
    <m/>
    <m/>
    <m/>
    <m/>
    <m/>
    <m/>
    <m/>
    <s v="N"/>
    <m/>
    <m/>
    <m/>
    <m/>
    <m/>
    <m/>
    <m/>
    <m/>
    <m/>
  </r>
  <r>
    <d v="2023-01-12T00:00:00"/>
    <s v="N/A"/>
    <m/>
    <x v="0"/>
    <s v="P2211141362"/>
    <s v="RTA MN - 415FIL - DT1-0050 - Replacement of rotten, hazardous and old standard pole"/>
    <s v="ILAYA PUROK 7 ALABANG MUNTINLUPA"/>
    <s v="MUNTINLUPA CITY"/>
    <s v="PARAÑAQUE"/>
    <s v="for crew survey; for C1 survey"/>
    <s v="W/O ISSUE"/>
    <x v="0"/>
    <s v="SCHED"/>
    <s v="RRG"/>
    <n v="51.012500000000003"/>
    <n v="25.37"/>
    <n v="0"/>
    <x v="6"/>
    <n v="80899.28"/>
    <n v="29912.66"/>
    <m/>
    <n v="0"/>
    <d v="2022-12-06T22:40:00"/>
    <d v="2023-01-11T14:19:00"/>
    <d v="2023-01-14T00:00:00"/>
    <m/>
    <x v="0"/>
    <m/>
    <n v="-44901.944444444445"/>
    <n v="-44937.59652777778"/>
    <n v="0"/>
    <d v="2022-12-25T17:14:50"/>
    <d v="2023-01-03T12:36:08"/>
    <d v="2023-01-25T22:40:00"/>
    <n v="-1546.6225308641974"/>
    <n v="0"/>
    <n v="20"/>
    <n v="36"/>
    <n v="21.774193548387096"/>
    <n v="27.58064516129032"/>
    <n v="18.774193548387096"/>
    <n v="40"/>
    <n v="32"/>
    <n v="27"/>
    <d v="1900-01-31T00:00:00"/>
    <d v="1900-01-26T00:00:00"/>
    <m/>
    <m/>
    <m/>
    <m/>
    <m/>
    <m/>
    <m/>
    <m/>
    <m/>
    <m/>
    <d v="1900-01-14T00:00:00"/>
    <n v="0"/>
    <m/>
    <m/>
    <m/>
    <m/>
    <m/>
    <m/>
    <m/>
    <m/>
    <m/>
    <m/>
    <s v="N"/>
    <m/>
    <m/>
    <m/>
    <m/>
    <m/>
    <m/>
    <m/>
    <m/>
    <m/>
  </r>
  <r>
    <d v="2023-01-12T00:00:00"/>
    <s v="N/A"/>
    <m/>
    <x v="0"/>
    <s v="P2211141366"/>
    <s v="RTA MN - 425FIL - DT1-0140 - Replacement of rotten, hazardous and old standard pole"/>
    <s v="NATIONAL ALABANG ALABANG MUNTINLUPA"/>
    <s v="MUNTINLUPA CITY"/>
    <s v="PARAÑAQUE"/>
    <s v="contact person needed from BC; for checking w/ PnS"/>
    <s v="W/O ISSUE"/>
    <x v="4"/>
    <s v="SCHED"/>
    <s v="RRG"/>
    <n v="39.280100000000004"/>
    <n v="39.28"/>
    <n v="0"/>
    <x v="6"/>
    <n v="69142.179999999993"/>
    <n v="30610.91"/>
    <m/>
    <n v="0"/>
    <d v="2022-12-06T22:41:00"/>
    <d v="2023-01-12T00:00:00"/>
    <d v="2023-01-13T00:00:00"/>
    <m/>
    <x v="0"/>
    <m/>
    <n v="-44901.945138888892"/>
    <n v="-44938"/>
    <n v="0"/>
    <d v="2022-12-25T17:15:50"/>
    <d v="2023-01-03T12:37:08"/>
    <d v="2023-01-25T22:41:00"/>
    <n v="-1546.6225547839508"/>
    <n v="0"/>
    <n v="20"/>
    <n v="36"/>
    <n v="21.774193548387096"/>
    <n v="27.58064516129032"/>
    <n v="18.774193548387096"/>
    <n v="40"/>
    <n v="32"/>
    <n v="27"/>
    <d v="1900-01-31T00:00:00"/>
    <d v="1900-01-26T00:00:00"/>
    <m/>
    <m/>
    <m/>
    <m/>
    <m/>
    <m/>
    <m/>
    <m/>
    <m/>
    <m/>
    <d v="1900-01-14T00:00:00"/>
    <n v="0"/>
    <m/>
    <m/>
    <m/>
    <m/>
    <m/>
    <m/>
    <m/>
    <m/>
    <m/>
    <m/>
    <s v="N"/>
    <m/>
    <m/>
    <m/>
    <m/>
    <m/>
    <m/>
    <m/>
    <m/>
    <m/>
  </r>
  <r>
    <d v="2023-01-12T00:00:00"/>
    <s v="N/A"/>
    <m/>
    <x v="0"/>
    <s v="P2211141368"/>
    <s v="RTA MN - 425FIL - DT1-0264 - Replacement of rotten, hazardous and old standard pole"/>
    <s v="M. DOLLETON PUROK 1 BAYANAN MUNTINLUPA"/>
    <s v="MUNTINLUPA CITY"/>
    <s v="PARAÑAQUE"/>
    <s v="for scheduling, drainage and waterline"/>
    <s v="W/ ISSUE"/>
    <x v="2"/>
    <s v="SCHED"/>
    <s v="IGL"/>
    <n v="39.280100000000004"/>
    <n v="25.37"/>
    <n v="0"/>
    <x v="6"/>
    <n v="69142.179999999993"/>
    <n v="30610.91"/>
    <m/>
    <n v="0"/>
    <d v="2022-12-06T22:46:00"/>
    <d v="2023-01-12T00:00:00"/>
    <d v="2023-01-14T00:00:00"/>
    <m/>
    <x v="0"/>
    <m/>
    <n v="-44901.948611111111"/>
    <n v="-44938"/>
    <n v="0"/>
    <d v="2022-12-25T17:20:50"/>
    <d v="2023-01-03T12:42:08"/>
    <d v="2023-01-25T22:46:00"/>
    <n v="-1546.622674382716"/>
    <n v="0"/>
    <n v="20"/>
    <n v="36"/>
    <n v="21.774193548387096"/>
    <n v="27.58064516129032"/>
    <n v="18.774193548387096"/>
    <n v="40"/>
    <n v="32"/>
    <n v="27"/>
    <d v="1900-01-31T00:00:00"/>
    <d v="1900-01-26T00:00:00"/>
    <m/>
    <m/>
    <m/>
    <m/>
    <m/>
    <m/>
    <m/>
    <m/>
    <m/>
    <m/>
    <d v="1900-01-14T00:00:00"/>
    <n v="0"/>
    <m/>
    <m/>
    <m/>
    <m/>
    <m/>
    <m/>
    <m/>
    <m/>
    <m/>
    <m/>
    <s v="N"/>
    <m/>
    <m/>
    <m/>
    <m/>
    <m/>
    <m/>
    <m/>
    <m/>
    <m/>
  </r>
  <r>
    <d v="2023-01-12T00:00:00"/>
    <s v="N/A"/>
    <m/>
    <x v="0"/>
    <s v="P2211141370"/>
    <s v="RTA MN - 425FIL - ALB1-1897 - Replacement of rotten, hazardous and old standard pole"/>
    <s v="HERRERA JR. PUROK 1 BAYANAN MUNTINLUPA"/>
    <s v="MUNTINLUPA CITY"/>
    <s v="PARAÑAQUE"/>
    <s v="for scheduling, check pole tag"/>
    <s v="W/O ISSUE"/>
    <x v="2"/>
    <s v="SCHED"/>
    <s v="IGL"/>
    <n v="38.384100000000004"/>
    <n v="25.37"/>
    <n v="0"/>
    <x v="6"/>
    <n v="68226.09"/>
    <n v="29912.66"/>
    <m/>
    <n v="0"/>
    <d v="2022-12-06T22:48:00"/>
    <d v="2023-01-12T00:00:00"/>
    <d v="2023-01-14T00:00:00"/>
    <m/>
    <x v="0"/>
    <m/>
    <n v="-44901.95"/>
    <n v="-44938"/>
    <n v="0"/>
    <d v="2022-12-25T17:22:50"/>
    <d v="2023-01-03T12:44:08"/>
    <d v="2023-01-25T22:48:00"/>
    <n v="-1546.6227222222219"/>
    <n v="0"/>
    <n v="20"/>
    <n v="36"/>
    <n v="21.774193548387096"/>
    <n v="27.58064516129032"/>
    <n v="18.774193548387096"/>
    <n v="40"/>
    <n v="32"/>
    <n v="27"/>
    <d v="1900-01-31T00:00:00"/>
    <d v="1900-01-26T00:00:00"/>
    <m/>
    <m/>
    <m/>
    <m/>
    <m/>
    <m/>
    <m/>
    <m/>
    <m/>
    <m/>
    <d v="1900-01-14T00:00:00"/>
    <n v="0"/>
    <m/>
    <m/>
    <m/>
    <m/>
    <m/>
    <m/>
    <m/>
    <m/>
    <m/>
    <m/>
    <s v="N"/>
    <m/>
    <m/>
    <m/>
    <m/>
    <m/>
    <m/>
    <m/>
    <m/>
    <m/>
  </r>
  <r>
    <d v="2023-01-12T00:00:00"/>
    <s v="N/A"/>
    <m/>
    <x v="0"/>
    <s v="P2211141364"/>
    <s v="RTA MN - 425FIL - DS1-0169 - Replacement of rotten, hazardous and old standard pole"/>
    <s v="VIRGO PUROK 1 BAYANAN MUNTINLUPA"/>
    <s v="MUNTINLUPA CITY"/>
    <s v="PARAÑAQUE"/>
    <s v="for scheduling"/>
    <s v="W/O ISSUE"/>
    <x v="2"/>
    <s v="SCHED"/>
    <s v="IGL"/>
    <n v="39.280100000000004"/>
    <n v="24.02"/>
    <n v="0"/>
    <x v="6"/>
    <n v="69095.41"/>
    <n v="30610.91"/>
    <m/>
    <n v="0"/>
    <d v="2022-12-08T23:06:00"/>
    <d v="2023-01-12T00:00:00"/>
    <d v="2023-01-14T00:00:00"/>
    <m/>
    <x v="0"/>
    <m/>
    <n v="-44903.962500000001"/>
    <n v="-44938"/>
    <n v="0"/>
    <d v="2022-12-27T17:40:50"/>
    <d v="2023-01-05T13:02:08"/>
    <d v="2023-01-27T23:06:00"/>
    <n v="-1546.6920416666667"/>
    <n v="0"/>
    <n v="20"/>
    <n v="36"/>
    <n v="21.774193548387096"/>
    <n v="27.58064516129032"/>
    <n v="18.774193548387096"/>
    <n v="40"/>
    <n v="32"/>
    <n v="27"/>
    <d v="1900-01-31T00:00:00"/>
    <d v="1900-01-26T00:00:00"/>
    <m/>
    <m/>
    <m/>
    <m/>
    <m/>
    <m/>
    <m/>
    <m/>
    <m/>
    <m/>
    <d v="1900-01-14T00:00:00"/>
    <n v="0"/>
    <m/>
    <m/>
    <m/>
    <m/>
    <m/>
    <m/>
    <m/>
    <m/>
    <m/>
    <m/>
    <s v="N"/>
    <m/>
    <m/>
    <m/>
    <m/>
    <m/>
    <m/>
    <m/>
    <m/>
    <m/>
  </r>
  <r>
    <d v="2022-12-16T00:00:00"/>
    <s v="OK"/>
    <m/>
    <x v="2"/>
    <s v="R21956925"/>
    <s v="MACAGGA DANICA RUTH RABENA"/>
    <s v="REYVILLE I SUBD, REYVILLE I SUBD, BACOOR"/>
    <s v="BACOOR CITY"/>
    <s v="DASMA"/>
    <s v="current plan cannot be executed due to the lack of space for installing a down guy; contractor cannot execute; for digging on Feb. 21, 2023; w/ customer issue:_x000a_FOR CANCELLATION"/>
    <s v="W/ ISSUE"/>
    <x v="0"/>
    <s v="PCAN4"/>
    <s v="RRG"/>
    <n v="13.004099999999999"/>
    <n v="26.07"/>
    <n v="0"/>
    <x v="3"/>
    <n v="37045.870000000003"/>
    <n v="13135.2"/>
    <m/>
    <n v="0"/>
    <d v="2022-12-09T00:00:00"/>
    <d v="2022-12-14T00:00:00"/>
    <d v="2022-12-15T00:00:00"/>
    <m/>
    <x v="0"/>
    <m/>
    <n v="-44904"/>
    <n v="-44909"/>
    <n v="0"/>
    <d v="2022-12-27T18:34:50"/>
    <d v="2023-01-05T13:56:08"/>
    <d v="2023-01-28T00:00:00"/>
    <n v="-1546.6933333333332"/>
    <n v="0"/>
    <n v="20"/>
    <n v="36"/>
    <n v="21.774193548387096"/>
    <n v="27.58064516129032"/>
    <n v="18.774193548387096"/>
    <n v="40"/>
    <n v="32"/>
    <n v="27"/>
    <d v="1900-01-31T00:00:00"/>
    <d v="1900-01-26T00:00:00"/>
    <m/>
    <m/>
    <m/>
    <m/>
    <m/>
    <m/>
    <m/>
    <m/>
    <m/>
    <m/>
    <d v="1900-01-14T00:00:00"/>
    <n v="0"/>
    <m/>
    <m/>
    <m/>
    <m/>
    <m/>
    <m/>
    <m/>
    <m/>
    <m/>
    <m/>
    <s v="N"/>
    <m/>
    <m/>
    <m/>
    <m/>
    <m/>
    <m/>
    <m/>
    <m/>
    <m/>
  </r>
  <r>
    <d v="2023-01-12T00:00:00"/>
    <s v="N/A"/>
    <m/>
    <x v="0"/>
    <s v="P2211141365"/>
    <s v="RTA MN - 425FIL - NPT(NR DT1-5850) - Replacement of rotten, hazardous and old standard pole"/>
    <s v="M. DOLLETON PUROK 1 BAYANAN MUNTINLUPA"/>
    <s v="MUNTINLUPA CITY"/>
    <s v="PARAÑAQUE"/>
    <s v="for scheduling, check if wood pole"/>
    <s v="W/O ISSUE"/>
    <x v="2"/>
    <s v="SCHED"/>
    <s v="IGL"/>
    <n v="39.280100000000004"/>
    <n v="24.02"/>
    <n v="0"/>
    <x v="6"/>
    <n v="69101.47"/>
    <n v="30610.91"/>
    <m/>
    <n v="0"/>
    <d v="2022-12-09T14:12:00"/>
    <d v="2023-01-12T00:00:00"/>
    <d v="2023-01-14T00:00:00"/>
    <m/>
    <x v="0"/>
    <m/>
    <n v="-44904.591666666667"/>
    <n v="-44938"/>
    <n v="0"/>
    <d v="2022-12-28T08:46:50"/>
    <d v="2023-01-06T04:08:08"/>
    <d v="2023-01-28T14:12:00"/>
    <n v="-1546.7137129629627"/>
    <n v="0"/>
    <n v="20"/>
    <n v="36"/>
    <n v="21.774193548387096"/>
    <n v="27.58064516129032"/>
    <n v="18.774193548387096"/>
    <n v="40"/>
    <n v="32"/>
    <n v="27"/>
    <d v="1900-01-31T00:00:00"/>
    <d v="1900-01-26T00:00:00"/>
    <m/>
    <m/>
    <m/>
    <m/>
    <m/>
    <m/>
    <m/>
    <m/>
    <m/>
    <m/>
    <d v="1900-01-14T00:00:00"/>
    <n v="0"/>
    <m/>
    <m/>
    <m/>
    <m/>
    <m/>
    <m/>
    <m/>
    <m/>
    <m/>
    <m/>
    <s v="N"/>
    <m/>
    <m/>
    <m/>
    <m/>
    <m/>
    <m/>
    <m/>
    <m/>
    <m/>
  </r>
  <r>
    <d v="2023-01-12T00:00:00"/>
    <s v="N/A"/>
    <m/>
    <x v="0"/>
    <s v="P2211141360"/>
    <s v="RTA MN - 415FIL - DU1-0119-T - Replacement of rotten, hazardous and old standard pole"/>
    <s v="NATIONAL ALABANG ALABANG MUNTINLUPA"/>
    <s v="MUNTINLUPA CITY"/>
    <s v="PARAÑAQUE"/>
    <s v="for schedule of digging 2/20"/>
    <s v="W/O ISSUE"/>
    <x v="3"/>
    <s v="SCHED"/>
    <s v="JMM"/>
    <n v="39.280100000000004"/>
    <n v="25.37"/>
    <n v="0"/>
    <x v="6"/>
    <n v="69083.289999999994"/>
    <n v="30610.91"/>
    <m/>
    <n v="0"/>
    <d v="2022-12-11T21:57:00"/>
    <d v="2023-01-11T14:27:00"/>
    <d v="2023-01-13T00:00:00"/>
    <m/>
    <x v="0"/>
    <m/>
    <n v="-44906.914583333331"/>
    <n v="-44937.602083333331"/>
    <n v="0"/>
    <d v="2022-12-30T16:31:50"/>
    <d v="2023-01-08T11:53:08"/>
    <d v="2023-01-30T21:57:00"/>
    <n v="-1546.7937245370367"/>
    <n v="0"/>
    <n v="20"/>
    <n v="36"/>
    <n v="21.774193548387096"/>
    <n v="27.58064516129032"/>
    <n v="18.774193548387096"/>
    <n v="40"/>
    <n v="32"/>
    <n v="27"/>
    <d v="1900-01-31T00:00:00"/>
    <d v="1900-01-26T00:00:00"/>
    <m/>
    <m/>
    <m/>
    <m/>
    <m/>
    <m/>
    <m/>
    <m/>
    <m/>
    <m/>
    <d v="1900-01-14T00:00:00"/>
    <n v="0"/>
    <m/>
    <m/>
    <m/>
    <m/>
    <m/>
    <m/>
    <m/>
    <m/>
    <m/>
    <m/>
    <s v="N"/>
    <m/>
    <m/>
    <m/>
    <m/>
    <m/>
    <m/>
    <m/>
    <m/>
    <m/>
  </r>
  <r>
    <d v="2023-01-12T00:00:00"/>
    <s v="N/A"/>
    <m/>
    <x v="0"/>
    <s v="P2211141361"/>
    <s v="RTA MN - 415FIL - DU1-0117-T - Replacement of rotten, hazardous and old standard pole"/>
    <s v="ILAYA ALABANG ALABANG MUNTINLUPA"/>
    <s v="MUNTINLUPA CITY"/>
    <s v="PARAÑAQUE"/>
    <s v="for schedule of digging 2/20"/>
    <s v="W/O ISSUE"/>
    <x v="3"/>
    <s v="SCHED"/>
    <s v="JMM"/>
    <n v="39.280100000000004"/>
    <n v="24.02"/>
    <n v="0"/>
    <x v="6"/>
    <n v="69095.41"/>
    <n v="30610.91"/>
    <m/>
    <n v="0"/>
    <d v="2022-12-11T21:58:00"/>
    <d v="2023-01-11T14:25:00"/>
    <d v="2023-01-13T00:00:00"/>
    <m/>
    <x v="0"/>
    <m/>
    <n v="-44906.915277777778"/>
    <n v="-44937.600694444445"/>
    <n v="0"/>
    <d v="2022-12-30T16:32:50"/>
    <d v="2023-01-08T11:54:08"/>
    <d v="2023-01-30T21:58:00"/>
    <n v="-1546.7937484567901"/>
    <n v="0"/>
    <n v="20"/>
    <n v="36"/>
    <n v="21.774193548387096"/>
    <n v="27.58064516129032"/>
    <n v="18.774193548387096"/>
    <n v="40"/>
    <n v="32"/>
    <n v="27"/>
    <d v="1900-01-31T00:00:00"/>
    <d v="1900-01-26T00:00:00"/>
    <m/>
    <m/>
    <m/>
    <m/>
    <m/>
    <m/>
    <m/>
    <m/>
    <m/>
    <m/>
    <d v="1900-01-14T00:00:00"/>
    <n v="0"/>
    <m/>
    <m/>
    <m/>
    <m/>
    <m/>
    <m/>
    <m/>
    <m/>
    <m/>
    <m/>
    <s v="N"/>
    <m/>
    <m/>
    <m/>
    <m/>
    <m/>
    <m/>
    <m/>
    <m/>
    <m/>
  </r>
  <r>
    <d v="2023-01-12T00:00:00"/>
    <s v="N/A"/>
    <m/>
    <x v="0"/>
    <s v="P2211141332"/>
    <s v="RTA MN - 415FIL - DU1-5951 - Replacement of rotten, hazardous and old standard pole"/>
    <s v="MONTILLANO ALABANG ALABANG MUNTINLUPA"/>
    <s v="MUNTINLUPA CITY"/>
    <s v="PARAÑAQUE"/>
    <s v="for schedule of digging 2/20, pole used as DT pole (tandem with DU1-5950)"/>
    <s v="W/O ISSUE"/>
    <x v="3"/>
    <s v="SCHED"/>
    <s v="JMM"/>
    <n v="54.862300000000005"/>
    <n v="26.33"/>
    <n v="0"/>
    <x v="6"/>
    <n v="95850.85"/>
    <n v="42754.090000000004"/>
    <m/>
    <n v="0"/>
    <d v="2022-12-11T22:22:00"/>
    <d v="2023-01-11T10:35:00"/>
    <d v="2023-01-13T00:00:00"/>
    <m/>
    <x v="0"/>
    <m/>
    <n v="-44906.931944444441"/>
    <n v="-44937.440972222219"/>
    <n v="0"/>
    <d v="2022-12-30T16:56:50"/>
    <d v="2023-01-08T12:18:08"/>
    <d v="2023-01-30T22:22:00"/>
    <n v="-1546.7943225308641"/>
    <n v="0"/>
    <n v="20"/>
    <n v="36"/>
    <n v="21.774193548387096"/>
    <n v="27.58064516129032"/>
    <n v="18.774193548387096"/>
    <n v="40"/>
    <n v="32"/>
    <n v="27"/>
    <d v="1900-01-31T00:00:00"/>
    <d v="1900-01-26T00:00:00"/>
    <m/>
    <m/>
    <m/>
    <m/>
    <m/>
    <m/>
    <m/>
    <m/>
    <m/>
    <m/>
    <d v="1900-01-14T00:00:00"/>
    <n v="0"/>
    <m/>
    <m/>
    <m/>
    <m/>
    <m/>
    <m/>
    <m/>
    <m/>
    <m/>
    <m/>
    <s v="N"/>
    <m/>
    <m/>
    <m/>
    <m/>
    <m/>
    <m/>
    <m/>
    <m/>
    <m/>
  </r>
  <r>
    <d v="2023-01-12T00:00:00"/>
    <s v="N/A"/>
    <m/>
    <x v="0"/>
    <s v="P2211141351"/>
    <s v="RTA MN - 415FIL - DU1-0686 - Replacement of rotten, hazardous and old standard pole"/>
    <s v="PNR CUPANG CUPANG MUNTINLUPA"/>
    <s v="MUNTINLUPA CITY"/>
    <s v="PARAÑAQUE"/>
    <s v="for schedule of digging 2/20"/>
    <s v="W/O ISSUE"/>
    <x v="3"/>
    <s v="SCHED"/>
    <s v="JMM"/>
    <n v="47.498399999999997"/>
    <n v="25.37"/>
    <n v="0"/>
    <x v="6"/>
    <n v="77366.97"/>
    <n v="37015.410000000003"/>
    <m/>
    <n v="0"/>
    <d v="2022-12-11T22:24:00"/>
    <d v="2023-01-11T14:28:00"/>
    <d v="2023-01-13T00:00:00"/>
    <m/>
    <x v="0"/>
    <m/>
    <n v="-44906.933333333334"/>
    <n v="-44937.602777777778"/>
    <n v="0"/>
    <d v="2022-12-30T16:58:50"/>
    <d v="2023-01-08T12:20:08"/>
    <d v="2023-01-30T22:24:00"/>
    <n v="-1546.7943703703704"/>
    <n v="0"/>
    <n v="20"/>
    <n v="36"/>
    <n v="21.774193548387096"/>
    <n v="27.58064516129032"/>
    <n v="18.774193548387096"/>
    <n v="40"/>
    <n v="32"/>
    <n v="27"/>
    <d v="1900-01-31T00:00:00"/>
    <d v="1900-01-26T00:00:00"/>
    <m/>
    <m/>
    <m/>
    <m/>
    <m/>
    <m/>
    <m/>
    <m/>
    <m/>
    <m/>
    <d v="1900-01-14T00:00:00"/>
    <n v="0"/>
    <m/>
    <m/>
    <m/>
    <m/>
    <m/>
    <m/>
    <m/>
    <m/>
    <m/>
    <m/>
    <s v="N"/>
    <m/>
    <m/>
    <m/>
    <m/>
    <m/>
    <m/>
    <m/>
    <m/>
    <m/>
  </r>
  <r>
    <d v="2023-01-12T00:00:00"/>
    <s v="N/A"/>
    <m/>
    <x v="0"/>
    <s v="P2211141353"/>
    <s v="RTA MN - 415FIL - DT1-0061 - Replacement of rotten, hazardous and old standard pole"/>
    <s v="MENDIOLA PUROK 1 ALABANG MUNTINLUPA"/>
    <s v="MUNTINLUPA CITY"/>
    <s v="PARAÑAQUE"/>
    <s v="for crew survey; for C1 survey"/>
    <s v="W/O ISSUE"/>
    <x v="0"/>
    <s v="SCHED"/>
    <s v="RRG"/>
    <n v="39.280100000000004"/>
    <n v="25.37"/>
    <n v="0"/>
    <x v="6"/>
    <n v="69142.179999999993"/>
    <n v="30610.91"/>
    <m/>
    <n v="0"/>
    <d v="2022-12-11T22:24:00"/>
    <d v="2023-01-11T14:21:00"/>
    <d v="2023-01-14T00:00:00"/>
    <m/>
    <x v="0"/>
    <m/>
    <n v="-44906.933333333334"/>
    <n v="-44937.597916666666"/>
    <n v="0"/>
    <d v="2022-12-30T16:58:50"/>
    <d v="2023-01-08T12:20:08"/>
    <d v="2023-01-30T22:24:00"/>
    <n v="-1546.7943703703704"/>
    <n v="0"/>
    <n v="20"/>
    <n v="36"/>
    <n v="21.774193548387096"/>
    <n v="27.58064516129032"/>
    <n v="18.774193548387096"/>
    <n v="40"/>
    <n v="32"/>
    <n v="27"/>
    <d v="1900-01-31T00:00:00"/>
    <d v="1900-01-26T00:00:00"/>
    <m/>
    <m/>
    <m/>
    <m/>
    <m/>
    <m/>
    <m/>
    <m/>
    <m/>
    <m/>
    <d v="1900-01-14T00:00:00"/>
    <n v="0"/>
    <m/>
    <m/>
    <m/>
    <m/>
    <m/>
    <m/>
    <m/>
    <m/>
    <m/>
    <m/>
    <s v="N"/>
    <m/>
    <m/>
    <m/>
    <m/>
    <m/>
    <m/>
    <m/>
    <m/>
    <m/>
  </r>
  <r>
    <d v="2023-01-12T00:00:00"/>
    <s v="N/A"/>
    <m/>
    <x v="0"/>
    <s v="P2211141343"/>
    <s v="RTA MN - 415FIL - ALB1-1353 - Replacement of rotten, hazardous and old standard pole"/>
    <s v="CAPT. IGNACIO MABOLO I MABOLO I BACOOR CAVITE"/>
    <s v="BACOOR CITY"/>
    <s v="DASMA"/>
    <s v="for schedule of digging 2/20"/>
    <s v="W/O ISSUE"/>
    <x v="3"/>
    <s v="SCHED"/>
    <s v="JMM"/>
    <n v="38.384100000000004"/>
    <n v="25.37"/>
    <n v="0"/>
    <x v="6"/>
    <n v="68226.09"/>
    <n v="29912.66"/>
    <m/>
    <n v="0"/>
    <d v="2022-12-11T22:27:00"/>
    <d v="2023-01-11T14:19:00"/>
    <d v="2023-01-13T00:00:00"/>
    <m/>
    <x v="0"/>
    <m/>
    <n v="-44906.935416666667"/>
    <n v="-44937.59652777778"/>
    <n v="0"/>
    <d v="2022-12-30T17:01:50"/>
    <d v="2023-01-08T12:23:08"/>
    <d v="2023-01-30T22:27:00"/>
    <n v="-1546.7944421296295"/>
    <n v="0"/>
    <n v="20"/>
    <n v="36"/>
    <n v="21.774193548387096"/>
    <n v="27.58064516129032"/>
    <n v="18.774193548387096"/>
    <n v="40"/>
    <n v="32"/>
    <n v="27"/>
    <d v="1900-01-31T00:00:00"/>
    <d v="1900-01-26T00:00:00"/>
    <m/>
    <m/>
    <m/>
    <m/>
    <m/>
    <m/>
    <m/>
    <m/>
    <m/>
    <m/>
    <d v="1900-01-14T00:00:00"/>
    <n v="0"/>
    <m/>
    <m/>
    <m/>
    <m/>
    <m/>
    <m/>
    <m/>
    <m/>
    <m/>
    <m/>
    <s v="N"/>
    <m/>
    <m/>
    <m/>
    <m/>
    <m/>
    <m/>
    <m/>
    <m/>
    <m/>
  </r>
  <r>
    <d v="2023-01-12T00:00:00"/>
    <s v="N/A"/>
    <m/>
    <x v="0"/>
    <s v="P2211141342"/>
    <s v="RTA MN - 415FIL - DT2-2199 - Replacement of rotten, hazardous and old standard pole"/>
    <s v="SAN GUILLERMO BAYANAN BAYANAN MUNTINLUPA"/>
    <s v="MUNTINLUPA CITY"/>
    <s v="PARAÑAQUE"/>
    <s v="digging done, schedule only at night"/>
    <s v="W/O ISSUE"/>
    <x v="2"/>
    <s v="INPRG"/>
    <s v="IGL"/>
    <n v="51.012500000000003"/>
    <n v="25.37"/>
    <n v="0"/>
    <x v="6"/>
    <n v="80899.28"/>
    <n v="39753.950000000004"/>
    <m/>
    <n v="0"/>
    <d v="2022-12-11T22:28:00"/>
    <d v="2023-01-11T14:23:00"/>
    <d v="2023-01-14T00:00:00"/>
    <m/>
    <x v="0"/>
    <m/>
    <n v="-44906.936111111114"/>
    <n v="-44937.599305555559"/>
    <n v="0"/>
    <d v="2022-12-30T17:02:50"/>
    <d v="2023-01-08T12:24:08"/>
    <d v="2023-01-30T22:28:00"/>
    <n v="-1546.7944660493829"/>
    <n v="0"/>
    <n v="20"/>
    <n v="36"/>
    <n v="21.774193548387096"/>
    <n v="27.58064516129032"/>
    <n v="18.774193548387096"/>
    <n v="40"/>
    <n v="32"/>
    <n v="27"/>
    <d v="1900-01-31T00:00:00"/>
    <d v="1900-01-26T00:00:00"/>
    <m/>
    <m/>
    <m/>
    <m/>
    <m/>
    <m/>
    <m/>
    <m/>
    <m/>
    <m/>
    <d v="1900-01-14T00:00:00"/>
    <n v="0"/>
    <m/>
    <m/>
    <m/>
    <m/>
    <m/>
    <m/>
    <m/>
    <m/>
    <m/>
    <m/>
    <s v="N"/>
    <m/>
    <m/>
    <m/>
    <m/>
    <m/>
    <m/>
    <m/>
    <m/>
    <m/>
  </r>
  <r>
    <d v="2023-01-12T00:00:00"/>
    <s v="N/A"/>
    <m/>
    <x v="0"/>
    <s v="P2211141340"/>
    <s v="RTA MN - 415FIL - DT1-0301 - Replacement of rotten, hazardous and old standard pole"/>
    <s v="SAN GUILLERMO PUTATAN PUTATAN MUNTINLUPA"/>
    <s v="MUNTINLUPA CITY"/>
    <s v="PARAÑAQUE"/>
    <s v="contact person needed from BC; for checking w/ PnS"/>
    <s v="W/O ISSUE"/>
    <x v="4"/>
    <s v="SCHED"/>
    <s v="RRG"/>
    <n v="38.384100000000004"/>
    <n v="25.37"/>
    <n v="0"/>
    <x v="6"/>
    <n v="68226.09"/>
    <n v="29912.66"/>
    <m/>
    <n v="0"/>
    <d v="2022-12-11T23:10:00"/>
    <d v="2023-01-11T14:22:00"/>
    <d v="2023-01-13T00:00:00"/>
    <m/>
    <x v="0"/>
    <m/>
    <n v="-44906.965277777781"/>
    <n v="-44937.598611111112"/>
    <n v="0"/>
    <d v="2022-12-30T17:44:50"/>
    <d v="2023-01-08T13:06:08"/>
    <d v="2023-01-30T23:10:00"/>
    <n v="-1546.7954706790124"/>
    <n v="0"/>
    <n v="20"/>
    <n v="36"/>
    <n v="21.774193548387096"/>
    <n v="27.58064516129032"/>
    <n v="18.774193548387096"/>
    <n v="40"/>
    <n v="32"/>
    <n v="27"/>
    <d v="1900-01-31T00:00:00"/>
    <d v="1900-01-26T00:00:00"/>
    <m/>
    <m/>
    <m/>
    <m/>
    <m/>
    <m/>
    <m/>
    <m/>
    <m/>
    <m/>
    <d v="1900-01-14T00:00:00"/>
    <n v="0"/>
    <m/>
    <m/>
    <m/>
    <m/>
    <m/>
    <m/>
    <m/>
    <m/>
    <m/>
    <m/>
    <s v="N"/>
    <m/>
    <m/>
    <m/>
    <m/>
    <m/>
    <m/>
    <m/>
    <m/>
    <m/>
  </r>
  <r>
    <d v="2023-01-12T00:00:00"/>
    <s v="N/A"/>
    <m/>
    <x v="0"/>
    <s v="P2211141328"/>
    <s v="RTA MN - 425FIL/415FIL - DS1-5305 - Replacement of rotten, hazardous and old standard pole"/>
    <s v="NATIONAL ALABANG ALABANG MUNTINLUPA"/>
    <s v="MUNTINLUPA CITY"/>
    <s v="PARAÑAQUE"/>
    <s v="for scheduling"/>
    <s v="W/O ISSUE"/>
    <x v="2"/>
    <s v="SCHED"/>
    <s v="IGL"/>
    <n v="39.280100000000004"/>
    <n v="24.02"/>
    <n v="0"/>
    <x v="6"/>
    <n v="67679.289999999994"/>
    <n v="30610.91"/>
    <m/>
    <n v="0"/>
    <d v="2022-12-11T23:20:00"/>
    <d v="2023-01-12T00:00:00"/>
    <d v="2023-01-14T00:00:00"/>
    <m/>
    <x v="0"/>
    <m/>
    <n v="-44906.972222222219"/>
    <n v="-44938"/>
    <n v="0"/>
    <d v="2022-12-30T17:54:50"/>
    <d v="2023-01-08T13:16:08"/>
    <d v="2023-01-30T23:20:00"/>
    <n v="-1546.7957098765432"/>
    <n v="0"/>
    <n v="20"/>
    <n v="36"/>
    <n v="21.774193548387096"/>
    <n v="27.58064516129032"/>
    <n v="18.774193548387096"/>
    <n v="40"/>
    <n v="32"/>
    <n v="27"/>
    <d v="1900-01-31T00:00:00"/>
    <d v="1900-01-26T00:00:00"/>
    <m/>
    <m/>
    <m/>
    <m/>
    <m/>
    <m/>
    <m/>
    <m/>
    <m/>
    <m/>
    <d v="1900-01-14T00:00:00"/>
    <n v="0"/>
    <m/>
    <m/>
    <m/>
    <m/>
    <m/>
    <m/>
    <m/>
    <m/>
    <m/>
    <m/>
    <s v="N"/>
    <m/>
    <m/>
    <m/>
    <m/>
    <m/>
    <m/>
    <m/>
    <m/>
    <m/>
  </r>
  <r>
    <d v="2023-01-12T00:00:00"/>
    <s v="N/A"/>
    <m/>
    <x v="0"/>
    <s v="P2211141377"/>
    <s v="RTA MN 425FIL  - NPT (DR1-0242) Replacement of rotten, hazardous and old standard pole"/>
    <s v="P. DIAZ POBLACION POBLACION MUNTINLUPA"/>
    <s v="MUNTINLUPA CITY"/>
    <s v="PARAÑAQUE"/>
    <s v="contact person needed from BC; for checking w/ PnS"/>
    <s v="W/O ISSUE"/>
    <x v="4"/>
    <s v="SCHED"/>
    <s v="RRG"/>
    <n v="39.280100000000004"/>
    <n v="24.02"/>
    <n v="0"/>
    <x v="6"/>
    <n v="69101.47"/>
    <n v="30610.91"/>
    <m/>
    <n v="0"/>
    <d v="2022-12-11T23:27:00"/>
    <d v="2023-01-12T00:00:00"/>
    <d v="2023-01-13T00:00:00"/>
    <m/>
    <x v="0"/>
    <m/>
    <n v="-44906.977083333331"/>
    <n v="-44938"/>
    <n v="0"/>
    <d v="2022-12-30T18:01:50"/>
    <d v="2023-01-08T13:23:08"/>
    <d v="2023-01-30T23:27:00"/>
    <n v="-1546.7958773148148"/>
    <n v="0"/>
    <n v="20"/>
    <n v="36"/>
    <n v="21.774193548387096"/>
    <n v="27.58064516129032"/>
    <n v="18.774193548387096"/>
    <n v="40"/>
    <n v="32"/>
    <n v="27"/>
    <d v="1900-01-31T00:00:00"/>
    <d v="1900-01-26T00:00:00"/>
    <m/>
    <m/>
    <m/>
    <m/>
    <m/>
    <m/>
    <m/>
    <m/>
    <m/>
    <m/>
    <d v="1900-01-14T00:00:00"/>
    <n v="0"/>
    <m/>
    <m/>
    <m/>
    <m/>
    <m/>
    <m/>
    <m/>
    <m/>
    <m/>
    <m/>
    <s v="N"/>
    <m/>
    <m/>
    <m/>
    <m/>
    <m/>
    <m/>
    <m/>
    <m/>
    <m/>
  </r>
  <r>
    <d v="2023-01-03T00:00:00"/>
    <d v="2022-12-27T00:00:00"/>
    <m/>
    <x v="1"/>
    <s v="X22125127907"/>
    <s v="MEGAWIDE CONSTRUCTION CORPORATION"/>
    <s v="ALABANG-ZAPOTE, PAMPLONA I, LAS PINAS CITY"/>
    <s v="LAS PIÑAS CITY"/>
    <s v="PARAÑAQUE"/>
    <s v="for execution on March 7, 2023; for execution on March 30, 2023; for execution on April 28, 2023"/>
    <s v="W/O ISSUE"/>
    <x v="4"/>
    <s v="PCAN"/>
    <s v="RRG"/>
    <n v="112.44670000000002"/>
    <n v="214.57"/>
    <n v="0"/>
    <x v="2"/>
    <n v="139047.79999999999"/>
    <n v="104815.37"/>
    <m/>
    <n v="0"/>
    <d v="2022-12-21T12:42:00"/>
    <d v="2022-12-29T00:00:00"/>
    <d v="2022-12-27T00:00:00"/>
    <m/>
    <x v="0"/>
    <m/>
    <n v="-44916.529166666667"/>
    <n v="-44924"/>
    <n v="0"/>
    <d v="2023-01-12T09:32:32"/>
    <d v="2023-01-22T00:42:00"/>
    <d v="2023-02-09T12:42:00"/>
    <n v="-1354.6254828042329"/>
    <n v="0"/>
    <n v="28"/>
    <n v="36"/>
    <n v="24.868421052631579"/>
    <n v="31.499999999999996"/>
    <n v="21.868421052631579"/>
    <n v="46"/>
    <n v="36.800000000000004"/>
    <n v="31.800000000000004"/>
    <d v="1900-02-04T19:12:00"/>
    <d v="1900-01-30T19:12:00"/>
    <m/>
    <m/>
    <m/>
    <m/>
    <m/>
    <m/>
    <m/>
    <m/>
    <m/>
    <m/>
    <d v="1900-01-14T00:00:00"/>
    <n v="0"/>
    <m/>
    <m/>
    <m/>
    <m/>
    <m/>
    <m/>
    <m/>
    <m/>
    <m/>
    <m/>
    <s v="Y"/>
    <m/>
    <m/>
    <m/>
    <m/>
    <m/>
    <m/>
    <m/>
    <m/>
    <s v="CX7-5836, CX7-5837, 171617"/>
  </r>
  <r>
    <d v="2023-02-15T00:00:00"/>
    <s v="N/A"/>
    <m/>
    <x v="0"/>
    <s v="P2301143548"/>
    <s v="PQUE 43WU Loadsplit [035817|WA359894|CW9-0271|Install 1-75kVA DT on pole CW9-0211 W/POLE"/>
    <s v="ADELITA CHIOCO BF HOMES BF HOMES PARANAQUE"/>
    <s v="PARAÑAQUE CITY"/>
    <s v="PARAÑAQUE"/>
    <s v="with customer opposition sa bunot tayong poste 0419"/>
    <s v="W/ ISSUE"/>
    <x v="2"/>
    <s v="INPRG"/>
    <s v="IGL"/>
    <n v="84.023900000000012"/>
    <n v="3.67"/>
    <n v="0"/>
    <x v="0"/>
    <n v="310484.15000000002"/>
    <n v="76106.73000000001"/>
    <m/>
    <n v="0"/>
    <d v="2023-02-01T10:09:00"/>
    <d v="2023-02-15T12:24:00"/>
    <d v="2023-02-03T00:00:00"/>
    <m/>
    <x v="0"/>
    <m/>
    <n v="-44958.42291666667"/>
    <n v="-44972.51666666667"/>
    <n v="0"/>
    <d v="2023-02-20T04:43:50"/>
    <d v="2023-03-01T00:05:08"/>
    <d v="2023-03-23T10:09:00"/>
    <n v="-1548.5679004629631"/>
    <n v="0"/>
    <n v="20"/>
    <n v="36"/>
    <n v="21.774193548387096"/>
    <n v="27.58064516129032"/>
    <n v="18.774193548387096"/>
    <n v="40"/>
    <n v="32"/>
    <n v="27"/>
    <d v="1900-01-31T00:00:00"/>
    <d v="1900-01-26T00:00:00"/>
    <m/>
    <m/>
    <m/>
    <m/>
    <m/>
    <m/>
    <m/>
    <m/>
    <m/>
    <m/>
    <d v="1900-01-14T00:00:00"/>
    <n v="0"/>
    <m/>
    <m/>
    <m/>
    <m/>
    <m/>
    <m/>
    <m/>
    <m/>
    <m/>
    <m/>
    <s v="N"/>
    <m/>
    <s v="Load-splitting"/>
    <s v="TLN 035817"/>
    <s v="Y"/>
    <s v="For schedule"/>
    <m/>
    <m/>
    <m/>
    <s v="CW9-0211, 035817"/>
  </r>
  <r>
    <d v="2023-02-15T00:00:00"/>
    <s v="N/A"/>
    <m/>
    <x v="0"/>
    <s v="P2301143554"/>
    <s v="PQUE 415FIL Loadsplit [419127|WA196183|DT2-2061|Install additional 1-50kVA DT on pole DT2-2060"/>
    <s v="3RD L &amp; B CPD 2 ALABANG MUNTINLUPA"/>
    <s v="MUNTINLUPA CITY"/>
    <s v="PARAÑAQUE"/>
    <s v="with execution issue; accessibility; for survey c/o C1"/>
    <s v="W/ ISSUE"/>
    <x v="4"/>
    <s v="FCOMP"/>
    <s v="RRG"/>
    <n v="11.677800000000001"/>
    <n v="1.6"/>
    <n v="0"/>
    <x v="0"/>
    <n v="161415.96"/>
    <n v="10396.61"/>
    <m/>
    <n v="0"/>
    <d v="2023-02-01T10:11:00"/>
    <d v="2023-02-15T12:25:00"/>
    <d v="2023-02-06T00:00:00"/>
    <m/>
    <x v="2"/>
    <m/>
    <n v="713.5756944444438"/>
    <n v="699.48263888889051"/>
    <n v="-45672"/>
    <d v="2023-02-20T04:45:50"/>
    <d v="2023-03-01T00:07:08"/>
    <d v="2023-03-23T10:11:00"/>
    <n v="24.578718364197506"/>
    <n v="-1141.8"/>
    <n v="20"/>
    <n v="36"/>
    <n v="21.774193548387096"/>
    <n v="27.58064516129032"/>
    <n v="18.774193548387096"/>
    <n v="40"/>
    <n v="32"/>
    <n v="27"/>
    <d v="2025-02-16T00:00:00"/>
    <d v="2025-02-11T00:00:00"/>
    <m/>
    <m/>
    <m/>
    <m/>
    <m/>
    <m/>
    <m/>
    <m/>
    <s v="NO COC"/>
    <m/>
    <d v="2025-01-30T00:00:00"/>
    <n v="-394"/>
    <m/>
    <m/>
    <m/>
    <m/>
    <m/>
    <m/>
    <m/>
    <m/>
    <m/>
    <m/>
    <s v="N"/>
    <m/>
    <s v="Load-splitting"/>
    <s v="TLN 419127"/>
    <s v="N"/>
    <s v="For schedule"/>
    <m/>
    <m/>
    <m/>
    <s v="DT2-2060, 419127"/>
  </r>
  <r>
    <d v="2023-03-15T00:00:00"/>
    <s v="OK"/>
    <s v="Y"/>
    <x v="4"/>
    <s v="R21631694"/>
    <s v="CAVITEX INFRASTRUCTURE CORP.,"/>
    <s v="KAINGIN, STO. NIÑO, PARAÑAQUE"/>
    <s v="PARAÑAQUE CITY"/>
    <s v="PARAÑAQUE"/>
    <s v="ongoing (03-16-23); c/o MPTS"/>
    <s v="W/ ISSUE"/>
    <x v="0"/>
    <s v="INPRG"/>
    <s v="RRG"/>
    <n v="1059.1652000000006"/>
    <n v="2383.5700000000002"/>
    <n v="0"/>
    <x v="4"/>
    <n v="3525946.4"/>
    <n v="1241706.01"/>
    <m/>
    <n v="0"/>
    <d v="2023-03-07T00:00:00"/>
    <d v="2023-03-08T00:00:00"/>
    <d v="2023-03-14T00:00:00"/>
    <m/>
    <x v="0"/>
    <m/>
    <n v="-44992"/>
    <n v="-44993"/>
    <n v="0"/>
    <d v="2023-04-02T11:25:25"/>
    <d v="2023-04-13T08:04:12"/>
    <d v="2023-04-26T00:00:00"/>
    <n v="-1144.7964444444444"/>
    <n v="0"/>
    <n v="50"/>
    <n v="36"/>
    <n v="29.475982532751093"/>
    <n v="37.336244541484717"/>
    <n v="26.475982532751093"/>
    <n v="60"/>
    <n v="48"/>
    <n v="43"/>
    <d v="1900-02-16T00:00:00"/>
    <d v="1900-02-11T00:00:00"/>
    <m/>
    <m/>
    <m/>
    <m/>
    <m/>
    <m/>
    <m/>
    <m/>
    <m/>
    <m/>
    <d v="1900-01-14T00:00:00"/>
    <n v="0"/>
    <m/>
    <m/>
    <m/>
    <m/>
    <m/>
    <m/>
    <m/>
    <m/>
    <m/>
    <m/>
    <m/>
    <m/>
    <m/>
    <m/>
    <m/>
    <m/>
    <m/>
    <s v="PDZC"/>
    <m/>
    <m/>
  </r>
  <r>
    <d v="2023-04-11T00:00:00"/>
    <d v="2023-04-04T00:00:00"/>
    <m/>
    <x v="4"/>
    <s v="R22344695"/>
    <s v="ALVEO LAND CORPORATION"/>
    <s v="MADRIGAL BUSINESS PARK, ALABANG, MUNTINLUPA"/>
    <s v="MUNTINLUPA CITY"/>
    <s v="PARAÑAQUE"/>
    <s v="for PAI and for schedule after Dapulang Project"/>
    <s v="W/O ISSUE"/>
    <x v="0"/>
    <s v="FCOMP"/>
    <s v="RRG"/>
    <n v="205.70570000000009"/>
    <n v="1666.42"/>
    <n v="0"/>
    <x v="3"/>
    <n v="4408402.49"/>
    <n v="328357.78999999998"/>
    <m/>
    <n v="0"/>
    <d v="2023-03-27T00:00:00"/>
    <d v="2023-04-04T14:16:00"/>
    <d v="2023-04-12T00:00:00"/>
    <m/>
    <x v="3"/>
    <m/>
    <n v="673"/>
    <n v="664.40555555555329"/>
    <n v="-45685"/>
    <d v="2023-04-22T11:25:25"/>
    <d v="2023-05-03T08:04:12"/>
    <d v="2023-05-16T00:00:00"/>
    <n v="17.124111111111109"/>
    <n v="-761.41666666666663"/>
    <n v="50"/>
    <n v="36"/>
    <n v="29.475982532751093"/>
    <n v="37.336244541484717"/>
    <n v="26.475982532751093"/>
    <n v="60"/>
    <n v="48"/>
    <n v="43"/>
    <d v="2025-03-17T00:00:00"/>
    <d v="2025-03-12T00:00:00"/>
    <m/>
    <m/>
    <m/>
    <m/>
    <m/>
    <m/>
    <m/>
    <m/>
    <s v="NO COC"/>
    <m/>
    <d v="2025-02-12T00:00:00"/>
    <n v="-407"/>
    <m/>
    <m/>
    <m/>
    <m/>
    <m/>
    <m/>
    <m/>
    <m/>
    <m/>
    <m/>
    <s v="N"/>
    <m/>
    <m/>
    <m/>
    <m/>
    <m/>
    <m/>
    <m/>
    <d v="2023-04-11T00:00:00"/>
    <s v="CU9-5930, CU9-5931, CU9-5932, CU9-8002, CU9-8003, CU9-1748"/>
  </r>
  <r>
    <d v="2023-05-04T00:00:00"/>
    <d v="2023-05-04T00:00:00"/>
    <m/>
    <x v="2"/>
    <s v="X22104473949"/>
    <s v="CELEDONIA C. UTANES"/>
    <s v="KYOTO COR JERUSALEM ST., BF HOMES, PARAÑAQUE"/>
    <s v="PARAÑAQUE CITY"/>
    <s v="PARAÑAQUE"/>
    <s v="for change of tapping point 0913"/>
    <s v="W/ ISSUE"/>
    <x v="3"/>
    <s v="SCHED"/>
    <s v="JMM"/>
    <n v="64.748500000000007"/>
    <n v="134.13"/>
    <n v="80"/>
    <x v="5"/>
    <n v="495372.18"/>
    <n v="67653.48"/>
    <m/>
    <n v="0"/>
    <d v="2023-04-27T00:00:00"/>
    <d v="2023-05-03T00:00:00"/>
    <d v="2023-05-03T00:00:00"/>
    <m/>
    <x v="0"/>
    <m/>
    <n v="-45043"/>
    <n v="-45049"/>
    <n v="0"/>
    <d v="2023-05-17T08:16:54"/>
    <d v="2023-05-26T13:41:25"/>
    <d v="2023-06-16T00:00:00"/>
    <n v="-1447.082805429864"/>
    <n v="0"/>
    <n v="26"/>
    <n v="34"/>
    <n v="23.345070422535212"/>
    <n v="29.570422535211268"/>
    <n v="20.345070422535212"/>
    <n v="44"/>
    <n v="35.200000000000003"/>
    <n v="30.200000000000003"/>
    <d v="1900-02-03T04:48:00"/>
    <d v="1900-01-29T04:48:00"/>
    <m/>
    <m/>
    <m/>
    <m/>
    <m/>
    <m/>
    <m/>
    <m/>
    <m/>
    <m/>
    <d v="1900-01-14T00:00:00"/>
    <n v="0"/>
    <m/>
    <m/>
    <m/>
    <m/>
    <m/>
    <m/>
    <m/>
    <m/>
    <m/>
    <m/>
    <s v="Y"/>
    <m/>
    <m/>
    <m/>
    <m/>
    <m/>
    <m/>
    <m/>
    <d v="2023-05-06T00:00:00"/>
    <s v="CX8-0460, CX8-8074, CX8-0459, 514959, CX8-0547, CX8-8075"/>
  </r>
  <r>
    <d v="2023-08-16T00:00:00"/>
    <d v="2023-08-14T00:00:00"/>
    <m/>
    <x v="4"/>
    <s v="X23072866920"/>
    <s v="GLOBE TELECOM, INC."/>
    <s v="STA. INES, SAN ANTONIO VALLEY 6, PARANAQUE"/>
    <s v="PARAÑAQUE CITY"/>
    <s v="PARAÑAQUE"/>
    <m/>
    <s v="W/ ISSUE"/>
    <x v="0"/>
    <s v="PCAN"/>
    <s v="RRG"/>
    <n v="59.1616"/>
    <n v="122.67"/>
    <n v="23"/>
    <x v="5"/>
    <n v="363942.06"/>
    <n v="71262.06"/>
    <m/>
    <n v="0"/>
    <d v="2023-08-10T10:40:00"/>
    <d v="2023-08-15T00:00:00"/>
    <d v="2023-08-12T00:00:00"/>
    <m/>
    <x v="0"/>
    <m/>
    <n v="-45148.444444444445"/>
    <n v="-45153"/>
    <n v="0"/>
    <d v="2023-08-31T15:37:56"/>
    <d v="2023-09-10T02:33:23"/>
    <d v="2023-09-29T10:40:00"/>
    <n v="-1398.8300094966762"/>
    <n v="0"/>
    <n v="26"/>
    <n v="36"/>
    <n v="24.206896551724139"/>
    <n v="30.662068965517239"/>
    <n v="21.206896551724139"/>
    <n v="44"/>
    <n v="35.200000000000003"/>
    <n v="30.200000000000003"/>
    <d v="1900-02-03T04:48:00"/>
    <d v="1900-01-29T04:48:00"/>
    <m/>
    <m/>
    <m/>
    <m/>
    <m/>
    <m/>
    <m/>
    <m/>
    <s v="CANCELLED"/>
    <s v="Awaiting reply kay Monica, for confirmation ng issue"/>
    <d v="1900-01-14T00:00:00"/>
    <n v="0"/>
    <m/>
    <m/>
    <m/>
    <m/>
    <m/>
    <m/>
    <m/>
    <m/>
    <m/>
    <m/>
    <s v="Y"/>
    <m/>
    <m/>
    <m/>
    <m/>
    <m/>
    <m/>
    <m/>
    <d v="2023-08-17T00:00:00"/>
    <s v="CX8-0211, CX8-8131, 518095, CY9-0203"/>
  </r>
  <r>
    <d v="2023-09-12T00:00:00"/>
    <d v="2023-08-31T00:00:00"/>
    <m/>
    <x v="2"/>
    <s v="R22633190"/>
    <s v="CANDIE CHUA CO."/>
    <s v="BLK 8, PALM COAST MARINA, PARANAQUE"/>
    <s v="PARAÑAQUE CITY"/>
    <s v="PARAÑAQUE"/>
    <s v="For Sched September 26, 2023 survey/digging; pole location issue_x000a_Update as of October 28. Issue on HOA  and Customer not yet conduct meeting to resolve the issue "/>
    <s v="W/ ISSUE"/>
    <x v="0"/>
    <s v="INPRG"/>
    <s v="RRG"/>
    <n v="85.584400000000002"/>
    <n v="158.80000000000001"/>
    <n v="0"/>
    <x v="3"/>
    <n v="258760.27"/>
    <n v="91241.75"/>
    <m/>
    <n v="0"/>
    <d v="2023-08-31T12:27:00"/>
    <d v="2023-09-05T00:00:00"/>
    <d v="2023-09-05T00:00:00"/>
    <m/>
    <x v="0"/>
    <m/>
    <n v="-45169.518750000003"/>
    <n v="-45174"/>
    <n v="0"/>
    <d v="2023-09-21T17:24:56"/>
    <d v="2023-10-01T04:20:23"/>
    <d v="2023-10-20T12:27:00"/>
    <n v="-1399.4829527243589"/>
    <n v="0"/>
    <n v="26"/>
    <n v="36"/>
    <n v="24.206896551724139"/>
    <n v="30.662068965517239"/>
    <n v="21.206896551724139"/>
    <n v="44"/>
    <n v="35.200000000000003"/>
    <n v="30.200000000000003"/>
    <d v="1900-02-03T04:48:00"/>
    <d v="1900-01-29T04:48:00"/>
    <m/>
    <m/>
    <m/>
    <m/>
    <m/>
    <m/>
    <m/>
    <m/>
    <m/>
    <m/>
    <d v="1900-01-14T00:00:00"/>
    <n v="0"/>
    <m/>
    <m/>
    <m/>
    <m/>
    <m/>
    <m/>
    <m/>
    <m/>
    <m/>
    <m/>
    <s v="Y"/>
    <m/>
    <m/>
    <m/>
    <m/>
    <m/>
    <m/>
    <m/>
    <d v="2023-09-12T00:00:00"/>
    <s v="B4-2049, 113551, B4-8013, B4-5058, B4-2048"/>
  </r>
  <r>
    <d v="2023-09-28T00:00:00"/>
    <s v="N/A"/>
    <m/>
    <x v="4"/>
    <s v="P2210140139"/>
    <s v="ECP-SR:, ASEANA ,DEVT OF 115KV-34.5KV GIS SS Station Service"/>
    <s v="BELLE, ASEANA BUSINESS PARK, PARANAQUE"/>
    <s v="PARAÑAQUE CITY"/>
    <s v="PARAÑAQUE"/>
    <m/>
    <s v="W/O ISSUE"/>
    <x v="1"/>
    <s v="FCOMP"/>
    <s v="JMM"/>
    <n v="200.22979999999993"/>
    <n v="457.38"/>
    <n v="68"/>
    <x v="7"/>
    <n v="1162251.69"/>
    <n v="245180.25"/>
    <m/>
    <n v="0"/>
    <d v="2023-09-12T11:37:00"/>
    <d v="2023-09-26T00:00:00"/>
    <d v="2023-09-25T00:00:00"/>
    <m/>
    <x v="4"/>
    <m/>
    <n v="493.51597222222335"/>
    <n v="480"/>
    <n v="-45675"/>
    <d v="2023-10-04T12:21:10"/>
    <d v="2023-10-14T04:32:57"/>
    <d v="2023-11-01T11:37:00"/>
    <n v="14.787335197099708"/>
    <n v="-913.5"/>
    <n v="32"/>
    <n v="34"/>
    <n v="25.030674846625768"/>
    <n v="31.70552147239264"/>
    <n v="22.030674846625768"/>
    <n v="50"/>
    <n v="40"/>
    <n v="35"/>
    <d v="2025-02-27T00:00:00"/>
    <d v="2025-02-22T00:00:00"/>
    <m/>
    <m/>
    <m/>
    <m/>
    <m/>
    <m/>
    <m/>
    <m/>
    <s v="NO COC"/>
    <m/>
    <d v="2025-02-02T00:00:00"/>
    <n v="-397"/>
    <m/>
    <m/>
    <m/>
    <m/>
    <m/>
    <m/>
    <m/>
    <m/>
    <m/>
    <m/>
    <s v="Y"/>
    <m/>
    <m/>
    <m/>
    <m/>
    <m/>
    <m/>
    <m/>
    <d v="2023-09-29T00:00:00"/>
    <s v="C5-5609, C5-8032, C5-8033, C5-8034, C5-8035, C5-8001, 514027"/>
  </r>
  <r>
    <d v="2023-09-29T00:00:00"/>
    <d v="2023-09-27T00:00:00"/>
    <m/>
    <x v="2"/>
    <s v="X23072873118"/>
    <s v="JOSEPH T. CHUA"/>
    <s v="NARRA, LAKEVIEW HOMES I, MUNTINLUPA"/>
    <s v="MUNTINLUPA CITY"/>
    <s v="PARAÑAQUE"/>
    <s v="HOA claiming that they owned the property not by LGU_x000a_(on-going return of surplus materials)_x000a_FOR CANCELLATION"/>
    <s v="FOR CANCELLATION"/>
    <x v="0"/>
    <s v="PCAN3"/>
    <s v="RRG"/>
    <n v="262.96329999999989"/>
    <n v="498.18"/>
    <n v="86"/>
    <x v="8"/>
    <n v="1509543.73"/>
    <n v="257509.03"/>
    <m/>
    <n v="0"/>
    <d v="2023-09-26T09:10:00"/>
    <d v="2023-09-29T00:00:00"/>
    <d v="2023-09-27T00:00:00"/>
    <m/>
    <x v="0"/>
    <m/>
    <n v="-45195.381944444445"/>
    <n v="-45198"/>
    <n v="0"/>
    <d v="2023-10-18T09:54:10"/>
    <d v="2023-10-28T02:05:57"/>
    <d v="2023-11-15T09:10:00"/>
    <n v="-1354.1998634089052"/>
    <n v="0"/>
    <n v="32"/>
    <n v="34"/>
    <n v="25.030674846625768"/>
    <n v="31.70552147239264"/>
    <n v="22.030674846625768"/>
    <n v="50"/>
    <n v="40"/>
    <n v="35"/>
    <d v="1900-02-08T00:00:00"/>
    <d v="1900-02-03T00:00:00"/>
    <m/>
    <m/>
    <m/>
    <m/>
    <m/>
    <m/>
    <m/>
    <m/>
    <m/>
    <m/>
    <d v="1900-01-14T00:00:00"/>
    <n v="0"/>
    <m/>
    <m/>
    <m/>
    <m/>
    <m/>
    <m/>
    <m/>
    <m/>
    <m/>
    <m/>
    <s v="Y"/>
    <m/>
    <m/>
    <m/>
    <m/>
    <m/>
    <m/>
    <m/>
    <d v="2023-10-02T00:00:00"/>
    <s v="DR1-1524, ALB1-1297, ALB1-1939, DS1-8036, DS1-8037, DS1-8038, 518136, DS1-8039, DR1-1109, DS1-8040"/>
  </r>
  <r>
    <d v="2023-10-05T00:00:00"/>
    <d v="2023-09-29T00:00:00"/>
    <m/>
    <x v="2"/>
    <s v="X22114887149"/>
    <s v="ZENAIDA M. CELESTINO"/>
    <s v="DOÑA INES, ALABANG HILLS SUBD PH 2, MUNTINLUPA"/>
    <s v="MUNTINLUPA CITY"/>
    <s v="PARAÑAQUE"/>
    <s v="pole location issue for referral to BC"/>
    <s v="W/ ISSUE"/>
    <x v="0"/>
    <s v="SCHED"/>
    <s v="RRG"/>
    <n v="114.90139999999997"/>
    <n v="227.05"/>
    <n v="104"/>
    <x v="5"/>
    <n v="506248.25"/>
    <n v="120772.87"/>
    <m/>
    <n v="0"/>
    <d v="2023-09-27T08:17:00"/>
    <d v="2023-10-02T13:29:00"/>
    <d v="2023-09-29T00:00:00"/>
    <m/>
    <x v="0"/>
    <m/>
    <n v="-45196.345138888886"/>
    <n v="-45201.561805555553"/>
    <n v="0"/>
    <d v="2023-10-17T08:36:44"/>
    <d v="2023-10-26T11:53:59"/>
    <d v="2023-11-16T08:17:00"/>
    <n v="-1472.9166049727182"/>
    <n v="0"/>
    <n v="28"/>
    <n v="32"/>
    <n v="23.013698630136989"/>
    <n v="29.150684931506852"/>
    <n v="20.013698630136989"/>
    <n v="46"/>
    <n v="36.800000000000004"/>
    <n v="31.800000000000004"/>
    <d v="1900-02-04T19:12:00"/>
    <d v="1900-01-30T19:12:00"/>
    <m/>
    <m/>
    <m/>
    <m/>
    <m/>
    <m/>
    <m/>
    <m/>
    <m/>
    <m/>
    <d v="1900-01-14T00:00:00"/>
    <n v="0"/>
    <m/>
    <m/>
    <m/>
    <m/>
    <m/>
    <m/>
    <m/>
    <m/>
    <m/>
    <m/>
    <s v="Y"/>
    <m/>
    <m/>
    <m/>
    <m/>
    <m/>
    <m/>
    <m/>
    <d v="2023-10-07T00:00:00"/>
    <s v="DV1-0203, 801837, DV1-0204, 515089, DV1-0205"/>
  </r>
  <r>
    <d v="2023-11-08T00:00:00"/>
    <d v="2023-11-06T00:00:00"/>
    <m/>
    <x v="1"/>
    <s v="X23104085941"/>
    <s v="D.L. CERVANTES CONSTRUCTION CORPORATION"/>
    <s v="ARIA, STA. CECILIA VILL, LAS PINAS CITY"/>
    <s v="LAS PIÑAS CITY"/>
    <s v="PARAÑAQUE"/>
    <s v="For Schedule"/>
    <s v="W/O ISSUE"/>
    <x v="4"/>
    <s v="SCHED"/>
    <s v="RRG"/>
    <n v="8.4700000000000006"/>
    <n v="18.27"/>
    <n v="0"/>
    <x v="2"/>
    <n v="24652.39"/>
    <n v="10512.77"/>
    <m/>
    <n v="0"/>
    <d v="2023-10-29T13:00:00"/>
    <d v="2023-11-03T15:26:00"/>
    <d v="2023-11-04T00:00:00"/>
    <m/>
    <x v="0"/>
    <m/>
    <n v="-45228.541666666664"/>
    <n v="-45233.643055555556"/>
    <n v="0"/>
    <d v="2023-11-17T07:34:50"/>
    <d v="2023-11-26T02:56:08"/>
    <d v="2023-12-18T13:00:00"/>
    <n v="-1557.8719907407406"/>
    <n v="0"/>
    <n v="20"/>
    <n v="36"/>
    <n v="21.774193548387096"/>
    <n v="27.58064516129032"/>
    <n v="18.774193548387096"/>
    <n v="40"/>
    <n v="32"/>
    <n v="27"/>
    <d v="1900-01-31T00:00:00"/>
    <d v="1900-01-26T00:00:00"/>
    <m/>
    <m/>
    <m/>
    <m/>
    <m/>
    <m/>
    <m/>
    <m/>
    <m/>
    <m/>
    <d v="1900-01-14T00:00:00"/>
    <n v="0"/>
    <m/>
    <m/>
    <m/>
    <m/>
    <m/>
    <m/>
    <m/>
    <m/>
    <m/>
    <m/>
    <s v="Y"/>
    <m/>
    <m/>
    <m/>
    <m/>
    <m/>
    <m/>
    <m/>
    <s v="N/A"/>
    <s v="CW7-1298, 197239"/>
  </r>
  <r>
    <d v="2023-11-08T00:00:00"/>
    <d v="2023-11-06T00:00:00"/>
    <m/>
    <x v="2"/>
    <s v="X23031072544"/>
    <s v="MA. FIDES CARLA OASAN TALADUA"/>
    <s v="BLOCK 8, AVIDA SETTINGS CAVITE PH2, BACOOR"/>
    <s v="BACOOR CITY"/>
    <s v="DASMA"/>
    <s v="Hold by Developer  due to need Meralco coordination"/>
    <s v="W/ ISSUE"/>
    <x v="4"/>
    <s v="SCHED"/>
    <s v="RRG"/>
    <n v="83.91540000000002"/>
    <n v="151.66999999999999"/>
    <n v="40"/>
    <x v="5"/>
    <n v="391985.28"/>
    <n v="87441.34"/>
    <m/>
    <n v="0"/>
    <d v="2023-10-31T08:45:00"/>
    <d v="2023-11-03T15:27:00"/>
    <d v="2023-11-04T00:00:00"/>
    <m/>
    <x v="0"/>
    <m/>
    <n v="-45230.364583333336"/>
    <n v="-45233.643750000003"/>
    <n v="0"/>
    <d v="2023-11-21T13:42:56"/>
    <d v="2023-12-01T00:38:23"/>
    <d v="2023-12-20T08:45:00"/>
    <n v="-1401.3681334579771"/>
    <n v="0"/>
    <n v="26"/>
    <n v="36"/>
    <n v="24.206896551724139"/>
    <n v="30.662068965517239"/>
    <n v="21.206896551724139"/>
    <n v="44"/>
    <n v="35.200000000000003"/>
    <n v="30.200000000000003"/>
    <d v="1900-02-03T04:48:00"/>
    <d v="1900-01-29T04:48:00"/>
    <m/>
    <m/>
    <m/>
    <m/>
    <m/>
    <m/>
    <m/>
    <m/>
    <m/>
    <m/>
    <d v="1900-01-14T00:00:00"/>
    <n v="0"/>
    <m/>
    <m/>
    <m/>
    <m/>
    <m/>
    <m/>
    <m/>
    <m/>
    <m/>
    <m/>
    <s v="Y"/>
    <m/>
    <m/>
    <m/>
    <m/>
    <m/>
    <m/>
    <m/>
    <d v="2023-11-08T00:00:00"/>
    <s v="CP7-5251, 127774, 516578, CP7-5278"/>
  </r>
  <r>
    <d v="2023-11-22T00:00:00"/>
    <d v="2023-11-21T00:00:00"/>
    <m/>
    <x v="2"/>
    <s v="X23093558896"/>
    <s v="HELENE ASHLEY RAZO VERA CRUZ"/>
    <s v="CAVITE, ALABANG HILLS SUBD PH 3, MUNTINLUPA"/>
    <s v="MUNTINLUPA CITY"/>
    <s v="PARAÑAQUE"/>
    <s v="for digging"/>
    <s v="W/O ISSUE"/>
    <x v="0"/>
    <s v="SCHED"/>
    <s v="RRG"/>
    <n v="149.04269999999997"/>
    <n v="257.72000000000003"/>
    <n v="36"/>
    <x v="5"/>
    <n v="563779.23"/>
    <n v="139601.22"/>
    <m/>
    <n v="0"/>
    <d v="2023-11-17T09:44:00"/>
    <d v="2023-11-20T16:22:00"/>
    <d v="2023-11-18T00:00:00"/>
    <m/>
    <x v="0"/>
    <m/>
    <n v="-45247.405555555553"/>
    <n v="-45250.681944444441"/>
    <n v="0"/>
    <d v="2023-12-09T06:34:32"/>
    <d v="2023-12-18T21:44:00"/>
    <d v="2024-01-06T09:44:00"/>
    <n v="-1364.6042945326276"/>
    <n v="0"/>
    <n v="28"/>
    <n v="36"/>
    <n v="24.868421052631579"/>
    <n v="31.499999999999996"/>
    <n v="21.868421052631579"/>
    <n v="46"/>
    <n v="36.800000000000004"/>
    <n v="31.800000000000004"/>
    <d v="1900-02-04T19:12:00"/>
    <d v="1900-01-30T19:12:00"/>
    <m/>
    <m/>
    <m/>
    <m/>
    <m/>
    <m/>
    <m/>
    <m/>
    <m/>
    <m/>
    <d v="1900-01-14T00:00:00"/>
    <n v="0"/>
    <m/>
    <m/>
    <m/>
    <m/>
    <m/>
    <m/>
    <m/>
    <m/>
    <m/>
    <m/>
    <s v="Y"/>
    <m/>
    <m/>
    <m/>
    <m/>
    <m/>
    <m/>
    <m/>
    <d v="2023-11-24T00:00:00"/>
    <s v="DV1-0420, DV1-0450, DV1-8002, DV1-8003, 516687, DV1-0448"/>
  </r>
  <r>
    <d v="2023-11-29T00:00:00"/>
    <d v="2023-11-30T00:00:00"/>
    <m/>
    <x v="2"/>
    <s v="X22114818590"/>
    <s v="NILO F OMILLO"/>
    <s v="TOURMALINE, LAS PINAS RYL EST1, LAS PINAS CITY"/>
    <s v="LAS PIÑAS CITY"/>
    <s v="PARAÑAQUE"/>
    <s v="for digging"/>
    <s v="W/O ISSUE"/>
    <x v="0"/>
    <s v="SCHED"/>
    <s v="RRG"/>
    <n v="219.0052"/>
    <n v="454.43"/>
    <n v="98.8"/>
    <x v="5"/>
    <n v="1122491.8999999999"/>
    <n v="246798.79"/>
    <m/>
    <n v="0"/>
    <d v="2023-11-22T16:45:00"/>
    <d v="2023-11-28T07:32:00"/>
    <d v="2023-11-23T00:00:00"/>
    <m/>
    <x v="0"/>
    <m/>
    <n v="-45252.697916666664"/>
    <n v="-45258.313888888886"/>
    <n v="0"/>
    <d v="2023-12-14T17:29:10"/>
    <d v="2023-12-24T09:40:57"/>
    <d v="2024-01-11T16:45:00"/>
    <n v="-1355.9172353707106"/>
    <n v="0"/>
    <n v="32"/>
    <n v="34"/>
    <n v="25.030674846625768"/>
    <n v="31.70552147239264"/>
    <n v="22.030674846625768"/>
    <n v="50"/>
    <n v="40"/>
    <n v="35"/>
    <d v="1900-02-08T00:00:00"/>
    <d v="1900-02-03T00:00:00"/>
    <m/>
    <m/>
    <m/>
    <m/>
    <m/>
    <m/>
    <m/>
    <m/>
    <m/>
    <m/>
    <d v="1900-01-14T00:00:00"/>
    <n v="0"/>
    <m/>
    <m/>
    <m/>
    <m/>
    <m/>
    <m/>
    <m/>
    <m/>
    <m/>
    <m/>
    <s v="Y"/>
    <m/>
    <m/>
    <m/>
    <m/>
    <m/>
    <m/>
    <m/>
    <d v="2023-11-29T00:00:00"/>
    <s v="CX7-1183, CX7-1184, CX7-1218, CX7-8039, CX7-8040, CX7-1266, 515051, CX7-1267, CU8-5016"/>
  </r>
  <r>
    <d v="2023-11-29T00:00:00"/>
    <d v="2023-12-02T00:00:00"/>
    <m/>
    <x v="2"/>
    <s v="X23010135604"/>
    <s v="DANILO CASPE SEPTIMO"/>
    <s v="P.D.A., SITIO BAGONG SILANG, PARANAQUE"/>
    <s v="PARAÑAQUE CITY"/>
    <s v="PARAÑAQUE"/>
    <m/>
    <s v="FOR CANCELLATION"/>
    <x v="4"/>
    <s v="PCAN3"/>
    <s v="RRG"/>
    <n v="233.56597999999988"/>
    <n v="435.23"/>
    <n v="135"/>
    <x v="8"/>
    <n v="1402828.43"/>
    <n v="265062.37"/>
    <n v="19989"/>
    <n v="7.5412439721262589E-2"/>
    <d v="2023-11-23T16:24:00"/>
    <d v="2023-11-28T00:00:00"/>
    <d v="2023-11-24T00:00:00"/>
    <m/>
    <x v="0"/>
    <m/>
    <n v="-45253.683333333334"/>
    <n v="-45258"/>
    <n v="0"/>
    <d v="2023-12-14T16:24:00"/>
    <d v="2023-12-24T02:00:00"/>
    <d v="2024-01-12T16:24:00"/>
    <n v="-1414.1776041666667"/>
    <n v="0"/>
    <n v="32"/>
    <n v="32"/>
    <n v="24"/>
    <n v="30.4"/>
    <n v="21"/>
    <n v="50"/>
    <n v="40"/>
    <n v="35"/>
    <d v="1900-02-08T00:00:00"/>
    <d v="1900-02-03T00:00:00"/>
    <m/>
    <m/>
    <m/>
    <m/>
    <m/>
    <m/>
    <m/>
    <m/>
    <m/>
    <m/>
    <d v="1900-01-14T00:00:00"/>
    <n v="0"/>
    <m/>
    <m/>
    <m/>
    <m/>
    <m/>
    <m/>
    <m/>
    <m/>
    <m/>
    <m/>
    <s v="Y"/>
    <m/>
    <m/>
    <m/>
    <m/>
    <m/>
    <m/>
    <m/>
    <d v="2023-11-29T00:00:00"/>
    <s v="DW1-5973, DW1-5975, DW1-8004, DW1-8005, DW1-8006, DW1-8007, DW1-8008, 515490"/>
  </r>
  <r>
    <d v="2023-11-29T00:00:00"/>
    <d v="2023-12-02T00:00:00"/>
    <m/>
    <x v="2"/>
    <s v="X23010135483"/>
    <s v="ELENA SALAZAR BOÑAGA"/>
    <s v="P.D.A., SITIO BAGONG SILANG, PARANAQUE"/>
    <s v="PARAÑAQUE CITY"/>
    <s v="PARAÑAQUE"/>
    <m/>
    <s v="FOR CANCELLATION"/>
    <x v="4"/>
    <s v="PCAN3"/>
    <s v="RRG"/>
    <n v="75.631580000000014"/>
    <n v="102.63"/>
    <n v="135"/>
    <x v="8"/>
    <n v="580669.84"/>
    <n v="99954.07"/>
    <m/>
    <n v="0"/>
    <d v="2023-11-23T16:26:00"/>
    <d v="2023-11-28T00:00:00"/>
    <d v="2023-11-24T00:00:00"/>
    <m/>
    <x v="0"/>
    <m/>
    <n v="-45253.68472222222"/>
    <n v="-45258"/>
    <n v="0"/>
    <d v="2023-12-13T03:08:18"/>
    <d v="2023-12-22T02:47:35"/>
    <d v="2024-01-12T16:26:00"/>
    <n v="-1512.0822539396365"/>
    <n v="0"/>
    <n v="26"/>
    <n v="32"/>
    <n v="22.446043165467625"/>
    <n v="28.431654676258994"/>
    <n v="19.446043165467625"/>
    <n v="44"/>
    <n v="35.200000000000003"/>
    <n v="30.200000000000003"/>
    <d v="1900-02-03T04:48:00"/>
    <d v="1900-01-29T04:48:00"/>
    <m/>
    <m/>
    <m/>
    <m/>
    <m/>
    <m/>
    <m/>
    <m/>
    <m/>
    <m/>
    <d v="1900-01-14T00:00:00"/>
    <n v="0"/>
    <m/>
    <m/>
    <m/>
    <m/>
    <m/>
    <m/>
    <m/>
    <m/>
    <m/>
    <m/>
    <s v="Y"/>
    <m/>
    <m/>
    <m/>
    <m/>
    <m/>
    <m/>
    <m/>
    <d v="2023-11-29T00:00:00"/>
    <s v="DW1-8003, 515471"/>
  </r>
  <r>
    <d v="2023-12-01T00:00:00"/>
    <d v="2023-12-05T00:00:00"/>
    <m/>
    <x v="4"/>
    <s v="X22114994258"/>
    <s v="MAYNILAD WATER SERVICES, INC."/>
    <s v="SAN GUILLERMO, BAYANAN, MUNTINLUPA"/>
    <s v="MUNTINLUPA CITY"/>
    <s v="PARAÑAQUE"/>
    <s v="superseded by 2024 work order _x000a_(on-going return of surplus materials)_x000a_FOR CANCELLATION"/>
    <s v="FOR CANCELLATION"/>
    <x v="0"/>
    <s v="PCAN3"/>
    <s v="RRG"/>
    <n v="165.01009999999994"/>
    <n v="481.8"/>
    <n v="105"/>
    <x v="8"/>
    <n v="1535683.94"/>
    <n v="293927.24"/>
    <m/>
    <n v="0"/>
    <d v="2023-11-29T16:05:00"/>
    <d v="2023-12-01T00:00:00"/>
    <d v="2023-11-30T00:00:00"/>
    <m/>
    <x v="0"/>
    <m/>
    <n v="-45259.670138888891"/>
    <n v="-45261"/>
    <n v="0"/>
    <d v="2023-12-20T16:05:00"/>
    <d v="2023-12-30T01:41:00"/>
    <d v="2024-01-18T16:05:00"/>
    <n v="-1414.3646918402778"/>
    <n v="0"/>
    <n v="32"/>
    <n v="32"/>
    <n v="24"/>
    <n v="30.4"/>
    <n v="21"/>
    <n v="50"/>
    <n v="40"/>
    <n v="35"/>
    <d v="1900-02-08T00:00:00"/>
    <d v="1900-02-03T00:00:00"/>
    <m/>
    <m/>
    <m/>
    <m/>
    <m/>
    <m/>
    <m/>
    <m/>
    <m/>
    <m/>
    <d v="1900-01-14T00:00:00"/>
    <n v="0"/>
    <m/>
    <m/>
    <m/>
    <m/>
    <m/>
    <m/>
    <m/>
    <m/>
    <m/>
    <m/>
    <s v="Y"/>
    <m/>
    <m/>
    <m/>
    <m/>
    <m/>
    <m/>
    <m/>
    <d v="2023-12-02T00:00:00"/>
    <m/>
  </r>
  <r>
    <d v="2024-02-14T00:00:00"/>
    <d v="2024-02-14T00:00:00"/>
    <m/>
    <x v="4"/>
    <s v="X24010236211"/>
    <s v="INTERNATIONAL CONTAINER TERMINAL SERVICES, INC."/>
    <s v="ROAD 4, PAGCOR ENTERTAINMENT CITY, PARANAQUE"/>
    <s v="PARAÑAQUE CITY"/>
    <s v="PARAÑAQUE"/>
    <s v="On going Retirement "/>
    <s v="W/O ISSUE"/>
    <x v="4"/>
    <s v="SCHED"/>
    <s v="RRG"/>
    <n v="446.51729999999998"/>
    <n v="1059.8"/>
    <n v="0"/>
    <x v="2"/>
    <n v="759683.83"/>
    <n v="347971.02"/>
    <m/>
    <n v="0"/>
    <d v="2024-02-02T14:21:00"/>
    <d v="2024-02-05T09:24:00"/>
    <d v="2024-02-06T00:00:00"/>
    <m/>
    <x v="0"/>
    <m/>
    <n v="-45324.597916666666"/>
    <n v="-45327.39166666667"/>
    <n v="0"/>
    <d v="2024-02-29T01:46:25"/>
    <d v="2024-03-10T22:25:12"/>
    <d v="2024-03-23T14:21:00"/>
    <n v="-1153.2592136574074"/>
    <n v="0"/>
    <n v="50"/>
    <n v="36"/>
    <n v="29.475982532751093"/>
    <n v="37.336244541484717"/>
    <n v="26.475982532751093"/>
    <n v="60"/>
    <n v="48"/>
    <n v="43"/>
    <d v="1900-02-16T00:00:00"/>
    <d v="1900-02-11T00:00:00"/>
    <m/>
    <m/>
    <m/>
    <m/>
    <m/>
    <m/>
    <m/>
    <m/>
    <m/>
    <m/>
    <d v="1900-01-14T00:00:00"/>
    <n v="0"/>
    <m/>
    <m/>
    <m/>
    <m/>
    <m/>
    <m/>
    <m/>
    <m/>
    <m/>
    <m/>
    <s v="Y"/>
    <m/>
    <m/>
    <m/>
    <m/>
    <m/>
    <m/>
    <m/>
    <s v="N/A"/>
    <m/>
  </r>
  <r>
    <d v="2024-03-06T00:00:00"/>
    <d v="2024-03-13T00:00:00"/>
    <m/>
    <x v="2"/>
    <s v="R22927252"/>
    <s v="CARPIO, SEVILLA FESTEJO, HMB"/>
    <s v="STA. MARTA, SAN ANTONIO VALLEY 14, PARANAQUE"/>
    <s v="PARAÑAQUE CITY"/>
    <s v="PARAÑAQUE"/>
    <s v="For sched of PAI"/>
    <s v="W/O ISSUE"/>
    <x v="1"/>
    <s v="SCHED"/>
    <s v="JMM"/>
    <n v="135.64559999999997"/>
    <n v="125.48"/>
    <n v="0"/>
    <x v="3"/>
    <n v="265042.15999999997"/>
    <n v="96238.57"/>
    <m/>
    <n v="0"/>
    <d v="2024-02-28T16:01:00"/>
    <d v="2024-03-06T12:27:00"/>
    <d v="2024-03-05T00:00:00"/>
    <m/>
    <x v="0"/>
    <m/>
    <n v="-45350.667361111111"/>
    <n v="-45357.518750000003"/>
    <n v="0"/>
    <d v="2024-03-20T20:58:56"/>
    <d v="2024-03-30T07:54:23"/>
    <d v="2024-04-18T16:01:00"/>
    <n v="-1405.0954631113486"/>
    <n v="0"/>
    <n v="26"/>
    <n v="36"/>
    <n v="24.206896551724139"/>
    <n v="30.662068965517239"/>
    <n v="21.206896551724139"/>
    <n v="44"/>
    <n v="35.200000000000003"/>
    <n v="30.200000000000003"/>
    <d v="1900-02-03T04:48:00"/>
    <d v="1900-01-29T04:48:00"/>
    <m/>
    <m/>
    <m/>
    <m/>
    <m/>
    <m/>
    <m/>
    <m/>
    <m/>
    <m/>
    <d v="1900-01-14T00:00:00"/>
    <n v="0"/>
    <m/>
    <m/>
    <m/>
    <m/>
    <m/>
    <m/>
    <m/>
    <m/>
    <m/>
    <m/>
    <s v="N"/>
    <m/>
    <m/>
    <m/>
    <m/>
    <m/>
    <m/>
    <m/>
    <d v="2024-03-07T00:00:00"/>
    <s v="CX8-1077, CX8-1078"/>
  </r>
  <r>
    <d v="2024-03-14T00:00:00"/>
    <d v="2024-03-21T00:00:00"/>
    <m/>
    <x v="2"/>
    <s v="X24020456466"/>
    <s v="CHRISTIAN ARTABAN M. PALINES"/>
    <s v="DON P. REYES, VICTORIA HOMES-RUBY PARK SUBD, MUNTINLUPA"/>
    <s v="MUNTINLUPA CITY"/>
    <s v="PARAÑAQUE"/>
    <m/>
    <s v="W/O ISSUE"/>
    <x v="0"/>
    <s v="SCHED"/>
    <s v="RRG"/>
    <n v="2.58"/>
    <n v="8.1199999999999992"/>
    <n v="32"/>
    <x v="5"/>
    <n v="25334.32"/>
    <n v="4621.16"/>
    <m/>
    <n v="0"/>
    <d v="2024-03-07T09:46:00"/>
    <d v="2024-03-12T08:19:57"/>
    <d v="2024-03-13T00:00:00"/>
    <m/>
    <x v="0"/>
    <m/>
    <n v="-45358.406944444447"/>
    <n v="-45363.347187500003"/>
    <n v="0"/>
    <d v="2024-03-26T04:20:50"/>
    <d v="2024-04-03T23:42:08"/>
    <d v="2024-04-26T09:46:00"/>
    <n v="-1562.3451280864199"/>
    <n v="0"/>
    <n v="20"/>
    <n v="36"/>
    <n v="21.774193548387096"/>
    <n v="27.58064516129032"/>
    <n v="18.774193548387096"/>
    <n v="40"/>
    <n v="32"/>
    <n v="27"/>
    <d v="1900-01-31T00:00:00"/>
    <d v="1900-01-26T00:00:00"/>
    <m/>
    <m/>
    <m/>
    <m/>
    <m/>
    <m/>
    <m/>
    <m/>
    <m/>
    <m/>
    <d v="1900-01-14T00:00:00"/>
    <n v="0"/>
    <m/>
    <m/>
    <m/>
    <m/>
    <m/>
    <m/>
    <m/>
    <m/>
    <m/>
    <m/>
    <s v="Y"/>
    <m/>
    <m/>
    <m/>
    <m/>
    <m/>
    <m/>
    <m/>
    <s v="N/A"/>
    <s v="CP8-0183, 212993"/>
  </r>
  <r>
    <d v="2024-03-14T00:00:00"/>
    <d v="2024-03-21T00:00:00"/>
    <m/>
    <x v="1"/>
    <s v="X23093634405"/>
    <s v="JESUS, THE GOOD SHEPHERD CHURCH OF MUNTINLUPA, INC"/>
    <s v="NATIONAL, TUNASAN, MUNTINLUPA"/>
    <s v="MUNTINLUPA CITY"/>
    <s v="PARAÑAQUE"/>
    <s v="For cancellation, superseded by X24041439619"/>
    <s v="W/ ISSUE"/>
    <x v="2"/>
    <s v="CAN"/>
    <s v="JSP"/>
    <n v="32.152799999999999"/>
    <n v="113.35"/>
    <n v="276"/>
    <x v="8"/>
    <n v="816333.08"/>
    <n v="64325.349999999991"/>
    <m/>
    <n v="0"/>
    <d v="2024-03-08T09:36:00"/>
    <d v="2024-03-14T13:50:00"/>
    <d v="2024-03-13T00:00:00"/>
    <m/>
    <x v="0"/>
    <m/>
    <n v="-45359.4"/>
    <n v="-45365.576388888891"/>
    <n v="0"/>
    <d v="2024-03-26T21:46:35"/>
    <d v="2024-04-04T15:25:25"/>
    <d v="2024-04-27T09:36:00"/>
    <n v="-1581.7636923076923"/>
    <n v="0"/>
    <n v="26"/>
    <n v="30"/>
    <n v="21.507352941176471"/>
    <n v="27.242647058823529"/>
    <n v="18.507352941176471"/>
    <n v="44"/>
    <n v="35.200000000000003"/>
    <n v="30.200000000000003"/>
    <d v="1900-02-03T04:48:00"/>
    <d v="1900-01-29T04:48:00"/>
    <m/>
    <m/>
    <m/>
    <m/>
    <m/>
    <m/>
    <m/>
    <m/>
    <m/>
    <m/>
    <d v="1900-01-14T00:00:00"/>
    <n v="0"/>
    <m/>
    <m/>
    <m/>
    <m/>
    <m/>
    <m/>
    <m/>
    <m/>
    <m/>
    <m/>
    <s v="Y"/>
    <m/>
    <m/>
    <m/>
    <m/>
    <m/>
    <m/>
    <m/>
    <d v="2024-03-19T00:00:00"/>
    <s v="DR1-8028, 518761"/>
  </r>
  <r>
    <d v="2024-03-14T00:00:00"/>
    <d v="2024-03-21T00:00:00"/>
    <m/>
    <x v="2"/>
    <s v="X24010064526"/>
    <s v="ARLEEN MARIA Z BORROMEO"/>
    <s v="ZARATOGA LOOP, ALABANG 400 VILLAGE, MUNTINLUPA"/>
    <s v="MUNTINLUPA CITY"/>
    <s v="PARAÑAQUE"/>
    <s v="9/19/24_x000a_Issue on Water Pipes_x000a_9/30/24_x000a_Joint Survey with BC Vendor and Customer _x000a_"/>
    <s v="W/ ISSUE"/>
    <x v="0"/>
    <s v="FCOMP"/>
    <s v="RRG"/>
    <n v="138.44569999999993"/>
    <n v="276.33"/>
    <n v="44"/>
    <x v="5"/>
    <n v="803564.77"/>
    <n v="149134.15999999997"/>
    <m/>
    <n v="0"/>
    <d v="2024-03-11T15:28:00"/>
    <d v="2024-03-14T14:54:00"/>
    <d v="2024-03-13T00:00:00"/>
    <m/>
    <x v="5"/>
    <m/>
    <n v="340.35555555555766"/>
    <n v="337.3791666666657"/>
    <n v="-45703"/>
    <d v="2024-04-02T12:18:32"/>
    <d v="2024-04-12T03:28:00"/>
    <d v="2024-04-30T15:28:00"/>
    <n v="10.264691358024754"/>
    <n v="-993.54347826086962"/>
    <n v="28"/>
    <n v="36"/>
    <n v="24.868421052631579"/>
    <n v="31.499999999999996"/>
    <n v="21.868421052631579"/>
    <n v="46"/>
    <n v="36.800000000000004"/>
    <n v="31.800000000000004"/>
    <d v="2025-03-23T19:12:00"/>
    <d v="2025-03-18T19:12:00"/>
    <m/>
    <m/>
    <m/>
    <m/>
    <m/>
    <m/>
    <m/>
    <m/>
    <s v="NO COC"/>
    <m/>
    <d v="2025-03-02T00:00:00"/>
    <n v="-425"/>
    <m/>
    <m/>
    <m/>
    <m/>
    <m/>
    <m/>
    <m/>
    <m/>
    <m/>
    <m/>
    <s v="Y"/>
    <d v="2025-02-18T00:00:00"/>
    <m/>
    <m/>
    <m/>
    <m/>
    <m/>
    <m/>
    <d v="2024-03-19T00:00:00"/>
    <s v="DV1-1179, DV1-1180, DV1-8032, 520068, DV1-8033"/>
  </r>
  <r>
    <d v="2024-03-22T00:00:00"/>
    <d v="2024-03-21T00:00:00"/>
    <m/>
    <x v="2"/>
    <s v="X23030848776"/>
    <s v="GRACE ZAPATA CRUZ"/>
    <s v="BELMONT, ALABANG 400 VILLAGE, MUNTINLUPA"/>
    <s v="MUNTINLUPA CITY"/>
    <s v="PARAÑAQUE"/>
    <m/>
    <s v="W/O ISSUE"/>
    <x v="4"/>
    <s v="SCHED"/>
    <s v="RRG"/>
    <n v="37.29"/>
    <n v="58.57"/>
    <n v="50.5"/>
    <x v="5"/>
    <n v="315523.45"/>
    <n v="29058.46"/>
    <m/>
    <n v="0"/>
    <d v="2024-03-15T08:38:00"/>
    <d v="2024-03-21T15:02:00"/>
    <d v="2024-03-19T00:00:00"/>
    <m/>
    <x v="0"/>
    <m/>
    <n v="-45366.359722222223"/>
    <n v="-45372.626388888886"/>
    <n v="0"/>
    <d v="2024-04-04T10:41:07"/>
    <d v="2024-04-13T14:25:57"/>
    <d v="2024-05-04T08:38:00"/>
    <n v="-1473.8587880770265"/>
    <n v="0"/>
    <n v="23"/>
    <n v="36"/>
    <n v="23.085501858736059"/>
    <n v="29.241635687732341"/>
    <n v="20.085501858736059"/>
    <n v="42"/>
    <n v="33.6"/>
    <n v="28.6"/>
    <d v="1900-02-01T14:24:00"/>
    <d v="1900-01-27T14:24:00"/>
    <m/>
    <m/>
    <m/>
    <m/>
    <m/>
    <m/>
    <m/>
    <m/>
    <m/>
    <m/>
    <d v="1900-01-14T00:00:00"/>
    <n v="0"/>
    <m/>
    <m/>
    <m/>
    <m/>
    <m/>
    <m/>
    <m/>
    <m/>
    <m/>
    <m/>
    <s v="Y"/>
    <m/>
    <m/>
    <m/>
    <m/>
    <m/>
    <m/>
    <m/>
    <d v="2024-03-22T00:00:00"/>
    <s v="DV1-8017, 516321"/>
  </r>
  <r>
    <d v="2024-04-05T00:00:00"/>
    <d v="2024-04-08T00:00:00"/>
    <m/>
    <x v="4"/>
    <s v="R23110243"/>
    <s v="FILINVEST LAND INC.,"/>
    <s v="EAST SERVICE, ALABANG, MUNTINLUPA"/>
    <s v="MUNTINLUPA CITY"/>
    <s v="PARAÑAQUE"/>
    <s v="9/24/24_x000a_Hold by Security  for request of Permit _x000a_10/19/24 _x000a_Pole Erection Completed "/>
    <s v="W/O ISSUE"/>
    <x v="0"/>
    <s v="SCHED"/>
    <s v="RRG"/>
    <n v="212.6"/>
    <n v="444.17"/>
    <n v="0"/>
    <x v="3"/>
    <n v="809307.31"/>
    <n v="165680.53"/>
    <m/>
    <n v="0"/>
    <d v="2024-03-27T12:49:00"/>
    <d v="2024-04-01T10:03:00"/>
    <d v="2024-04-04T00:00:00"/>
    <m/>
    <x v="0"/>
    <m/>
    <n v="-45378.53402777778"/>
    <n v="-45383.418749999997"/>
    <n v="0"/>
    <d v="2024-04-19T13:23:42"/>
    <d v="2024-04-29T11:56:57"/>
    <d v="2024-05-16T12:49:00"/>
    <n v="-1307.7841403838734"/>
    <n v="0"/>
    <n v="32"/>
    <n v="36"/>
    <n v="26.024096385542165"/>
    <n v="32.963855421686745"/>
    <n v="23.024096385542165"/>
    <n v="50"/>
    <n v="40"/>
    <n v="35"/>
    <d v="1900-02-08T00:00:00"/>
    <d v="1900-02-03T00:00:00"/>
    <m/>
    <m/>
    <m/>
    <m/>
    <m/>
    <m/>
    <m/>
    <m/>
    <m/>
    <m/>
    <d v="1900-01-14T00:00:00"/>
    <n v="0"/>
    <m/>
    <m/>
    <m/>
    <m/>
    <m/>
    <m/>
    <m/>
    <m/>
    <m/>
    <m/>
    <s v="N"/>
    <m/>
    <m/>
    <m/>
    <m/>
    <m/>
    <m/>
    <m/>
    <d v="2024-04-05T00:00:00"/>
    <s v="DU1-8004, DU1-8005, DU1-2105, DU1-8030"/>
  </r>
  <r>
    <d v="2024-04-03T00:00:00"/>
    <s v="N/A"/>
    <m/>
    <x v="0"/>
    <s v="P2403166300"/>
    <s v="C1 414ARS  2024 PLANNED Replacement of bare primary conductor (undersized) A8-0103- A8-5058"/>
    <s v="CUCUMBER FTI CPD WESTERN BICUTAN TAGUIG CITY"/>
    <s v="TAGUIG CITY"/>
    <s v="PARAÑAQUE"/>
    <s v="For schedule of PAI"/>
    <s v="W/O ISSUE"/>
    <x v="1"/>
    <s v="SCHED"/>
    <s v="JMM"/>
    <n v="10.832100000000004"/>
    <n v="4.2699999999999996"/>
    <n v="0"/>
    <x v="9"/>
    <n v="68971.820000000007"/>
    <n v="30909.429999999986"/>
    <m/>
    <n v="0"/>
    <d v="2024-03-30T23:01:00"/>
    <d v="2024-04-02T10:48:00"/>
    <d v="2024-04-04T00:00:00"/>
    <m/>
    <x v="0"/>
    <m/>
    <n v="-45381.959027777775"/>
    <n v="-45384.45"/>
    <n v="0"/>
    <d v="2024-04-18T17:35:50"/>
    <d v="2024-04-27T12:57:08"/>
    <d v="2024-05-19T23:01:00"/>
    <n v="-1563.1563665123454"/>
    <n v="0"/>
    <n v="20"/>
    <n v="36"/>
    <n v="21.774193548387096"/>
    <n v="27.58064516129032"/>
    <n v="18.774193548387096"/>
    <n v="40"/>
    <n v="32"/>
    <n v="27"/>
    <d v="1900-01-31T00:00:00"/>
    <d v="1900-01-26T00:00:00"/>
    <m/>
    <m/>
    <m/>
    <m/>
    <m/>
    <m/>
    <m/>
    <m/>
    <m/>
    <m/>
    <d v="1900-01-14T00:00:00"/>
    <n v="0"/>
    <m/>
    <m/>
    <m/>
    <m/>
    <m/>
    <m/>
    <m/>
    <m/>
    <m/>
    <m/>
    <m/>
    <m/>
    <m/>
    <m/>
    <m/>
    <m/>
    <m/>
    <m/>
    <m/>
    <m/>
  </r>
  <r>
    <d v="2024-04-11T00:00:00"/>
    <d v="2024-04-08T00:00:00"/>
    <m/>
    <x v="2"/>
    <s v="X24010230692"/>
    <s v="RONALDO RICARDO RAYMUNDO BENITEZ"/>
    <s v="SUSANA HTS, SUSANA HTS SUBD VILL 1, MUNTINLUPA"/>
    <s v="MUNTINLUPA CITY"/>
    <s v="PARAÑAQUE"/>
    <s v=" Hindi pdn po kasi mafcomp gawa ng wala po location tag yung DT"/>
    <s v="W/O ISSUE"/>
    <x v="0"/>
    <s v="INPRG"/>
    <s v="RRG"/>
    <n v="14.0928"/>
    <n v="56.32"/>
    <n v="80"/>
    <x v="5"/>
    <n v="240093.51"/>
    <n v="32138.44"/>
    <m/>
    <n v="0"/>
    <d v="2024-04-06T10:19:00"/>
    <d v="2024-04-11T14:47:00"/>
    <d v="2024-04-06T00:00:00"/>
    <m/>
    <x v="0"/>
    <m/>
    <n v="-45388.429861111108"/>
    <n v="-45393.615972222222"/>
    <n v="0"/>
    <d v="2024-04-25T17:31:33"/>
    <d v="2024-05-04T16:14:54"/>
    <d v="2024-05-26T10:19:00"/>
    <n v="-1526.4906717995168"/>
    <n v="0"/>
    <n v="23"/>
    <n v="34"/>
    <n v="22.300380228136884"/>
    <n v="28.247148288973385"/>
    <n v="19.300380228136884"/>
    <n v="42"/>
    <n v="33.6"/>
    <n v="28.6"/>
    <d v="1900-02-01T14:24:00"/>
    <d v="1900-01-27T14:24:00"/>
    <m/>
    <m/>
    <m/>
    <m/>
    <m/>
    <m/>
    <m/>
    <m/>
    <m/>
    <m/>
    <d v="1900-01-14T00:00:00"/>
    <n v="0"/>
    <m/>
    <m/>
    <m/>
    <m/>
    <m/>
    <m/>
    <m/>
    <m/>
    <m/>
    <m/>
    <s v="Y"/>
    <d v="2024-05-30T00:00:00"/>
    <m/>
    <m/>
    <m/>
    <m/>
    <m/>
    <m/>
    <d v="2024-04-11T00:00:00"/>
    <s v="DP1-0294, 211620"/>
  </r>
  <r>
    <d v="2024-04-17T00:00:00"/>
    <d v="2024-04-24T00:00:00"/>
    <m/>
    <x v="2"/>
    <s v="X23093808497"/>
    <s v="CITY GOVERNMENT OF PARAÑAQUE"/>
    <s v="COL. E. DE LEON, STO. NINO, PARANAQUE"/>
    <s v="PARAÑAQUE CITY"/>
    <s v="PARAÑAQUE"/>
    <s v="For Request of Brgy Permit; waiting for conj. WO (?)"/>
    <s v="W/O ISSUE"/>
    <x v="1"/>
    <s v="SCHED"/>
    <s v="JMM"/>
    <n v="110.20660000000002"/>
    <n v="268.37"/>
    <n v="105"/>
    <x v="5"/>
    <n v="857138.67"/>
    <n v="132136.12999999998"/>
    <m/>
    <n v="0"/>
    <d v="2024-04-11T16:50:00"/>
    <d v="2024-04-17T14:01:00"/>
    <d v="2024-04-16T00:00:00"/>
    <m/>
    <x v="0"/>
    <m/>
    <n v="-45393.701388888891"/>
    <n v="-45399.584027777775"/>
    <n v="0"/>
    <d v="2024-05-01T17:09:44"/>
    <d v="2024-05-10T20:26:59"/>
    <d v="2024-05-31T16:50:00"/>
    <n v="-1479.3483041914683"/>
    <n v="0"/>
    <n v="28"/>
    <n v="32"/>
    <n v="23.013698630136989"/>
    <n v="29.150684931506852"/>
    <n v="20.013698630136989"/>
    <n v="46"/>
    <n v="36.800000000000004"/>
    <n v="31.800000000000004"/>
    <d v="1900-02-04T19:12:00"/>
    <d v="1900-01-30T19:12:00"/>
    <m/>
    <m/>
    <m/>
    <m/>
    <m/>
    <m/>
    <m/>
    <m/>
    <m/>
    <m/>
    <d v="1900-01-14T00:00:00"/>
    <n v="0"/>
    <m/>
    <m/>
    <m/>
    <m/>
    <m/>
    <m/>
    <m/>
    <m/>
    <m/>
    <m/>
    <s v="Y"/>
    <m/>
    <m/>
    <m/>
    <m/>
    <m/>
    <m/>
    <m/>
    <d v="2024-04-21T00:00:00"/>
    <s v="A5-0123, A5-0152, A5-0119, A5-0117, A5-0115, A5-5608, A5-0346, A5-0434, A5-0168, A5-0113, 168709"/>
  </r>
  <r>
    <d v="2024-04-22T00:00:00"/>
    <d v="2024-04-24T00:00:00"/>
    <m/>
    <x v="2"/>
    <s v="R22608679"/>
    <s v="ODIAMAR FRANCES DE CASTRO"/>
    <s v="MADRID, TOWN AND COUNTRY WEST SUBD, BACOOR"/>
    <s v="BACOOR CITY"/>
    <s v="DASMA"/>
    <m/>
    <s v="W/O ISSUE"/>
    <x v="4"/>
    <s v="FCOMP"/>
    <s v="RRG"/>
    <n v="37.03"/>
    <n v="65.319999999999993"/>
    <n v="0"/>
    <x v="3"/>
    <n v="164134.21"/>
    <n v="28855.37"/>
    <m/>
    <n v="0"/>
    <d v="2024-04-15T15:47:00"/>
    <d v="2024-04-22T12:21:00"/>
    <d v="2024-04-17T00:00:00"/>
    <m/>
    <x v="6"/>
    <m/>
    <n v="270.02986111111386"/>
    <n v="263.17291666667006"/>
    <n v="-45667.6875"/>
    <d v="2024-05-05T17:50:07"/>
    <d v="2024-05-14T21:34:57"/>
    <d v="2024-06-04T15:47:00"/>
    <n v="8.7727092559045428"/>
    <n v="-1087.3258928571429"/>
    <n v="23"/>
    <n v="36"/>
    <n v="23.085501858736059"/>
    <n v="29.241635687732341"/>
    <n v="20.085501858736059"/>
    <n v="42"/>
    <n v="33.6"/>
    <n v="28.6"/>
    <d v="2025-02-13T06:54:00"/>
    <d v="2025-02-08T06:54:00"/>
    <m/>
    <m/>
    <m/>
    <m/>
    <m/>
    <m/>
    <m/>
    <m/>
    <s v="FOR AUDIT"/>
    <m/>
    <d v="2025-01-25T16:30:00"/>
    <n v="20.3125"/>
    <d v="2025-01-09T00:00:00"/>
    <d v="2025-02-15T00:00:00"/>
    <m/>
    <m/>
    <m/>
    <m/>
    <m/>
    <m/>
    <m/>
    <m/>
    <s v="N"/>
    <m/>
    <m/>
    <m/>
    <m/>
    <m/>
    <m/>
    <m/>
    <d v="2024-04-24T00:00:00"/>
    <s v="CS7-0551"/>
  </r>
  <r>
    <d v="2024-04-22T00:00:00"/>
    <d v="2024-04-24T00:00:00"/>
    <m/>
    <x v="4"/>
    <s v="X24020411401"/>
    <s v="JOLLIBEE FOODS CORPORATION"/>
    <s v="AGUIRRE, BF HOMES, PARANAQUE"/>
    <s v="PARAÑAQUE CITY"/>
    <s v="PARAÑAQUE"/>
    <s v="5/18/24_x000a_Cancelllation of Execution  as per Customer Request _x000a_6/11/24_x000a_Actual Cancellation was on site dun Affected Customer Hold its Execution "/>
    <s v="W/O ISSUE"/>
    <x v="4"/>
    <s v="FCOMP"/>
    <s v="RRG"/>
    <n v="139.94999999999999"/>
    <n v="191.62"/>
    <n v="0"/>
    <x v="5"/>
    <n v="248790.03"/>
    <n v="109086.2"/>
    <m/>
    <n v="0"/>
    <d v="2024-04-16T08:54:00"/>
    <d v="2024-04-22T10:39:00"/>
    <d v="2024-04-17T00:00:00"/>
    <m/>
    <x v="7"/>
    <m/>
    <n v="240.6291666666657"/>
    <n v="234.55625000000146"/>
    <n v="-45639"/>
    <d v="2024-05-07T13:51:56"/>
    <d v="2024-05-17T00:47:23"/>
    <d v="2024-06-05T08:54:00"/>
    <n v="7.4553908475783182"/>
    <n v="-1037.25"/>
    <n v="26"/>
    <n v="36"/>
    <n v="24.206896551724139"/>
    <n v="30.662068965517239"/>
    <n v="21.206896551724139"/>
    <n v="44"/>
    <n v="35.200000000000003"/>
    <n v="30.200000000000003"/>
    <d v="2025-01-17T04:48:00"/>
    <d v="2025-01-12T04:48:00"/>
    <m/>
    <m/>
    <m/>
    <m/>
    <m/>
    <m/>
    <m/>
    <m/>
    <s v="NO COC"/>
    <m/>
    <d v="2024-12-28T00:00:00"/>
    <n v="-361"/>
    <m/>
    <m/>
    <m/>
    <m/>
    <m/>
    <m/>
    <m/>
    <m/>
    <m/>
    <m/>
    <s v="Y"/>
    <m/>
    <m/>
    <m/>
    <m/>
    <m/>
    <m/>
    <m/>
    <s v="N/A"/>
    <s v="CW9-0551, 376715"/>
  </r>
  <r>
    <d v="2024-05-13T00:00:00"/>
    <d v="2024-05-13T00:00:00"/>
    <m/>
    <x v="1"/>
    <s v="X23114600974"/>
    <s v="BP WATERWORKS, INC."/>
    <s v="PASONG BUAYA II, PASONG BUAYA II, IMUS"/>
    <s v="IMUS CITY"/>
    <s v="DASMA"/>
    <s v="related to X23114600949_x000a_PAI Aug 22 night_x000a_for cancellation_x000a_all materials and activity transferred to mother wo"/>
    <s v="W/O ISSUE"/>
    <x v="4"/>
    <s v="PCAN3"/>
    <s v="RRG"/>
    <n v="48.4283"/>
    <n v="66.2"/>
    <n v="61"/>
    <x v="8"/>
    <n v="381605.65"/>
    <n v="38620.57"/>
    <m/>
    <n v="0"/>
    <d v="2024-05-09T15:24:00"/>
    <d v="2024-05-10T16:07:00"/>
    <d v="2024-05-13T00:00:00"/>
    <m/>
    <x v="0"/>
    <m/>
    <n v="-45421.64166666667"/>
    <n v="-45422.671527777777"/>
    <n v="0"/>
    <d v="2024-05-28T22:36:33"/>
    <d v="2024-06-06T21:19:54"/>
    <d v="2024-06-28T15:24:00"/>
    <n v="-1527.6076417306053"/>
    <n v="0"/>
    <n v="23"/>
    <n v="34"/>
    <n v="22.300380228136884"/>
    <n v="28.247148288973385"/>
    <n v="19.300380228136884"/>
    <n v="42"/>
    <n v="33.6"/>
    <n v="28.6"/>
    <d v="1900-02-01T14:24:00"/>
    <d v="1900-01-27T14:24:00"/>
    <m/>
    <m/>
    <m/>
    <m/>
    <m/>
    <m/>
    <m/>
    <m/>
    <m/>
    <m/>
    <d v="1900-01-14T00:00:00"/>
    <n v="0"/>
    <m/>
    <m/>
    <m/>
    <m/>
    <m/>
    <m/>
    <m/>
    <m/>
    <m/>
    <m/>
    <m/>
    <m/>
    <m/>
    <m/>
    <m/>
    <m/>
    <m/>
    <m/>
    <d v="2024-05-14T00:00:00"/>
    <m/>
  </r>
  <r>
    <d v="2024-05-22T00:00:00"/>
    <d v="2024-05-20T00:00:00"/>
    <m/>
    <x v="2"/>
    <s v="R23109971"/>
    <s v="DOMINGO ALVIN LUY"/>
    <s v="COUNTRY, COUNTRY HOMES, MUNTINLUPA"/>
    <s v="MUNTINLUPA CITY"/>
    <s v="PARAÑAQUE"/>
    <m/>
    <s v="W/O ISSUE"/>
    <x v="0"/>
    <s v="SCHED"/>
    <s v="RRG"/>
    <n v="34.906149999999997"/>
    <n v="48.05"/>
    <n v="0"/>
    <x v="3"/>
    <n v="72927.67"/>
    <n v="28109.38"/>
    <m/>
    <n v="0"/>
    <d v="2024-05-14T15:01:00"/>
    <d v="2024-05-17T14:08:00"/>
    <d v="2024-05-20T00:00:00"/>
    <m/>
    <x v="0"/>
    <m/>
    <n v="-45426.625694444447"/>
    <n v="-45429.588888888888"/>
    <n v="0"/>
    <d v="2024-06-02T09:35:50"/>
    <d v="2024-06-11T04:57:08"/>
    <d v="2024-07-03T15:01:00"/>
    <n v="-1564.694885030864"/>
    <n v="0"/>
    <n v="20"/>
    <n v="36"/>
    <n v="21.774193548387096"/>
    <n v="27.58064516129032"/>
    <n v="18.774193548387096"/>
    <n v="40"/>
    <n v="32"/>
    <n v="27"/>
    <d v="1900-01-31T00:00:00"/>
    <d v="1900-01-26T00:00:00"/>
    <m/>
    <m/>
    <m/>
    <m/>
    <m/>
    <m/>
    <m/>
    <m/>
    <m/>
    <m/>
    <d v="1900-01-14T00:00:00"/>
    <n v="0"/>
    <m/>
    <m/>
    <m/>
    <m/>
    <m/>
    <m/>
    <m/>
    <m/>
    <m/>
    <m/>
    <s v="N"/>
    <m/>
    <m/>
    <m/>
    <m/>
    <m/>
    <m/>
    <m/>
    <s v="N/A"/>
    <s v="DS1-2355"/>
  </r>
  <r>
    <d v="2024-05-30T00:00:00"/>
    <d v="2024-05-24T00:00:00"/>
    <m/>
    <x v="2"/>
    <s v="X24030775968"/>
    <s v="JOEBETH R DE CASTRO"/>
    <s v="SUNFLOWER, PILAR VILL, LAS PINAS CITY"/>
    <s v="LAS PIÑAS CITY"/>
    <s v="PARAÑAQUE"/>
    <s v="Actual Completion on Site  (11/13/24)"/>
    <s v="W/O ISSUE"/>
    <x v="4"/>
    <s v="SCHED"/>
    <s v="RRG"/>
    <n v="117.57640000000001"/>
    <n v="143.87"/>
    <n v="52"/>
    <x v="5"/>
    <n v="366253.75"/>
    <n v="86522.71"/>
    <m/>
    <n v="0"/>
    <d v="2024-05-21T12:56:00"/>
    <d v="2024-05-24T09:26:00"/>
    <d v="2024-05-24T00:00:00"/>
    <m/>
    <x v="0"/>
    <m/>
    <n v="-45433.538888888892"/>
    <n v="-45436.393055555556"/>
    <n v="0"/>
    <d v="2024-06-10T21:12:54"/>
    <d v="2024-06-20T02:37:25"/>
    <d v="2024-07-10T12:56:00"/>
    <n v="-1459.6295299145299"/>
    <n v="0"/>
    <n v="26"/>
    <n v="34"/>
    <n v="23.345070422535212"/>
    <n v="29.570422535211268"/>
    <n v="20.345070422535212"/>
    <n v="44"/>
    <n v="35.200000000000003"/>
    <n v="30.200000000000003"/>
    <d v="1900-02-03T04:48:00"/>
    <d v="1900-01-29T04:48:00"/>
    <m/>
    <m/>
    <m/>
    <m/>
    <m/>
    <m/>
    <m/>
    <m/>
    <m/>
    <m/>
    <d v="1900-01-14T00:00:00"/>
    <n v="0"/>
    <m/>
    <m/>
    <m/>
    <m/>
    <m/>
    <m/>
    <m/>
    <m/>
    <m/>
    <m/>
    <s v="Y"/>
    <m/>
    <m/>
    <m/>
    <m/>
    <m/>
    <m/>
    <m/>
    <d v="2024-05-31T00:00:00"/>
    <s v="CV8-0954, CV8-0954, 520939, CV8-0955"/>
  </r>
  <r>
    <d v="2024-06-04T00:00:00"/>
    <d v="2024-06-18T00:00:00"/>
    <m/>
    <x v="2"/>
    <s v="R23158337"/>
    <s v="CROWN ASIA PROPERTIES, INC.,"/>
    <s v="BLOCK 10, PONTICELLI GARDENS 2, BACOOR"/>
    <s v="BACOOR CITY"/>
    <s v="DASMA"/>
    <s v="waiting sched"/>
    <s v="W/O ISSUE"/>
    <x v="2"/>
    <s v="SCHED"/>
    <s v="IGL"/>
    <n v="16.600000000000001"/>
    <n v="22.67"/>
    <n v="0"/>
    <x v="3"/>
    <n v="27199.3"/>
    <n v="13366.58"/>
    <m/>
    <n v="0"/>
    <d v="2024-05-22T17:15:00"/>
    <d v="2024-05-24T12:40:00"/>
    <d v="2024-06-10T00:00:00"/>
    <m/>
    <x v="0"/>
    <m/>
    <n v="-45434.71875"/>
    <n v="-45436.527777777781"/>
    <n v="0"/>
    <d v="2024-06-10T11:49:50"/>
    <d v="2024-06-19T07:11:08"/>
    <d v="2024-07-11T17:15:00"/>
    <n v="-1564.9736458333332"/>
    <n v="0"/>
    <n v="20"/>
    <n v="36"/>
    <n v="21.774193548387096"/>
    <n v="27.58064516129032"/>
    <n v="18.774193548387096"/>
    <n v="40"/>
    <n v="32"/>
    <n v="27"/>
    <d v="1900-01-31T00:00:00"/>
    <d v="1900-01-26T00:00:00"/>
    <m/>
    <m/>
    <m/>
    <m/>
    <m/>
    <m/>
    <m/>
    <m/>
    <m/>
    <m/>
    <d v="1900-01-14T00:00:00"/>
    <n v="0"/>
    <m/>
    <m/>
    <m/>
    <m/>
    <m/>
    <m/>
    <m/>
    <m/>
    <m/>
    <m/>
    <s v="Y"/>
    <m/>
    <m/>
    <m/>
    <m/>
    <m/>
    <m/>
    <m/>
    <s v="N/A"/>
    <n v="151360"/>
  </r>
  <r>
    <d v="2024-06-05T00:00:00"/>
    <d v="2024-06-03T00:00:00"/>
    <m/>
    <x v="2"/>
    <s v="X24010242749"/>
    <s v="JUDD MARQUEZ TE SEE"/>
    <s v="CUENCA, AYALA-ALABANG VILL, MUNTINLUPA"/>
    <s v="MUNTINLUPA CITY"/>
    <s v="PARAÑAQUE"/>
    <m/>
    <s v="W/O ISSUE"/>
    <x v="4"/>
    <s v="FCOMP"/>
    <s v="RRG"/>
    <n v="71.452600000000004"/>
    <n v="127.4"/>
    <n v="80"/>
    <x v="5"/>
    <n v="440474.35"/>
    <n v="72754.820000000022"/>
    <m/>
    <n v="0"/>
    <d v="2024-05-28T10:33:00"/>
    <d v="2024-06-04T13:51:00"/>
    <d v="2024-05-30T00:00:00"/>
    <m/>
    <x v="7"/>
    <m/>
    <n v="198.56041666666715"/>
    <n v="191.42291666667006"/>
    <n v="-45639"/>
    <d v="2024-06-17T18:49:54"/>
    <d v="2024-06-27T00:14:25"/>
    <d v="2024-07-17T10:33:00"/>
    <n v="6.3790903092006186"/>
    <n v="-1037.25"/>
    <n v="26"/>
    <n v="34"/>
    <n v="23.345070422535212"/>
    <n v="29.570422535211268"/>
    <n v="20.345070422535212"/>
    <n v="44"/>
    <n v="35.200000000000003"/>
    <n v="30.200000000000003"/>
    <d v="2025-01-17T04:48:00"/>
    <d v="2025-01-12T04:48:00"/>
    <m/>
    <m/>
    <m/>
    <m/>
    <m/>
    <m/>
    <m/>
    <m/>
    <s v="NO COC"/>
    <m/>
    <d v="2024-12-28T00:00:00"/>
    <n v="-361"/>
    <m/>
    <m/>
    <m/>
    <m/>
    <m/>
    <m/>
    <m/>
    <m/>
    <m/>
    <m/>
    <s v="Y"/>
    <d v="2024-08-21T00:00:00"/>
    <m/>
    <m/>
    <m/>
    <m/>
    <m/>
    <m/>
    <d v="2024-06-07T00:00:00"/>
    <s v="CU9-1248, CU9-1247, 520342, CU9-1246"/>
  </r>
  <r>
    <m/>
    <d v="2024-06-04T00:00:00"/>
    <m/>
    <x v="2"/>
    <s v="R23165909"/>
    <s v="OREZA EDGARDO CHUA"/>
    <s v="V.P. CRUZ, PUROK 5, TAGUIG CITY"/>
    <s v="TAGUIG CITY"/>
    <s v="PARAÑAQUE"/>
    <s v="For coordination with metering"/>
    <s v="W/O ISSUE"/>
    <x v="1"/>
    <s v="SCHED"/>
    <s v="JMM"/>
    <n v="20.126499999999997"/>
    <n v="42.53"/>
    <n v="0"/>
    <x v="3"/>
    <n v="42896.3"/>
    <n v="24179.61"/>
    <m/>
    <n v="0"/>
    <d v="2024-05-29T14:13:00"/>
    <d v="2024-06-04T08:34:00"/>
    <d v="2024-05-31T00:00:00"/>
    <m/>
    <x v="0"/>
    <m/>
    <n v="-45441.592361111114"/>
    <n v="-45447.356944444444"/>
    <n v="0"/>
    <d v="2024-06-17T08:47:50"/>
    <d v="2024-06-26T04:09:08"/>
    <d v="2024-07-18T14:13:00"/>
    <n v="-1565.2104035493828"/>
    <n v="0"/>
    <n v="20"/>
    <n v="36"/>
    <n v="21.774193548387096"/>
    <n v="27.58064516129032"/>
    <n v="18.774193548387096"/>
    <n v="40"/>
    <n v="32"/>
    <n v="27"/>
    <d v="1900-01-31T00:00:00"/>
    <d v="1900-01-26T00:00:00"/>
    <m/>
    <m/>
    <m/>
    <m/>
    <m/>
    <m/>
    <m/>
    <m/>
    <m/>
    <m/>
    <d v="1900-01-14T00:00:00"/>
    <n v="0"/>
    <m/>
    <m/>
    <m/>
    <m/>
    <m/>
    <m/>
    <m/>
    <m/>
    <m/>
    <m/>
    <s v="N"/>
    <m/>
    <m/>
    <m/>
    <m/>
    <m/>
    <m/>
    <m/>
    <s v="N/A"/>
    <s v="A8-0771"/>
  </r>
  <r>
    <d v="2024-06-06T00:00:00"/>
    <d v="2024-06-03T00:00:00"/>
    <m/>
    <x v="4"/>
    <s v="X24051549285"/>
    <s v="DITO TELECOMMUNITY CORPORATION"/>
    <s v="BLOCK 1, AGUAHAN VILLAGE, TAGUIG CITY"/>
    <s v="TAGUIG CITY"/>
    <s v="PARAÑAQUE"/>
    <m/>
    <s v="W/ ISSUE"/>
    <x v="0"/>
    <s v="PCAN3"/>
    <s v="RRG"/>
    <n v="60.348100000000002"/>
    <n v="146.18"/>
    <n v="31"/>
    <x v="8"/>
    <n v="1083160.6200000001"/>
    <n v="74063.42"/>
    <m/>
    <n v="0"/>
    <d v="2024-05-30T09:53:00"/>
    <d v="2024-06-05T13:46:00"/>
    <d v="2024-05-30T00:00:00"/>
    <m/>
    <x v="0"/>
    <m/>
    <n v="-45442.411805555559"/>
    <n v="-45448.573611111111"/>
    <n v="0"/>
    <d v="2024-06-20T14:50:56"/>
    <d v="2024-06-30T01:46:23"/>
    <d v="2024-07-19T09:53:00"/>
    <n v="-1407.9379726080247"/>
    <n v="0"/>
    <n v="26"/>
    <n v="36"/>
    <n v="24.206896551724139"/>
    <n v="30.662068965517239"/>
    <n v="21.206896551724139"/>
    <n v="44"/>
    <n v="35.200000000000003"/>
    <n v="30.200000000000003"/>
    <d v="1900-02-03T04:48:00"/>
    <d v="1900-01-29T04:48:00"/>
    <m/>
    <m/>
    <m/>
    <m/>
    <m/>
    <m/>
    <m/>
    <m/>
    <m/>
    <m/>
    <d v="1900-01-14T00:00:00"/>
    <n v="0"/>
    <m/>
    <m/>
    <m/>
    <m/>
    <m/>
    <m/>
    <m/>
    <m/>
    <m/>
    <m/>
    <s v="Y"/>
    <m/>
    <m/>
    <m/>
    <m/>
    <m/>
    <m/>
    <m/>
    <d v="2024-06-07T00:00:00"/>
    <s v="DZ2-0507, 206703, DZ2-2249, DZ2-0153, 206703"/>
  </r>
  <r>
    <d v="2024-06-20T00:00:00"/>
    <d v="2024-06-18T00:00:00"/>
    <m/>
    <x v="1"/>
    <s v="R22573760"/>
    <s v="KANE INDUSTRIAL CORP,"/>
    <s v="NIOG III, NIOG III, BACOOR"/>
    <s v="BACOOR CITY"/>
    <s v="DASMA"/>
    <m/>
    <s v="W/O ISSUE"/>
    <x v="4"/>
    <s v="SCHED"/>
    <s v="RRG"/>
    <n v="178.42439999999999"/>
    <n v="273.22000000000003"/>
    <n v="0"/>
    <x v="3"/>
    <n v="514955.42"/>
    <n v="143681.57"/>
    <m/>
    <n v="0"/>
    <d v="2024-05-31T16:43:00"/>
    <d v="2024-06-06T08:50:00"/>
    <d v="2024-06-03T00:00:00"/>
    <m/>
    <x v="0"/>
    <m/>
    <n v="-45443.696527777778"/>
    <n v="-45449.368055555555"/>
    <n v="0"/>
    <d v="2024-06-22T13:33:32"/>
    <d v="2024-07-02T04:43:00"/>
    <d v="2024-07-20T16:43:00"/>
    <n v="-1370.5241809964728"/>
    <n v="0"/>
    <n v="28"/>
    <n v="36"/>
    <n v="24.868421052631579"/>
    <n v="31.499999999999996"/>
    <n v="21.868421052631579"/>
    <n v="46"/>
    <n v="36.800000000000004"/>
    <n v="31.800000000000004"/>
    <d v="1900-02-04T19:12:00"/>
    <d v="1900-01-30T19:12:00"/>
    <m/>
    <m/>
    <m/>
    <m/>
    <m/>
    <m/>
    <m/>
    <m/>
    <m/>
    <m/>
    <d v="1900-01-14T00:00:00"/>
    <n v="0"/>
    <m/>
    <m/>
    <m/>
    <m/>
    <m/>
    <m/>
    <m/>
    <m/>
    <m/>
    <m/>
    <s v="N"/>
    <m/>
    <m/>
    <m/>
    <m/>
    <m/>
    <m/>
    <m/>
    <d v="2024-06-24T00:00:00"/>
    <s v="CW6-2017, CW6-6093, CW6-8019, CW6-6092, CW6-8020, CW6-6090, CW6-1545"/>
  </r>
  <r>
    <d v="2024-06-20T00:00:00"/>
    <d v="2024-06-04T00:00:00"/>
    <m/>
    <x v="1"/>
    <s v="X24010310203"/>
    <s v="HSL - BRAILLE COLLEGE, INC.,"/>
    <s v="DURIAN, ZONE 1, TAGUIG CITY"/>
    <s v="TAGUIG CITY"/>
    <s v="PARAÑAQUE"/>
    <s v="7/11/24 - Joint Survey; resolved pole location but need additional phase/leg; only one phase is existing - pending release of conjunctive project"/>
    <s v="(R) W/O ISSUE"/>
    <x v="2"/>
    <s v="SCHED"/>
    <s v="IGL"/>
    <n v="193.1311"/>
    <n v="298.10000000000002"/>
    <n v="136"/>
    <x v="5"/>
    <n v="846143.09"/>
    <n v="155556.72"/>
    <m/>
    <n v="0"/>
    <d v="2024-06-03T17:23:00"/>
    <d v="2024-06-07T09:31:00"/>
    <d v="2024-06-04T00:00:00"/>
    <m/>
    <x v="0"/>
    <m/>
    <n v="-45446.724305555559"/>
    <n v="-45450.396527777775"/>
    <n v="0"/>
    <d v="2024-06-23T17:42:44"/>
    <d v="2024-07-02T20:59:59"/>
    <d v="2024-07-23T17:23:00"/>
    <n v="-1481.0762831721231"/>
    <n v="0"/>
    <n v="28"/>
    <n v="32"/>
    <n v="23.013698630136989"/>
    <n v="29.150684931506852"/>
    <n v="20.013698630136989"/>
    <n v="46"/>
    <n v="36.800000000000004"/>
    <n v="31.800000000000004"/>
    <d v="1900-02-04T19:12:00"/>
    <d v="1900-01-30T19:12:00"/>
    <m/>
    <m/>
    <m/>
    <m/>
    <m/>
    <m/>
    <m/>
    <m/>
    <m/>
    <m/>
    <d v="1900-01-14T00:00:00"/>
    <n v="0"/>
    <m/>
    <m/>
    <m/>
    <m/>
    <m/>
    <m/>
    <m/>
    <m/>
    <m/>
    <m/>
    <s v="Y"/>
    <m/>
    <m/>
    <m/>
    <m/>
    <m/>
    <m/>
    <m/>
    <d v="2024-06-24T00:00:00"/>
    <s v="B8-5104, B8-5156, B8-5105, 520522, B8-6347"/>
  </r>
  <r>
    <d v="2024-07-03T00:00:00"/>
    <d v="2024-06-26T00:00:00"/>
    <m/>
    <x v="2"/>
    <s v="X24052001012"/>
    <s v="VILLA LIGHT NEIGHBORHOOD ASSOCIATION INC."/>
    <s v="BLOCK 10, VILLA LIGHT SUBD, TAGUIG CITY"/>
    <s v="TAGUIG CITY"/>
    <s v="PARAÑAQUE"/>
    <s v="Cancel/create new WO_x000a_extension of facilities (18spans)_x000a_-for joint survey_x000a_target aug2024_x000a__x000a_For creation of new WO; design not applicable) re-survey on 9/17/2024"/>
    <s v="W/ ISSUE"/>
    <x v="1"/>
    <s v="COMP-CAN"/>
    <s v="JMM"/>
    <n v="736.35919999999999"/>
    <n v="1566.12"/>
    <n v="225"/>
    <x v="8"/>
    <n v="4930562.97"/>
    <n v="592973.37"/>
    <m/>
    <n v="0"/>
    <d v="2024-06-20T22:04:00"/>
    <d v="2024-06-27T09:12:00"/>
    <d v="2024-06-26T00:00:00"/>
    <m/>
    <x v="0"/>
    <m/>
    <n v="-45463.919444444444"/>
    <n v="-45470.383333333331"/>
    <n v="0"/>
    <d v="2024-07-13T11:42:11"/>
    <d v="2024-07-23T07:20:22"/>
    <d v="2024-08-09T22:04:00"/>
    <n v="-1333.6083037037035"/>
    <n v="0"/>
    <n v="50"/>
    <n v="30"/>
    <n v="25.56818181818182"/>
    <n v="32.38636363636364"/>
    <n v="22.56818181818182"/>
    <n v="60"/>
    <n v="48"/>
    <n v="43"/>
    <d v="1900-02-16T00:00:00"/>
    <d v="1900-02-11T00:00:00"/>
    <m/>
    <m/>
    <m/>
    <m/>
    <m/>
    <m/>
    <m/>
    <m/>
    <m/>
    <m/>
    <d v="1900-01-14T00:00:00"/>
    <n v="0"/>
    <m/>
    <m/>
    <m/>
    <m/>
    <m/>
    <m/>
    <m/>
    <m/>
    <m/>
    <m/>
    <s v="Y"/>
    <m/>
    <m/>
    <m/>
    <m/>
    <m/>
    <m/>
    <m/>
    <m/>
    <m/>
  </r>
  <r>
    <d v="2024-07-17T00:00:00"/>
    <d v="2024-06-28T00:00:00"/>
    <m/>
    <x v="2"/>
    <s v="X24051821503"/>
    <s v="CITY GOVERNMENT OF TAGUIG"/>
    <s v="SOUTH DAANG HARI, PUROK 10, TAGUIG CITY"/>
    <s v="TAGUIG CITY"/>
    <s v="PARAÑAQUE"/>
    <m/>
    <s v="W/O ISSUE"/>
    <x v="0"/>
    <s v="SCHED"/>
    <s v="RRG"/>
    <n v="61.697299999999998"/>
    <n v="97.58"/>
    <n v="20"/>
    <x v="5"/>
    <n v="369106.47"/>
    <n v="49683.3"/>
    <m/>
    <n v="0"/>
    <d v="2024-06-25T10:18:00"/>
    <d v="2024-06-28T14:13:00"/>
    <d v="2024-06-27T00:00:00"/>
    <m/>
    <x v="0"/>
    <m/>
    <n v="-45468.429166666669"/>
    <n v="-45471.592361111114"/>
    <n v="0"/>
    <d v="2024-07-15T12:21:07"/>
    <d v="2024-07-24T16:05:57"/>
    <d v="2024-08-14T10:18:00"/>
    <n v="-1477.1748122987119"/>
    <n v="0"/>
    <n v="23"/>
    <n v="36"/>
    <n v="23.085501858736059"/>
    <n v="29.241635687732341"/>
    <n v="20.085501858736059"/>
    <n v="42"/>
    <n v="33.6"/>
    <n v="28.6"/>
    <d v="1900-02-01T14:24:00"/>
    <d v="1900-01-27T14:24:00"/>
    <m/>
    <m/>
    <m/>
    <m/>
    <m/>
    <m/>
    <m/>
    <m/>
    <m/>
    <m/>
    <d v="1900-01-14T00:00:00"/>
    <n v="0"/>
    <m/>
    <m/>
    <m/>
    <m/>
    <m/>
    <m/>
    <m/>
    <m/>
    <m/>
    <m/>
    <s v="Y"/>
    <m/>
    <m/>
    <m/>
    <m/>
    <m/>
    <m/>
    <m/>
    <d v="2024-07-18T00:00:00"/>
    <s v="DY2-8043, 086919"/>
  </r>
  <r>
    <d v="2024-07-12T00:00:00"/>
    <d v="2024-07-12T00:00:00"/>
    <m/>
    <x v="2"/>
    <s v="X24030740806"/>
    <s v="REGIDOR HOOD OFRIN"/>
    <s v="MAIN, MERVILLE SUBD, PARANAQUE"/>
    <s v="PARAÑAQUE CITY"/>
    <s v="PARAÑAQUE"/>
    <s v="walang mahukayan para sa poste"/>
    <s v="W/ ISSUE"/>
    <x v="3"/>
    <s v="SCHED"/>
    <s v="JMM"/>
    <n v="68.463499999999996"/>
    <n v="103.97"/>
    <n v="45"/>
    <x v="5"/>
    <n v="389891.68"/>
    <n v="55131.92"/>
    <m/>
    <n v="0"/>
    <d v="2024-07-10T16:33:00"/>
    <d v="2024-07-12T12:37:00"/>
    <d v="2024-07-12T00:00:00"/>
    <m/>
    <x v="0"/>
    <m/>
    <n v="-45483.689583333333"/>
    <n v="-45485.525694444441"/>
    <n v="0"/>
    <d v="2024-07-31T21:30:56"/>
    <d v="2024-08-10T08:26:23"/>
    <d v="2024-08-29T16:33:00"/>
    <n v="-1409.2168781160967"/>
    <n v="0"/>
    <n v="26"/>
    <n v="36"/>
    <n v="24.206896551724139"/>
    <n v="30.662068965517239"/>
    <n v="21.206896551724139"/>
    <n v="44"/>
    <n v="35.200000000000003"/>
    <n v="30.200000000000003"/>
    <d v="1900-02-03T04:48:00"/>
    <d v="1900-01-29T04:48:00"/>
    <m/>
    <m/>
    <m/>
    <m/>
    <m/>
    <m/>
    <m/>
    <m/>
    <m/>
    <m/>
    <d v="1900-01-14T00:00:00"/>
    <n v="0"/>
    <m/>
    <m/>
    <m/>
    <m/>
    <m/>
    <m/>
    <m/>
    <m/>
    <m/>
    <m/>
    <s v="Y"/>
    <m/>
    <m/>
    <m/>
    <m/>
    <m/>
    <m/>
    <m/>
    <d v="2024-07-12T00:00:00"/>
    <s v="A6-0040, 520913"/>
  </r>
  <r>
    <d v="2024-07-16T00:00:00"/>
    <d v="2024-07-15T00:00:00"/>
    <m/>
    <x v="2"/>
    <s v="X24062342140"/>
    <s v="JOAN ANTONIO QUIMPO"/>
    <s v="BLOCK 19, ENLISTED PERSONNEL VIL 2, TAGUIG CITY"/>
    <s v="TAGUIG CITY"/>
    <s v="PARAÑAQUE"/>
    <s v="drainge issue; for creation of new WO due to major deisgn modif"/>
    <s v="W/ ISSUE"/>
    <x v="2"/>
    <s v="PCAN"/>
    <s v="JSP"/>
    <n v="356.41320000000002"/>
    <n v="524.67999999999995"/>
    <n v="28"/>
    <x v="8"/>
    <n v="1426938.62"/>
    <n v="287011.09000000003"/>
    <m/>
    <n v="0"/>
    <d v="2024-07-11T08:38:00"/>
    <d v="2024-07-15T14:45:00"/>
    <d v="2024-07-12T00:00:00"/>
    <m/>
    <x v="0"/>
    <m/>
    <n v="-45484.359722222223"/>
    <n v="-45488.614583333336"/>
    <n v="0"/>
    <d v="2024-08-05T04:40:28"/>
    <d v="2024-08-15T14:49:08"/>
    <d v="2024-08-30T08:38:00"/>
    <n v="-1225.5508036265433"/>
    <n v="0"/>
    <n v="40"/>
    <n v="36"/>
    <n v="27.835051546391753"/>
    <n v="35.257731958762882"/>
    <n v="24.835051546391753"/>
    <n v="55"/>
    <n v="44"/>
    <n v="39"/>
    <d v="1900-02-12T00:00:00"/>
    <d v="1900-02-07T00:00:00"/>
    <m/>
    <m/>
    <m/>
    <m/>
    <m/>
    <m/>
    <m/>
    <m/>
    <m/>
    <m/>
    <d v="1900-01-14T00:00:00"/>
    <n v="0"/>
    <m/>
    <m/>
    <m/>
    <m/>
    <m/>
    <m/>
    <m/>
    <m/>
    <m/>
    <m/>
    <m/>
    <m/>
    <m/>
    <m/>
    <m/>
    <m/>
    <m/>
    <m/>
    <m/>
    <m/>
  </r>
  <r>
    <d v="2024-07-16T00:00:00"/>
    <d v="2024-07-16T00:00:00"/>
    <m/>
    <x v="2"/>
    <s v="X24062236601"/>
    <s v="LEIGH ANGELI ADARNA ANCHETA"/>
    <s v="MA. LOURDES ATIENZA, BF RESORT VILL, LAS PINAS CITY"/>
    <s v="LAS PIÑAS CITY"/>
    <s v="PARAÑAQUE"/>
    <s v="On Going  10/14/24"/>
    <s v="W/ ISSUE"/>
    <x v="0"/>
    <s v="FCOMP"/>
    <s v="RRG"/>
    <n v="358.34300000000002"/>
    <n v="519.75"/>
    <n v="41.5"/>
    <x v="5"/>
    <n v="1396868.56"/>
    <n v="288566.21000000002"/>
    <m/>
    <n v="0"/>
    <d v="2024-07-11T14:52:00"/>
    <d v="2024-07-15T14:44:00"/>
    <d v="2024-07-12T00:00:00"/>
    <m/>
    <x v="1"/>
    <m/>
    <n v="202.38055555555911"/>
    <n v="198.38611111111095"/>
    <n v="-45687"/>
    <d v="2024-08-05T10:54:28"/>
    <d v="2024-08-15T21:03:08"/>
    <d v="2024-08-30T14:52:00"/>
    <n v="5.4530316358025646"/>
    <n v="-830.67272727272723"/>
    <n v="40"/>
    <n v="36"/>
    <n v="27.835051546391753"/>
    <n v="35.257731958762882"/>
    <n v="24.835051546391753"/>
    <n v="55"/>
    <n v="44"/>
    <n v="39"/>
    <d v="2025-03-15T00:00:00"/>
    <d v="2025-03-10T00:00:00"/>
    <m/>
    <m/>
    <m/>
    <m/>
    <m/>
    <m/>
    <m/>
    <m/>
    <s v="NO COC"/>
    <m/>
    <d v="2025-02-14T00:00:00"/>
    <n v="-409"/>
    <m/>
    <m/>
    <m/>
    <m/>
    <m/>
    <m/>
    <m/>
    <m/>
    <m/>
    <m/>
    <s v="Y"/>
    <d v="2025-02-19T00:00:00"/>
    <m/>
    <m/>
    <m/>
    <m/>
    <m/>
    <m/>
    <m/>
    <m/>
  </r>
  <r>
    <d v="2024-07-29T00:00:00"/>
    <d v="2024-07-26T00:00:00"/>
    <m/>
    <x v="4"/>
    <s v="X24051926078"/>
    <s v="DITO TELECOMMUNITY CORPORATION"/>
    <s v="CHAMPACA, STO. NINO, TAGUIG CITY"/>
    <s v="TAGUIG CITY"/>
    <s v="PARAÑAQUE"/>
    <s v="SSP and meter (08/16/2024) - cancelled due to refusal on digging of pole location_x000a_8/15/24 - For public consultation/consent of residents c/o DITO (Option 1 - As designed), For redesign (Option 2)_x000a_8/22/24 - For revision of design (Option 2)"/>
    <s v="W/ ISSUE"/>
    <x v="1"/>
    <s v="CLOSED-CAN"/>
    <s v="JMM"/>
    <n v="112.0971"/>
    <n v="228.78"/>
    <n v="31"/>
    <x v="8"/>
    <n v="650720.06000000006"/>
    <n v="90269.18"/>
    <m/>
    <n v="0"/>
    <d v="2024-07-23T15:44:00"/>
    <d v="2024-07-26T13:13:00"/>
    <d v="2024-07-26T00:00:00"/>
    <m/>
    <x v="0"/>
    <m/>
    <n v="-45496.655555555553"/>
    <n v="-45499.550694444442"/>
    <n v="0"/>
    <d v="2024-08-14T12:34:32"/>
    <d v="2024-08-24T03:44:00"/>
    <d v="2024-09-11T15:44:00"/>
    <n v="-1372.1213580246913"/>
    <n v="0"/>
    <n v="28"/>
    <n v="36"/>
    <n v="24.868421052631579"/>
    <n v="31.499999999999996"/>
    <n v="21.868421052631579"/>
    <n v="46"/>
    <n v="36.800000000000004"/>
    <n v="31.800000000000004"/>
    <d v="1900-02-04T19:12:00"/>
    <d v="1900-01-30T19:12:00"/>
    <m/>
    <m/>
    <m/>
    <m/>
    <m/>
    <m/>
    <m/>
    <m/>
    <m/>
    <m/>
    <d v="1900-01-14T00:00:00"/>
    <n v="0"/>
    <m/>
    <m/>
    <m/>
    <m/>
    <m/>
    <m/>
    <m/>
    <m/>
    <m/>
    <m/>
    <s v="Y"/>
    <m/>
    <m/>
    <m/>
    <m/>
    <m/>
    <m/>
    <m/>
    <d v="2024-07-29T00:00:00"/>
    <s v="B7-0676, B7-8108, 522135, B7-0187, B7-8109, 198114"/>
  </r>
  <r>
    <d v="2024-08-03T00:00:00"/>
    <d v="2024-07-26T00:00:00"/>
    <m/>
    <x v="2"/>
    <s v="X24041183168"/>
    <s v="ZENAIDA IGNACIO REYES"/>
    <s v="DIMASALANG, HAGONOY, TAGUIG CITY"/>
    <s v="TAGUIG CITY"/>
    <s v="PARAÑAQUE"/>
    <s v="pole location issue; coordinated with DJJ"/>
    <s v="W/O ISSUE"/>
    <x v="1"/>
    <s v="SCHED"/>
    <s v="JMM"/>
    <n v="85.990499999999997"/>
    <n v="126.03"/>
    <n v="2"/>
    <x v="5"/>
    <n v="199611.03"/>
    <n v="69245.759999999995"/>
    <m/>
    <n v="0"/>
    <d v="2024-07-24T14:44:00"/>
    <d v="2024-07-30T14:28:00"/>
    <d v="2024-07-26T00:00:00"/>
    <m/>
    <x v="0"/>
    <m/>
    <n v="-45497.613888888889"/>
    <n v="-45503.602777777778"/>
    <n v="0"/>
    <d v="2024-08-14T19:41:56"/>
    <d v="2024-08-24T06:37:23"/>
    <d v="2024-09-12T14:44:00"/>
    <n v="-1409.6482935660019"/>
    <n v="0"/>
    <n v="26"/>
    <n v="36"/>
    <n v="24.206896551724139"/>
    <n v="30.662068965517239"/>
    <n v="21.206896551724139"/>
    <n v="44"/>
    <n v="35.200000000000003"/>
    <n v="30.200000000000003"/>
    <d v="1900-02-03T04:48:00"/>
    <d v="1900-01-29T04:48:00"/>
    <m/>
    <m/>
    <m/>
    <m/>
    <m/>
    <m/>
    <m/>
    <m/>
    <m/>
    <m/>
    <d v="1900-01-14T00:00:00"/>
    <n v="0"/>
    <m/>
    <m/>
    <m/>
    <m/>
    <m/>
    <m/>
    <m/>
    <m/>
    <m/>
    <m/>
    <s v="Y"/>
    <m/>
    <m/>
    <m/>
    <m/>
    <m/>
    <m/>
    <m/>
    <d v="2024-08-06T00:00:00"/>
    <s v="B8-8074, B9-0058, B9-5158, B9-5189, B8-0012"/>
  </r>
  <r>
    <d v="2024-08-03T00:00:00"/>
    <d v="2024-07-31T00:00:00"/>
    <m/>
    <x v="2"/>
    <s v="X24051525654"/>
    <s v="FERHN RUBIA BALATUCAN"/>
    <s v="GARNET, PARANAQUE GREEN HEIGHTS, PARANAQUE"/>
    <s v="PARAÑAQUE CITY"/>
    <s v="PARAÑAQUE"/>
    <s v="for scheduling"/>
    <s v="W/ ISSUE"/>
    <x v="2"/>
    <s v="SCHED"/>
    <s v="IGL"/>
    <n v="187.8665"/>
    <n v="159.72"/>
    <n v="42"/>
    <x v="5"/>
    <n v="564043.26"/>
    <n v="119793.67"/>
    <m/>
    <n v="0"/>
    <d v="2024-07-28T00:31:00"/>
    <d v="2024-08-01T14:26:00"/>
    <d v="2024-07-30T00:00:00"/>
    <m/>
    <x v="0"/>
    <m/>
    <n v="-45501.021527777775"/>
    <n v="-45505.601388888892"/>
    <n v="0"/>
    <d v="2024-08-18T05:28:56"/>
    <d v="2024-08-27T16:24:23"/>
    <d v="2024-09-16T00:31:00"/>
    <n v="-1409.75387212132"/>
    <n v="0"/>
    <n v="26"/>
    <n v="36"/>
    <n v="24.206896551724139"/>
    <n v="30.662068965517239"/>
    <n v="21.206896551724139"/>
    <n v="44"/>
    <n v="35.200000000000003"/>
    <n v="30.200000000000003"/>
    <d v="1900-02-03T04:48:00"/>
    <d v="1900-01-29T04:48:00"/>
    <m/>
    <m/>
    <m/>
    <m/>
    <m/>
    <m/>
    <m/>
    <m/>
    <m/>
    <m/>
    <d v="1900-01-14T00:00:00"/>
    <n v="0"/>
    <m/>
    <m/>
    <m/>
    <m/>
    <m/>
    <m/>
    <m/>
    <m/>
    <m/>
    <m/>
    <s v="Y"/>
    <m/>
    <m/>
    <m/>
    <m/>
    <m/>
    <m/>
    <m/>
    <d v="2024-08-06T00:00:00"/>
    <s v="CY9-0494, 035976, CY9-0495, CY9-8040, 521718, CY9-0496, CY9-0642"/>
  </r>
  <r>
    <d v="2024-08-06T00:00:00"/>
    <d v="2024-08-07T00:00:00"/>
    <m/>
    <x v="2"/>
    <s v="X24072779669"/>
    <s v="MA FATIMA FESTIN PERDIDO"/>
    <s v="TALIM, TIERRA NUEVA SUBD, MUNTINLUPA"/>
    <s v="MUNTINLUPA CITY"/>
    <s v="PARAÑAQUE"/>
    <s v="For Update "/>
    <m/>
    <x v="4"/>
    <s v="SCHED"/>
    <s v="RRG"/>
    <n v="53.587000000000003"/>
    <n v="84.28"/>
    <n v="130.19999999999999"/>
    <x v="5"/>
    <n v="406130.01"/>
    <n v="42774.69"/>
    <m/>
    <n v="0"/>
    <d v="2024-08-01T14:27:00"/>
    <d v="2024-08-05T14:40:00"/>
    <d v="2024-08-07T00:00:00"/>
    <m/>
    <x v="0"/>
    <m/>
    <n v="-45505.602083333331"/>
    <n v="-45509.611111111109"/>
    <n v="0"/>
    <d v="2024-08-20T01:56:11"/>
    <d v="2024-08-28T19:23:58"/>
    <d v="2024-09-20T14:27:00"/>
    <n v="-1588.9863770946556"/>
    <n v="0"/>
    <n v="23"/>
    <n v="32"/>
    <n v="21.478599221789885"/>
    <n v="27.206225680933851"/>
    <n v="18.478599221789885"/>
    <n v="42"/>
    <n v="33.6"/>
    <n v="28.6"/>
    <d v="1900-02-01T14:24:00"/>
    <d v="1900-01-27T14:24:00"/>
    <m/>
    <m/>
    <m/>
    <m/>
    <m/>
    <m/>
    <m/>
    <m/>
    <m/>
    <m/>
    <d v="1900-01-14T00:00:00"/>
    <n v="0"/>
    <m/>
    <m/>
    <m/>
    <m/>
    <m/>
    <m/>
    <m/>
    <m/>
    <m/>
    <m/>
    <s v="Y"/>
    <m/>
    <m/>
    <m/>
    <m/>
    <m/>
    <m/>
    <m/>
    <d v="2024-08-06T00:00:00"/>
    <s v="CV9-8008, 515260"/>
  </r>
  <r>
    <d v="2024-08-05T00:00:00"/>
    <d v="2024-08-03T00:00:00"/>
    <m/>
    <x v="4"/>
    <s v="X24073004063"/>
    <s v="RODOLFO C ADRIAS"/>
    <s v="MOLINO BLVD, MOLINO II, BACOOR"/>
    <s v="BACOOR CITY"/>
    <s v="DASMA"/>
    <s v="For Update "/>
    <m/>
    <x v="4"/>
    <s v="FCOMP"/>
    <s v="RRG"/>
    <n v="16.38"/>
    <n v="22.23"/>
    <n v="0"/>
    <x v="2"/>
    <n v="24865.03"/>
    <n v="13198.45"/>
    <m/>
    <n v="0"/>
    <d v="2024-08-01T15:29:00"/>
    <d v="2024-08-03T09:45:00"/>
    <d v="2024-08-03T00:00:00"/>
    <m/>
    <x v="7"/>
    <m/>
    <n v="133.35486111111095"/>
    <n v="131.59375"/>
    <n v="-45639"/>
    <d v="2024-08-20T10:03:50"/>
    <d v="2024-08-29T05:25:08"/>
    <d v="2024-09-20T15:29:00"/>
    <n v="4.5933341049382657"/>
    <n v="-1140.9749999999999"/>
    <n v="20"/>
    <n v="36"/>
    <n v="21.774193548387096"/>
    <n v="27.58064516129032"/>
    <n v="18.774193548387096"/>
    <n v="40"/>
    <n v="32"/>
    <n v="27"/>
    <d v="2025-01-14T00:00:00"/>
    <d v="2025-01-09T00:00:00"/>
    <m/>
    <m/>
    <m/>
    <m/>
    <m/>
    <m/>
    <m/>
    <m/>
    <s v="NO COC"/>
    <m/>
    <d v="2024-12-28T00:00:00"/>
    <n v="-361"/>
    <m/>
    <m/>
    <m/>
    <m/>
    <m/>
    <m/>
    <m/>
    <m/>
    <m/>
    <m/>
    <s v="Y"/>
    <m/>
    <m/>
    <m/>
    <m/>
    <m/>
    <m/>
    <m/>
    <s v="N/A"/>
    <m/>
  </r>
  <r>
    <d v="2024-08-09T00:00:00"/>
    <d v="2024-08-15T00:00:00"/>
    <m/>
    <x v="2"/>
    <s v="X24062436826"/>
    <s v="DIANE VALERIE ZIGA GARCIA"/>
    <s v="MA. CRISTINA, AYALA-ALABANG VILL, MUNTINLUPA"/>
    <s v="MUNTINLUPA CITY"/>
    <s v="PARAÑAQUE"/>
    <s v="For Update "/>
    <m/>
    <x v="4"/>
    <s v="SCHED"/>
    <s v="RRG"/>
    <n v="335.66180000000003"/>
    <n v="490.15"/>
    <n v="82.4"/>
    <x v="5"/>
    <n v="1355923.61"/>
    <n v="269947.83"/>
    <m/>
    <n v="0"/>
    <d v="2024-08-05T13:26:00"/>
    <d v="2024-08-08T09:46:00"/>
    <d v="2024-08-08T00:00:00"/>
    <m/>
    <x v="0"/>
    <m/>
    <n v="-45509.55972222222"/>
    <n v="-45512.406944444447"/>
    <n v="0"/>
    <d v="2024-08-27T14:10:10"/>
    <d v="2024-09-06T06:21:57"/>
    <d v="2024-09-24T13:26:00"/>
    <n v="-1363.6136460886437"/>
    <n v="0"/>
    <n v="32"/>
    <n v="34"/>
    <n v="25.030674846625768"/>
    <n v="31.70552147239264"/>
    <n v="22.030674846625768"/>
    <n v="50"/>
    <n v="40"/>
    <n v="35"/>
    <d v="1900-02-08T00:00:00"/>
    <d v="1900-02-03T00:00:00"/>
    <m/>
    <m/>
    <m/>
    <m/>
    <m/>
    <m/>
    <m/>
    <m/>
    <m/>
    <m/>
    <d v="1900-01-14T00:00:00"/>
    <n v="0"/>
    <m/>
    <m/>
    <m/>
    <m/>
    <m/>
    <m/>
    <m/>
    <m/>
    <m/>
    <m/>
    <s v="Y"/>
    <m/>
    <m/>
    <m/>
    <m/>
    <m/>
    <m/>
    <m/>
    <d v="2024-08-10T00:00:00"/>
    <s v="CT9-0228, CT9-8069, CT9-8068, CT9-8070, CT9-0230, CT9-8071, CT9-8072, CT9-0077, 522617"/>
  </r>
  <r>
    <d v="2024-08-09T00:00:00"/>
    <d v="2024-08-05T00:00:00"/>
    <m/>
    <x v="2"/>
    <s v="X24051525908"/>
    <s v="SUZIE CHEN TAN"/>
    <s v="HEMLOCK, MGV PHASE 1, PARANAQUE"/>
    <s v="PARAÑAQUE CITY"/>
    <s v="PARAÑAQUE"/>
    <s v="WAITING FOR SCHED OF PAI (waiting to release conj. Planned MN WO_x000a_follow up approval of endorsement letter to HOA pres thru BC"/>
    <s v="W/O ISSUE"/>
    <x v="1"/>
    <s v="SCHED"/>
    <s v="JMM"/>
    <n v="66.609899999999996"/>
    <n v="134.5"/>
    <n v="68"/>
    <x v="5"/>
    <n v="319649.19"/>
    <n v="53639.199999999997"/>
    <m/>
    <n v="0"/>
    <d v="2024-08-05T15:55:00"/>
    <d v="2024-08-08T09:58:00"/>
    <d v="2024-08-08T00:00:00"/>
    <m/>
    <x v="0"/>
    <m/>
    <n v="-45509.663194444445"/>
    <n v="-45512.415277777778"/>
    <n v="0"/>
    <d v="2024-08-26T00:11:54"/>
    <d v="2024-09-04T05:36:25"/>
    <d v="2024-09-24T15:55:00"/>
    <n v="-1462.0751524007037"/>
    <n v="0"/>
    <n v="26"/>
    <n v="34"/>
    <n v="23.345070422535212"/>
    <n v="29.570422535211268"/>
    <n v="20.345070422535212"/>
    <n v="44"/>
    <n v="35.200000000000003"/>
    <n v="30.200000000000003"/>
    <d v="1900-02-03T04:48:00"/>
    <d v="1900-01-29T04:48:00"/>
    <m/>
    <m/>
    <m/>
    <m/>
    <m/>
    <m/>
    <m/>
    <m/>
    <m/>
    <m/>
    <d v="1900-01-14T00:00:00"/>
    <n v="0"/>
    <m/>
    <m/>
    <m/>
    <m/>
    <m/>
    <m/>
    <m/>
    <m/>
    <m/>
    <m/>
    <s v="Y"/>
    <m/>
    <m/>
    <m/>
    <m/>
    <m/>
    <m/>
    <m/>
    <d v="2024-08-10T00:00:00"/>
    <s v="DY1-0078, DY1-0079, 521753, DY1-0077"/>
  </r>
  <r>
    <d v="2024-08-13T00:00:00"/>
    <d v="2024-08-07T00:00:00"/>
    <m/>
    <x v="4"/>
    <s v="X24072565971"/>
    <s v="DITO TELECOMMUNITY CORPORATION"/>
    <s v="DOÑA SOLEDAD, BETTER LIVING SUBD, PARANAQUE"/>
    <s v="PARAÑAQUE CITY"/>
    <s v="PARAÑAQUE"/>
    <s v="for cancellation due to third party refusal, pending surplus return of materials"/>
    <s v="W/ ISSUE"/>
    <x v="1"/>
    <s v="PCAN3"/>
    <s v="JMM"/>
    <n v="96.643299999999996"/>
    <n v="156.80000000000001"/>
    <n v="22"/>
    <x v="8"/>
    <n v="632652.96"/>
    <n v="77832.37"/>
    <m/>
    <n v="0"/>
    <d v="2024-08-07T09:01:00"/>
    <d v="2024-08-12T07:32:00"/>
    <d v="2024-08-16T00:00:00"/>
    <m/>
    <x v="0"/>
    <m/>
    <n v="-45511.375694444447"/>
    <n v="-45516.313888888886"/>
    <n v="0"/>
    <d v="2024-08-28T13:58:56"/>
    <d v="2024-09-07T00:54:23"/>
    <d v="2024-09-26T09:01:00"/>
    <n v="-1410.0746742936849"/>
    <n v="0"/>
    <n v="26"/>
    <n v="36"/>
    <n v="24.206896551724139"/>
    <n v="30.662068965517239"/>
    <n v="21.206896551724139"/>
    <n v="44"/>
    <n v="35.200000000000003"/>
    <n v="30.200000000000003"/>
    <d v="1900-02-03T04:48:00"/>
    <d v="1900-01-29T04:48:00"/>
    <s v="Applicant-related compliance"/>
    <s v="Y"/>
    <s v="N"/>
    <m/>
    <s v="Y"/>
    <d v="2024-09-11T00:00:00"/>
    <m/>
    <m/>
    <m/>
    <m/>
    <d v="1900-01-14T00:00:00"/>
    <n v="0"/>
    <m/>
    <m/>
    <m/>
    <m/>
    <m/>
    <m/>
    <m/>
    <m/>
    <m/>
    <m/>
    <s v="Y"/>
    <m/>
    <m/>
    <m/>
    <m/>
    <m/>
    <m/>
    <m/>
    <s v="N/A"/>
    <s v="DZ1-2587, 107768"/>
  </r>
  <r>
    <d v="2024-08-13T00:00:00"/>
    <d v="2024-08-08T00:00:00"/>
    <m/>
    <x v="2"/>
    <s v="X23114603408"/>
    <s v="GILBERT CLAIRE O REALICA"/>
    <s v="APO, AYALA-ALABANG VILL, MUNTINLUPA"/>
    <s v="MUNTINLUPA CITY"/>
    <s v="PARAÑAQUE"/>
    <m/>
    <m/>
    <x v="0"/>
    <s v="FCOMP"/>
    <s v="RRG"/>
    <n v="92.761799999999994"/>
    <n v="132.85"/>
    <n v="100"/>
    <x v="5"/>
    <n v="448826.37"/>
    <n v="74723.06"/>
    <m/>
    <n v="0"/>
    <d v="2024-08-08T13:08:00"/>
    <d v="2024-08-13T07:44:00"/>
    <d v="2024-08-14T00:00:00"/>
    <m/>
    <x v="8"/>
    <m/>
    <n v="186.45277777777665"/>
    <n v="181.67777777777519"/>
    <n v="-45699"/>
    <d v="2024-08-28T21:24:54"/>
    <d v="2024-09-07T02:49:25"/>
    <d v="2024-09-27T13:08:00"/>
    <n v="5.9901118652588874"/>
    <n v="-1038.6136363636363"/>
    <n v="26"/>
    <n v="34"/>
    <n v="23.345070422535212"/>
    <n v="29.570422535211268"/>
    <n v="20.345070422535212"/>
    <n v="44"/>
    <n v="35.200000000000003"/>
    <n v="30.200000000000003"/>
    <d v="2025-03-18T04:48:00"/>
    <d v="2025-03-13T04:48:00"/>
    <m/>
    <m/>
    <m/>
    <m/>
    <m/>
    <m/>
    <m/>
    <m/>
    <s v="NO COC"/>
    <m/>
    <d v="2025-02-26T00:00:00"/>
    <n v="-421"/>
    <m/>
    <m/>
    <m/>
    <m/>
    <m/>
    <m/>
    <m/>
    <m/>
    <m/>
    <m/>
    <s v="Y"/>
    <d v="2025-02-11T00:00:00"/>
    <m/>
    <m/>
    <m/>
    <m/>
    <m/>
    <m/>
    <d v="2024-08-14T00:00:00"/>
    <s v="DT1-8041, 519768"/>
  </r>
  <r>
    <d v="2024-08-13T00:00:00"/>
    <d v="2024-08-18T00:00:00"/>
    <m/>
    <x v="2"/>
    <s v="X24051519918"/>
    <s v="STO. CRISTO PROPERTIES &amp; HOLDINGS CORP."/>
    <s v="PASCUAL, PARANAQUE GREEN HEIGHTS, PARANAQUE"/>
    <s v="PARAÑAQUE CITY"/>
    <s v="PARAÑAQUE"/>
    <s v="With customer opposition on DT pole; _x000a_With new released work order X24093771340; to transfer all materials and SI to X24093771340_x000a_for cancellation"/>
    <s v="FOR CANCELLATION"/>
    <x v="2"/>
    <s v="PCAN3"/>
    <s v="IGL"/>
    <n v="58.3675"/>
    <n v="89.53"/>
    <n v="114"/>
    <x v="8"/>
    <n v="434654.9"/>
    <n v="47026.09"/>
    <m/>
    <n v="0"/>
    <d v="2024-08-08T16:55:00"/>
    <d v="2024-08-13T09:16:00"/>
    <d v="2024-08-12T00:00:00"/>
    <m/>
    <x v="0"/>
    <m/>
    <n v="-45512.704861111109"/>
    <n v="-45517.386111111111"/>
    <n v="0"/>
    <d v="2024-08-27T04:24:11"/>
    <d v="2024-09-04T21:51:58"/>
    <d v="2024-09-27T16:55:00"/>
    <n v="-1589.2343952860808"/>
    <n v="0"/>
    <n v="23"/>
    <n v="32"/>
    <n v="21.478599221789885"/>
    <n v="27.206225680933851"/>
    <n v="18.478599221789885"/>
    <n v="42"/>
    <n v="33.6"/>
    <n v="28.6"/>
    <d v="1900-02-01T14:24:00"/>
    <d v="1900-01-27T14:24:00"/>
    <m/>
    <m/>
    <m/>
    <m/>
    <m/>
    <m/>
    <m/>
    <m/>
    <m/>
    <m/>
    <d v="1900-01-14T00:00:00"/>
    <n v="0"/>
    <m/>
    <m/>
    <m/>
    <m/>
    <m/>
    <m/>
    <m/>
    <m/>
    <m/>
    <m/>
    <s v="Y"/>
    <m/>
    <m/>
    <m/>
    <m/>
    <m/>
    <m/>
    <m/>
    <d v="2024-08-14T00:00:00"/>
    <s v="CY9-1108, CY9-8039, 521704"/>
  </r>
  <r>
    <d v="2024-08-13T00:00:00"/>
    <d v="2024-08-08T00:00:00"/>
    <m/>
    <x v="1"/>
    <s v="X23114429217"/>
    <s v="GOLDSERVE HOLDING COMPANY INC."/>
    <s v="MIA, TAMBO, PARANAQUE"/>
    <s v="PARAÑAQUE CITY"/>
    <s v="PARAÑAQUE"/>
    <s v="pole location issue"/>
    <s v="W/ ISSUE"/>
    <x v="1"/>
    <s v="SCHED"/>
    <s v="UG"/>
    <n v="62.109400000000001"/>
    <n v="224.02"/>
    <n v="44"/>
    <x v="8"/>
    <n v="636513.87"/>
    <n v="49637.68"/>
    <m/>
    <n v="0"/>
    <d v="2024-08-08T17:04:00"/>
    <d v="2024-08-13T07:19:00"/>
    <d v="2024-08-16T00:00:00"/>
    <m/>
    <x v="0"/>
    <m/>
    <n v="-45512.711111111108"/>
    <n v="-45517.304861111108"/>
    <n v="0"/>
    <d v="2024-08-30T13:54:32"/>
    <d v="2024-09-09T05:04:00"/>
    <d v="2024-09-27T17:04:00"/>
    <n v="-1372.6055731922397"/>
    <n v="0"/>
    <n v="28"/>
    <n v="36"/>
    <n v="24.868421052631579"/>
    <n v="31.499999999999996"/>
    <n v="21.868421052631579"/>
    <n v="46"/>
    <n v="36.800000000000004"/>
    <n v="31.800000000000004"/>
    <d v="1900-02-04T19:12:00"/>
    <d v="1900-01-30T19:12:00"/>
    <m/>
    <m/>
    <m/>
    <m/>
    <m/>
    <m/>
    <m/>
    <m/>
    <m/>
    <m/>
    <d v="1900-01-14T00:00:00"/>
    <n v="0"/>
    <m/>
    <m/>
    <m/>
    <m/>
    <m/>
    <m/>
    <m/>
    <m/>
    <m/>
    <m/>
    <s v="Y"/>
    <m/>
    <m/>
    <m/>
    <m/>
    <m/>
    <m/>
    <m/>
    <d v="2024-08-14T00:00:00"/>
    <s v="B5-8037, B5-0084, B5-8038, B5-5094, B5-00971"/>
  </r>
  <r>
    <d v="2024-08-13T00:00:00"/>
    <d v="2024-08-08T00:00:00"/>
    <m/>
    <x v="1"/>
    <s v="X23114429361"/>
    <s v="GOLDSERVE HOLDING COMPANY INC."/>
    <s v="MIA, TAMBO, PARANAQUE"/>
    <s v="PARAÑAQUE CITY"/>
    <s v="PARAÑAQUE"/>
    <s v="conjunct to UG wo X23114429217; for sched of digging"/>
    <s v="W/ ISSUE"/>
    <x v="1"/>
    <s v="SCHED"/>
    <s v="JMM"/>
    <n v="11.8408"/>
    <n v="16.2"/>
    <n v="16"/>
    <x v="8"/>
    <n v="132843.69"/>
    <n v="9535.1"/>
    <m/>
    <n v="0"/>
    <d v="2024-08-08T17:05:00"/>
    <d v="2024-08-13T07:33:00"/>
    <d v="2024-08-16T00:00:00"/>
    <m/>
    <x v="0"/>
    <m/>
    <n v="-45512.711805555555"/>
    <n v="-45517.314583333333"/>
    <n v="0"/>
    <d v="2024-08-27T11:39:50"/>
    <d v="2024-09-05T07:01:08"/>
    <d v="2024-09-27T17:05:00"/>
    <n v="-1567.6600733024688"/>
    <n v="0"/>
    <n v="20"/>
    <n v="36"/>
    <n v="21.774193548387096"/>
    <n v="27.58064516129032"/>
    <n v="18.774193548387096"/>
    <n v="40"/>
    <n v="32"/>
    <n v="27"/>
    <d v="1900-01-31T00:00:00"/>
    <d v="1900-01-26T00:00:00"/>
    <m/>
    <m/>
    <m/>
    <m/>
    <m/>
    <m/>
    <m/>
    <m/>
    <m/>
    <m/>
    <d v="1900-01-14T00:00:00"/>
    <n v="0"/>
    <m/>
    <m/>
    <m/>
    <m/>
    <m/>
    <m/>
    <m/>
    <m/>
    <m/>
    <m/>
    <s v="Y"/>
    <m/>
    <m/>
    <m/>
    <m/>
    <m/>
    <m/>
    <m/>
    <d v="2024-08-14T00:00:00"/>
    <s v="B5-8038, 519608"/>
  </r>
  <r>
    <d v="2024-08-15T00:00:00"/>
    <d v="2024-08-22T00:00:00"/>
    <m/>
    <x v="1"/>
    <s v="R23075417"/>
    <s v="CONGBALAY, SIMPLICIO C, "/>
    <s v="N. LOPEZ, LOPEZ VILL, PARANAQUE"/>
    <s v="PARAÑAQUE CITY"/>
    <s v="PARAÑAQUE"/>
    <s v="Completed"/>
    <s v="W/O ISSUE"/>
    <x v="4"/>
    <s v="SCHED"/>
    <s v="RRG"/>
    <n v="81.420100000000005"/>
    <n v="140.12"/>
    <n v="0"/>
    <x v="10"/>
    <n v="237016.01"/>
    <n v="65565.56"/>
    <m/>
    <n v="0"/>
    <d v="2024-08-12T14:52:00"/>
    <d v="2024-08-15T13:43:00"/>
    <d v="2024-08-14T00:00:00"/>
    <m/>
    <x v="0"/>
    <m/>
    <n v="-45516.619444444441"/>
    <n v="-45519.571527777778"/>
    <n v="0"/>
    <d v="2024-09-02T19:49:56"/>
    <d v="2024-09-12T06:45:23"/>
    <d v="2024-10-01T14:52:00"/>
    <n v="-1410.2371409069324"/>
    <n v="0"/>
    <n v="26"/>
    <n v="36"/>
    <n v="24.206896551724139"/>
    <n v="30.662068965517239"/>
    <n v="21.206896551724139"/>
    <n v="44"/>
    <n v="35.200000000000003"/>
    <n v="30.200000000000003"/>
    <d v="1900-02-03T04:48:00"/>
    <d v="1900-01-29T04:48:00"/>
    <m/>
    <m/>
    <m/>
    <m/>
    <m/>
    <m/>
    <m/>
    <m/>
    <m/>
    <m/>
    <d v="1900-01-14T00:00:00"/>
    <n v="0"/>
    <m/>
    <m/>
    <m/>
    <m/>
    <m/>
    <m/>
    <m/>
    <m/>
    <m/>
    <m/>
    <s v="Y"/>
    <m/>
    <m/>
    <m/>
    <m/>
    <m/>
    <m/>
    <m/>
    <d v="2024-08-15T00:00:00"/>
    <s v="CY9-8035, 362095"/>
  </r>
  <r>
    <d v="2024-08-21T00:00:00"/>
    <d v="2024-08-22T00:00:00"/>
    <m/>
    <x v="2"/>
    <s v="R23354122"/>
    <s v="MANAHAN, MELANIE V.,"/>
    <s v="SAPLUNGAN, MEADOWOOD EXEC. VILLAGE PHASE 3B, BACOOR"/>
    <s v="BACOOR CITY"/>
    <s v="DASMA"/>
    <s v="Hold Execution as per BC Mam Grace Alarcon  due wrong polcaation as per developer "/>
    <s v="W/ ISSUE"/>
    <x v="4"/>
    <s v="SCHED"/>
    <s v="RRG"/>
    <n v="21.84"/>
    <n v="33.950000000000003"/>
    <n v="0"/>
    <x v="10"/>
    <n v="114511.06"/>
    <n v="17587.5"/>
    <m/>
    <n v="0"/>
    <d v="2024-08-14T09:32:00"/>
    <d v="2024-08-20T08:32:00"/>
    <d v="2024-08-20T00:00:00"/>
    <m/>
    <x v="0"/>
    <m/>
    <n v="-45518.397222222222"/>
    <n v="-45524.355555555558"/>
    <n v="0"/>
    <d v="2024-09-02T04:06:50"/>
    <d v="2024-09-10T23:28:08"/>
    <d v="2024-10-03T09:32:00"/>
    <n v="-1567.8559043209875"/>
    <n v="0"/>
    <n v="20"/>
    <n v="36"/>
    <n v="21.774193548387096"/>
    <n v="27.58064516129032"/>
    <n v="18.774193548387096"/>
    <n v="40"/>
    <n v="32"/>
    <n v="27"/>
    <d v="1900-01-31T00:00:00"/>
    <d v="1900-01-26T00:00:00"/>
    <m/>
    <m/>
    <m/>
    <m/>
    <m/>
    <m/>
    <m/>
    <m/>
    <m/>
    <m/>
    <d v="1900-01-14T00:00:00"/>
    <n v="0"/>
    <m/>
    <m/>
    <m/>
    <m/>
    <m/>
    <m/>
    <m/>
    <m/>
    <m/>
    <m/>
    <s v="N"/>
    <m/>
    <m/>
    <m/>
    <m/>
    <m/>
    <m/>
    <m/>
    <d v="2024-08-24T00:00:00"/>
    <s v="CV6-8051, CV6-6382"/>
  </r>
  <r>
    <d v="2024-09-16T00:00:00"/>
    <s v="OK"/>
    <m/>
    <x v="4"/>
    <s v="R23208322"/>
    <s v="SM DEVELOPMENT CORPORATION"/>
    <s v="BLDG 10, FIELD RESIDENCES, PARANAQUE"/>
    <s v="PARAÑAQUE CITY"/>
    <s v="PARAÑAQUE"/>
    <s v="For resched of PAI (initially sched last 9/17/2024) due to customer's request to relocate involved pole to another location"/>
    <s v="W/ ISSUE"/>
    <x v="1"/>
    <s v="FCOMP"/>
    <s v="JMM"/>
    <n v="142.47499999999999"/>
    <n v="204.13"/>
    <n v="0"/>
    <x v="10"/>
    <n v="371967.81"/>
    <n v="114354.6"/>
    <m/>
    <n v="0"/>
    <d v="2024-08-19T16:42:00"/>
    <d v="2024-08-22T13:21:00"/>
    <d v="2024-08-22T00:00:00"/>
    <m/>
    <x v="9"/>
    <m/>
    <n v="186.30416666666861"/>
    <n v="183.44374999999854"/>
    <n v="-45710"/>
    <d v="2024-09-10T13:32:32"/>
    <d v="2024-09-20T04:42:00"/>
    <d v="2024-10-08T16:42:00"/>
    <n v="5.6186970899471484"/>
    <n v="-993.695652173913"/>
    <n v="28"/>
    <n v="36"/>
    <n v="24.868421052631579"/>
    <n v="31.499999999999996"/>
    <n v="21.868421052631579"/>
    <n v="46"/>
    <n v="36.800000000000004"/>
    <n v="31.800000000000004"/>
    <d v="2025-03-30T19:12:00"/>
    <d v="2025-03-25T19:12:00"/>
    <m/>
    <m/>
    <m/>
    <m/>
    <m/>
    <m/>
    <m/>
    <m/>
    <m/>
    <m/>
    <d v="2025-03-09T00:00:00"/>
    <n v="-432"/>
    <m/>
    <m/>
    <m/>
    <m/>
    <m/>
    <m/>
    <m/>
    <m/>
    <m/>
    <m/>
    <s v="N"/>
    <m/>
    <m/>
    <m/>
    <m/>
    <m/>
    <m/>
    <m/>
    <m/>
    <s v="CZ8-5093, CZ8-5094"/>
  </r>
  <r>
    <d v="2024-08-26T00:00:00"/>
    <d v="2024-09-09T00:00:00"/>
    <m/>
    <x v="2"/>
    <s v="X24072536492"/>
    <s v="CITY GOV'T OF LAS PIÑAS"/>
    <s v="BF CARNIBAL PARK, BF RESORT VILL, LAS PINAS CITY"/>
    <s v="LAS PIÑAS CITY"/>
    <s v="PARAÑAQUE"/>
    <m/>
    <m/>
    <x v="3"/>
    <s v="FCOMP"/>
    <s v="JMM"/>
    <n v="14.8103"/>
    <n v="20.12"/>
    <n v="32"/>
    <x v="5"/>
    <n v="143928.54"/>
    <n v="11926.44"/>
    <m/>
    <n v="0"/>
    <d v="2024-08-20T13:46:00"/>
    <d v="2024-08-22T14:06:00"/>
    <d v="2024-08-24T00:00:00"/>
    <m/>
    <x v="10"/>
    <m/>
    <n v="138.9736111111124"/>
    <n v="136.9597222222219"/>
    <n v="-45663.547222222223"/>
    <d v="2024-09-08T08:20:50"/>
    <d v="2024-09-17T03:42:08"/>
    <d v="2024-10-09T13:46:00"/>
    <n v="4.7868688271605375"/>
    <n v="-1141.5886805555556"/>
    <n v="20"/>
    <n v="36"/>
    <n v="21.774193548387096"/>
    <n v="27.58064516129032"/>
    <n v="18.774193548387096"/>
    <n v="40"/>
    <n v="32"/>
    <n v="27"/>
    <d v="2025-02-07T13:08:00"/>
    <d v="2025-02-02T13:08:00"/>
    <m/>
    <m/>
    <m/>
    <m/>
    <m/>
    <m/>
    <m/>
    <m/>
    <s v="NO COC"/>
    <m/>
    <d v="2025-01-21T13:08:00"/>
    <n v="-385.54722222222335"/>
    <m/>
    <m/>
    <m/>
    <m/>
    <m/>
    <m/>
    <m/>
    <m/>
    <m/>
    <m/>
    <s v="Y"/>
    <d v="2024-12-17T00:00:00"/>
    <m/>
    <m/>
    <m/>
    <m/>
    <m/>
    <m/>
    <d v="2024-08-26T00:00:00"/>
    <s v="CV7-0697, 522656"/>
  </r>
  <r>
    <d v="2024-08-28T00:00:00"/>
    <d v="2024-08-21T00:00:00"/>
    <m/>
    <x v="1"/>
    <s v="X24051932778"/>
    <s v="KEN VANN JOSPEH K REYES"/>
    <s v="ALABANG-ZAPOTE, TALON I, LAS PINAS CITY"/>
    <s v="LAS PIÑAS CITY"/>
    <s v="PARAÑAQUE"/>
    <m/>
    <s v="W/O ISSUE"/>
    <x v="0"/>
    <s v="SCHED"/>
    <s v="RRG"/>
    <n v="49.271599999999999"/>
    <n v="95.18"/>
    <n v="68"/>
    <x v="8"/>
    <n v="401921.51"/>
    <n v="39677.160000000003"/>
    <m/>
    <n v="0"/>
    <d v="2024-08-21T15:11:00"/>
    <d v="2024-08-27T10:45:00"/>
    <d v="2024-08-28T00:00:00"/>
    <m/>
    <x v="0"/>
    <m/>
    <n v="-45525.632638888892"/>
    <n v="-45531.447916666664"/>
    <n v="0"/>
    <d v="2024-09-09T22:23:33"/>
    <d v="2024-09-18T21:06:54"/>
    <d v="2024-10-10T15:11:00"/>
    <n v="-1531.1050363206878"/>
    <n v="0"/>
    <n v="23"/>
    <n v="34"/>
    <n v="22.300380228136884"/>
    <n v="28.247148288973385"/>
    <n v="19.300380228136884"/>
    <n v="42"/>
    <n v="33.6"/>
    <n v="28.6"/>
    <d v="1900-02-01T14:24:00"/>
    <d v="1900-01-27T14:24:00"/>
    <m/>
    <m/>
    <m/>
    <m/>
    <m/>
    <m/>
    <m/>
    <m/>
    <m/>
    <m/>
    <d v="1900-01-14T00:00:00"/>
    <n v="0"/>
    <m/>
    <m/>
    <m/>
    <m/>
    <m/>
    <m/>
    <m/>
    <m/>
    <m/>
    <m/>
    <s v="Y"/>
    <m/>
    <m/>
    <m/>
    <m/>
    <m/>
    <m/>
    <m/>
    <d v="2024-09-05T00:00:00"/>
    <s v="CV8-8058, 522145"/>
  </r>
  <r>
    <d v="2024-08-30T00:00:00"/>
    <d v="2024-08-22T00:00:00"/>
    <m/>
    <x v="2"/>
    <s v="R22419641"/>
    <s v="ONOFRE, CORAZON VILLA,"/>
    <s v="GLORIA DIAZ, BF RESORT VILL, LAS PINAS CITY"/>
    <s v="LAS PIÑAS CITY"/>
    <s v="PARAÑAQUE"/>
    <m/>
    <m/>
    <x v="0"/>
    <s v="SCHED"/>
    <s v="RRG"/>
    <n v="153.46879999999999"/>
    <n v="220.37"/>
    <n v="0"/>
    <x v="10"/>
    <n v="418004.67"/>
    <n v="123585.18"/>
    <m/>
    <n v="0"/>
    <d v="2024-08-22T14:49:00"/>
    <d v="2024-08-30T13:25:00"/>
    <d v="2024-08-28T00:00:00"/>
    <m/>
    <x v="0"/>
    <m/>
    <n v="-45526.617361111108"/>
    <n v="-45534.559027777781"/>
    <n v="0"/>
    <d v="2024-09-13T11:39:32"/>
    <d v="2024-09-23T02:49:00"/>
    <d v="2024-10-11T14:49:00"/>
    <n v="-1373.0249680335096"/>
    <n v="0"/>
    <n v="28"/>
    <n v="36"/>
    <n v="24.868421052631579"/>
    <n v="31.499999999999996"/>
    <n v="21.868421052631579"/>
    <n v="46"/>
    <n v="36.800000000000004"/>
    <n v="31.800000000000004"/>
    <d v="1900-02-04T19:12:00"/>
    <d v="1900-01-30T19:12:00"/>
    <m/>
    <m/>
    <m/>
    <m/>
    <m/>
    <m/>
    <m/>
    <m/>
    <m/>
    <m/>
    <d v="1900-01-14T00:00:00"/>
    <n v="0"/>
    <m/>
    <m/>
    <m/>
    <m/>
    <m/>
    <m/>
    <m/>
    <m/>
    <m/>
    <m/>
    <s v="N"/>
    <m/>
    <m/>
    <m/>
    <m/>
    <m/>
    <m/>
    <m/>
    <d v="2024-09-05T00:00:00"/>
    <s v="CW7-0175, CW7-0174, CW7-0173"/>
  </r>
  <r>
    <d v="2024-09-02T00:00:00"/>
    <s v="OK"/>
    <m/>
    <x v="2"/>
    <s v="R23165916"/>
    <s v="POKAAN ALIREZA LUMBAYA"/>
    <s v="JOLO, MAHARLIKA VILL, TAGUIG CITY"/>
    <s v="TAGUIG CITY"/>
    <s v="PARAÑAQUE"/>
    <s v="for sched of pole erection"/>
    <s v="W/O ISSUE"/>
    <x v="1"/>
    <s v="SCHED"/>
    <s v="JMM"/>
    <n v="27.2133"/>
    <n v="44.25"/>
    <n v="0"/>
    <x v="10"/>
    <n v="137707.32"/>
    <n v="21914.3"/>
    <m/>
    <n v="0"/>
    <d v="2024-08-22T14:43:00"/>
    <d v="2024-08-30T13:30:00"/>
    <d v="2024-08-27T00:00:00"/>
    <m/>
    <x v="0"/>
    <m/>
    <n v="-45526.613194444442"/>
    <n v="-45534.5625"/>
    <n v="0"/>
    <d v="2024-09-10T09:17:50"/>
    <d v="2024-09-19T04:39:08"/>
    <d v="2024-10-11T14:43:00"/>
    <n v="-1568.138898919753"/>
    <n v="0"/>
    <n v="20"/>
    <n v="36"/>
    <n v="21.774193548387096"/>
    <n v="27.58064516129032"/>
    <n v="18.774193548387096"/>
    <n v="40"/>
    <n v="32"/>
    <n v="27"/>
    <d v="1900-01-31T00:00:00"/>
    <d v="1900-01-26T00:00:00"/>
    <m/>
    <m/>
    <m/>
    <m/>
    <m/>
    <m/>
    <m/>
    <m/>
    <m/>
    <m/>
    <d v="1900-01-14T00:00:00"/>
    <n v="0"/>
    <m/>
    <m/>
    <m/>
    <m/>
    <m/>
    <m/>
    <m/>
    <m/>
    <m/>
    <m/>
    <s v="N"/>
    <m/>
    <m/>
    <m/>
    <m/>
    <m/>
    <m/>
    <m/>
    <d v="2024-09-05T00:00:00"/>
    <s v="A8-0212, A8-1517"/>
  </r>
  <r>
    <d v="2024-09-09T00:00:00"/>
    <d v="2024-08-30T00:00:00"/>
    <m/>
    <x v="2"/>
    <s v="X23104092125"/>
    <s v="PHILIP SIGFRID ALFARO FORTUN"/>
    <s v="SAN AGUSTIN, SUSANA HTS SUBD VILL 6, MUNTINLUPA"/>
    <s v="MUNTINLUPA CITY"/>
    <s v="PARAÑAQUE"/>
    <s v="Pole location issue"/>
    <s v="W/  ISSUE"/>
    <x v="0"/>
    <s v="SCHED"/>
    <s v="RRG"/>
    <n v="96.317499999999995"/>
    <n v="126.9"/>
    <n v="80"/>
    <x v="8"/>
    <n v="402375.37"/>
    <n v="77586.83"/>
    <m/>
    <n v="0"/>
    <d v="2024-08-30T14:29:00"/>
    <d v="2024-09-06T12:53:00"/>
    <d v="2024-09-04T00:00:00"/>
    <m/>
    <x v="0"/>
    <m/>
    <n v="-45534.603472222225"/>
    <n v="-45541.536805555559"/>
    <n v="0"/>
    <d v="2024-09-19T22:45:54"/>
    <d v="2024-09-29T04:10:25"/>
    <d v="2024-10-19T14:29:00"/>
    <n v="-1462.8764011437909"/>
    <n v="0"/>
    <n v="26"/>
    <n v="34"/>
    <n v="23.345070422535212"/>
    <n v="29.570422535211268"/>
    <n v="20.345070422535212"/>
    <n v="44"/>
    <n v="35.200000000000003"/>
    <n v="30.200000000000003"/>
    <d v="1900-02-03T04:48:00"/>
    <d v="1900-01-29T04:48:00"/>
    <m/>
    <m/>
    <m/>
    <m/>
    <m/>
    <m/>
    <m/>
    <m/>
    <m/>
    <m/>
    <d v="1900-01-14T00:00:00"/>
    <n v="0"/>
    <m/>
    <m/>
    <m/>
    <m/>
    <m/>
    <m/>
    <m/>
    <m/>
    <m/>
    <m/>
    <s v="Y"/>
    <m/>
    <m/>
    <m/>
    <m/>
    <m/>
    <m/>
    <m/>
    <d v="2024-09-12T00:00:00"/>
    <s v="DQ1-0437, DQ1-8004, DQ1-2066, DQ1-2067, 516118, DQ1-5020"/>
  </r>
  <r>
    <d v="2024-09-05T00:00:00"/>
    <d v="2024-08-28T00:00:00"/>
    <m/>
    <x v="3"/>
    <s v="P2407173485"/>
    <s v="RELOCATION OF POLE AFFECTED BY ROAD WIDENING PROJECT IN TRAMO, ALIMA, BACOOR"/>
    <s v="ALIMA I ALIMA I ALIMA I BACOOR CAVITE"/>
    <s v="BACOOR CITY"/>
    <s v="DASMA"/>
    <s v="Actual Completion on Site  (10/29/24)"/>
    <s v="W/O ISSUE"/>
    <x v="4"/>
    <s v="FCOMP"/>
    <s v="RRG"/>
    <n v="2347.62914"/>
    <n v="1321.23"/>
    <n v="0"/>
    <x v="4"/>
    <n v="3380199.52"/>
    <n v="1302517.3899999999"/>
    <m/>
    <n v="0"/>
    <d v="2024-08-28T07:59:00"/>
    <d v="2024-09-03T06:44:00"/>
    <d v="2024-09-04T00:00:00"/>
    <m/>
    <x v="7"/>
    <m/>
    <n v="106.66736111111095"/>
    <n v="100.71944444444671"/>
    <n v="-45639"/>
    <d v="2024-09-23T19:24:25"/>
    <d v="2024-10-04T16:03:12"/>
    <d v="2024-10-17T07:59:00"/>
    <n v="2.7140917438271561"/>
    <n v="-760.65"/>
    <n v="50"/>
    <n v="36"/>
    <n v="29.475982532751093"/>
    <n v="37.336244541484717"/>
    <n v="26.475982532751093"/>
    <n v="60"/>
    <n v="48"/>
    <n v="43"/>
    <d v="2025-01-30T00:00:00"/>
    <d v="2025-01-25T00:00:00"/>
    <m/>
    <m/>
    <m/>
    <m/>
    <m/>
    <m/>
    <m/>
    <m/>
    <s v="NO COC"/>
    <m/>
    <d v="2024-12-28T00:00:00"/>
    <n v="-361"/>
    <m/>
    <m/>
    <m/>
    <m/>
    <m/>
    <m/>
    <m/>
    <m/>
    <m/>
    <m/>
    <s v="N"/>
    <m/>
    <m/>
    <m/>
    <m/>
    <m/>
    <m/>
    <m/>
    <d v="2024-09-05T00:00:00"/>
    <s v="CX5-2078, CX5-0353, CX5-8009, CX5-8009, CX5-0024, CX5-8010, CX5-0025, CX5-8011, CX5-0356, CX5-8012, CX5-8012, CX5-8013, CX5-0358, CX5-8014, 044767, CX5-0028"/>
  </r>
  <r>
    <d v="2024-09-06T00:00:00"/>
    <d v="2024-08-30T00:00:00"/>
    <m/>
    <x v="2"/>
    <s v="X24052000319"/>
    <s v="CITY GOVERNMENT OF TAGUIG"/>
    <s v="MAULING CREEK, PUROK 6D, TAGUIG CITY"/>
    <s v="TAGUIG CITY"/>
    <s v="PARAÑAQUE"/>
    <s v="On Going Digging"/>
    <s v="W/O ISSUE"/>
    <x v="0"/>
    <s v="SCHED"/>
    <s v="RRG"/>
    <n v="713.32849999999996"/>
    <n v="1120.8800000000001"/>
    <n v="45"/>
    <x v="8"/>
    <n v="2734702.55"/>
    <n v="572539.79"/>
    <m/>
    <n v="0"/>
    <d v="2024-08-30T15:54:00"/>
    <d v="2024-09-06T12:30:00"/>
    <d v="2025-01-20T00:00:00"/>
    <m/>
    <x v="0"/>
    <m/>
    <n v="-45534.662499999999"/>
    <n v="-45541.520833333336"/>
    <n v="0"/>
    <d v="2024-09-26T03:19:25"/>
    <d v="2024-10-06T23:58:12"/>
    <d v="2024-10-19T15:54:00"/>
    <n v="-1158.6041902777777"/>
    <n v="0"/>
    <n v="50"/>
    <n v="36"/>
    <n v="29.475982532751093"/>
    <n v="37.336244541484717"/>
    <n v="26.475982532751093"/>
    <n v="60"/>
    <n v="48"/>
    <n v="43"/>
    <d v="1900-02-16T00:00:00"/>
    <d v="1900-02-11T00:00:00"/>
    <m/>
    <m/>
    <m/>
    <m/>
    <m/>
    <m/>
    <m/>
    <m/>
    <m/>
    <m/>
    <d v="1900-01-14T00:00:00"/>
    <n v="0"/>
    <m/>
    <m/>
    <m/>
    <m/>
    <m/>
    <m/>
    <m/>
    <m/>
    <m/>
    <m/>
    <s v="Y"/>
    <m/>
    <m/>
    <m/>
    <m/>
    <m/>
    <m/>
    <m/>
    <d v="2025-01-20T00:00:00"/>
    <s v="DZ2-8070, DZ2-8071, DZ2-8072, DZ2-8073, DZ2-8074, DZ2-8075, DZ2-8076, DZ2-8077, DZ2-8078, DZ2-8079, TLN-522415,DZ2-8080,DZ2-8081,DZ2-8082,DZ2-8083"/>
  </r>
  <r>
    <d v="2024-09-06T00:00:00"/>
    <d v="2024-08-30T00:00:00"/>
    <m/>
    <x v="2"/>
    <s v="X24052000269"/>
    <s v="CITY GOVERNMENT OF TAGUIG"/>
    <s v="MAULING CREEK, PUROK 6D, TAGUIG CITY"/>
    <s v="TAGUIG CITY"/>
    <s v="PARAÑAQUE"/>
    <s v="On Going Execution "/>
    <s v="W/O ISSUE"/>
    <x v="4"/>
    <s v="SCHED"/>
    <s v="RRG"/>
    <n v="831.79750000000001"/>
    <n v="1345.47"/>
    <n v="45"/>
    <x v="8"/>
    <n v="3487719.57"/>
    <n v="668695.04000000004"/>
    <m/>
    <n v="0"/>
    <d v="2024-08-30T16:13:00"/>
    <d v="2024-09-06T12:33:00"/>
    <d v="2024-09-04T00:00:00"/>
    <m/>
    <x v="0"/>
    <m/>
    <n v="-45534.675694444442"/>
    <n v="-45541.522916666669"/>
    <n v="0"/>
    <d v="2024-09-26T03:38:25"/>
    <d v="2024-10-07T00:17:12"/>
    <d v="2024-10-19T16:13:00"/>
    <n v="-1158.6045260030862"/>
    <n v="0"/>
    <n v="50"/>
    <n v="36"/>
    <n v="29.475982532751093"/>
    <n v="37.336244541484717"/>
    <n v="26.475982532751093"/>
    <n v="60"/>
    <n v="48"/>
    <n v="43"/>
    <d v="1900-02-16T00:00:00"/>
    <d v="1900-02-11T00:00:00"/>
    <m/>
    <m/>
    <m/>
    <m/>
    <m/>
    <m/>
    <m/>
    <m/>
    <m/>
    <m/>
    <d v="1900-01-14T00:00:00"/>
    <n v="0"/>
    <m/>
    <m/>
    <m/>
    <m/>
    <m/>
    <m/>
    <m/>
    <m/>
    <m/>
    <m/>
    <s v="Y"/>
    <m/>
    <m/>
    <m/>
    <m/>
    <m/>
    <m/>
    <m/>
    <d v="2024-09-07T00:00:00"/>
    <s v="DZ2-8082, DZ2-8083, DZ2-8088, DZ2-8089, DZ2-8090, DZ2-8091, DZ2-8092, DZ2-8093, DZ2-8094, DZ2-8095, DZ2-8096, DZ2-8097, DZ2-8098, DZ2-8099, DZ2-8100, DZ2-8106, DZ2-8107, DZ2-8108, DZ2-8109, DZ2-8110, 522536, DZ2-8111"/>
  </r>
  <r>
    <d v="2024-09-10T00:00:00"/>
    <d v="2024-09-07T00:00:00"/>
    <m/>
    <x v="2"/>
    <s v="R23301679"/>
    <s v="JAVIER, ROSALINA"/>
    <s v="GENESIS, VILLANUEVA SUBD, BACOOR"/>
    <s v="BACOOR CITY"/>
    <s v="DASMA"/>
    <m/>
    <m/>
    <x v="3"/>
    <s v="SCHED"/>
    <s v="RRG"/>
    <n v="16.934100000000001"/>
    <n v="23.33"/>
    <n v="0"/>
    <x v="10"/>
    <n v="30613.7"/>
    <n v="13636.79"/>
    <m/>
    <n v="0"/>
    <d v="2024-09-03T09:42:00"/>
    <d v="2024-09-09T13:24:00"/>
    <d v="2024-09-07T00:00:00"/>
    <m/>
    <x v="0"/>
    <m/>
    <n v="-45538.404166666667"/>
    <n v="-45544.558333333334"/>
    <n v="0"/>
    <d v="2024-09-22T04:16:50"/>
    <d v="2024-09-30T23:38:08"/>
    <d v="2024-10-23T09:42:00"/>
    <n v="-1568.5450324074072"/>
    <n v="0"/>
    <n v="20"/>
    <n v="36"/>
    <n v="21.774193548387096"/>
    <n v="27.58064516129032"/>
    <n v="18.774193548387096"/>
    <n v="40"/>
    <n v="32"/>
    <n v="27"/>
    <d v="1900-01-31T00:00:00"/>
    <d v="1900-01-26T00:00:00"/>
    <m/>
    <m/>
    <m/>
    <m/>
    <m/>
    <m/>
    <m/>
    <m/>
    <m/>
    <m/>
    <d v="1900-01-14T00:00:00"/>
    <n v="0"/>
    <m/>
    <m/>
    <m/>
    <m/>
    <m/>
    <m/>
    <m/>
    <m/>
    <m/>
    <m/>
    <s v="Y"/>
    <m/>
    <m/>
    <m/>
    <m/>
    <m/>
    <m/>
    <m/>
    <d v="2024-09-12T00:00:00"/>
    <s v="CV5-0683, 212309"/>
  </r>
  <r>
    <d v="2024-09-13T00:00:00"/>
    <d v="2024-09-07T00:00:00"/>
    <m/>
    <x v="4"/>
    <s v="X24041115574"/>
    <s v="DITO TELECOMMUNITY CORPORATION"/>
    <s v="GULAMAN, STO. NINO, TAGUIG CITY"/>
    <s v="PARAÑAQUE CITY"/>
    <s v="PARAÑAQUE"/>
    <s v="3rd party refusal; for survey on 10/29 with design, PROW, and BC"/>
    <s v="W/ ISSUE"/>
    <x v="1"/>
    <s v="CLOSED-CAN"/>
    <s v="JMM"/>
    <n v="106.5369"/>
    <n v="159.12"/>
    <n v="20"/>
    <x v="8"/>
    <n v="364183.84"/>
    <n v="85791.63"/>
    <m/>
    <n v="0"/>
    <d v="2024-09-02T10:05:00"/>
    <d v="2024-09-09T13:15:00"/>
    <d v="2024-09-07T00:00:00"/>
    <m/>
    <x v="0"/>
    <m/>
    <n v="-45537.420138888891"/>
    <n v="-45544.552083333336"/>
    <n v="0"/>
    <d v="2024-09-23T15:02:56"/>
    <d v="2024-10-03T01:58:23"/>
    <d v="2024-10-22T10:05:00"/>
    <n v="-1410.8816068672838"/>
    <n v="0"/>
    <n v="26"/>
    <n v="36"/>
    <n v="24.206896551724139"/>
    <n v="30.662068965517239"/>
    <n v="21.206896551724139"/>
    <n v="44"/>
    <n v="35.200000000000003"/>
    <n v="30.200000000000003"/>
    <d v="1900-02-03T04:48:00"/>
    <d v="1900-01-29T04:48:00"/>
    <m/>
    <m/>
    <m/>
    <m/>
    <m/>
    <m/>
    <m/>
    <m/>
    <m/>
    <m/>
    <d v="1900-01-14T00:00:00"/>
    <n v="0"/>
    <m/>
    <m/>
    <m/>
    <m/>
    <m/>
    <m/>
    <m/>
    <m/>
    <m/>
    <m/>
    <s v="Y"/>
    <m/>
    <m/>
    <m/>
    <m/>
    <m/>
    <m/>
    <m/>
    <d v="2024-09-13T00:00:00"/>
    <s v="B7-0935, B7-0934, 521368, B7-8099, B7-8100"/>
  </r>
  <r>
    <d v="2024-09-13T00:00:00"/>
    <d v="2024-09-07T00:00:00"/>
    <m/>
    <x v="2"/>
    <s v="X24062117779"/>
    <s v="CITY GOVERNMENT OF PARAÑAQUE"/>
    <s v="BENIGNO AQUINO SR., BF HOMES, PARANAQUE"/>
    <s v="MUNTINLUPA CITY"/>
    <s v="PARAÑAQUE"/>
    <s v="for scheduling"/>
    <s v="W/ ISSUE"/>
    <x v="2"/>
    <s v="SCHED"/>
    <s v="IGL"/>
    <n v="64.684200000000004"/>
    <n v="99.77"/>
    <n v="44"/>
    <x v="5"/>
    <n v="375766.47"/>
    <n v="52088.52"/>
    <m/>
    <n v="0"/>
    <d v="2024-09-06T06:45:00"/>
    <d v="2024-09-12T15:04:00"/>
    <d v="2024-09-07T00:00:00"/>
    <m/>
    <x v="0"/>
    <m/>
    <n v="-45541.28125"/>
    <n v="-45547.62777777778"/>
    <n v="0"/>
    <d v="2024-09-26T08:48:07"/>
    <d v="2024-10-05T12:32:57"/>
    <d v="2024-10-26T06:45:00"/>
    <n v="-1479.5416251509662"/>
    <n v="0"/>
    <n v="23"/>
    <n v="36"/>
    <n v="23.085501858736059"/>
    <n v="29.241635687732341"/>
    <n v="20.085501858736059"/>
    <n v="42"/>
    <n v="33.6"/>
    <n v="28.6"/>
    <d v="1900-02-01T14:24:00"/>
    <d v="1900-01-27T14:24:00"/>
    <m/>
    <m/>
    <m/>
    <m/>
    <m/>
    <m/>
    <m/>
    <m/>
    <m/>
    <m/>
    <d v="1900-01-14T00:00:00"/>
    <n v="0"/>
    <m/>
    <m/>
    <m/>
    <m/>
    <m/>
    <m/>
    <m/>
    <m/>
    <m/>
    <m/>
    <s v="Y"/>
    <m/>
    <m/>
    <m/>
    <m/>
    <m/>
    <m/>
    <m/>
    <d v="2024-09-13T00:00:00"/>
    <s v="CY8-8037, 522308"/>
  </r>
  <r>
    <d v="2024-09-16T00:00:00"/>
    <d v="2024-09-12T00:00:00"/>
    <m/>
    <x v="2"/>
    <s v="R23563800"/>
    <s v="WOODRIDGE PROPERTIES, INC.,"/>
    <s v="BLOCK 4, DANAROSE RESIDENCES, BACOOR"/>
    <s v="LAS PIÑAS CITY"/>
    <s v="PARAÑAQUE"/>
    <m/>
    <m/>
    <x v="0"/>
    <s v="SCHED"/>
    <s v="RRG"/>
    <n v="16.93"/>
    <n v="30.08"/>
    <n v="0"/>
    <x v="10"/>
    <n v="117785.94"/>
    <n v="13633.28"/>
    <m/>
    <n v="0"/>
    <d v="2024-09-06T14:38:59"/>
    <d v="2024-09-12T15:08:00"/>
    <d v="2024-09-12T00:00:00"/>
    <m/>
    <x v="0"/>
    <m/>
    <n v="-45541.610405092593"/>
    <n v="-45547.630555555559"/>
    <n v="0"/>
    <d v="2024-09-25T09:13:49"/>
    <d v="2024-10-04T04:35:07"/>
    <d v="2024-10-26T14:38:59"/>
    <n v="-1568.6554695087448"/>
    <n v="0"/>
    <n v="20"/>
    <n v="36"/>
    <n v="21.774193548387096"/>
    <n v="27.58064516129032"/>
    <n v="18.774193548387096"/>
    <n v="40"/>
    <n v="32"/>
    <n v="27"/>
    <d v="1900-01-31T00:00:00"/>
    <d v="1900-01-26T00:00:00"/>
    <m/>
    <m/>
    <m/>
    <m/>
    <m/>
    <m/>
    <m/>
    <m/>
    <m/>
    <m/>
    <d v="1900-01-14T00:00:00"/>
    <n v="0"/>
    <m/>
    <m/>
    <m/>
    <m/>
    <m/>
    <m/>
    <m/>
    <m/>
    <m/>
    <m/>
    <s v="N"/>
    <m/>
    <m/>
    <m/>
    <m/>
    <m/>
    <m/>
    <m/>
    <d v="2024-09-17T00:00:00"/>
    <s v="CS7-8097"/>
  </r>
  <r>
    <d v="2024-09-16T00:00:00"/>
    <d v="2024-09-12T00:00:00"/>
    <m/>
    <x v="2"/>
    <s v="X24072759958"/>
    <s v="CITY GOVERNMENT OF TAGUIG"/>
    <s v="PRES. QUIRINO EXT, ZONE 6, TAGUIG CITY"/>
    <s v="TAGUIG CITY"/>
    <s v="PARAÑAQUE"/>
    <s v="for sched of digging /  request for drainage diversion"/>
    <s v="W/ ISSUE"/>
    <x v="1"/>
    <s v="SCHED"/>
    <s v="JMM"/>
    <n v="534.45119999999997"/>
    <n v="780.57"/>
    <n v="23"/>
    <x v="8"/>
    <n v="2000088.16"/>
    <n v="429627.22"/>
    <m/>
    <n v="0"/>
    <d v="2024-09-10T09:29:49"/>
    <d v="2024-09-13T13:54:00"/>
    <d v="2024-09-11T00:00:00"/>
    <m/>
    <x v="0"/>
    <m/>
    <n v="-45545.39570601852"/>
    <n v="-45548.57916666667"/>
    <n v="0"/>
    <d v="2024-10-05T05:32:17"/>
    <d v="2024-10-15T15:40:57"/>
    <d v="2024-10-30T09:29:49"/>
    <n v="-1227.1953843010544"/>
    <n v="0"/>
    <n v="40"/>
    <n v="36"/>
    <n v="27.835051546391753"/>
    <n v="35.257731958762882"/>
    <n v="24.835051546391753"/>
    <n v="55"/>
    <n v="44"/>
    <n v="39"/>
    <d v="1900-02-12T00:00:00"/>
    <d v="1900-02-07T00:00:00"/>
    <m/>
    <m/>
    <m/>
    <m/>
    <m/>
    <m/>
    <m/>
    <m/>
    <m/>
    <m/>
    <d v="1900-01-14T00:00:00"/>
    <n v="0"/>
    <m/>
    <m/>
    <m/>
    <m/>
    <m/>
    <m/>
    <m/>
    <m/>
    <m/>
    <m/>
    <s v="Y"/>
    <m/>
    <m/>
    <m/>
    <m/>
    <m/>
    <m/>
    <m/>
    <d v="2024-09-17T00:00:00"/>
    <s v="A8-1197, A8-8086, A8-8087, A8-8088, A8-8089, A8-8090, A8-8091, A8-8092, A8-8093, A8-8094, 522932, A8-1189"/>
  </r>
  <r>
    <d v="2024-09-24T00:00:00"/>
    <d v="2024-09-17T00:00:00"/>
    <m/>
    <x v="2"/>
    <s v="X24030736106"/>
    <s v="ALFRED REYES FRANCIA"/>
    <s v="BLOCK 29, SOLVIENTO VILLAS PH 3, BACOOR"/>
    <s v="BACOOR CITY"/>
    <s v="DASMA"/>
    <s v="On Going Execution _x000a_SOLVIENTO VILLAS Projects  "/>
    <s v="W/O ISSUE"/>
    <x v="4"/>
    <s v="FCOMP"/>
    <s v="RRG"/>
    <n v="262.64100000000002"/>
    <n v="383.72"/>
    <n v="4.5"/>
    <x v="8"/>
    <n v="840479.63"/>
    <n v="211499.83"/>
    <m/>
    <n v="0"/>
    <d v="2024-09-11T16:54:41"/>
    <d v="2024-09-16T14:18:00"/>
    <d v="2024-09-13T00:00:00"/>
    <m/>
    <x v="11"/>
    <m/>
    <n v="121.00646990740643"/>
    <n v="116.11527777777519"/>
    <n v="-45667.711111111108"/>
    <d v="2024-10-04T04:13:56"/>
    <d v="2024-10-13T23:15:04"/>
    <d v="2024-10-31T16:54:41"/>
    <n v="3.5629682806069667"/>
    <n v="-951.41064814814808"/>
    <n v="30"/>
    <n v="36"/>
    <n v="25.471698113207545"/>
    <n v="32.264150943396224"/>
    <n v="22.471698113207545"/>
    <n v="48"/>
    <n v="38.400000000000006"/>
    <n v="33.400000000000006"/>
    <d v="2025-02-18T02:40:00"/>
    <d v="2025-02-13T02:40:00"/>
    <m/>
    <m/>
    <m/>
    <m/>
    <m/>
    <m/>
    <m/>
    <m/>
    <s v="NO COC"/>
    <m/>
    <d v="2025-01-25T17:04:00"/>
    <n v="-389.71111111110804"/>
    <m/>
    <m/>
    <m/>
    <m/>
    <m/>
    <m/>
    <m/>
    <m/>
    <m/>
    <m/>
    <s v="Y"/>
    <d v="2025-01-10T00:00:00"/>
    <m/>
    <m/>
    <m/>
    <m/>
    <m/>
    <m/>
    <d v="2024-09-24T00:00:00"/>
    <s v="CT6-8001, CT6-8018, 518990, CT6-8019, 520898, CT6-8029, CT6-8030, CT6-6202, CT6-8022, CT6-6201, CT6-8020, CT6-8021"/>
  </r>
  <r>
    <d v="2024-09-24T00:00:00"/>
    <d v="2024-09-17T00:00:00"/>
    <m/>
    <x v="2"/>
    <s v="X24030736254"/>
    <s v="NEW PACIFIC RESOURCES MANAGEME"/>
    <s v="BLOCK 36, SOLVIENTO VILLAS PH 3, BACOOR"/>
    <s v="BACOOR CITY"/>
    <s v="DASMA"/>
    <s v="On Going Execution _x000a_SOLVIENTO VILLAS Projects  "/>
    <s v="W/O ISSUE"/>
    <x v="4"/>
    <s v="FCOMP"/>
    <s v="RRG"/>
    <n v="954.85059999999999"/>
    <n v="1401.45"/>
    <n v="295.5"/>
    <x v="8"/>
    <n v="3368500.83"/>
    <n v="768924.13"/>
    <m/>
    <n v="0"/>
    <d v="2024-09-11T22:24:43"/>
    <d v="2024-09-16T14:27:00"/>
    <d v="2024-09-13T00:00:00"/>
    <m/>
    <x v="12"/>
    <m/>
    <n v="120.80019675925723"/>
    <n v="116.13194444444525"/>
    <n v="-45667.734027777777"/>
    <d v="2024-10-04T12:02:54"/>
    <d v="2024-10-14T07:41:05"/>
    <d v="2024-10-31T22:24:43"/>
    <n v="3.5434724382715448"/>
    <n v="-761.12890046296297"/>
    <n v="50"/>
    <n v="30"/>
    <n v="25.56818181818182"/>
    <n v="32.38636363636364"/>
    <n v="22.56818181818182"/>
    <n v="60"/>
    <n v="48"/>
    <n v="43"/>
    <d v="2025-02-27T17:37:00"/>
    <d v="2025-02-22T17:37:00"/>
    <m/>
    <m/>
    <m/>
    <m/>
    <m/>
    <m/>
    <m/>
    <m/>
    <s v="FOR AUDIT"/>
    <m/>
    <d v="2025-01-25T17:37:00"/>
    <n v="9.265972222223354"/>
    <d v="2025-01-10T00:00:00"/>
    <d v="2025-02-04T00:00:00"/>
    <m/>
    <m/>
    <m/>
    <m/>
    <m/>
    <m/>
    <m/>
    <m/>
    <s v="Y"/>
    <d v="2025-01-10T00:00:00"/>
    <m/>
    <m/>
    <m/>
    <m/>
    <m/>
    <m/>
    <d v="2024-09-24T00:00:00"/>
    <s v="DV1-0639, DV1-8038, DV1-8039, DV1-8040, 521480, DV1-0813"/>
  </r>
  <r>
    <d v="2024-09-20T00:00:00"/>
    <d v="2024-09-18T00:00:00"/>
    <m/>
    <x v="1"/>
    <s v="X24072692499"/>
    <s v="HSL - BRAILLE COLLEGE, INC.,"/>
    <s v="DURIAN, ZONE 1, TAGUIG CITY"/>
    <s v="TAGUIG CITY"/>
    <s v="PARAÑAQUE"/>
    <s v="pole location / with existing drainage"/>
    <s v="W/ ISSUE"/>
    <x v="2"/>
    <s v="SCHED"/>
    <s v="IGL"/>
    <n v="550.21709999999996"/>
    <n v="937.92"/>
    <n v="136"/>
    <x v="5"/>
    <n v="2501537.66"/>
    <n v="443077.47"/>
    <m/>
    <n v="0"/>
    <d v="2024-09-11T10:49:46"/>
    <d v="2024-09-16T14:35:00"/>
    <d v="2024-09-13T00:00:00"/>
    <m/>
    <x v="0"/>
    <m/>
    <n v="-45546.451226851852"/>
    <n v="-45551.607638888891"/>
    <n v="0"/>
    <d v="2024-10-03T23:35:43"/>
    <d v="2024-10-13T18:59:59"/>
    <d v="2024-10-31T10:49:46"/>
    <n v="-1337.927004788773"/>
    <n v="0"/>
    <n v="40"/>
    <n v="32"/>
    <n v="25.531914893617024"/>
    <n v="32.340425531914896"/>
    <n v="22.531914893617024"/>
    <n v="55"/>
    <n v="44"/>
    <n v="39"/>
    <d v="1900-02-12T00:00:00"/>
    <d v="1900-02-07T00:00:00"/>
    <m/>
    <m/>
    <m/>
    <m/>
    <m/>
    <m/>
    <m/>
    <m/>
    <m/>
    <m/>
    <d v="1900-01-14T00:00:00"/>
    <n v="0"/>
    <m/>
    <m/>
    <m/>
    <m/>
    <m/>
    <m/>
    <m/>
    <m/>
    <m/>
    <m/>
    <s v="N"/>
    <m/>
    <m/>
    <m/>
    <m/>
    <m/>
    <m/>
    <m/>
    <d v="2024-09-21T00:00:00"/>
    <s v="B8-0477, B8-8115, B8-8116, B8-8117, B8-5547, B8-5546, B8-1271, B8-1272, B8-8118, B8-1273, B8-8119, B8-1274,B8-1278, B8-8120, B8-1276, B8-8121, B8-5104, B8-0428, B8-1277"/>
  </r>
  <r>
    <d v="2024-10-17T00:00:00"/>
    <d v="2024-09-17T00:00:00"/>
    <m/>
    <x v="1"/>
    <s v="X24072590693"/>
    <s v="HARD DISCOUNT PHILIPPINES, INC."/>
    <s v="HOLY FAMILY AVE, HOLY FAMILY VILL, TAGUIG CITY"/>
    <s v="TAGUIG CITY"/>
    <s v="PARAÑAQUE"/>
    <s v="waiting for schedule, crew diverted to NAIA"/>
    <s v="W/O ISSUE"/>
    <x v="2"/>
    <s v="FCOMP"/>
    <s v="IGL"/>
    <n v="34.987000000000002"/>
    <n v="55.3"/>
    <n v="19"/>
    <x v="8"/>
    <n v="278461.53999999998"/>
    <n v="28174.13"/>
    <m/>
    <n v="0"/>
    <d v="2024-09-12T14:51:00"/>
    <d v="2024-09-17T14:44:00"/>
    <d v="2024-09-17T00:00:00"/>
    <m/>
    <x v="13"/>
    <m/>
    <n v="133.38124999999854"/>
    <n v="128.38611111111095"/>
    <n v="-45681"/>
    <d v="2024-10-02T16:54:07"/>
    <d v="2024-10-11T20:38:57"/>
    <d v="2024-11-01T14:51:00"/>
    <n v="4.3332797403381171"/>
    <n v="-1087.6428571428571"/>
    <n v="23"/>
    <n v="36"/>
    <n v="23.085501858736059"/>
    <n v="29.241635687732341"/>
    <n v="20.085501858736059"/>
    <n v="42"/>
    <n v="33.6"/>
    <n v="28.6"/>
    <d v="2025-02-26T14:24:00"/>
    <d v="2025-02-21T14:24:00"/>
    <m/>
    <m/>
    <m/>
    <m/>
    <m/>
    <m/>
    <m/>
    <m/>
    <s v="NO COC"/>
    <m/>
    <d v="2025-02-08T00:00:00"/>
    <n v="-403"/>
    <m/>
    <m/>
    <m/>
    <m/>
    <m/>
    <m/>
    <m/>
    <m/>
    <m/>
    <m/>
    <s v="Y"/>
    <d v="2025-01-23T00:00:00"/>
    <m/>
    <m/>
    <m/>
    <m/>
    <m/>
    <m/>
    <d v="2024-10-17T00:00:00"/>
    <s v="DZ2-8112, 522696"/>
  </r>
  <r>
    <d v="2024-09-25T00:00:00"/>
    <d v="2024-09-19T00:00:00"/>
    <m/>
    <x v="2"/>
    <s v="R23158435"/>
    <s v="CROWN ASIA PROPERTIES, INC., HMB"/>
    <s v="BLOCK 4, PONTICELLI, BACOOR"/>
    <s v="BACOOR CITY"/>
    <s v="DASMA"/>
    <s v="For Update _x000a_Truss Guy Ony"/>
    <m/>
    <x v="4"/>
    <s v="SCHED"/>
    <s v="RRG"/>
    <n v="18.309999999999999"/>
    <n v="25.27"/>
    <n v="0"/>
    <x v="10"/>
    <n v="41797.83"/>
    <n v="14748.76"/>
    <m/>
    <n v="0"/>
    <d v="2024-09-18T15:29:22"/>
    <d v="2024-09-24T12:53:00"/>
    <d v="2024-09-19T00:00:00"/>
    <m/>
    <x v="0"/>
    <m/>
    <n v="-45553.64539351852"/>
    <n v="-45559.536805555559"/>
    <n v="0"/>
    <d v="2024-10-07T10:04:12"/>
    <d v="2024-10-16T05:25:30"/>
    <d v="2024-11-07T15:29:22"/>
    <n v="-1569.0700079989711"/>
    <n v="0"/>
    <n v="20"/>
    <n v="36"/>
    <n v="21.774193548387096"/>
    <n v="27.58064516129032"/>
    <n v="18.774193548387096"/>
    <n v="40"/>
    <n v="32"/>
    <n v="27"/>
    <d v="1900-01-31T00:00:00"/>
    <d v="1900-01-26T00:00:00"/>
    <m/>
    <m/>
    <m/>
    <m/>
    <m/>
    <m/>
    <m/>
    <m/>
    <m/>
    <m/>
    <d v="1900-01-14T00:00:00"/>
    <n v="0"/>
    <m/>
    <m/>
    <m/>
    <m/>
    <m/>
    <m/>
    <m/>
    <m/>
    <m/>
    <m/>
    <s v="N"/>
    <m/>
    <m/>
    <m/>
    <m/>
    <m/>
    <m/>
    <m/>
    <s v="N/A"/>
    <s v="CR8-2143"/>
  </r>
  <r>
    <d v="2024-09-25T00:00:00"/>
    <d v="2024-09-20T00:00:00"/>
    <m/>
    <x v="1"/>
    <s v="X24030695765"/>
    <s v="MITHCAH BIBLE BAPTIST CHURCH INC."/>
    <s v="ST. CECILLE, FATIMA SUBD, LAS PINAS CITY"/>
    <s v="LAS PIÑAS CITY"/>
    <s v="PARAÑAQUE"/>
    <s v="pole location issue"/>
    <s v="W/ ISSUE"/>
    <x v="0"/>
    <s v="FCOMP"/>
    <s v="RRG"/>
    <n v="66.983099999999993"/>
    <n v="98.05"/>
    <n v="30"/>
    <x v="8"/>
    <n v="390162.58"/>
    <n v="53940.12"/>
    <m/>
    <n v="0"/>
    <d v="2024-09-16T17:12:55"/>
    <d v="2024-09-20T14:20:00"/>
    <d v="2024-09-20T00:00:00"/>
    <m/>
    <x v="13"/>
    <m/>
    <n v="129.28269675926276"/>
    <n v="125.40277777778101"/>
    <n v="-45681"/>
    <d v="2024-10-06T19:16:02"/>
    <d v="2024-10-15T23:00:52"/>
    <d v="2024-11-05T17:12:55"/>
    <n v="4.2001262594494788"/>
    <n v="-1087.6428571428571"/>
    <n v="23"/>
    <n v="36"/>
    <n v="23.085501858736059"/>
    <n v="29.241635687732341"/>
    <n v="20.085501858736059"/>
    <n v="42"/>
    <n v="33.6"/>
    <n v="28.6"/>
    <d v="2025-02-26T14:24:00"/>
    <d v="2025-02-21T14:24:00"/>
    <m/>
    <m/>
    <m/>
    <m/>
    <m/>
    <m/>
    <m/>
    <m/>
    <s v="FOR AUDIT"/>
    <m/>
    <d v="2025-02-08T00:00:00"/>
    <n v="6"/>
    <d v="2025-01-23T00:00:00"/>
    <d v="2025-02-14T00:00:00"/>
    <m/>
    <m/>
    <m/>
    <m/>
    <m/>
    <m/>
    <m/>
    <m/>
    <s v="Y"/>
    <d v="2025-01-23T00:00:00"/>
    <m/>
    <m/>
    <m/>
    <m/>
    <m/>
    <m/>
    <d v="2024-09-28T00:00:00"/>
    <s v="CY7-5947, CY7-5948, CY7-8077, 520597"/>
  </r>
  <r>
    <d v="2024-09-20T00:00:00"/>
    <d v="2024-09-19T00:00:00"/>
    <m/>
    <x v="2"/>
    <s v="X24093584870"/>
    <s v="ZENAIDA IGNACIO REYES"/>
    <s v="DIMASALANG, HAGONOY, TAGUIG CITY"/>
    <s v="TAGUIG CITY"/>
    <s v="PARAÑAQUE"/>
    <s v="EMC frame only - for sched"/>
    <s v="W/O ISSUE"/>
    <x v="1"/>
    <s v="SCHED"/>
    <s v="JMM"/>
    <n v="15.46"/>
    <n v="21.17"/>
    <n v="0"/>
    <x v="5"/>
    <n v="45965.21"/>
    <n v="12449.52"/>
    <m/>
    <n v="0"/>
    <d v="2024-09-18T15:29:56"/>
    <d v="2024-09-20T14:09:00"/>
    <d v="2024-09-19T00:00:00"/>
    <m/>
    <x v="0"/>
    <m/>
    <n v="-45553.645787037036"/>
    <n v="-45555.589583333334"/>
    <n v="0"/>
    <d v="2024-10-07T10:04:46"/>
    <d v="2024-10-16T05:26:04"/>
    <d v="2024-11-07T15:29:56"/>
    <n v="-1569.070021553498"/>
    <n v="0"/>
    <n v="20"/>
    <n v="36"/>
    <n v="21.774193548387096"/>
    <n v="27.58064516129032"/>
    <n v="18.774193548387096"/>
    <n v="40"/>
    <n v="32"/>
    <n v="27"/>
    <d v="1900-01-31T00:00:00"/>
    <d v="1900-01-26T00:00:00"/>
    <m/>
    <m/>
    <m/>
    <m/>
    <m/>
    <m/>
    <m/>
    <m/>
    <m/>
    <m/>
    <d v="1900-01-14T00:00:00"/>
    <n v="0"/>
    <m/>
    <m/>
    <m/>
    <m/>
    <m/>
    <m/>
    <m/>
    <m/>
    <m/>
    <m/>
    <s v="N"/>
    <m/>
    <m/>
    <m/>
    <m/>
    <m/>
    <m/>
    <m/>
    <s v="N/A"/>
    <s v="B9-5158"/>
  </r>
  <r>
    <d v="2024-09-30T00:00:00"/>
    <d v="2024-09-20T00:00:00"/>
    <s v="Y"/>
    <x v="2"/>
    <s v="X24020641632"/>
    <s v="HENRY LAO LIM"/>
    <s v="BUKIDNON, MARINA SUBD, PARANAQUE"/>
    <s v="PARAÑAQUE CITY"/>
    <s v="PARAÑAQUE"/>
    <s v="FOLLOW UP FROM ATTY KIM HENARES"/>
    <s v="W/O ISSUE"/>
    <x v="3"/>
    <s v="FCOMP"/>
    <s v="JMM"/>
    <n v="224.01419999999999"/>
    <n v="298.38"/>
    <n v="169"/>
    <x v="8"/>
    <n v="1042085.27"/>
    <n v="180394.18"/>
    <m/>
    <n v="0"/>
    <d v="2024-09-18T16:37:32"/>
    <d v="2024-09-24T14:23:00"/>
    <d v="2024-09-20T00:00:00"/>
    <m/>
    <x v="14"/>
    <m/>
    <n v="123.30726851851796"/>
    <n v="117.40069444444089"/>
    <n v="-45677"/>
    <d v="2024-10-08T16:57:16"/>
    <d v="2024-10-17T20:14:31"/>
    <d v="2024-11-07T16:37:32"/>
    <n v="4.01849580439813"/>
    <n v="-992.97826086956525"/>
    <n v="28"/>
    <n v="32"/>
    <n v="23.013698630136989"/>
    <n v="29.150684931506852"/>
    <n v="20.013698630136989"/>
    <n v="46"/>
    <n v="36.800000000000004"/>
    <n v="31.800000000000004"/>
    <d v="2025-02-25T19:12:00"/>
    <d v="2025-02-20T19:12:00"/>
    <m/>
    <m/>
    <m/>
    <m/>
    <m/>
    <m/>
    <m/>
    <m/>
    <s v="NO COC"/>
    <m/>
    <d v="2025-02-04T00:00:00"/>
    <n v="-399"/>
    <m/>
    <m/>
    <m/>
    <m/>
    <m/>
    <m/>
    <m/>
    <m/>
    <m/>
    <m/>
    <s v="Y"/>
    <d v="2025-01-17T00:00:00"/>
    <m/>
    <m/>
    <m/>
    <m/>
    <m/>
    <m/>
    <d v="2024-10-02T00:00:00"/>
    <s v="B4-0105, B4-0048, 023934, B4-5290, B4-0049, 168691, B4-0050, B4-0051, 520810"/>
  </r>
  <r>
    <d v="2024-10-02T00:00:00"/>
    <d v="2024-10-04T00:00:00"/>
    <m/>
    <x v="1"/>
    <s v="X24010101554"/>
    <s v="TOBIE INTERNATIONAL INC."/>
    <s v="EXODUS, BF HOMES MARTINVILLE SUBD, LAS PINAS CITY"/>
    <s v="LAS PIÑAS CITY"/>
    <s v="PARAÑAQUE"/>
    <m/>
    <m/>
    <x v="0"/>
    <s v="SCHED"/>
    <s v="RRG"/>
    <n v="45.448"/>
    <n v="61.97"/>
    <n v="75"/>
    <x v="5"/>
    <n v="367791.66"/>
    <n v="36606.230000000003"/>
    <m/>
    <n v="0"/>
    <d v="2024-09-24T19:44:26"/>
    <d v="2024-09-30T13:02:00"/>
    <d v="2024-10-01T00:00:00"/>
    <m/>
    <x v="0"/>
    <m/>
    <n v="-45559.822523148148"/>
    <n v="-45565.543055555558"/>
    <n v="0"/>
    <d v="2024-10-14T02:56:59"/>
    <d v="2024-10-23T01:40:20"/>
    <d v="2024-11-13T19:44:26"/>
    <n v="-1532.2549007145733"/>
    <n v="0"/>
    <n v="23"/>
    <n v="34"/>
    <n v="22.300380228136884"/>
    <n v="28.247148288973385"/>
    <n v="19.300380228136884"/>
    <n v="42"/>
    <n v="33.6"/>
    <n v="28.6"/>
    <d v="1900-02-01T14:24:00"/>
    <d v="1900-01-27T14:24:00"/>
    <m/>
    <m/>
    <m/>
    <m/>
    <m/>
    <m/>
    <m/>
    <m/>
    <m/>
    <m/>
    <d v="1900-01-14T00:00:00"/>
    <n v="0"/>
    <m/>
    <m/>
    <m/>
    <m/>
    <m/>
    <m/>
    <m/>
    <m/>
    <m/>
    <m/>
    <s v="Y"/>
    <m/>
    <m/>
    <m/>
    <m/>
    <m/>
    <m/>
    <m/>
    <s v="N/A"/>
    <n v="136405"/>
  </r>
  <r>
    <d v="2024-10-02T00:00:00"/>
    <d v="2024-10-04T00:00:00"/>
    <m/>
    <x v="1"/>
    <s v="X24083130651"/>
    <s v="CLS GRILL AND RESTAURANTS, INC."/>
    <s v="AGUIRRE, BF HOMES, PARANAQUE"/>
    <s v="PARAÑAQUE CITY"/>
    <s v="PARAÑAQUE"/>
    <m/>
    <s v="W/O ISSUE"/>
    <x v="0"/>
    <s v="SCHED"/>
    <s v="RRG"/>
    <n v="84.107699999999994"/>
    <n v="121.42"/>
    <n v="45"/>
    <x v="8"/>
    <n v="377002.44"/>
    <n v="67729.740000000005"/>
    <m/>
    <n v="0"/>
    <d v="2024-09-25T15:33:08"/>
    <d v="2024-09-30T13:18:00"/>
    <d v="2024-10-01T00:00:00"/>
    <m/>
    <x v="0"/>
    <m/>
    <n v="-45560.648009259261"/>
    <n v="-45565.554166666669"/>
    <n v="0"/>
    <d v="2024-10-16T20:31:04"/>
    <d v="2024-10-26T07:26:31"/>
    <d v="2024-11-14T15:33:08"/>
    <n v="-1411.6012737911522"/>
    <n v="0"/>
    <n v="26"/>
    <n v="36"/>
    <n v="24.206896551724139"/>
    <n v="30.662068965517239"/>
    <n v="21.206896551724139"/>
    <n v="44"/>
    <n v="35.200000000000003"/>
    <n v="30.200000000000003"/>
    <d v="1900-02-03T04:48:00"/>
    <d v="1900-01-29T04:48:00"/>
    <m/>
    <m/>
    <m/>
    <m/>
    <m/>
    <m/>
    <m/>
    <m/>
    <m/>
    <m/>
    <d v="1900-01-14T00:00:00"/>
    <n v="0"/>
    <m/>
    <m/>
    <m/>
    <m/>
    <m/>
    <m/>
    <m/>
    <m/>
    <m/>
    <m/>
    <m/>
    <m/>
    <m/>
    <m/>
    <m/>
    <m/>
    <m/>
    <m/>
    <d v="2024-10-02T00:00:00"/>
    <s v="CW9-8050, 149595, CW9-8050"/>
  </r>
  <r>
    <d v="2024-10-04T00:00:00"/>
    <d v="2024-10-02T00:00:00"/>
    <m/>
    <x v="2"/>
    <s v="R23563727"/>
    <s v="RICHFIELD PROPERTIES, INC.,"/>
    <s v="BLOCK 15, LOTUS VILLAGE, BACOOR"/>
    <s v="BACOOR CITY"/>
    <s v="DASMA"/>
    <m/>
    <m/>
    <x v="3"/>
    <s v="SCHED"/>
    <s v="JMM"/>
    <n v="56.42"/>
    <n v="91.23"/>
    <n v="0"/>
    <x v="10"/>
    <n v="258338.31"/>
    <n v="45433.69"/>
    <m/>
    <n v="0"/>
    <d v="2024-09-24T16:04:59"/>
    <d v="2024-09-30T13:11:00"/>
    <d v="2024-09-28T00:00:00"/>
    <m/>
    <x v="0"/>
    <m/>
    <n v="-45559.670127314814"/>
    <n v="-45565.549305555556"/>
    <n v="0"/>
    <d v="2024-10-14T18:08:06"/>
    <d v="2024-10-23T21:52:56"/>
    <d v="2024-11-13T16:04:59"/>
    <n v="-1480.1390415758074"/>
    <n v="0"/>
    <n v="23"/>
    <n v="36"/>
    <n v="23.085501858736059"/>
    <n v="29.241635687732341"/>
    <n v="20.085501858736059"/>
    <n v="42"/>
    <n v="33.6"/>
    <n v="28.6"/>
    <d v="1900-02-01T14:24:00"/>
    <d v="1900-01-27T14:24:00"/>
    <m/>
    <m/>
    <m/>
    <m/>
    <m/>
    <m/>
    <m/>
    <m/>
    <m/>
    <m/>
    <d v="1900-01-14T00:00:00"/>
    <n v="0"/>
    <m/>
    <m/>
    <m/>
    <m/>
    <m/>
    <m/>
    <m/>
    <m/>
    <m/>
    <m/>
    <s v="Y"/>
    <m/>
    <m/>
    <m/>
    <m/>
    <m/>
    <m/>
    <m/>
    <d v="2024-10-05T00:00:00"/>
    <s v="CT6-8036, CT6-8037"/>
  </r>
  <r>
    <d v="2024-10-02T00:00:00"/>
    <d v="2024-09-27T00:00:00"/>
    <m/>
    <x v="2"/>
    <s v="X24083108742"/>
    <s v="GLENDA G ADEFUIN"/>
    <s v="BLOCK 2, PATIO HOMES SUBD, MUNTINLUPA"/>
    <s v="MUNTINLUPA CITY"/>
    <s v="PARAÑAQUE"/>
    <s v="with 3rd party opposition from Posadas HOA"/>
    <s v="W/ ISSUE"/>
    <x v="2"/>
    <s v="FCOMP"/>
    <s v="IGL"/>
    <n v="76.916899999999998"/>
    <n v="110.25"/>
    <n v="54"/>
    <x v="8"/>
    <n v="407351.66"/>
    <n v="61939.519999999997"/>
    <m/>
    <n v="0"/>
    <d v="2024-09-25T12:11:37"/>
    <d v="2024-09-30T13:21:00"/>
    <d v="2024-09-27T00:00:00"/>
    <m/>
    <x v="5"/>
    <m/>
    <n v="142.49193287036906"/>
    <n v="137.44374999999854"/>
    <n v="-45703"/>
    <d v="2024-10-15T20:28:31"/>
    <d v="2024-10-25T01:53:02"/>
    <d v="2024-11-14T12:11:37"/>
    <n v="4.5777951284145715"/>
    <n v="-1038.7045454545455"/>
    <n v="26"/>
    <n v="34"/>
    <n v="23.345070422535212"/>
    <n v="29.570422535211268"/>
    <n v="20.345070422535212"/>
    <n v="44"/>
    <n v="35.200000000000003"/>
    <n v="30.200000000000003"/>
    <d v="2025-03-22T04:48:00"/>
    <d v="2025-03-17T04:48:00"/>
    <m/>
    <m/>
    <m/>
    <m/>
    <m/>
    <m/>
    <m/>
    <m/>
    <s v="FOR AUDIT"/>
    <m/>
    <d v="2025-03-02T00:00:00"/>
    <n v="1"/>
    <d v="2025-02-15T00:00:00"/>
    <d v="2025-03-03T00:00:00"/>
    <m/>
    <m/>
    <m/>
    <m/>
    <m/>
    <m/>
    <m/>
    <m/>
    <s v="Y"/>
    <d v="2025-02-12T00:00:00"/>
    <m/>
    <m/>
    <m/>
    <m/>
    <m/>
    <m/>
    <d v="2024-10-02T00:00:00"/>
    <s v="DX1-0243, DX2-8003, 515059"/>
  </r>
  <r>
    <d v="2024-10-02T00:00:00"/>
    <d v="2024-10-02T00:00:00"/>
    <s v="Y"/>
    <x v="2"/>
    <s v="X22125062389"/>
    <s v="SONNY L LAGON"/>
    <s v="ACACIA, MULTINATIONAL VILL, PARANAQUE"/>
    <s v="PARAÑAQUE CITY"/>
    <s v="PARAÑAQUE"/>
    <s v="for completion 2nd week of Nov"/>
    <s v="W/O ISSUE"/>
    <x v="1"/>
    <s v="FCOMP"/>
    <s v="JMM"/>
    <n v="428.8492"/>
    <n v="644.53"/>
    <n v="200"/>
    <x v="8"/>
    <n v="1862458.44"/>
    <n v="345375.27"/>
    <m/>
    <n v="0"/>
    <d v="2024-09-26T11:26:00"/>
    <d v="2024-10-01T09:31:00"/>
    <d v="2024-09-28T00:00:00"/>
    <m/>
    <x v="15"/>
    <m/>
    <n v="105.52361111110804"/>
    <n v="100.60347222222481"/>
    <n v="-45667"/>
    <d v="2024-10-19T00:11:57"/>
    <d v="2024-10-28T19:36:13"/>
    <d v="2024-11-15T11:26:00"/>
    <n v="3.0997560763887981"/>
    <n v="-830.30909090909086"/>
    <n v="40"/>
    <n v="32"/>
    <n v="25.531914893617024"/>
    <n v="32.340425531914896"/>
    <n v="22.531914893617024"/>
    <n v="55"/>
    <n v="44"/>
    <n v="39"/>
    <d v="2025-02-23T00:00:00"/>
    <d v="2025-02-18T00:00:00"/>
    <m/>
    <m/>
    <m/>
    <m/>
    <m/>
    <m/>
    <m/>
    <m/>
    <s v="NO COC"/>
    <m/>
    <d v="2025-01-25T00:00:00"/>
    <n v="-389"/>
    <m/>
    <m/>
    <m/>
    <m/>
    <m/>
    <m/>
    <m/>
    <m/>
    <m/>
    <m/>
    <s v="Y"/>
    <m/>
    <m/>
    <m/>
    <m/>
    <m/>
    <m/>
    <m/>
    <m/>
    <s v="CZ9-2124, PLDT-6512, CZ8-8003, CZ8-6100, CZ8-5441, CZ8-5460, CZ8-5472, CZ8-5474, CZ8-8004, CZ8-2165, 515259, CY8-8003, CY8-8004, CZ8-8045, CZ8-8046"/>
  </r>
  <r>
    <d v="2024-10-04T00:00:00"/>
    <d v="2024-10-02T00:00:00"/>
    <m/>
    <x v="2"/>
    <s v="R23563729"/>
    <s v="RICHFIELD PROPERTIES, INC., HMB"/>
    <s v="BLOCK 9, LOTUS VILLAGE, BACOOR"/>
    <s v="BACOOR CITY"/>
    <s v="DASMA"/>
    <s v="For Update _x000a_Truss Guy Ony"/>
    <m/>
    <x v="4"/>
    <s v="FCOMP"/>
    <s v="RRG"/>
    <n v="19.142050000000001"/>
    <n v="26.43"/>
    <n v="0"/>
    <x v="10"/>
    <n v="42050.26"/>
    <n v="15414.9"/>
    <m/>
    <n v="0"/>
    <d v="2024-09-27T08:34:39"/>
    <d v="2024-10-03T10:58:00"/>
    <d v="2024-09-28T00:00:00"/>
    <m/>
    <x v="7"/>
    <m/>
    <n v="76.642604166663659"/>
    <n v="70.543055555557657"/>
    <n v="-45639"/>
    <d v="2024-10-16T03:09:29"/>
    <d v="2024-10-24T22:30:47"/>
    <d v="2024-11-16T08:34:39"/>
    <n v="2.6399119212961928"/>
    <n v="-1140.9749999999999"/>
    <n v="20"/>
    <n v="36"/>
    <n v="21.774193548387096"/>
    <n v="27.58064516129032"/>
    <n v="18.774193548387096"/>
    <n v="40"/>
    <n v="32"/>
    <n v="27"/>
    <d v="2025-01-14T00:00:00"/>
    <d v="2025-01-09T00:00:00"/>
    <m/>
    <m/>
    <m/>
    <m/>
    <m/>
    <m/>
    <m/>
    <m/>
    <s v="NO COC"/>
    <m/>
    <d v="2024-12-28T00:00:00"/>
    <n v="-361"/>
    <m/>
    <m/>
    <m/>
    <m/>
    <m/>
    <m/>
    <m/>
    <m/>
    <m/>
    <m/>
    <s v="N"/>
    <m/>
    <m/>
    <m/>
    <m/>
    <m/>
    <m/>
    <m/>
    <s v="N/A"/>
    <s v="CT6-5288"/>
  </r>
  <r>
    <d v="2024-10-09T00:00:00"/>
    <d v="2024-10-02T00:00:00"/>
    <m/>
    <x v="2"/>
    <s v="X24062428692"/>
    <s v="GREENLAND NEW LOWER BICUTAN NEIGHBORHOOD ASSOCIATI"/>
    <s v="RANGER, PUROK 1A, TAGUIG CITY"/>
    <s v="TAGUIG CITY"/>
    <s v="PARAÑAQUE"/>
    <s v=" drainage diversion before pole erection"/>
    <s v="W/ ISSUE"/>
    <x v="1"/>
    <s v="COMP-CAN"/>
    <s v="JMM"/>
    <n v="125.6533"/>
    <n v="191.77"/>
    <n v="60"/>
    <x v="8"/>
    <n v="656201.56000000006"/>
    <n v="101185.84"/>
    <m/>
    <n v="0"/>
    <d v="2024-09-30T14:58:00"/>
    <d v="2024-10-04T12:24:00"/>
    <d v="2024-10-02T00:00:00"/>
    <m/>
    <x v="0"/>
    <m/>
    <n v="-45565.623611111114"/>
    <n v="-45569.51666666667"/>
    <n v="0"/>
    <d v="2024-10-20T23:14:54"/>
    <d v="2024-10-30T04:39:25"/>
    <d v="2024-11-19T14:58:00"/>
    <n v="-1463.8729757415786"/>
    <n v="0"/>
    <n v="26"/>
    <n v="34"/>
    <n v="23.345070422535212"/>
    <n v="29.570422535211268"/>
    <n v="20.345070422535212"/>
    <n v="44"/>
    <n v="35.200000000000003"/>
    <n v="30.200000000000003"/>
    <d v="1900-02-03T04:48:00"/>
    <d v="1900-01-29T04:48:00"/>
    <m/>
    <m/>
    <m/>
    <m/>
    <m/>
    <m/>
    <m/>
    <m/>
    <m/>
    <m/>
    <d v="1900-01-14T00:00:00"/>
    <n v="0"/>
    <m/>
    <m/>
    <m/>
    <m/>
    <m/>
    <m/>
    <m/>
    <m/>
    <m/>
    <m/>
    <s v="Y"/>
    <m/>
    <m/>
    <m/>
    <m/>
    <m/>
    <m/>
    <m/>
    <d v="2024-10-11T00:00:00"/>
    <s v="B8-1554, B8-8153, B8-8154, B8-8155, 522623"/>
  </r>
  <r>
    <d v="2024-10-08T00:00:00"/>
    <d v="2024-10-07T00:00:00"/>
    <m/>
    <x v="2"/>
    <s v="X24072733160"/>
    <s v="BRGY. MARCELO GREEN"/>
    <s v="MARCELO, MARCELO GREEN VILL, PARANAQUE"/>
    <s v="PARAÑAQUE CITY"/>
    <s v="PARAÑAQUE"/>
    <s v="For Update "/>
    <s v="W/O ISSUE"/>
    <x v="4"/>
    <s v="SCHED"/>
    <s v="RRG"/>
    <n v="13.71"/>
    <n v="18.78"/>
    <n v="35"/>
    <x v="8"/>
    <n v="47460.27"/>
    <n v="11040.3"/>
    <m/>
    <n v="0"/>
    <d v="2024-10-02T16:59:00"/>
    <d v="2024-10-04T14:20:00"/>
    <d v="2024-10-05T00:00:00"/>
    <m/>
    <x v="0"/>
    <m/>
    <n v="-45567.707638888889"/>
    <n v="-45569.597222222219"/>
    <n v="0"/>
    <d v="2024-10-21T11:33:50"/>
    <d v="2024-10-30T06:55:08"/>
    <d v="2024-11-21T16:59:00"/>
    <n v="-1569.5543742283949"/>
    <n v="0"/>
    <n v="20"/>
    <n v="36"/>
    <n v="21.774193548387096"/>
    <n v="27.58064516129032"/>
    <n v="18.774193548387096"/>
    <n v="40"/>
    <n v="32"/>
    <n v="27"/>
    <d v="1900-01-31T00:00:00"/>
    <d v="1900-01-26T00:00:00"/>
    <m/>
    <m/>
    <m/>
    <m/>
    <m/>
    <m/>
    <m/>
    <m/>
    <m/>
    <m/>
    <d v="1900-01-14T00:00:00"/>
    <n v="0"/>
    <m/>
    <m/>
    <m/>
    <m/>
    <m/>
    <m/>
    <m/>
    <m/>
    <m/>
    <m/>
    <s v="Y"/>
    <m/>
    <m/>
    <m/>
    <m/>
    <m/>
    <m/>
    <m/>
    <s v="N/A"/>
    <n v="124828"/>
  </r>
  <r>
    <d v="2024-10-08T00:00:00"/>
    <d v="2024-10-03T00:00:00"/>
    <m/>
    <x v="4"/>
    <s v="X24051828444"/>
    <s v="DITO TELECOMMUNITY CORPORATION"/>
    <s v="STA. MONICA, DON GALO, PARANAQUE"/>
    <s v="PARAÑAQUE CITY"/>
    <s v="PARAÑAQUE"/>
    <s v="Problem with R/Way . Not feasible due to large culvert on the location of transformer pole (task 4)"/>
    <s v="W/ ISSUE"/>
    <x v="0"/>
    <s v="SCHED"/>
    <s v="RRG"/>
    <n v="127.3669"/>
    <n v="222.48"/>
    <n v="31"/>
    <x v="8"/>
    <n v="1895538.6"/>
    <n v="102565.86"/>
    <m/>
    <n v="0"/>
    <d v="2024-10-02T08:35:00"/>
    <d v="2024-10-04T14:16:00"/>
    <d v="2024-10-05T00:00:00"/>
    <m/>
    <x v="0"/>
    <m/>
    <n v="-45567.357638888891"/>
    <n v="-45569.594444444447"/>
    <n v="0"/>
    <d v="2024-10-24T05:25:32"/>
    <d v="2024-11-02T20:35:00"/>
    <d v="2024-11-21T08:35:00"/>
    <n v="-1374.2536430776015"/>
    <n v="0"/>
    <n v="28"/>
    <n v="36"/>
    <n v="24.868421052631579"/>
    <n v="31.499999999999996"/>
    <n v="21.868421052631579"/>
    <n v="46"/>
    <n v="36.800000000000004"/>
    <n v="31.800000000000004"/>
    <d v="1900-02-04T19:12:00"/>
    <d v="1900-01-30T19:12:00"/>
    <m/>
    <m/>
    <m/>
    <m/>
    <m/>
    <m/>
    <m/>
    <m/>
    <m/>
    <m/>
    <d v="1900-01-14T00:00:00"/>
    <n v="0"/>
    <m/>
    <m/>
    <m/>
    <m/>
    <m/>
    <m/>
    <m/>
    <m/>
    <m/>
    <m/>
    <s v="Y"/>
    <m/>
    <m/>
    <m/>
    <m/>
    <m/>
    <m/>
    <m/>
    <d v="2024-10-11T00:00:00"/>
    <s v="036237, A5-0077, A5-0076, 204738, A5-0075"/>
  </r>
  <r>
    <d v="2024-10-08T00:00:00"/>
    <d v="2024-10-03T00:00:00"/>
    <m/>
    <x v="2"/>
    <s v="X24072577420"/>
    <s v="HERMENEGILDO DENAGA SARANILLO"/>
    <s v="SUMAKWEL, BARANGAY VILL, PARANAQUE"/>
    <s v="PARAÑAQUE CITY"/>
    <s v="PARAÑAQUE"/>
    <m/>
    <m/>
    <x v="0"/>
    <s v="SCHED"/>
    <s v="RRG"/>
    <n v="55.999499999999998"/>
    <n v="80.78"/>
    <n v="93.715000000000003"/>
    <x v="5"/>
    <n v="407370.66"/>
    <n v="45119.54"/>
    <m/>
    <n v="0"/>
    <d v="2024-10-02T16:59:00"/>
    <d v="2024-10-07T10:34:00"/>
    <d v="2024-10-05T00:00:00"/>
    <m/>
    <x v="0"/>
    <m/>
    <n v="-45567.707638888889"/>
    <n v="-45572.44027777778"/>
    <n v="0"/>
    <d v="2024-10-22T00:11:33"/>
    <d v="2024-10-30T22:54:54"/>
    <d v="2024-11-21T16:59:00"/>
    <n v="-1532.5200906685136"/>
    <n v="0"/>
    <n v="23"/>
    <n v="34"/>
    <n v="22.300380228136884"/>
    <n v="28.247148288973385"/>
    <n v="19.300380228136884"/>
    <n v="42"/>
    <n v="33.6"/>
    <n v="28.6"/>
    <d v="1900-02-01T14:24:00"/>
    <d v="1900-01-27T14:24:00"/>
    <m/>
    <m/>
    <m/>
    <m/>
    <m/>
    <m/>
    <m/>
    <m/>
    <m/>
    <m/>
    <d v="1900-01-14T00:00:00"/>
    <n v="0"/>
    <m/>
    <m/>
    <m/>
    <m/>
    <m/>
    <m/>
    <m/>
    <m/>
    <m/>
    <m/>
    <s v="Y"/>
    <m/>
    <m/>
    <m/>
    <m/>
    <m/>
    <m/>
    <m/>
    <d v="2024-10-11T00:00:00"/>
    <s v="CY9-0379, CY9-8047, 522864, CY9-0486, CY9-0485"/>
  </r>
  <r>
    <d v="2024-10-09T00:00:00"/>
    <d v="2024-10-05T00:00:00"/>
    <m/>
    <x v="4"/>
    <s v="X24083439704"/>
    <s v="DITO TELECOMMUNITY CORPORATION"/>
    <s v="CHAMPACA, STO. NINO, TAGUIG CITY"/>
    <s v="TAGUIG CITY"/>
    <s v="PARAÑAQUE"/>
    <s v="3rd party refusal; for survey on 10/29 with design, PROW, and BC"/>
    <s v="W/ ISSUE"/>
    <x v="1"/>
    <s v="CLOSED-CAN"/>
    <s v="JMM"/>
    <n v="82.501800000000003"/>
    <n v="117.3"/>
    <n v="31"/>
    <x v="8"/>
    <n v="346178.09"/>
    <n v="66436.77"/>
    <m/>
    <n v="0"/>
    <d v="2024-10-02T07:46:00"/>
    <d v="2024-10-04T14:18:00"/>
    <d v="2024-10-05T00:00:00"/>
    <m/>
    <x v="0"/>
    <m/>
    <n v="-45567.323611111111"/>
    <n v="-45569.595833333333"/>
    <n v="0"/>
    <d v="2024-10-23T12:43:56"/>
    <d v="2024-11-01T23:39:23"/>
    <d v="2024-11-21T07:46:00"/>
    <n v="-1411.8081033357075"/>
    <n v="0"/>
    <n v="26"/>
    <n v="36"/>
    <n v="24.206896551724139"/>
    <n v="30.662068965517239"/>
    <n v="21.206896551724139"/>
    <n v="44"/>
    <n v="35.200000000000003"/>
    <n v="30.200000000000003"/>
    <d v="1900-02-03T04:48:00"/>
    <d v="1900-01-29T04:48:00"/>
    <m/>
    <m/>
    <m/>
    <m/>
    <m/>
    <m/>
    <m/>
    <m/>
    <m/>
    <m/>
    <d v="1900-01-14T00:00:00"/>
    <n v="0"/>
    <m/>
    <m/>
    <m/>
    <m/>
    <m/>
    <m/>
    <m/>
    <m/>
    <m/>
    <m/>
    <s v="Y"/>
    <m/>
    <m/>
    <m/>
    <m/>
    <m/>
    <m/>
    <m/>
    <d v="2024-10-11T00:00:00"/>
    <s v="B7-8108, 198114, B7-0676, 522135"/>
  </r>
  <r>
    <d v="2024-10-09T00:00:00"/>
    <d v="2024-10-05T00:00:00"/>
    <m/>
    <x v="2"/>
    <s v="X24083159101"/>
    <s v="CHONA RODRIGUEZ GAN"/>
    <s v="DOÑA AURORA, TAHANAN VILL, PARANAQUE"/>
    <s v="PARAÑAQUE CITY"/>
    <s v="PARAÑAQUE"/>
    <s v="for scheduling"/>
    <s v="W/O ISSUE"/>
    <x v="2"/>
    <s v="SCHED"/>
    <s v="IGL"/>
    <n v="91.226200000000006"/>
    <n v="128.53"/>
    <n v="42"/>
    <x v="5"/>
    <n v="426527.55"/>
    <n v="73462.539999999994"/>
    <m/>
    <n v="0"/>
    <d v="2024-10-03T16:53:22"/>
    <d v="2024-10-08T12:45:00"/>
    <d v="2024-10-05T00:00:00"/>
    <m/>
    <x v="0"/>
    <m/>
    <n v="-45568.703726851854"/>
    <n v="-45573.53125"/>
    <n v="0"/>
    <d v="2024-10-24T21:51:18"/>
    <d v="2024-11-03T08:46:45"/>
    <d v="2024-11-22T16:53:22"/>
    <n v="-1411.8508633319484"/>
    <n v="0"/>
    <n v="26"/>
    <n v="36"/>
    <n v="24.206896551724139"/>
    <n v="30.662068965517239"/>
    <n v="21.206896551724139"/>
    <n v="44"/>
    <n v="35.200000000000003"/>
    <n v="30.200000000000003"/>
    <d v="1900-02-03T04:48:00"/>
    <d v="1900-01-29T04:48:00"/>
    <m/>
    <m/>
    <m/>
    <m/>
    <m/>
    <m/>
    <m/>
    <m/>
    <m/>
    <m/>
    <d v="1900-01-14T00:00:00"/>
    <n v="0"/>
    <m/>
    <m/>
    <m/>
    <m/>
    <m/>
    <m/>
    <m/>
    <m/>
    <m/>
    <m/>
    <s v="Y"/>
    <m/>
    <m/>
    <m/>
    <m/>
    <m/>
    <m/>
    <m/>
    <d v="2024-10-11T00:00:00"/>
    <s v="CW9-0510, 034731, DW1-8039, 523347"/>
  </r>
  <r>
    <d v="2024-10-15T00:00:00"/>
    <d v="2024-10-18T00:00:00"/>
    <m/>
    <x v="1"/>
    <s v="X24093584209"/>
    <s v="BRILLO DEL ESTE DEVELOPMENT CORP."/>
    <s v="PRES. M. ROXAS, TAMBO, PARANAQUE"/>
    <s v="PARAÑAQUE CITY"/>
    <s v="PARAÑAQUE"/>
    <m/>
    <m/>
    <x v="3"/>
    <s v="SCHED"/>
    <s v="JMM"/>
    <n v="53.13"/>
    <n v="72.53"/>
    <n v="0"/>
    <x v="2"/>
    <n v="45790.87"/>
    <n v="42792.34"/>
    <m/>
    <n v="0"/>
    <d v="2024-10-07T16:15:00"/>
    <d v="2024-10-14T09:11:00"/>
    <d v="2024-10-09T00:00:00"/>
    <m/>
    <x v="0"/>
    <m/>
    <n v="-45572.677083333336"/>
    <n v="-45579.382638888892"/>
    <n v="0"/>
    <d v="2024-10-27T18:18:07"/>
    <d v="2024-11-05T22:02:57"/>
    <d v="2024-11-26T16:15:00"/>
    <n v="-1480.5616105575684"/>
    <n v="0"/>
    <n v="23"/>
    <n v="36"/>
    <n v="23.085501858736059"/>
    <n v="29.241635687732341"/>
    <n v="20.085501858736059"/>
    <n v="42"/>
    <n v="33.6"/>
    <n v="28.6"/>
    <d v="1900-02-01T14:24:00"/>
    <d v="1900-01-27T14:24:00"/>
    <m/>
    <m/>
    <m/>
    <m/>
    <m/>
    <m/>
    <m/>
    <m/>
    <m/>
    <m/>
    <d v="1900-01-14T00:00:00"/>
    <n v="0"/>
    <m/>
    <m/>
    <m/>
    <m/>
    <m/>
    <m/>
    <m/>
    <m/>
    <m/>
    <m/>
    <s v="Y"/>
    <m/>
    <m/>
    <m/>
    <m/>
    <m/>
    <m/>
    <m/>
    <s v="N/A"/>
    <s v="C5-0530"/>
  </r>
  <r>
    <d v="2024-10-15T00:00:00"/>
    <d v="2024-10-19T00:00:00"/>
    <m/>
    <x v="2"/>
    <s v="X23072646097"/>
    <s v="CATHERINE C DIAMANTE"/>
    <s v="BUSUANGA, TIERRA NUEVA SUBD, MUNTINLUPA"/>
    <s v="MUNTINLUPA CITY"/>
    <s v="PARAÑAQUE"/>
    <m/>
    <m/>
    <x v="0"/>
    <s v="SCHED"/>
    <s v="RRG"/>
    <n v="55.649000000000001"/>
    <n v="83.02"/>
    <n v="102.5"/>
    <x v="5"/>
    <n v="380806.27"/>
    <n v="44837.23"/>
    <m/>
    <n v="0"/>
    <d v="2024-10-08T17:56:10"/>
    <d v="2024-10-14T09:29:00"/>
    <d v="2024-10-11T00:00:00"/>
    <m/>
    <x v="0"/>
    <m/>
    <n v="-45573.747337962966"/>
    <n v="-45579.395138888889"/>
    <n v="0"/>
    <d v="2024-10-27T05:25:21"/>
    <d v="2024-11-04T22:53:08"/>
    <d v="2024-11-27T17:56:10"/>
    <n v="-1591.365905687022"/>
    <n v="0"/>
    <n v="23"/>
    <n v="32"/>
    <n v="21.478599221789885"/>
    <n v="27.206225680933851"/>
    <n v="18.478599221789885"/>
    <n v="42"/>
    <n v="33.6"/>
    <n v="28.6"/>
    <d v="1900-02-01T14:24:00"/>
    <d v="1900-01-27T14:24:00"/>
    <m/>
    <m/>
    <m/>
    <m/>
    <m/>
    <m/>
    <m/>
    <m/>
    <m/>
    <m/>
    <d v="1900-01-14T00:00:00"/>
    <n v="0"/>
    <m/>
    <m/>
    <m/>
    <m/>
    <m/>
    <m/>
    <m/>
    <m/>
    <m/>
    <m/>
    <s v="Y"/>
    <m/>
    <m/>
    <m/>
    <m/>
    <m/>
    <m/>
    <m/>
    <d v="2024-10-17T00:00:00"/>
    <s v="CV9-0669, CV9-2383, CV9-8022, 517944, CV9-0622"/>
  </r>
  <r>
    <d v="2024-10-15T00:00:00"/>
    <d v="2024-10-17T00:00:00"/>
    <m/>
    <x v="4"/>
    <s v="X24093725127"/>
    <s v="LIGHT RAIL MANILA CORPORATION"/>
    <s v="NINOY AQUINO, STO. NINO, PARANAQUE"/>
    <s v="PARAÑAQUE CITY"/>
    <s v="PARAÑAQUE"/>
    <s v="ongoing coordination of SLEM &amp; design team re location of RCLR; with email"/>
    <s v="W/O ISSUE"/>
    <x v="1"/>
    <s v="SCHED"/>
    <s v="JMM"/>
    <n v="74.3279"/>
    <n v="502.37"/>
    <n v="4999"/>
    <x v="8"/>
    <n v="900581.01"/>
    <n v="59854.94"/>
    <m/>
    <n v="0"/>
    <d v="2024-10-09T16:02:00"/>
    <d v="2024-10-14T13:32:00"/>
    <d v="2024-10-11T00:00:00"/>
    <m/>
    <x v="0"/>
    <m/>
    <n v="-45574.668055555558"/>
    <n v="-45579.563888888886"/>
    <n v="0"/>
    <d v="2024-10-24T07:33:46"/>
    <d v="2024-11-01T00:30:14"/>
    <d v="2024-11-28T16:02:00"/>
    <n v="-1936.9233923611112"/>
    <n v="0"/>
    <n v="40"/>
    <n v="20"/>
    <n v="17.647058823529413"/>
    <n v="22.352941176470591"/>
    <n v="14.647058823529413"/>
    <n v="55"/>
    <n v="44"/>
    <n v="39"/>
    <d v="1900-02-12T00:00:00"/>
    <d v="1900-02-07T00:00:00"/>
    <m/>
    <m/>
    <m/>
    <m/>
    <m/>
    <m/>
    <m/>
    <m/>
    <s v="No PO generated"/>
    <m/>
    <d v="1900-01-14T00:00:00"/>
    <n v="0"/>
    <m/>
    <m/>
    <m/>
    <m/>
    <m/>
    <m/>
    <m/>
    <m/>
    <m/>
    <m/>
    <s v="Y"/>
    <m/>
    <m/>
    <m/>
    <m/>
    <m/>
    <m/>
    <m/>
    <d v="2024-10-17T00:00:00"/>
    <s v="A5-5544, A5-5530, 198155, A5-1071, 521395, A5-1070, A5-8015, A5-8016, A5-8017"/>
  </r>
  <r>
    <d v="2024-10-21T00:00:00"/>
    <d v="2024-10-19T00:00:00"/>
    <m/>
    <x v="4"/>
    <s v="X24020411873"/>
    <s v="IGLESIA NI CRISTO"/>
    <s v="P. BURGOS, SAN DIONISIO, PARANAQUE"/>
    <s v="PARAÑAQUE CITY"/>
    <s v="PARAÑAQUE"/>
    <s v="pole location issue"/>
    <s v="W/ ISSUE"/>
    <x v="4"/>
    <s v="SCHED"/>
    <s v="RRG"/>
    <n v="80.56"/>
    <n v="124.73"/>
    <n v="14"/>
    <x v="5"/>
    <n v="478556.27"/>
    <n v="64873.27"/>
    <m/>
    <n v="0"/>
    <d v="2024-10-09T15:40:00"/>
    <d v="2024-10-14T09:57:00"/>
    <d v="2024-10-11T00:00:00"/>
    <m/>
    <x v="0"/>
    <m/>
    <n v="-45574.652777777781"/>
    <n v="-45579.414583333331"/>
    <n v="0"/>
    <d v="2024-10-30T20:37:56"/>
    <d v="2024-11-09T07:33:23"/>
    <d v="2024-11-28T15:40:00"/>
    <n v="-1412.0351822174739"/>
    <n v="0"/>
    <n v="26"/>
    <n v="36"/>
    <n v="24.206896551724139"/>
    <n v="30.662068965517239"/>
    <n v="21.206896551724139"/>
    <n v="44"/>
    <n v="35.200000000000003"/>
    <n v="30.200000000000003"/>
    <d v="1900-02-03T04:48:00"/>
    <d v="1900-01-29T04:48:00"/>
    <m/>
    <m/>
    <m/>
    <m/>
    <m/>
    <m/>
    <m/>
    <m/>
    <m/>
    <m/>
    <d v="1900-01-14T00:00:00"/>
    <n v="0"/>
    <m/>
    <m/>
    <m/>
    <m/>
    <m/>
    <m/>
    <m/>
    <m/>
    <m/>
    <m/>
    <s v="Y"/>
    <m/>
    <m/>
    <m/>
    <m/>
    <m/>
    <m/>
    <m/>
    <d v="2024-10-21T00:00:00"/>
    <s v="A5-1343, A5-8027, A5-8028, 520519, A4-0033"/>
  </r>
  <r>
    <d v="2024-10-28T00:00:00"/>
    <d v="2024-10-19T00:00:00"/>
    <s v="Y"/>
    <x v="2"/>
    <s v="X24083444242"/>
    <s v="JEIKA PROPERTIES CORPORATION"/>
    <s v="BLOCK 6, KATHLEEN PLACE 5 SUBD, BACOOR"/>
    <s v="BACOOR CITY"/>
    <s v="DASMA"/>
    <s v="for scheduling"/>
    <s v="W/O ISSUE"/>
    <x v="2"/>
    <s v="FCOMP"/>
    <s v="IGL"/>
    <n v="1773.3821"/>
    <n v="2637.35"/>
    <n v="348"/>
    <x v="8"/>
    <n v="8506182.5099999998"/>
    <n v="1428065.65"/>
    <m/>
    <n v="0"/>
    <d v="2024-10-10T10:11:00"/>
    <d v="2024-10-17T12:32:00"/>
    <d v="2024-10-16T00:00:00"/>
    <m/>
    <x v="16"/>
    <m/>
    <n v="118.5756944444438"/>
    <n v="111.4777777777781"/>
    <n v="-45694"/>
    <d v="2024-10-31T14:49:43"/>
    <d v="2024-11-10T01:40:02"/>
    <d v="2024-11-29T10:11:00"/>
    <n v="3.6758465277777579"/>
    <n v="-761.56666666666672"/>
    <n v="50"/>
    <n v="28"/>
    <n v="24.193548387096776"/>
    <n v="30.64516129032258"/>
    <n v="21.193548387096776"/>
    <n v="60"/>
    <n v="48"/>
    <n v="43"/>
    <d v="2025-03-26T00:00:00"/>
    <d v="2025-03-21T00:00:00"/>
    <m/>
    <m/>
    <m/>
    <m/>
    <m/>
    <m/>
    <m/>
    <m/>
    <s v="NO COC"/>
    <m/>
    <d v="2025-02-21T00:00:00"/>
    <n v="-416"/>
    <m/>
    <m/>
    <m/>
    <m/>
    <m/>
    <m/>
    <m/>
    <m/>
    <m/>
    <m/>
    <s v="Y"/>
    <d v="2025-02-14T00:00:00"/>
    <m/>
    <m/>
    <m/>
    <m/>
    <m/>
    <m/>
    <d v="2024-11-05T00:00:00"/>
    <m/>
  </r>
  <r>
    <d v="2024-10-30T00:00:00"/>
    <d v="2024-10-18T00:00:00"/>
    <m/>
    <x v="2"/>
    <s v="R23445427"/>
    <s v="ARCEO, ELIZABETH"/>
    <s v="BLOCK 1, LA CHARINA SUBD, MUNTINLUPA"/>
    <s v="MUNTINLUPA CITY"/>
    <s v="PARAÑAQUE"/>
    <m/>
    <m/>
    <x v="3"/>
    <s v="SCHED"/>
    <s v="JMM"/>
    <n v="35.965200000000003"/>
    <n v="57.58"/>
    <n v="0"/>
    <x v="10"/>
    <n v="155380.98000000001"/>
    <n v="28961.94"/>
    <m/>
    <n v="0"/>
    <d v="2024-10-11T15:15:25"/>
    <d v="2024-10-17T12:59:00"/>
    <d v="2024-10-16T00:00:00"/>
    <m/>
    <x v="0"/>
    <m/>
    <n v="-45576.635706018518"/>
    <n v="-45582.540972222225"/>
    <n v="0"/>
    <d v="2024-10-31T17:18:32"/>
    <d v="2024-11-09T21:03:22"/>
    <d v="2024-11-30T15:15:25"/>
    <n v="-1480.6902179853842"/>
    <n v="0"/>
    <n v="23"/>
    <n v="36"/>
    <n v="23.085501858736059"/>
    <n v="29.241635687732341"/>
    <n v="20.085501858736059"/>
    <n v="42"/>
    <n v="33.6"/>
    <n v="28.6"/>
    <d v="1900-02-01T14:24:00"/>
    <d v="1900-01-27T14:24:00"/>
    <m/>
    <m/>
    <m/>
    <m/>
    <m/>
    <m/>
    <m/>
    <m/>
    <m/>
    <m/>
    <d v="1900-01-14T00:00:00"/>
    <n v="0"/>
    <m/>
    <m/>
    <m/>
    <m/>
    <m/>
    <m/>
    <m/>
    <m/>
    <m/>
    <m/>
    <s v="N"/>
    <m/>
    <m/>
    <m/>
    <m/>
    <m/>
    <m/>
    <m/>
    <d v="2024-11-05T00:00:00"/>
    <s v="DS1-8072"/>
  </r>
  <r>
    <d v="2024-10-21T00:00:00"/>
    <d v="2024-10-19T00:00:00"/>
    <m/>
    <x v="4"/>
    <s v="X24062492521"/>
    <s v="DOMINIC CONSTRUCTION, INC."/>
    <s v="BLOCK 6, KATHLEEN PLACE 5 SUBD, BACOOR"/>
    <s v="PARAÑAQUE CITY"/>
    <s v="PARAÑAQUE"/>
    <s v="for scheduling"/>
    <s v="W/O ISSUE"/>
    <x v="2"/>
    <s v="SCHED"/>
    <s v="IGL"/>
    <n v="8.93"/>
    <n v="12.03"/>
    <n v="0"/>
    <x v="2"/>
    <n v="18594.84"/>
    <n v="7191.18"/>
    <m/>
    <n v="0"/>
    <d v="2024-10-11T15:43:46"/>
    <d v="2024-10-17T12:52:00"/>
    <d v="2024-10-16T00:00:00"/>
    <m/>
    <x v="0"/>
    <m/>
    <n v="-45576.655393518522"/>
    <n v="-45582.536111111112"/>
    <n v="0"/>
    <d v="2024-10-30T10:18:36"/>
    <d v="2024-11-08T05:39:54"/>
    <d v="2024-11-30T15:43:46"/>
    <n v="-1569.862574665638"/>
    <n v="0"/>
    <n v="20"/>
    <n v="36"/>
    <n v="21.774193548387096"/>
    <n v="27.58064516129032"/>
    <n v="18.774193548387096"/>
    <n v="40"/>
    <n v="32"/>
    <n v="27"/>
    <d v="1900-01-31T00:00:00"/>
    <d v="1900-01-26T00:00:00"/>
    <m/>
    <m/>
    <m/>
    <m/>
    <m/>
    <m/>
    <m/>
    <m/>
    <m/>
    <m/>
    <d v="1900-01-14T00:00:00"/>
    <n v="0"/>
    <m/>
    <m/>
    <m/>
    <m/>
    <m/>
    <m/>
    <m/>
    <m/>
    <m/>
    <m/>
    <s v="Y"/>
    <m/>
    <m/>
    <m/>
    <m/>
    <m/>
    <m/>
    <m/>
    <s v="N/A"/>
    <s v="DX1-8058"/>
  </r>
  <r>
    <d v="2024-10-22T00:00:00"/>
    <d v="2024-10-19T00:00:00"/>
    <m/>
    <x v="2"/>
    <s v="X24072928092"/>
    <s v="GAY ANNETTE LIM ANG"/>
    <s v="ORMOC, ALABANG HILLS SUBD PH 2, MUNTINLUPA"/>
    <s v="MUNTINLUPA CITY"/>
    <s v="PARAÑAQUE"/>
    <m/>
    <m/>
    <x v="4"/>
    <s v="FCOMP"/>
    <s v="RRG"/>
    <n v="10.35"/>
    <n v="14.18"/>
    <n v="54"/>
    <x v="5"/>
    <n v="37965.19"/>
    <n v="8334.57"/>
    <m/>
    <n v="0"/>
    <d v="2024-10-11T15:40:22"/>
    <d v="2024-10-17T13:00:00"/>
    <d v="2024-10-16T00:00:00"/>
    <m/>
    <x v="17"/>
    <m/>
    <n v="94.755995370374876"/>
    <n v="88.867361111115315"/>
    <n v="-45671.40902777778"/>
    <d v="2024-10-29T17:27:28"/>
    <d v="2024-11-07T08:20:02"/>
    <d v="2024-11-30T15:40:22"/>
    <n v="3.3721986587692232"/>
    <n v="-1141.7852256944445"/>
    <n v="20"/>
    <n v="34"/>
    <n v="21.074380165289259"/>
    <n v="26.694214876033058"/>
    <n v="18.074380165289259"/>
    <n v="40"/>
    <n v="32"/>
    <n v="27"/>
    <d v="2025-02-15T09:49:00"/>
    <d v="2025-02-10T09:49:00"/>
    <m/>
    <m/>
    <m/>
    <m/>
    <m/>
    <m/>
    <m/>
    <m/>
    <s v="NO COC"/>
    <m/>
    <d v="2025-01-29T09:49:00"/>
    <n v="-393.40902777777956"/>
    <m/>
    <m/>
    <m/>
    <m/>
    <m/>
    <m/>
    <m/>
    <m/>
    <m/>
    <m/>
    <s v="Y"/>
    <d v="2025-01-13T00:00:00"/>
    <m/>
    <m/>
    <m/>
    <m/>
    <m/>
    <m/>
    <s v="N/A"/>
    <s v="DV1-0339, 054468"/>
  </r>
  <r>
    <d v="2024-10-23T00:00:00"/>
    <d v="2024-10-19T00:00:00"/>
    <m/>
    <x v="2"/>
    <s v="X24072854711"/>
    <s v="ROBERTO BALASBAS DIMAYUGA"/>
    <s v="SAN NICOLAS, SAN MARTIN VILL-4TH ESTATE, PARANAQUE"/>
    <s v="PARAÑAQUE CITY"/>
    <s v="PARAÑAQUE"/>
    <m/>
    <s v="W/O ISSUE"/>
    <x v="0"/>
    <s v="SCHED"/>
    <s v="RRG"/>
    <n v="176.43559999999999"/>
    <n v="253.62"/>
    <n v="69"/>
    <x v="8"/>
    <n v="789203.25"/>
    <n v="142079.60999999999"/>
    <m/>
    <n v="0"/>
    <d v="2024-10-10T09:45:38"/>
    <d v="2024-10-17T12:30:00"/>
    <d v="2024-10-16T00:00:00"/>
    <m/>
    <x v="0"/>
    <m/>
    <n v="-45575.406689814816"/>
    <n v="-45582.520833333336"/>
    <n v="0"/>
    <d v="2024-10-31T08:47:39"/>
    <d v="2024-11-09T18:08:11"/>
    <d v="2024-11-29T09:45:38"/>
    <n v="-1426.6251253744554"/>
    <n v="0"/>
    <n v="28"/>
    <n v="34"/>
    <n v="23.959731543624162"/>
    <n v="30.348993288590602"/>
    <n v="20.959731543624162"/>
    <n v="46"/>
    <n v="36.800000000000004"/>
    <n v="31.800000000000004"/>
    <d v="1900-02-04T19:12:00"/>
    <d v="1900-01-30T19:12:00"/>
    <m/>
    <m/>
    <m/>
    <m/>
    <m/>
    <m/>
    <m/>
    <m/>
    <m/>
    <m/>
    <d v="1900-01-14T00:00:00"/>
    <n v="0"/>
    <m/>
    <m/>
    <m/>
    <m/>
    <m/>
    <m/>
    <m/>
    <m/>
    <m/>
    <m/>
    <s v="Y"/>
    <m/>
    <m/>
    <m/>
    <m/>
    <m/>
    <m/>
    <m/>
    <d v="2024-10-24T00:00:00"/>
    <s v="CX9-0868, DX1-8089, DX1-8090, DX1-8091, 523134, CX9-08762"/>
  </r>
  <r>
    <d v="2024-11-04T00:00:00"/>
    <d v="2024-10-21T00:00:00"/>
    <m/>
    <x v="1"/>
    <s v="X24093698934"/>
    <s v="BLOOMINGDALE ENTERPRISES INC"/>
    <s v="ALABANG-ZAPOTE, TALON I, LAS PINAS CITY"/>
    <s v="LAS PIÑAS CITY"/>
    <s v="PARAÑAQUE"/>
    <m/>
    <m/>
    <x v="3"/>
    <s v="FCOMP"/>
    <s v="JMM"/>
    <n v="2.1979500000000001"/>
    <n v="2.98"/>
    <n v="0"/>
    <x v="2"/>
    <n v="16595.27"/>
    <n v="1769.95"/>
    <m/>
    <n v="0"/>
    <d v="2024-10-14T13:43:40"/>
    <d v="2024-10-18T14:53:00"/>
    <d v="2024-10-21T00:00:00"/>
    <m/>
    <x v="18"/>
    <m/>
    <n v="136.42800925925985"/>
    <n v="132.3798611111124"/>
    <n v="-45716"/>
    <d v="2024-11-02T08:18:30"/>
    <d v="2024-11-11T03:39:48"/>
    <d v="2024-12-03T13:43:40"/>
    <n v="4.6991869855967279"/>
    <n v="-1142.9000000000001"/>
    <n v="20"/>
    <n v="36"/>
    <n v="21.774193548387096"/>
    <n v="27.58064516129032"/>
    <n v="18.774193548387096"/>
    <n v="40"/>
    <n v="32"/>
    <n v="27"/>
    <d v="2025-04-01T00:00:00"/>
    <d v="2025-03-27T00:00:00"/>
    <m/>
    <m/>
    <m/>
    <m/>
    <m/>
    <m/>
    <m/>
    <m/>
    <s v="NO COC"/>
    <m/>
    <d v="2025-03-15T00:00:00"/>
    <n v="-438"/>
    <m/>
    <m/>
    <m/>
    <m/>
    <m/>
    <m/>
    <m/>
    <m/>
    <m/>
    <m/>
    <s v="Y"/>
    <m/>
    <m/>
    <m/>
    <m/>
    <m/>
    <m/>
    <m/>
    <s v="N/A"/>
    <s v="CW8-8003"/>
  </r>
  <r>
    <d v="2024-10-30T00:00:00"/>
    <d v="2024-10-21T00:00:00"/>
    <m/>
    <x v="4"/>
    <s v="X24093787030"/>
    <s v="CONVERGE INFORMATION AND COMMUNICATIONS TECHNOLOGY"/>
    <s v="LAPU-LAPU, PUROK 5, TAGUIG CITY"/>
    <s v="TAGUIG CITY"/>
    <s v="PARAÑAQUE"/>
    <s v="with ROW concern; near mosque / brgy. Refusal_x000a_-FOR CREATION OF NEW WORK ORDER"/>
    <s v="W/ ISSUE"/>
    <x v="1"/>
    <s v="CLOSED-CAN"/>
    <s v="JMM"/>
    <n v="47.532699999999998"/>
    <n v="158.77000000000001"/>
    <n v="11"/>
    <x v="8"/>
    <n v="806019.23"/>
    <n v="38276.89"/>
    <m/>
    <n v="0"/>
    <d v="2024-10-15T15:03:26"/>
    <d v="2024-10-18T14:55:00"/>
    <d v="2024-10-21T00:00:00"/>
    <m/>
    <x v="0"/>
    <m/>
    <n v="-45580.627384259256"/>
    <n v="-45583.621527777781"/>
    <n v="0"/>
    <d v="2024-11-05T20:01:22"/>
    <d v="2024-11-15T06:56:49"/>
    <d v="2024-12-04T15:03:26"/>
    <n v="-1412.2202928883744"/>
    <n v="0"/>
    <n v="26"/>
    <n v="36"/>
    <n v="24.206896551724139"/>
    <n v="30.662068965517239"/>
    <n v="21.206896551724139"/>
    <n v="44"/>
    <n v="35.200000000000003"/>
    <n v="30.200000000000003"/>
    <d v="1900-02-03T04:48:00"/>
    <d v="1900-01-29T04:48:00"/>
    <m/>
    <m/>
    <m/>
    <m/>
    <m/>
    <m/>
    <m/>
    <m/>
    <m/>
    <m/>
    <d v="1900-01-14T00:00:00"/>
    <n v="0"/>
    <m/>
    <m/>
    <m/>
    <m/>
    <m/>
    <m/>
    <m/>
    <m/>
    <m/>
    <m/>
    <s v="Y"/>
    <m/>
    <m/>
    <m/>
    <m/>
    <m/>
    <m/>
    <m/>
    <d v="2024-11-05T00:00:00"/>
    <s v="A8-0139, 518094, A8-8060"/>
  </r>
  <r>
    <d v="2024-11-05T00:00:00"/>
    <d v="2024-10-21T00:00:00"/>
    <m/>
    <x v="4"/>
    <s v="X24103888835"/>
    <s v="MAKATI DEVELOPMENT CORPORATION"/>
    <s v="EAST UNION, ARCA SOUTH, TAGUIG CITY"/>
    <s v="TAGUIG CITY"/>
    <s v="PARAÑAQUE"/>
    <s v="remaining terminal pole for retirement due to exisiting spun cable (with coordination to UG team)"/>
    <s v="W/O ISSUE"/>
    <x v="1"/>
    <s v="FCOMP"/>
    <s v="JMM"/>
    <n v="116.3974"/>
    <n v="344.73"/>
    <n v="0"/>
    <x v="2"/>
    <n v="248970.42"/>
    <n v="93739.94"/>
    <m/>
    <n v="0"/>
    <d v="2024-10-16T16:46:03"/>
    <d v="2024-10-21T15:12:00"/>
    <d v="2024-10-21T00:00:00"/>
    <m/>
    <x v="19"/>
    <m/>
    <n v="106.30135416666599"/>
    <n v="101.36666666666861"/>
    <n v="-45688"/>
    <d v="2024-11-08T04:05:18"/>
    <d v="2024-11-17T23:06:26"/>
    <d v="2024-12-05T16:46:03"/>
    <n v="3.12998431712961"/>
    <n v="-951.83333333333337"/>
    <n v="30"/>
    <n v="36"/>
    <n v="25.471698113207545"/>
    <n v="32.264150943396224"/>
    <n v="22.471698113207545"/>
    <n v="48"/>
    <n v="38.400000000000006"/>
    <n v="33.400000000000006"/>
    <d v="2025-03-10T09:36:00"/>
    <d v="2025-03-05T09:36:00"/>
    <m/>
    <m/>
    <m/>
    <m/>
    <m/>
    <m/>
    <m/>
    <m/>
    <s v="FOR AUDIT"/>
    <m/>
    <d v="2025-02-15T00:00:00"/>
    <n v="6"/>
    <d v="2025-01-31T00:00:00"/>
    <d v="2025-02-21T00:00:00"/>
    <m/>
    <m/>
    <m/>
    <m/>
    <m/>
    <m/>
    <m/>
    <m/>
    <s v="Y"/>
    <m/>
    <m/>
    <m/>
    <m/>
    <m/>
    <m/>
    <m/>
    <m/>
    <s v="B8-6318, B8-6319"/>
  </r>
  <r>
    <d v="2024-10-28T00:00:00"/>
    <d v="2024-10-24T00:00:00"/>
    <m/>
    <x v="4"/>
    <s v="X24062101038"/>
    <s v="GLOBE TELECOM, INC."/>
    <s v="TIMBANG, MAMBOG III, BACOOR"/>
    <s v="BACOOR CITY"/>
    <s v="DASMA"/>
    <s v="Digging completed_x000a_Cancel energization scheduled 11/27/2024 due to ROW/HOA concerns._x000a_On-going negotiation with customer and CRS."/>
    <s v="W/ ISSUE"/>
    <x v="4"/>
    <s v="SCHED"/>
    <s v="RRG"/>
    <n v="100.9782"/>
    <n v="136.08000000000001"/>
    <n v="20"/>
    <x v="8"/>
    <n v="353455.45"/>
    <n v="81315.740000000005"/>
    <m/>
    <n v="0"/>
    <d v="2024-10-18T15:32:00"/>
    <d v="2024-10-23T10:20:00"/>
    <d v="2024-10-24T00:00:00"/>
    <m/>
    <x v="0"/>
    <m/>
    <n v="-45583.647222222222"/>
    <n v="-45588.430555555555"/>
    <n v="0"/>
    <d v="2024-11-08T20:29:56"/>
    <d v="2024-11-18T07:25:23"/>
    <d v="2024-12-07T15:32:00"/>
    <n v="-1412.3138562440645"/>
    <n v="0"/>
    <n v="26"/>
    <n v="36"/>
    <n v="24.206896551724139"/>
    <n v="30.662068965517239"/>
    <n v="21.206896551724139"/>
    <n v="44"/>
    <n v="35.200000000000003"/>
    <n v="30.200000000000003"/>
    <d v="1900-02-03T04:48:00"/>
    <d v="1900-01-29T04:48:00"/>
    <m/>
    <m/>
    <m/>
    <m/>
    <m/>
    <m/>
    <m/>
    <m/>
    <m/>
    <m/>
    <d v="1900-01-14T00:00:00"/>
    <n v="0"/>
    <m/>
    <m/>
    <m/>
    <m/>
    <m/>
    <m/>
    <m/>
    <m/>
    <m/>
    <m/>
    <s v="Y"/>
    <m/>
    <m/>
    <m/>
    <m/>
    <m/>
    <m/>
    <m/>
    <d v="2024-10-29T00:00:00"/>
    <s v="CT6-3403, 394411, CT6-3402, 522343"/>
  </r>
  <r>
    <d v="2024-10-28T00:00:00"/>
    <d v="2024-10-23T00:00:00"/>
    <m/>
    <x v="1"/>
    <s v="X24093549347"/>
    <s v="CROWN OF KING SOLOMON ACADEMY INC."/>
    <s v="6TH, SALINAS I, BACOOR"/>
    <s v="BACOOR CITY"/>
    <s v="DASMA"/>
    <m/>
    <s v="W/O ISSUE"/>
    <x v="3"/>
    <s v="FCOMP"/>
    <s v="JMM"/>
    <n v="384.3897"/>
    <n v="606.78"/>
    <n v="38"/>
    <x v="8"/>
    <n v="1792274.22"/>
    <n v="309541.14"/>
    <m/>
    <n v="0"/>
    <d v="2024-10-18T14:46:00"/>
    <d v="2024-10-23T10:16:00"/>
    <d v="2024-10-23T00:00:00"/>
    <m/>
    <x v="20"/>
    <m/>
    <n v="118.38472222222481"/>
    <n v="113.57222222222481"/>
    <n v="-45702"/>
    <d v="2024-11-12T10:48:28"/>
    <d v="2024-11-22T20:57:08"/>
    <d v="2024-12-07T14:46:00"/>
    <n v="3.1898105709877242"/>
    <n v="-830.9454545454546"/>
    <n v="40"/>
    <n v="36"/>
    <n v="27.835051546391753"/>
    <n v="35.257731958762882"/>
    <n v="24.835051546391753"/>
    <n v="55"/>
    <n v="44"/>
    <n v="39"/>
    <d v="2025-03-30T00:00:00"/>
    <d v="2025-03-25T00:00:00"/>
    <m/>
    <m/>
    <m/>
    <m/>
    <m/>
    <m/>
    <m/>
    <m/>
    <s v="NO COC"/>
    <m/>
    <d v="2025-03-01T00:00:00"/>
    <n v="-424"/>
    <m/>
    <m/>
    <m/>
    <m/>
    <m/>
    <m/>
    <m/>
    <m/>
    <m/>
    <m/>
    <s v="Y"/>
    <d v="2025-02-11T00:00:00"/>
    <m/>
    <m/>
    <m/>
    <m/>
    <m/>
    <m/>
    <d v="2024-11-05T00:00:00"/>
    <s v="CV5-1041, CV5-8046, CV5-8048, CV5-8049, CV5-8050, CV5-8051, CV5-8052, CV5-8053, CV5-8054, 522689, CV5-8055"/>
  </r>
  <r>
    <d v="2024-11-06T00:00:00"/>
    <d v="2024-10-29T00:00:00"/>
    <s v="Y"/>
    <x v="2"/>
    <s v="X24073033797"/>
    <s v="CELSO T DIMARUCUT"/>
    <s v="DOÑA CONCHA CRUZ, BF HOMES, PARANAQUE"/>
    <s v="PARAÑAQUE CITY"/>
    <s v="PARAÑAQUE"/>
    <s v="VIP, PRESIDENT &amp; CEO OF ROXAS HOLDING. MVP GROUP"/>
    <m/>
    <x v="3"/>
    <s v="FCOMP"/>
    <s v="JMM"/>
    <n v="47.435499999999998"/>
    <n v="72.53"/>
    <n v="80"/>
    <x v="5"/>
    <n v="392547.56"/>
    <n v="38222.75"/>
    <m/>
    <n v="0"/>
    <d v="2024-10-22T17:03:00"/>
    <d v="2024-10-28T15:06:00"/>
    <d v="2024-10-28T00:00:00"/>
    <m/>
    <x v="21"/>
    <m/>
    <n v="80.757638888884685"/>
    <n v="74.838888888887595"/>
    <n v="-45668.468055555553"/>
    <d v="2024-11-11T00:15:33"/>
    <d v="2024-11-19T22:58:54"/>
    <d v="2024-12-11T17:03:00"/>
    <n v="2.7160177784880655"/>
    <n v="-1087.3444775132275"/>
    <n v="23"/>
    <n v="34"/>
    <n v="22.300380228136884"/>
    <n v="28.247148288973385"/>
    <n v="19.300380228136884"/>
    <n v="42"/>
    <n v="33.6"/>
    <n v="28.6"/>
    <d v="2025-02-14T01:38:00"/>
    <d v="2025-02-09T01:38:00"/>
    <m/>
    <m/>
    <m/>
    <m/>
    <m/>
    <m/>
    <m/>
    <m/>
    <s v="NO COC"/>
    <m/>
    <d v="2025-01-26T11:14:00"/>
    <n v="-390.46805555555329"/>
    <m/>
    <m/>
    <m/>
    <m/>
    <m/>
    <m/>
    <m/>
    <m/>
    <m/>
    <m/>
    <s v="Y"/>
    <d v="2025-01-14T00:00:00"/>
    <m/>
    <m/>
    <m/>
    <m/>
    <m/>
    <m/>
    <d v="2024-11-07T00:00:00"/>
    <s v="CV9-8039, 523206"/>
  </r>
  <r>
    <d v="2024-11-04T00:00:00"/>
    <d v="2024-10-29T00:00:00"/>
    <m/>
    <x v="2"/>
    <s v="X24051688503"/>
    <s v="ALEXANDER EVAN O. UY"/>
    <s v="JOHN, MULTINATIONAL VILL, PARANAQUE"/>
    <s v="PARAÑAQUE CITY"/>
    <s v="PARAÑAQUE"/>
    <m/>
    <m/>
    <x v="0"/>
    <s v="SCHED"/>
    <s v="RRG"/>
    <n v="107.8165"/>
    <n v="150.55000000000001"/>
    <n v="80"/>
    <x v="5"/>
    <n v="494977.65"/>
    <n v="86091.88"/>
    <m/>
    <n v="0"/>
    <d v="2024-10-21T15:53:00"/>
    <d v="2024-10-28T14:51:00"/>
    <d v="2024-10-29T00:00:00"/>
    <m/>
    <x v="0"/>
    <m/>
    <n v="-45586.661805555559"/>
    <n v="-45593.618750000001"/>
    <n v="0"/>
    <d v="2024-11-11T00:09:54"/>
    <d v="2024-11-20T05:34:25"/>
    <d v="2024-12-10T15:53:00"/>
    <n v="-1464.5488634364001"/>
    <n v="0"/>
    <n v="26"/>
    <n v="34"/>
    <n v="23.345070422535212"/>
    <n v="29.570422535211268"/>
    <n v="20.345070422535212"/>
    <n v="44"/>
    <n v="35.200000000000003"/>
    <n v="30.200000000000003"/>
    <d v="1900-02-03T04:48:00"/>
    <d v="1900-01-29T04:48:00"/>
    <m/>
    <m/>
    <m/>
    <m/>
    <m/>
    <m/>
    <m/>
    <m/>
    <m/>
    <m/>
    <d v="1900-01-14T00:00:00"/>
    <n v="0"/>
    <m/>
    <m/>
    <m/>
    <m/>
    <m/>
    <m/>
    <m/>
    <m/>
    <m/>
    <m/>
    <s v="Y"/>
    <m/>
    <m/>
    <m/>
    <m/>
    <m/>
    <m/>
    <m/>
    <d v="2024-11-05T00:00:00"/>
    <s v="CZ8-0155, 521943, CZ8-8082, CZ8-0170, CZ8-2001, CZ8-0169"/>
  </r>
  <r>
    <d v="2024-11-06T00:00:00"/>
    <d v="2024-10-29T00:00:00"/>
    <m/>
    <x v="2"/>
    <s v="X24051726352"/>
    <s v="ELIZA BLANCHE SANTOS ALAY-AY"/>
    <s v="JOHN GLEN JR., MOONWALK, PARANAQUE"/>
    <s v="PARAÑAQUE CITY"/>
    <s v="PARAÑAQUE"/>
    <m/>
    <m/>
    <x v="0"/>
    <s v="SCHED"/>
    <s v="RRG"/>
    <n v="147.12569999999999"/>
    <n v="98.87"/>
    <n v="42"/>
    <x v="5"/>
    <n v="357616.2"/>
    <n v="86985.66"/>
    <m/>
    <n v="0"/>
    <d v="2024-10-21T15:58:00"/>
    <d v="2024-11-06T09:31:00"/>
    <d v="2024-10-29T00:00:00"/>
    <m/>
    <x v="0"/>
    <m/>
    <n v="-45586.665277777778"/>
    <n v="-45602.396527777775"/>
    <n v="0"/>
    <d v="2024-11-10T18:01:07"/>
    <d v="2024-11-19T21:45:57"/>
    <d v="2024-12-10T15:58:00"/>
    <n v="-1481.0160579374665"/>
    <n v="0"/>
    <n v="23"/>
    <n v="36"/>
    <n v="23.085501858736059"/>
    <n v="29.241635687732341"/>
    <n v="20.085501858736059"/>
    <n v="42"/>
    <n v="33.6"/>
    <n v="28.6"/>
    <d v="1900-02-01T14:24:00"/>
    <d v="1900-01-27T14:24:00"/>
    <m/>
    <m/>
    <m/>
    <m/>
    <m/>
    <m/>
    <m/>
    <m/>
    <m/>
    <m/>
    <d v="1900-01-14T00:00:00"/>
    <n v="0"/>
    <m/>
    <m/>
    <m/>
    <m/>
    <m/>
    <m/>
    <m/>
    <m/>
    <m/>
    <m/>
    <s v="Y"/>
    <m/>
    <m/>
    <m/>
    <m/>
    <m/>
    <m/>
    <m/>
    <d v="2024-11-06T00:00:00"/>
    <s v="A5-8030, 521895"/>
  </r>
  <r>
    <d v="2024-11-06T00:00:00"/>
    <d v="2024-10-29T00:00:00"/>
    <m/>
    <x v="2"/>
    <s v="X24051728852"/>
    <s v="JENNY ROMANO BRAMBILLA"/>
    <s v="STAFFORD, MOONWALK, PARANAQUE"/>
    <s v="PARAÑAQUE CITY"/>
    <s v="PARAÑAQUE"/>
    <m/>
    <m/>
    <x v="0"/>
    <s v="SCHED"/>
    <s v="RRG"/>
    <n v="53.195999999999998"/>
    <n v="80.13"/>
    <n v="40"/>
    <x v="5"/>
    <n v="308653.92"/>
    <n v="42837.37"/>
    <m/>
    <n v="0"/>
    <d v="2024-10-21T15:55:00"/>
    <d v="2024-10-28T14:56:00"/>
    <d v="2024-10-29T00:00:00"/>
    <m/>
    <x v="0"/>
    <m/>
    <n v="-45586.663194444445"/>
    <n v="-45593.62222222222"/>
    <n v="0"/>
    <d v="2024-11-10T17:58:07"/>
    <d v="2024-11-19T21:42:57"/>
    <d v="2024-12-10T15:55:00"/>
    <n v="-1481.0159902542941"/>
    <n v="0"/>
    <n v="23"/>
    <n v="36"/>
    <n v="23.085501858736059"/>
    <n v="29.241635687732341"/>
    <n v="20.085501858736059"/>
    <n v="42"/>
    <n v="33.6"/>
    <n v="28.6"/>
    <d v="1900-02-01T14:24:00"/>
    <d v="1900-01-27T14:24:00"/>
    <m/>
    <m/>
    <m/>
    <m/>
    <m/>
    <m/>
    <m/>
    <m/>
    <m/>
    <m/>
    <d v="1900-01-14T00:00:00"/>
    <n v="0"/>
    <m/>
    <m/>
    <m/>
    <m/>
    <m/>
    <m/>
    <m/>
    <m/>
    <m/>
    <m/>
    <s v="Y"/>
    <m/>
    <m/>
    <m/>
    <m/>
    <m/>
    <m/>
    <m/>
    <d v="2024-11-06T00:00:00"/>
    <s v="A6-8028, 521931"/>
  </r>
  <r>
    <d v="2024-11-13T00:00:00"/>
    <d v="2024-10-29T00:00:00"/>
    <m/>
    <x v="1"/>
    <s v="X24041458580"/>
    <s v="PATIO ALGADA EVENTS PLACE AND LEISURE INC."/>
    <s v="DE CASTRO, DE CASTRO I SUBD, BACOOR"/>
    <s v="BACOOR CITY"/>
    <s v="DASMA"/>
    <m/>
    <s v="W/O ISSUE"/>
    <x v="3"/>
    <s v="FCOMP"/>
    <s v="JMM"/>
    <n v="48.755000000000003"/>
    <n v="79.42"/>
    <n v="52"/>
    <x v="8"/>
    <n v="392158.12"/>
    <n v="39261.15"/>
    <m/>
    <n v="0"/>
    <d v="2024-10-22T17:09:00"/>
    <d v="2024-10-28T15:03:00"/>
    <d v="2024-10-28T00:00:00"/>
    <m/>
    <x v="22"/>
    <m/>
    <n v="118.2854166666657"/>
    <n v="112.37291666666715"/>
    <n v="-45706"/>
    <d v="2024-11-11T00:21:33"/>
    <d v="2024-11-19T23:04:54"/>
    <d v="2024-12-11T17:09:00"/>
    <n v="3.9781412510656109"/>
    <n v="-1088.2380952380952"/>
    <n v="23"/>
    <n v="34"/>
    <n v="22.300380228136884"/>
    <n v="28.247148288973385"/>
    <n v="19.300380228136884"/>
    <n v="42"/>
    <n v="33.6"/>
    <n v="28.6"/>
    <d v="2025-03-23T14:24:00"/>
    <d v="2025-03-18T14:24:00"/>
    <m/>
    <m/>
    <m/>
    <m/>
    <m/>
    <m/>
    <m/>
    <m/>
    <s v="NO COC"/>
    <m/>
    <d v="2025-03-05T00:00:00"/>
    <n v="-428"/>
    <m/>
    <m/>
    <m/>
    <m/>
    <m/>
    <m/>
    <m/>
    <m/>
    <m/>
    <m/>
    <s v="Y"/>
    <m/>
    <m/>
    <m/>
    <m/>
    <m/>
    <m/>
    <m/>
    <d v="2024-11-15T00:00:00"/>
    <s v="CW6-8058, 518370"/>
  </r>
  <r>
    <d v="2024-11-07T00:00:00"/>
    <d v="2024-10-29T00:00:00"/>
    <m/>
    <x v="4"/>
    <s v="X24072868110"/>
    <s v="DITO TELECOMMUNITY CORPORATION"/>
    <s v="3RD AVE, HEN HEADQUARTER SUPPRT GRP, TAGUIG CITY"/>
    <s v="TAGUIG CITY"/>
    <s v="PARAÑAQUE"/>
    <s v="pole erection on Feb. 3rd week (3rd shift)"/>
    <s v="W/O ISSUE"/>
    <x v="1"/>
    <s v="SCHED"/>
    <s v="JMM"/>
    <n v="133.7749"/>
    <n v="381.7"/>
    <n v="22"/>
    <x v="8"/>
    <n v="1544526.93"/>
    <n v="107725.88"/>
    <m/>
    <n v="0"/>
    <d v="2024-10-21T14:09:00"/>
    <d v="2024-10-28T14:49:00"/>
    <d v="2024-10-29T00:00:00"/>
    <m/>
    <x v="0"/>
    <m/>
    <n v="-45586.589583333334"/>
    <n v="-45593.617361111108"/>
    <n v="0"/>
    <d v="2024-11-13T01:28:15"/>
    <d v="2024-11-22T20:29:23"/>
    <d v="2024-12-10T14:09:00"/>
    <n v="-1342.2718043981481"/>
    <n v="0"/>
    <n v="30"/>
    <n v="36"/>
    <n v="25.471698113207545"/>
    <n v="32.264150943396224"/>
    <n v="22.471698113207545"/>
    <n v="48"/>
    <n v="38.400000000000006"/>
    <n v="33.400000000000006"/>
    <d v="1900-02-06T09:36:00"/>
    <d v="1900-02-01T09:36:00"/>
    <s v="With ROW problem"/>
    <s v="Y"/>
    <s v="Y"/>
    <m/>
    <s v="Y"/>
    <d v="2024-11-04T00:00:00"/>
    <n v="29"/>
    <d v="2024-12-03T00:00:00"/>
    <s v="No PO generated"/>
    <m/>
    <d v="1900-01-14T00:00:00"/>
    <n v="0"/>
    <m/>
    <m/>
    <m/>
    <m/>
    <m/>
    <m/>
    <m/>
    <m/>
    <m/>
    <m/>
    <s v="Y"/>
    <m/>
    <m/>
    <m/>
    <m/>
    <m/>
    <m/>
    <m/>
    <d v="2024-11-09T00:00:00"/>
    <s v="C8-5578, C8-5579, C8-5580, 198586"/>
  </r>
  <r>
    <d v="2024-11-11T00:00:00"/>
    <d v="2024-10-29T00:00:00"/>
    <m/>
    <x v="1"/>
    <s v="X24083317606"/>
    <s v="HARD DISCOUNT PHILIPPINES, INC."/>
    <s v="M.L. QUEZON, PUROK 2, TAGUIG CITY"/>
    <s v="TAGUIG CITY"/>
    <s v="PARAÑAQUE"/>
    <s v="ongoing digging 11/4/2024"/>
    <s v="W/O ISSUE"/>
    <x v="1"/>
    <s v="SCHED"/>
    <s v="JMM"/>
    <n v="36.277000000000001"/>
    <n v="57.07"/>
    <n v="19"/>
    <x v="8"/>
    <n v="279802.61"/>
    <n v="29212.9"/>
    <m/>
    <n v="0"/>
    <d v="2024-10-22T17:23:00"/>
    <d v="2024-10-28T15:08:00"/>
    <d v="2024-10-29T00:00:00"/>
    <m/>
    <x v="0"/>
    <m/>
    <n v="-45587.724305555559"/>
    <n v="-45593.630555555559"/>
    <n v="0"/>
    <d v="2024-11-11T19:26:07"/>
    <d v="2024-11-20T23:10:57"/>
    <d v="2024-12-11T17:23:00"/>
    <n v="-1481.0504635500538"/>
    <n v="0"/>
    <n v="23"/>
    <n v="36"/>
    <n v="23.085501858736059"/>
    <n v="29.241635687732341"/>
    <n v="20.085501858736059"/>
    <n v="42"/>
    <n v="33.6"/>
    <n v="28.6"/>
    <d v="1900-02-01T14:24:00"/>
    <d v="1900-01-27T14:24:00"/>
    <m/>
    <m/>
    <m/>
    <m/>
    <m/>
    <m/>
    <m/>
    <m/>
    <s v="No PO generated"/>
    <m/>
    <d v="1900-01-14T00:00:00"/>
    <n v="0"/>
    <m/>
    <m/>
    <m/>
    <m/>
    <m/>
    <m/>
    <m/>
    <m/>
    <m/>
    <m/>
    <s v="Y"/>
    <m/>
    <m/>
    <m/>
    <m/>
    <m/>
    <m/>
    <m/>
    <d v="2024-11-12T00:00:00"/>
    <s v="A8-8097, 523471"/>
  </r>
  <r>
    <d v="2024-11-07T00:00:00"/>
    <d v="2024-10-29T00:00:00"/>
    <m/>
    <x v="1"/>
    <s v="X24083434936"/>
    <s v="MAXIPRINTS INC."/>
    <s v="1ST, TAGUIG BAGUMBAYAN INDL ASS INC, TAGUIG CITY"/>
    <s v="TAGUIG CITY"/>
    <s v="PARAÑAQUE"/>
    <s v="verify if need TBCAI permit"/>
    <s v="W/O ISSUE"/>
    <x v="1"/>
    <s v="FCOMP"/>
    <s v="JMM"/>
    <n v="183.2653"/>
    <n v="249.83"/>
    <n v="220"/>
    <x v="5"/>
    <n v="980297.45"/>
    <n v="147707.78"/>
    <m/>
    <n v="0"/>
    <d v="2024-10-22T17:14:00"/>
    <d v="2024-10-28T15:09:00"/>
    <d v="2024-10-29T00:00:00"/>
    <d v="2024-11-10T00:00:00"/>
    <x v="9"/>
    <m/>
    <n v="122.28194444444671"/>
    <n v="116.36875000000146"/>
    <n v="-45710"/>
    <d v="2024-11-10T17:54:17"/>
    <d v="2024-11-19T14:53:01"/>
    <d v="2024-12-11T17:14:00"/>
    <n v="4.1634090608466376"/>
    <n v="-993.695652173913"/>
    <n v="28"/>
    <n v="30"/>
    <n v="22.027972027972027"/>
    <n v="27.9020979020979"/>
    <n v="19.027972027972027"/>
    <n v="46"/>
    <n v="36.800000000000004"/>
    <n v="31.800000000000004"/>
    <d v="2025-03-30T19:12:00"/>
    <d v="2025-03-25T19:12:00"/>
    <m/>
    <m/>
    <m/>
    <m/>
    <m/>
    <m/>
    <m/>
    <m/>
    <s v="No PO generated"/>
    <m/>
    <d v="2025-03-09T00:00:00"/>
    <n v="-432"/>
    <m/>
    <m/>
    <m/>
    <m/>
    <m/>
    <m/>
    <m/>
    <m/>
    <m/>
    <m/>
    <s v="Y"/>
    <d v="2024-11-08T00:00:00"/>
    <m/>
    <m/>
    <m/>
    <m/>
    <m/>
    <m/>
    <d v="2024-11-09T00:00:00"/>
    <s v="DY1-0538"/>
  </r>
  <r>
    <d v="2024-11-08T00:00:00"/>
    <d v="2024-10-29T00:00:00"/>
    <m/>
    <x v="2"/>
    <s v="X23083229143"/>
    <s v="JUSTIN PHILIP POLISTICO SARABIA"/>
    <s v="ALITAGTAG, AYALA-ALABANG VILL, MUNTINLUPA"/>
    <s v="MUNTINLUPA CITY"/>
    <s v="PARAÑAQUE"/>
    <m/>
    <m/>
    <x v="4"/>
    <s v="SCHED"/>
    <s v="RRG"/>
    <n v="95.946200000000005"/>
    <n v="136.55000000000001"/>
    <n v="126"/>
    <x v="5"/>
    <n v="476184.66"/>
    <n v="76910.28"/>
    <m/>
    <n v="0"/>
    <d v="2024-10-23T14:57:00"/>
    <d v="2024-10-30T14:54:00"/>
    <d v="2024-10-29T00:00:00"/>
    <m/>
    <x v="0"/>
    <m/>
    <n v="-45588.622916666667"/>
    <n v="-45595.620833333334"/>
    <n v="0"/>
    <d v="2024-11-12T01:39:18"/>
    <d v="2024-11-21T01:18:35"/>
    <d v="2024-12-12T14:57:00"/>
    <n v="-1523.273698417468"/>
    <n v="0"/>
    <n v="26"/>
    <n v="32"/>
    <n v="22.446043165467625"/>
    <n v="28.431654676258994"/>
    <n v="19.446043165467625"/>
    <n v="44"/>
    <n v="35.200000000000003"/>
    <n v="30.200000000000003"/>
    <d v="1900-02-03T04:48:00"/>
    <d v="1900-01-29T04:48:00"/>
    <m/>
    <m/>
    <m/>
    <m/>
    <m/>
    <m/>
    <m/>
    <m/>
    <s v="No PO generated"/>
    <m/>
    <d v="1900-01-14T00:00:00"/>
    <n v="0"/>
    <m/>
    <m/>
    <m/>
    <m/>
    <m/>
    <m/>
    <m/>
    <m/>
    <m/>
    <m/>
    <s v="Y"/>
    <m/>
    <m/>
    <m/>
    <m/>
    <m/>
    <m/>
    <m/>
    <d v="2024-11-09T00:00:00"/>
    <s v="CS8-0058, 518428, CS8-8033, CS8-0055"/>
  </r>
  <r>
    <d v="2024-11-05T00:00:00"/>
    <m/>
    <m/>
    <x v="1"/>
    <s v="X24093762742"/>
    <s v="ALSTOM TRANSPORT CONSTRUCTION PHILIPPINES, INC."/>
    <s v="NINOY AQUINO, STO. NINO, PARANAQUE"/>
    <s v="PARAÑAQUE CITY"/>
    <s v="PARAÑAQUE"/>
    <m/>
    <m/>
    <x v="1"/>
    <s v="FCOMP"/>
    <s v="JMM"/>
    <n v="35.543399999999998"/>
    <n v="57.28"/>
    <n v="0"/>
    <x v="2"/>
    <n v="44003.21"/>
    <n v="28630.27"/>
    <m/>
    <n v="0"/>
    <d v="2024-10-28T16:06:52"/>
    <d v="2024-11-05T12:24:00"/>
    <d v="2024-11-05T00:00:00"/>
    <m/>
    <x v="23"/>
    <m/>
    <n v="95.328564814815763"/>
    <n v="87.483333333329938"/>
    <n v="-45689"/>
    <d v="2024-11-17T18:09:59"/>
    <d v="2024-11-26T21:54:49"/>
    <d v="2024-12-17T16:06:52"/>
    <n v="3.0970270453122515"/>
    <n v="-1087.8333333333333"/>
    <n v="23"/>
    <n v="36"/>
    <n v="23.085501858736059"/>
    <n v="29.241635687732341"/>
    <n v="20.085501858736059"/>
    <n v="42"/>
    <n v="33.6"/>
    <n v="28.6"/>
    <d v="2025-03-06T14:24:00"/>
    <d v="2025-03-01T14:24:00"/>
    <m/>
    <m/>
    <m/>
    <m/>
    <m/>
    <m/>
    <m/>
    <m/>
    <s v="NO COC"/>
    <m/>
    <d v="2025-02-16T00:00:00"/>
    <n v="-411"/>
    <m/>
    <m/>
    <m/>
    <m/>
    <m/>
    <m/>
    <m/>
    <m/>
    <m/>
    <m/>
    <s v="Y"/>
    <m/>
    <m/>
    <m/>
    <m/>
    <m/>
    <m/>
    <m/>
    <s v="N/A"/>
    <s v="A5-8018"/>
  </r>
  <r>
    <d v="2024-11-05T00:00:00"/>
    <m/>
    <m/>
    <x v="1"/>
    <s v="X24093763605"/>
    <s v="ALSTOM TRANSPORT CONSTRUCTION PHILIPPINES, INC."/>
    <s v="DR. A SANTOS, SAN DIONISIO, PARANAQUE"/>
    <s v="PARAÑAQUE CITY"/>
    <s v="PARAÑAQUE"/>
    <m/>
    <m/>
    <x v="0"/>
    <s v="SCHED"/>
    <s v="RRG"/>
    <n v="18.05"/>
    <n v="24.53"/>
    <n v="0"/>
    <x v="2"/>
    <n v="23857.72"/>
    <n v="14543.28"/>
    <m/>
    <n v="0"/>
    <d v="2024-10-28T16:06:58"/>
    <d v="2024-11-05T12:23:00"/>
    <d v="2024-11-05T00:00:00"/>
    <m/>
    <x v="0"/>
    <m/>
    <n v="-45593.67150462963"/>
    <n v="-45601.515972222223"/>
    <n v="0"/>
    <d v="2024-11-16T10:41:48"/>
    <d v="2024-11-25T06:03:06"/>
    <d v="2024-12-17T16:06:58"/>
    <n v="-1570.4486851594652"/>
    <n v="0"/>
    <n v="20"/>
    <n v="36"/>
    <n v="21.774193548387096"/>
    <n v="27.58064516129032"/>
    <n v="18.774193548387096"/>
    <n v="40"/>
    <n v="32"/>
    <n v="27"/>
    <d v="1900-01-31T00:00:00"/>
    <d v="1900-01-26T00:00:00"/>
    <m/>
    <m/>
    <m/>
    <m/>
    <m/>
    <m/>
    <m/>
    <m/>
    <m/>
    <m/>
    <d v="1900-01-14T00:00:00"/>
    <n v="0"/>
    <m/>
    <m/>
    <m/>
    <m/>
    <m/>
    <m/>
    <m/>
    <m/>
    <m/>
    <m/>
    <s v="Y"/>
    <m/>
    <m/>
    <m/>
    <m/>
    <m/>
    <m/>
    <m/>
    <s v="N/A"/>
    <s v="CZ8-8021"/>
  </r>
  <r>
    <d v="2024-11-08T00:00:00"/>
    <m/>
    <m/>
    <x v="4"/>
    <s v="X24062104789"/>
    <s v="GLOBE TELECOM, INC."/>
    <s v="DON P. REYES, TUNASAN, MUNTINLUPA"/>
    <s v="MUNTINLUPA CITY"/>
    <s v="PARAÑAQUE"/>
    <s v="for completion on Nov 27. 2024"/>
    <s v="W/O ISSUE"/>
    <x v="3"/>
    <s v="FCOMP"/>
    <s v="JMM"/>
    <n v="90.897499999999994"/>
    <n v="121.72"/>
    <n v="23"/>
    <x v="8"/>
    <n v="356034.6"/>
    <n v="72820.36"/>
    <m/>
    <n v="0"/>
    <d v="2024-10-29T10:30:32"/>
    <d v="2024-11-05T12:32:00"/>
    <d v="2024-11-05T00:00:00"/>
    <m/>
    <x v="19"/>
    <m/>
    <n v="93.562129629630363"/>
    <n v="86.477777777778101"/>
    <n v="-45688"/>
    <d v="2024-11-19T15:28:28"/>
    <d v="2024-11-29T02:23:55"/>
    <d v="2024-12-18T10:30:32"/>
    <n v="2.8988266658752995"/>
    <n v="-1038.3636363636363"/>
    <n v="26"/>
    <n v="36"/>
    <n v="24.206896551724139"/>
    <n v="30.662068965517239"/>
    <n v="21.206896551724139"/>
    <n v="44"/>
    <n v="35.200000000000003"/>
    <n v="30.200000000000003"/>
    <d v="2025-03-07T04:48:00"/>
    <d v="2025-03-02T04:48:00"/>
    <m/>
    <m/>
    <m/>
    <m/>
    <m/>
    <m/>
    <m/>
    <m/>
    <s v="NO COC"/>
    <m/>
    <d v="2025-02-15T00:00:00"/>
    <n v="-410"/>
    <m/>
    <m/>
    <m/>
    <m/>
    <m/>
    <m/>
    <m/>
    <m/>
    <m/>
    <m/>
    <s v="Y"/>
    <d v="2025-01-31T00:00:00"/>
    <m/>
    <m/>
    <m/>
    <m/>
    <m/>
    <m/>
    <d v="2024-11-09T00:00:00"/>
    <s v="CP9-0126, CP9-8013, 522274"/>
  </r>
  <r>
    <d v="2025-02-27T00:00:00"/>
    <m/>
    <m/>
    <x v="2"/>
    <s v="X24093485934"/>
    <s v="MARLON WILLIAMS MARCELINO CASTILLO"/>
    <s v="ORMOC, ALABANG HILLS SUBD PH 2, MUNTINLUPA"/>
    <s v="MUNTINLUPA CITY"/>
    <s v="PARAÑAQUE"/>
    <m/>
    <m/>
    <x v="3"/>
    <s v="SCHED"/>
    <s v="JMM"/>
    <n v="47.976999999999997"/>
    <n v="76.55"/>
    <n v="80"/>
    <x v="5"/>
    <n v="330669.53999999998"/>
    <n v="38658.800000000003"/>
    <m/>
    <n v="0"/>
    <d v="2024-10-28T14:01:30"/>
    <d v="2024-11-05T14:33:00"/>
    <d v="2024-11-05T00:00:00"/>
    <m/>
    <x v="0"/>
    <m/>
    <n v="-45593.584374999999"/>
    <n v="-45601.606249999997"/>
    <n v="0"/>
    <d v="2024-11-16T21:14:03"/>
    <d v="2024-11-25T19:57:24"/>
    <d v="2024-12-17T14:01:30"/>
    <n v="-1533.3903696451405"/>
    <n v="0"/>
    <n v="23"/>
    <n v="34"/>
    <n v="22.300380228136884"/>
    <n v="28.247148288973385"/>
    <n v="19.300380228136884"/>
    <n v="42"/>
    <n v="33.6"/>
    <n v="28.6"/>
    <d v="1900-02-01T14:24:00"/>
    <d v="1900-01-27T14:24:00"/>
    <m/>
    <m/>
    <m/>
    <m/>
    <m/>
    <m/>
    <m/>
    <m/>
    <m/>
    <m/>
    <d v="1900-01-14T00:00:00"/>
    <n v="0"/>
    <m/>
    <m/>
    <m/>
    <m/>
    <m/>
    <m/>
    <m/>
    <m/>
    <m/>
    <m/>
    <m/>
    <m/>
    <m/>
    <m/>
    <m/>
    <m/>
    <m/>
    <m/>
    <d v="2025-02-27T00:00:00"/>
    <s v="DV1-8073,TLN-523664"/>
  </r>
  <r>
    <d v="2024-12-11T00:00:00"/>
    <m/>
    <m/>
    <x v="2"/>
    <s v="X24072732976"/>
    <s v="LUCKY ROCKY CHUA SY"/>
    <s v="STA. MARIA, SAN ANTONIO VALLEY 1, PARANAQUE"/>
    <s v="PARAÑAQUE CITY"/>
    <s v="PARAÑAQUE"/>
    <m/>
    <s v="W/ ISSUE"/>
    <x v="0"/>
    <s v="FCOMP"/>
    <s v="RRG"/>
    <n v="109.02404"/>
    <n v="159.47999999999999"/>
    <n v="44"/>
    <x v="8"/>
    <n v="364950.15"/>
    <n v="87791.66"/>
    <n v="41380.28"/>
    <n v="0.47134636706949151"/>
    <d v="2024-10-31T16:19:00"/>
    <d v="2024-11-05T13:12:00"/>
    <d v="2024-11-05T00:00:00"/>
    <m/>
    <x v="24"/>
    <m/>
    <n v="68.627083333332848"/>
    <n v="63.756944444437977"/>
    <n v="-45665.306944444441"/>
    <d v="2024-11-21T21:16:56"/>
    <d v="2024-12-01T08:12:23"/>
    <d v="2024-12-20T16:19:00"/>
    <n v="2.1262664707977059"/>
    <n v="-1037.84788510101"/>
    <n v="26"/>
    <n v="36"/>
    <n v="24.206896551724139"/>
    <n v="30.662068965517239"/>
    <n v="21.206896551724139"/>
    <n v="44"/>
    <n v="35.200000000000003"/>
    <n v="30.200000000000003"/>
    <d v="2025-02-12T12:10:00"/>
    <d v="2025-02-07T12:10:00"/>
    <m/>
    <m/>
    <m/>
    <m/>
    <m/>
    <m/>
    <m/>
    <m/>
    <s v="FOR AUDIT"/>
    <s v="PARTIALLY BILLED"/>
    <d v="2025-01-23T07:22:00"/>
    <n v="-12.306944444440887"/>
    <d v="2024-12-19T00:00:00"/>
    <d v="2025-01-11T00:00:00"/>
    <m/>
    <m/>
    <m/>
    <m/>
    <m/>
    <m/>
    <m/>
    <m/>
    <m/>
    <m/>
    <m/>
    <m/>
    <m/>
    <m/>
    <m/>
    <m/>
    <d v="2024-12-19T00:00:00"/>
    <s v="CY9-1711,087421,CY9-8051,523877,CY9-8052"/>
  </r>
  <r>
    <d v="2024-11-05T00:00:00"/>
    <m/>
    <m/>
    <x v="4"/>
    <s v="X24041323481"/>
    <s v="ASEANA BUSINESS PARK ESTATE ASSOCIATION, INC."/>
    <s v="PRES. DIOSDADO MACAPAGAL, ASEANA BUSINESS PARK, PARANAQUE"/>
    <s v="PARAÑAQUE CITY"/>
    <s v="PARAÑAQUE"/>
    <m/>
    <m/>
    <x v="3"/>
    <s v="SCHED"/>
    <s v="JMM"/>
    <n v="70.017300000000006"/>
    <n v="95.78"/>
    <n v="17"/>
    <x v="5"/>
    <n v="464521.19"/>
    <n v="56399.27"/>
    <m/>
    <n v="0"/>
    <d v="2024-10-31T16:19:00"/>
    <d v="2024-11-05T12:26:00"/>
    <d v="2024-11-05T00:00:00"/>
    <m/>
    <x v="0"/>
    <m/>
    <n v="-45596.679861111108"/>
    <n v="-45601.518055555556"/>
    <n v="0"/>
    <d v="2024-11-20T18:22:07"/>
    <d v="2024-11-29T22:06:57"/>
    <d v="2024-12-20T16:19:00"/>
    <n v="-1481.3414109467255"/>
    <n v="0"/>
    <n v="23"/>
    <n v="36"/>
    <n v="23.085501858736059"/>
    <n v="29.241635687732341"/>
    <n v="20.085501858736059"/>
    <n v="42"/>
    <n v="33.6"/>
    <n v="28.6"/>
    <d v="1900-02-01T14:24:00"/>
    <d v="1900-01-27T14:24:00"/>
    <m/>
    <m/>
    <m/>
    <m/>
    <m/>
    <m/>
    <m/>
    <m/>
    <m/>
    <m/>
    <d v="1900-01-14T00:00:00"/>
    <n v="0"/>
    <m/>
    <m/>
    <m/>
    <m/>
    <m/>
    <m/>
    <m/>
    <m/>
    <m/>
    <m/>
    <s v="Y"/>
    <m/>
    <m/>
    <m/>
    <m/>
    <m/>
    <m/>
    <m/>
    <s v="N/A"/>
    <s v="C5-5620, 106501"/>
  </r>
  <r>
    <d v="2024-11-05T00:00:00"/>
    <m/>
    <m/>
    <x v="4"/>
    <s v="X24051588113"/>
    <s v="ASEANA BUSINESS PARK ESTATE ASSOCIATION, INC."/>
    <s v="ASEANA, ASEANA BUSINESS PARK, PARANAQUE"/>
    <s v="PARAÑAQUE CITY"/>
    <s v="PARAÑAQUE"/>
    <m/>
    <m/>
    <x v="3"/>
    <s v="SCHED"/>
    <s v="JMM"/>
    <n v="32.880299999999998"/>
    <n v="44.93"/>
    <n v="28"/>
    <x v="5"/>
    <n v="212227.5"/>
    <n v="26100.1"/>
    <m/>
    <n v="0"/>
    <d v="2024-10-31T15:41:00"/>
    <d v="2024-11-05T12:27:00"/>
    <d v="2024-11-05T00:00:00"/>
    <m/>
    <x v="0"/>
    <m/>
    <n v="-45596.65347222222"/>
    <n v="-45601.518750000003"/>
    <n v="0"/>
    <d v="2024-11-19T10:15:50"/>
    <d v="2024-11-28T05:37:08"/>
    <d v="2024-12-20T15:41:00"/>
    <n v="-1570.551397376543"/>
    <n v="0"/>
    <n v="20"/>
    <n v="36"/>
    <n v="21.774193548387096"/>
    <n v="27.58064516129032"/>
    <n v="18.774193548387096"/>
    <n v="40"/>
    <n v="32"/>
    <n v="27"/>
    <d v="1900-01-31T00:00:00"/>
    <d v="1900-01-26T00:00:00"/>
    <m/>
    <m/>
    <m/>
    <m/>
    <m/>
    <m/>
    <m/>
    <m/>
    <m/>
    <m/>
    <d v="1900-01-14T00:00:00"/>
    <n v="0"/>
    <m/>
    <m/>
    <m/>
    <m/>
    <m/>
    <m/>
    <m/>
    <m/>
    <m/>
    <m/>
    <s v="Y"/>
    <m/>
    <m/>
    <m/>
    <m/>
    <m/>
    <m/>
    <m/>
    <s v="N/A"/>
    <s v="C4-2042, 187555"/>
  </r>
  <r>
    <d v="2024-12-11T00:00:00"/>
    <m/>
    <m/>
    <x v="2"/>
    <s v="X24072577424"/>
    <s v="ARTHUR NOLASCO IRASUSTA"/>
    <s v="R. MAGSAYSAY, FILINVEST SUBD, PARANAQUE"/>
    <s v="PARAÑAQUE CITY"/>
    <s v="PARAÑAQUE"/>
    <m/>
    <m/>
    <x v="3"/>
    <s v="SCHED"/>
    <s v="JMM"/>
    <n v="21.55"/>
    <n v="29.53"/>
    <n v="48"/>
    <x v="5"/>
    <n v="61552.23"/>
    <n v="17353.63"/>
    <m/>
    <n v="0"/>
    <d v="2024-10-31T16:17:00"/>
    <d v="2024-11-05T13:10:00"/>
    <d v="2024-11-05T00:00:00"/>
    <m/>
    <x v="0"/>
    <m/>
    <n v="-45596.678472222222"/>
    <n v="-45601.548611111109"/>
    <n v="0"/>
    <d v="2024-11-19T10:51:50"/>
    <d v="2024-11-28T06:13:08"/>
    <d v="2024-12-20T16:17:00"/>
    <n v="-1570.5522584876544"/>
    <n v="0"/>
    <n v="20"/>
    <n v="36"/>
    <n v="21.774193548387096"/>
    <n v="27.58064516129032"/>
    <n v="18.774193548387096"/>
    <n v="40"/>
    <n v="32"/>
    <n v="27"/>
    <d v="1900-01-31T00:00:00"/>
    <d v="1900-01-26T00:00:00"/>
    <m/>
    <m/>
    <m/>
    <m/>
    <m/>
    <m/>
    <m/>
    <m/>
    <m/>
    <m/>
    <d v="1900-01-14T00:00:00"/>
    <n v="0"/>
    <m/>
    <m/>
    <m/>
    <m/>
    <m/>
    <m/>
    <m/>
    <m/>
    <m/>
    <m/>
    <s v="Y"/>
    <m/>
    <m/>
    <m/>
    <m/>
    <m/>
    <m/>
    <m/>
    <s v="N/A"/>
    <m/>
  </r>
  <r>
    <d v="2024-11-21T00:00:00"/>
    <m/>
    <m/>
    <x v="1"/>
    <s v="X24104022999"/>
    <s v="DAHN BERGER PHILS. CONSTRUCTION CORPORATION"/>
    <s v="DOÑA SOLEDAD, BETTER LIVING SUBD, PARANAQUE"/>
    <s v="PARAÑAQUE CITY"/>
    <s v="PARAÑAQUE"/>
    <s v="re-assigned fromPH"/>
    <m/>
    <x v="1"/>
    <s v="FCOMP"/>
    <s v="JMM"/>
    <n v="176.77010000000001"/>
    <n v="250.75"/>
    <n v="0"/>
    <x v="2"/>
    <n v="140893"/>
    <n v="142356.57"/>
    <m/>
    <n v="0"/>
    <d v="2024-11-05T17:04:00"/>
    <d v="2024-11-11T14:25:00"/>
    <d v="2024-11-06T00:00:00"/>
    <m/>
    <x v="19"/>
    <m/>
    <n v="86.288888888891961"/>
    <n v="80.399305555554747"/>
    <n v="-45688"/>
    <d v="2024-11-27T13:54:32"/>
    <d v="2024-12-07T05:04:00"/>
    <d v="2024-12-25T17:04:00"/>
    <n v="2.6023633156967416"/>
    <n v="-993.21739130434787"/>
    <n v="28"/>
    <n v="36"/>
    <n v="24.868421052631579"/>
    <n v="31.499999999999996"/>
    <n v="21.868421052631579"/>
    <n v="46"/>
    <n v="36.800000000000004"/>
    <n v="31.800000000000004"/>
    <d v="2025-03-08T19:12:00"/>
    <d v="2025-03-03T19:12:00"/>
    <m/>
    <m/>
    <m/>
    <m/>
    <m/>
    <m/>
    <m/>
    <m/>
    <s v="FOR AUDIT"/>
    <m/>
    <d v="2025-02-15T00:00:00"/>
    <n v="6"/>
    <d v="2025-01-31T00:00:00"/>
    <d v="2025-02-21T00:00:00"/>
    <m/>
    <m/>
    <m/>
    <m/>
    <m/>
    <m/>
    <m/>
    <m/>
    <s v="Y"/>
    <m/>
    <m/>
    <m/>
    <m/>
    <m/>
    <m/>
    <m/>
    <s v="N/A"/>
    <s v="DZ1-2624"/>
  </r>
  <r>
    <d v="2024-11-18T00:00:00"/>
    <m/>
    <m/>
    <x v="2"/>
    <s v="X24051821123"/>
    <s v="CITY GOVERNMENT OF TAGUIG"/>
    <s v="C-5, WESTERN BICUTAN, TAGUIG CITY"/>
    <s v="TAGUIG CITY"/>
    <s v="PARAÑAQUE"/>
    <s v="for sched of digging  "/>
    <s v="W/O ISSUE"/>
    <x v="1"/>
    <s v="SCHED"/>
    <s v="JMM"/>
    <n v="130.09209999999999"/>
    <n v="181.4"/>
    <n v="27"/>
    <x v="8"/>
    <n v="584047.02"/>
    <n v="104760.12"/>
    <m/>
    <n v="0"/>
    <d v="2024-11-06T08:25:00"/>
    <d v="2024-11-11T14:34:00"/>
    <d v="2024-11-06T00:00:00"/>
    <m/>
    <x v="0"/>
    <m/>
    <n v="-45602.350694444445"/>
    <n v="-45607.606944444444"/>
    <n v="0"/>
    <d v="2024-11-27T13:22:56"/>
    <d v="2024-12-07T00:18:23"/>
    <d v="2024-12-26T08:25:00"/>
    <n v="-1412.8933441654794"/>
    <n v="0"/>
    <n v="26"/>
    <n v="36"/>
    <n v="24.206896551724139"/>
    <n v="30.662068965517239"/>
    <n v="21.206896551724139"/>
    <n v="44"/>
    <n v="35.200000000000003"/>
    <n v="30.200000000000003"/>
    <d v="1900-02-03T04:48:00"/>
    <d v="1900-01-29T04:48:00"/>
    <m/>
    <m/>
    <m/>
    <m/>
    <m/>
    <m/>
    <m/>
    <m/>
    <s v="No PO generated"/>
    <m/>
    <d v="1900-01-14T00:00:00"/>
    <n v="0"/>
    <m/>
    <m/>
    <m/>
    <m/>
    <m/>
    <m/>
    <m/>
    <m/>
    <m/>
    <m/>
    <s v="Y"/>
    <m/>
    <m/>
    <m/>
    <m/>
    <m/>
    <m/>
    <m/>
    <d v="2024-11-20T00:00:00"/>
    <s v="C8-5453, C8-8106, C8-8107, 522204"/>
  </r>
  <r>
    <d v="2024-11-19T00:00:00"/>
    <m/>
    <m/>
    <x v="2"/>
    <s v="X24072831387"/>
    <s v="IRMA S AQUINO"/>
    <s v="ARTHUR, HAPAY CPD, TAGUIG CITY"/>
    <s v="TAGUIG CITY"/>
    <s v="PARAÑAQUE"/>
    <m/>
    <s v="W/O ISSUE"/>
    <x v="0"/>
    <s v="SCHED"/>
    <s v="RRG"/>
    <n v="525.73869999999999"/>
    <n v="849.4"/>
    <n v="75"/>
    <x v="8"/>
    <n v="2473616.36"/>
    <n v="423365.47"/>
    <m/>
    <n v="0"/>
    <d v="2024-11-06T07:24:00"/>
    <d v="2024-11-11T14:45:00"/>
    <d v="2024-11-06T00:00:00"/>
    <m/>
    <x v="0"/>
    <m/>
    <n v="-45602.308333333334"/>
    <n v="-45607.614583333336"/>
    <n v="0"/>
    <d v="2024-11-30T00:14:16"/>
    <d v="2024-12-10T03:07:40"/>
    <d v="2024-12-26T07:24:00"/>
    <n v="-1280.8883664215684"/>
    <n v="0"/>
    <n v="40"/>
    <n v="34"/>
    <n v="26.701570680628272"/>
    <n v="33.821989528795811"/>
    <n v="23.701570680628272"/>
    <n v="55"/>
    <n v="44"/>
    <n v="39"/>
    <d v="1900-02-12T00:00:00"/>
    <d v="1900-02-07T00:00:00"/>
    <m/>
    <m/>
    <m/>
    <m/>
    <m/>
    <m/>
    <m/>
    <m/>
    <m/>
    <m/>
    <d v="1900-01-14T00:00:00"/>
    <n v="0"/>
    <m/>
    <m/>
    <m/>
    <m/>
    <m/>
    <m/>
    <m/>
    <m/>
    <m/>
    <m/>
    <s v="Y"/>
    <m/>
    <m/>
    <m/>
    <m/>
    <m/>
    <m/>
    <m/>
    <d v="2024-11-20T00:00:00"/>
    <s v="DY2-5295, DY2-8055, 523126, DY2-8056, DY2-5057, DY2-8058, 523128, DY2-8059, DY2-8060, DY2-8061, DY2-8062, DY2-8063, DY2-8064, DY2-8065, DY2-8066, DY2-8068, DY2-6067, DY2-8069,DY2-8070"/>
  </r>
  <r>
    <d v="2024-11-16T00:00:00"/>
    <m/>
    <s v="Y"/>
    <x v="2"/>
    <s v="X24083323243"/>
    <s v="NICOLE TRINIDAD LOTILLA"/>
    <s v="DAFFODIL, PILAR VILL, LAS PINAS CITY"/>
    <s v="LAS PIÑAS CITY"/>
    <s v="PARAÑAQUE"/>
    <s v="with follow up from Raul Reyes of Corp Com"/>
    <m/>
    <x v="4"/>
    <s v="SCHED"/>
    <s v="RRG"/>
    <n v="196.56030000000001"/>
    <n v="290.43"/>
    <n v="42.36"/>
    <x v="5"/>
    <n v="807326.91"/>
    <n v="158286.09"/>
    <m/>
    <n v="0"/>
    <d v="2024-11-04T15:21:00"/>
    <d v="2024-11-11T14:56:00"/>
    <d v="2024-11-06T00:00:00"/>
    <m/>
    <x v="0"/>
    <m/>
    <n v="-45600.63958333333"/>
    <n v="-45607.62222222222"/>
    <n v="0"/>
    <d v="2024-11-26T12:11:32"/>
    <d v="2024-12-06T03:21:00"/>
    <d v="2024-12-24T15:21:00"/>
    <n v="-1375.2573842592592"/>
    <n v="0"/>
    <n v="28"/>
    <n v="36"/>
    <n v="24.868421052631579"/>
    <n v="31.499999999999996"/>
    <n v="21.868421052631579"/>
    <n v="46"/>
    <n v="36.800000000000004"/>
    <n v="31.800000000000004"/>
    <d v="1900-02-04T19:12:00"/>
    <d v="1900-01-30T19:12:00"/>
    <m/>
    <m/>
    <m/>
    <m/>
    <m/>
    <m/>
    <m/>
    <m/>
    <m/>
    <m/>
    <d v="1900-01-14T00:00:00"/>
    <n v="0"/>
    <m/>
    <m/>
    <m/>
    <m/>
    <m/>
    <m/>
    <m/>
    <m/>
    <m/>
    <m/>
    <s v="Y"/>
    <m/>
    <m/>
    <m/>
    <m/>
    <m/>
    <m/>
    <m/>
    <d v="2024-11-20T00:00:00"/>
    <s v="CU8-8098, CU8-8099, CU8-8100, 523464, CU8-0497"/>
  </r>
  <r>
    <d v="2024-11-22T00:00:00"/>
    <m/>
    <m/>
    <x v="1"/>
    <s v="X24103897542"/>
    <s v="RAICON DEVELOPMENT CORPORATION"/>
    <s v="QUIRINO, PULANGLUPA I, LAS PINAS CITY"/>
    <s v="LAS PIÑAS CITY"/>
    <s v="PARAÑAQUE"/>
    <m/>
    <m/>
    <x v="3"/>
    <s v="SCHED"/>
    <s v="JMM"/>
    <n v="48.0167"/>
    <n v="64.28"/>
    <n v="0"/>
    <x v="2"/>
    <n v="58204.17"/>
    <n v="38674.730000000003"/>
    <m/>
    <n v="0"/>
    <d v="2024-11-08T16:51:12"/>
    <d v="2024-11-13T14:43:00"/>
    <d v="2024-11-12T00:00:00"/>
    <m/>
    <x v="0"/>
    <m/>
    <n v="-45604.702222222222"/>
    <n v="-45609.613194444442"/>
    <n v="0"/>
    <d v="2024-11-28T18:54:19"/>
    <d v="2024-12-07T22:39:09"/>
    <d v="2024-12-28T16:51:12"/>
    <n v="-1481.6020407944175"/>
    <n v="0"/>
    <n v="23"/>
    <n v="36"/>
    <n v="23.085501858736059"/>
    <n v="29.241635687732341"/>
    <n v="20.085501858736059"/>
    <n v="42"/>
    <n v="33.6"/>
    <n v="28.6"/>
    <d v="1900-02-01T14:24:00"/>
    <d v="1900-01-27T14:24:00"/>
    <m/>
    <m/>
    <m/>
    <m/>
    <m/>
    <m/>
    <m/>
    <m/>
    <m/>
    <m/>
    <d v="1900-01-14T00:00:00"/>
    <n v="0"/>
    <m/>
    <m/>
    <m/>
    <m/>
    <m/>
    <m/>
    <m/>
    <m/>
    <m/>
    <m/>
    <s v="Y"/>
    <m/>
    <m/>
    <m/>
    <m/>
    <m/>
    <m/>
    <m/>
    <s v="N/A"/>
    <s v="CY6-0769"/>
  </r>
  <r>
    <d v="2024-11-14T00:00:00"/>
    <m/>
    <m/>
    <x v="1"/>
    <s v="X24072635271"/>
    <s v="JOIE MEDINA GAWARAN"/>
    <s v="LOURDES CPD, LOURDES CPD, BACOOR"/>
    <s v="BACOOR CITY"/>
    <s v="DASMA"/>
    <m/>
    <s v="W/O ISSUE"/>
    <x v="3"/>
    <s v="FCOMP"/>
    <s v="JMM"/>
    <n v="91.2898"/>
    <n v="136.25"/>
    <n v="28"/>
    <x v="8"/>
    <n v="428865.23"/>
    <n v="73513.490000000005"/>
    <m/>
    <n v="0"/>
    <d v="2024-11-07T14:20:22"/>
    <d v="2024-11-13T14:45:00"/>
    <d v="2024-11-12T00:00:00"/>
    <m/>
    <x v="25"/>
    <m/>
    <n v="91.402523148150067"/>
    <n v="85.385416666664241"/>
    <n v="-45695"/>
    <d v="2024-11-28T19:18:18"/>
    <d v="2024-12-08T06:13:45"/>
    <d v="2024-12-27T14:20:22"/>
    <n v="2.831915781299521"/>
    <n v="-1038.5227272727273"/>
    <n v="26"/>
    <n v="36"/>
    <n v="24.206896551724139"/>
    <n v="30.662068965517239"/>
    <n v="21.206896551724139"/>
    <n v="44"/>
    <n v="35.200000000000003"/>
    <n v="30.200000000000003"/>
    <d v="2025-03-14T04:48:00"/>
    <d v="2025-03-09T04:48:00"/>
    <m/>
    <m/>
    <m/>
    <m/>
    <m/>
    <m/>
    <m/>
    <m/>
    <s v="NO COC"/>
    <m/>
    <d v="2025-02-22T00:00:00"/>
    <n v="-417"/>
    <m/>
    <m/>
    <m/>
    <m/>
    <m/>
    <m/>
    <m/>
    <m/>
    <m/>
    <m/>
    <s v="Y"/>
    <d v="2025-02-06T00:00:00"/>
    <m/>
    <m/>
    <m/>
    <m/>
    <m/>
    <m/>
    <d v="2024-11-15T00:00:00"/>
    <s v="CV7-8090, 522895"/>
  </r>
  <r>
    <d v="2024-11-14T00:00:00"/>
    <m/>
    <m/>
    <x v="4"/>
    <s v="X23030972347"/>
    <s v="DITO TELECOMMUNITY CORPORATION"/>
    <s v="ADELFA, SAN DIONISIO, PARANAQUE"/>
    <s v="PARAÑAQUE CITY"/>
    <s v="PARAÑAQUE"/>
    <s v=" emailed UAM for sabayan operation on pole replacement"/>
    <s v="W/O ISSUE"/>
    <x v="3"/>
    <s v="SCHED"/>
    <s v="JMM"/>
    <n v="57.028300000000002"/>
    <n v="113.92"/>
    <n v="31"/>
    <x v="8"/>
    <n v="1048692.28"/>
    <n v="45923.59"/>
    <m/>
    <n v="0"/>
    <d v="2024-11-08T12:23:08"/>
    <d v="2024-11-13T14:50:00"/>
    <d v="2024-11-12T00:00:00"/>
    <m/>
    <x v="0"/>
    <m/>
    <n v="-45604.516064814816"/>
    <n v="-45609.618055555555"/>
    <n v="0"/>
    <d v="2024-11-29T17:21:04"/>
    <d v="2024-12-09T04:16:31"/>
    <d v="2024-12-28T12:23:08"/>
    <n v="-1412.9604336320829"/>
    <n v="0"/>
    <n v="26"/>
    <n v="36"/>
    <n v="24.206896551724139"/>
    <n v="30.662068965517239"/>
    <n v="21.206896551724139"/>
    <n v="44"/>
    <n v="35.200000000000003"/>
    <n v="30.200000000000003"/>
    <d v="1900-02-03T04:48:00"/>
    <d v="1900-01-29T04:48:00"/>
    <m/>
    <m/>
    <m/>
    <m/>
    <m/>
    <m/>
    <m/>
    <m/>
    <m/>
    <m/>
    <d v="1900-01-14T00:00:00"/>
    <n v="0"/>
    <m/>
    <m/>
    <m/>
    <m/>
    <m/>
    <m/>
    <m/>
    <m/>
    <m/>
    <m/>
    <s v="Y"/>
    <m/>
    <m/>
    <m/>
    <m/>
    <m/>
    <m/>
    <m/>
    <d v="2024-11-15T00:00:00"/>
    <s v="CZ7-0108, 516509, CZ7-0283, CZ7-2108"/>
  </r>
  <r>
    <d v="2024-11-14T00:00:00"/>
    <m/>
    <m/>
    <x v="1"/>
    <s v="X24093693382"/>
    <s v="ASIA STRUCTURAL DEVELOPER CORP,"/>
    <s v="PACIFIC, MARINA SUBD, PARANAQUE"/>
    <s v="PARAÑAQUE CITY"/>
    <s v="PARAÑAQUE"/>
    <m/>
    <m/>
    <x v="0"/>
    <s v="FCOMP"/>
    <s v="RRG"/>
    <n v="144.97669999999999"/>
    <n v="198.33"/>
    <n v="0"/>
    <x v="2"/>
    <n v="118408.73"/>
    <n v="116746.06"/>
    <n v="93645.38"/>
    <n v="0.80212882558948895"/>
    <d v="2024-11-08T16:21:18"/>
    <d v="2024-11-13T14:51:00"/>
    <d v="2024-11-21T00:00:00"/>
    <m/>
    <x v="14"/>
    <m/>
    <n v="72.318541666667443"/>
    <n v="67.381249999998545"/>
    <n v="-45677"/>
    <d v="2024-11-29T21:19:14"/>
    <d v="2024-12-09T08:14:41"/>
    <d v="2024-12-28T16:21:18"/>
    <n v="2.2406385772792263"/>
    <n v="-1038.1136363636363"/>
    <n v="26"/>
    <n v="36"/>
    <n v="24.206896551724139"/>
    <n v="30.662068965517239"/>
    <n v="21.206896551724139"/>
    <n v="44"/>
    <n v="35.200000000000003"/>
    <n v="30.200000000000003"/>
    <d v="2025-02-24T04:48:00"/>
    <d v="2025-02-19T04:48:00"/>
    <m/>
    <m/>
    <m/>
    <m/>
    <m/>
    <m/>
    <m/>
    <m/>
    <s v="NO COC"/>
    <s v="PARTIALLY BILLED"/>
    <d v="2025-02-04T00:00:00"/>
    <n v="-399"/>
    <m/>
    <m/>
    <m/>
    <m/>
    <m/>
    <m/>
    <m/>
    <m/>
    <m/>
    <m/>
    <s v="Y"/>
    <m/>
    <m/>
    <m/>
    <m/>
    <m/>
    <m/>
    <m/>
    <s v="N/A"/>
    <m/>
  </r>
  <r>
    <d v="2024-11-16T00:00:00"/>
    <m/>
    <s v="Y"/>
    <x v="2"/>
    <s v="X24072802372"/>
    <s v="JOSE MARTIN GRUBA NOEL"/>
    <s v="QUINTIN PAREDES, BF HOMES, PARANAQUE"/>
    <s v="PARAÑAQUE CITY"/>
    <s v="PARAÑAQUE"/>
    <s v="VIP, OWNER IS RET. GENERAL MANNY IDQUIVAL"/>
    <s v="For Schedule of Digging  1/8/2024"/>
    <x v="0"/>
    <s v="FCOMP"/>
    <s v="RRG"/>
    <n v="119.9787"/>
    <n v="176.65"/>
    <n v="86"/>
    <x v="5"/>
    <n v="588535.37"/>
    <n v="96616.31"/>
    <n v="26531.14"/>
    <n v="0.27460311825198042"/>
    <d v="2024-11-08T16:13:56"/>
    <d v="2024-11-13T14:53:00"/>
    <d v="2024-11-21T00:00:00"/>
    <m/>
    <x v="26"/>
    <m/>
    <n v="63.323657407410792"/>
    <n v="58.379861111112405"/>
    <n v="-45668"/>
    <d v="2024-11-29T00:30:50"/>
    <d v="2024-12-08T05:55:21"/>
    <d v="2024-12-28T16:13:56"/>
    <n v="2.0343799438579939"/>
    <n v="-1037.909090909091"/>
    <n v="26"/>
    <n v="34"/>
    <n v="23.345070422535212"/>
    <n v="29.570422535211268"/>
    <n v="20.345070422535212"/>
    <n v="44"/>
    <n v="35.200000000000003"/>
    <n v="30.200000000000003"/>
    <d v="2025-02-15T04:48:00"/>
    <d v="2025-02-10T04:48:00"/>
    <m/>
    <m/>
    <m/>
    <m/>
    <m/>
    <m/>
    <m/>
    <m/>
    <s v="MATERIAL BALANCING"/>
    <s v="PARTIALLY BILLED"/>
    <d v="2025-01-26T00:00:00"/>
    <n v="-4"/>
    <d v="2025-01-10T00:00:00"/>
    <d v="2025-01-22T00:00:00"/>
    <d v="2025-02-06T00:00:00"/>
    <s v="ECI"/>
    <s v="Y"/>
    <m/>
    <m/>
    <m/>
    <m/>
    <m/>
    <s v="Y"/>
    <d v="2025-01-09T00:00:00"/>
    <m/>
    <m/>
    <m/>
    <m/>
    <m/>
    <m/>
    <d v="2024-11-20T00:00:00"/>
    <s v="CW9-0663, DW1-8037, 523044, DW1-8038"/>
  </r>
  <r>
    <d v="2024-11-14T00:00:00"/>
    <m/>
    <s v="Y"/>
    <x v="2"/>
    <s v="X24083277607"/>
    <s v="JONATHAN KEE AGABIN"/>
    <s v="SAMAR, MARINA SUBD, PARANAQUE"/>
    <s v="PARAÑAQUE CITY"/>
    <s v="PARAÑAQUE"/>
    <s v="FOLLOW UP FROM ATTY KIM HENARES"/>
    <s v="W/O ISSUE"/>
    <x v="1"/>
    <s v="FCOMP"/>
    <s v="JMM"/>
    <n v="81.7376"/>
    <n v="116.17"/>
    <n v="80"/>
    <x v="8"/>
    <n v="454689.41"/>
    <n v="65090.91"/>
    <m/>
    <n v="0"/>
    <d v="2024-11-08T16:13:24"/>
    <d v="2024-11-13T14:55:00"/>
    <d v="2024-11-12T00:00:00"/>
    <m/>
    <x v="27"/>
    <m/>
    <n v="66.324027777780429"/>
    <n v="61.378472222218988"/>
    <n v="-45671"/>
    <d v="2024-11-29T00:30:18"/>
    <d v="2024-12-08T05:54:49"/>
    <d v="2024-12-28T16:13:24"/>
    <n v="2.1307719331323125"/>
    <n v="-1037.9772727272727"/>
    <n v="26"/>
    <n v="34"/>
    <n v="23.345070422535212"/>
    <n v="29.570422535211268"/>
    <n v="20.345070422535212"/>
    <n v="44"/>
    <n v="35.200000000000003"/>
    <n v="30.200000000000003"/>
    <d v="2025-02-18T04:48:00"/>
    <d v="2025-02-13T04:48:00"/>
    <m/>
    <m/>
    <m/>
    <m/>
    <m/>
    <m/>
    <m/>
    <m/>
    <s v="NO COC"/>
    <m/>
    <d v="2025-01-29T00:00:00"/>
    <n v="-393"/>
    <m/>
    <m/>
    <m/>
    <m/>
    <m/>
    <m/>
    <m/>
    <m/>
    <m/>
    <m/>
    <s v="Y"/>
    <m/>
    <m/>
    <m/>
    <m/>
    <m/>
    <m/>
    <m/>
    <d v="2024-11-15T00:00:00"/>
    <s v="B4-5388, B4-8030, 523440, PLDT-7784"/>
  </r>
  <r>
    <d v="2024-11-16T00:00:00"/>
    <m/>
    <m/>
    <x v="2"/>
    <s v="X24010234099"/>
    <s v="LORENZO ENRIQUEZ GUERRERO"/>
    <s v="LIPA, AYALA-ALABANG VILL, MUNTINLUPA"/>
    <s v="MUNTINLUPA CITY"/>
    <s v="PARAÑAQUE"/>
    <s v="for scheduling"/>
    <s v="W/O ISSUE"/>
    <x v="2"/>
    <s v="SCHED"/>
    <s v="IGL"/>
    <n v="43.890300000000003"/>
    <n v="60.05"/>
    <n v="90"/>
    <x v="5"/>
    <n v="272805.40999999997"/>
    <n v="35367.83"/>
    <m/>
    <n v="0"/>
    <d v="2024-11-08T12:25:13"/>
    <d v="2024-11-13T14:59:00"/>
    <d v="2024-11-13T00:00:00"/>
    <m/>
    <x v="0"/>
    <m/>
    <n v="-45604.517511574071"/>
    <n v="-45609.624305555553"/>
    <n v="0"/>
    <d v="2024-11-27T19:37:46"/>
    <d v="2024-12-06T18:21:07"/>
    <d v="2024-12-28T12:25:13"/>
    <n v="-1533.7580697626572"/>
    <n v="0"/>
    <n v="23"/>
    <n v="34"/>
    <n v="22.300380228136884"/>
    <n v="28.247148288973385"/>
    <n v="19.300380228136884"/>
    <n v="42"/>
    <n v="33.6"/>
    <n v="28.6"/>
    <d v="1900-02-01T14:24:00"/>
    <d v="1900-01-27T14:24:00"/>
    <m/>
    <m/>
    <m/>
    <m/>
    <m/>
    <m/>
    <m/>
    <m/>
    <m/>
    <m/>
    <d v="1900-01-14T00:00:00"/>
    <n v="0"/>
    <m/>
    <m/>
    <m/>
    <m/>
    <m/>
    <m/>
    <m/>
    <m/>
    <m/>
    <m/>
    <s v="Y"/>
    <m/>
    <m/>
    <m/>
    <m/>
    <m/>
    <m/>
    <m/>
    <s v="N/A"/>
    <s v="CS9-5212, 159523"/>
  </r>
  <r>
    <d v="2024-11-22T00:00:00"/>
    <m/>
    <m/>
    <x v="4"/>
    <s v="X24062084382"/>
    <s v="AMAIA LAND CORP."/>
    <s v="ISABELA, AMAIA STEPS SUCAT, PARANAQUE"/>
    <s v="PARAÑAQUE CITY"/>
    <s v="PARAÑAQUE"/>
    <s v="customer holds execution; incorrect location of project"/>
    <s v="W/ ISSUE"/>
    <x v="4"/>
    <s v="FCOMP"/>
    <s v="RRG"/>
    <n v="264.79059999999998"/>
    <n v="397.28"/>
    <n v="97"/>
    <x v="8"/>
    <n v="2640728.35"/>
    <n v="213253.55"/>
    <m/>
    <n v="0"/>
    <d v="2024-11-12T14:26:00"/>
    <d v="2024-11-20T09:27:00"/>
    <d v="2024-11-14T00:00:00"/>
    <m/>
    <x v="19"/>
    <m/>
    <n v="79.398611111108039"/>
    <n v="71.60624999999709"/>
    <n v="-45688"/>
    <d v="2024-12-04T02:53:42"/>
    <d v="2024-12-13T15:49:05"/>
    <d v="2025-01-01T14:26:00"/>
    <n v="2.428663398692716"/>
    <n v="-951.83333333333337"/>
    <n v="30"/>
    <n v="34"/>
    <n v="24.51923076923077"/>
    <n v="31.057692307692307"/>
    <n v="21.51923076923077"/>
    <n v="48"/>
    <n v="38.400000000000006"/>
    <n v="33.400000000000006"/>
    <d v="2025-03-10T09:36:00"/>
    <d v="2025-03-05T09:36:00"/>
    <m/>
    <m/>
    <m/>
    <m/>
    <m/>
    <m/>
    <m/>
    <m/>
    <s v="NO COC"/>
    <m/>
    <d v="2025-02-15T00:00:00"/>
    <n v="-410"/>
    <m/>
    <m/>
    <m/>
    <m/>
    <m/>
    <m/>
    <m/>
    <m/>
    <m/>
    <m/>
    <s v="Y"/>
    <m/>
    <m/>
    <m/>
    <m/>
    <m/>
    <m/>
    <m/>
    <d v="2024-11-27T00:00:00"/>
    <s v="CX9-5827, CX9-8034, 522222, CX9-8035"/>
  </r>
  <r>
    <d v="2024-11-21T00:00:00"/>
    <m/>
    <m/>
    <x v="2"/>
    <s v="X24083444240"/>
    <s v="WOODRIDGE PROPERTIES INC."/>
    <s v="BLOCK 5, DANAROSE RESIDENCES, BACOOR"/>
    <s v="BACOOR CITY"/>
    <s v="DASMA"/>
    <m/>
    <s v="W/O ISSUE"/>
    <x v="4"/>
    <s v="SCHED"/>
    <s v="RRG"/>
    <n v="269.6164"/>
    <n v="399.67"/>
    <n v="32"/>
    <x v="8"/>
    <n v="1088892.82"/>
    <n v="217116.56"/>
    <m/>
    <n v="0"/>
    <d v="2024-11-11T16:04:00"/>
    <d v="2024-11-17T18:11:00"/>
    <d v="2024-11-14T00:00:00"/>
    <m/>
    <x v="0"/>
    <m/>
    <n v="-45607.669444444444"/>
    <n v="-45613.757638888892"/>
    <n v="0"/>
    <d v="2024-12-04T03:23:15"/>
    <d v="2024-12-13T22:24:23"/>
    <d v="2024-12-31T16:04:00"/>
    <n v="-1342.8924891975307"/>
    <n v="0"/>
    <n v="30"/>
    <n v="36"/>
    <n v="25.471698113207545"/>
    <n v="32.264150943396224"/>
    <n v="22.471698113207545"/>
    <n v="48"/>
    <n v="38.400000000000006"/>
    <n v="33.400000000000006"/>
    <d v="1900-02-06T09:36:00"/>
    <d v="1900-02-01T09:36:00"/>
    <m/>
    <m/>
    <m/>
    <m/>
    <m/>
    <m/>
    <m/>
    <m/>
    <s v="No PO generated"/>
    <m/>
    <d v="1900-01-14T00:00:00"/>
    <n v="0"/>
    <m/>
    <m/>
    <m/>
    <m/>
    <m/>
    <m/>
    <m/>
    <m/>
    <m/>
    <m/>
    <s v="Y"/>
    <m/>
    <m/>
    <m/>
    <m/>
    <m/>
    <m/>
    <m/>
    <d v="2024-11-27T00:00:00"/>
    <s v="CT7-5300, CS7-5491, CS7-8098, 522047, CS7-8105, CT7-5298, CS7-8104, CS7-8106, CS7-8107, CS7-8097, CT7-5295"/>
  </r>
  <r>
    <d v="2024-11-18T00:00:00"/>
    <m/>
    <m/>
    <x v="4"/>
    <s v="X24051787930"/>
    <s v="DITO TELECOMMUNITY CORPORATION"/>
    <s v="BLOCK 46, PINAGSAMA PH 2 VILL, TAGUIG CITY"/>
    <s v="TAGUIG CITY"/>
    <s v="PARAÑAQUE"/>
    <s v="PAI 02/19/2025"/>
    <s v="W/O ISSUE"/>
    <x v="2"/>
    <s v="SCHED"/>
    <s v="JMM"/>
    <n v="96.658500000000004"/>
    <n v="161.43"/>
    <n v="22"/>
    <x v="8"/>
    <n v="1090877.69"/>
    <n v="77836.89"/>
    <m/>
    <n v="0"/>
    <d v="2024-11-11T15:11:00"/>
    <d v="2024-11-17T18:14:00"/>
    <d v="2024-11-15T00:00:00"/>
    <m/>
    <x v="0"/>
    <m/>
    <n v="-45607.632638888892"/>
    <n v="-45613.759722222225"/>
    <n v="0"/>
    <d v="2024-12-02T20:08:56"/>
    <d v="2024-12-12T07:04:23"/>
    <d v="2024-12-31T15:11:00"/>
    <n v="-1413.0569941536087"/>
    <n v="0"/>
    <n v="26"/>
    <n v="36"/>
    <n v="24.206896551724139"/>
    <n v="30.662068965517239"/>
    <n v="21.206896551724139"/>
    <n v="44"/>
    <n v="35.200000000000003"/>
    <n v="30.200000000000003"/>
    <d v="1900-02-03T04:48:00"/>
    <d v="1900-01-29T04:48:00"/>
    <m/>
    <m/>
    <m/>
    <m/>
    <m/>
    <m/>
    <m/>
    <m/>
    <s v="No PO generated"/>
    <m/>
    <d v="1900-01-14T00:00:00"/>
    <n v="0"/>
    <m/>
    <m/>
    <m/>
    <m/>
    <m/>
    <m/>
    <m/>
    <m/>
    <m/>
    <m/>
    <s v="Y"/>
    <m/>
    <m/>
    <m/>
    <m/>
    <m/>
    <m/>
    <m/>
    <d v="2024-11-20T00:00:00"/>
    <s v="C8-1139, 212145, C8-1141, C8-0637"/>
  </r>
  <r>
    <d v="2024-11-19T00:00:00"/>
    <m/>
    <m/>
    <x v="4"/>
    <s v="X24114362991"/>
    <s v="MAKATI DEVELOPMENT CORPORATION,"/>
    <s v="RAMBUTAN, FTI CPD, TAGUIG CITY"/>
    <s v="TAGUIG CITY"/>
    <s v="PARAÑAQUE"/>
    <m/>
    <m/>
    <x v="1"/>
    <s v="FCOMP"/>
    <s v="JMM"/>
    <n v="165.60740000000001"/>
    <n v="224.03"/>
    <n v="0"/>
    <x v="2"/>
    <n v="135321.43"/>
    <n v="133359.74"/>
    <m/>
    <n v="0"/>
    <d v="2024-11-11T16:12:00"/>
    <d v="2024-11-17T18:16:00"/>
    <d v="2024-11-15T00:00:00"/>
    <m/>
    <x v="19"/>
    <m/>
    <n v="80.32499999999709"/>
    <n v="74.238888888889051"/>
    <n v="-45688"/>
    <d v="2024-12-03T13:02:32"/>
    <d v="2024-12-13T04:12:00"/>
    <d v="2024-12-31T16:12:00"/>
    <n v="2.4224999999999124"/>
    <n v="-993.21739130434787"/>
    <n v="28"/>
    <n v="36"/>
    <n v="24.868421052631579"/>
    <n v="31.499999999999996"/>
    <n v="21.868421052631579"/>
    <n v="46"/>
    <n v="36.800000000000004"/>
    <n v="31.800000000000004"/>
    <d v="2025-03-08T19:12:00"/>
    <d v="2025-03-03T19:12:00"/>
    <m/>
    <m/>
    <m/>
    <m/>
    <m/>
    <m/>
    <m/>
    <m/>
    <s v="FOR AUDIT"/>
    <m/>
    <d v="2025-02-15T00:00:00"/>
    <n v="6"/>
    <d v="2024-11-21T00:00:00"/>
    <d v="2025-02-21T00:00:00"/>
    <m/>
    <m/>
    <m/>
    <m/>
    <m/>
    <m/>
    <m/>
    <m/>
    <s v="Y"/>
    <d v="2024-11-20T00:00:00"/>
    <m/>
    <m/>
    <m/>
    <m/>
    <m/>
    <m/>
    <s v="N/A"/>
    <s v="B7-0169"/>
  </r>
  <r>
    <d v="2024-11-18T00:00:00"/>
    <m/>
    <m/>
    <x v="4"/>
    <s v="X24072841870"/>
    <s v="DITO TELECOMMUNITY CORPORATION"/>
    <s v="KALANTAS, PUROK 7, TAGUIG CITY"/>
    <s v="TAGUIG CITY"/>
    <s v="PARAÑAQUE"/>
    <s v="Digging locations with drainage. For drainage diversion"/>
    <s v="W/ ISSUE"/>
    <x v="2"/>
    <s v="SCHED"/>
    <s v="IGL"/>
    <n v="338.404"/>
    <n v="734.43"/>
    <n v="31"/>
    <x v="8"/>
    <n v="2161081.48"/>
    <n v="272131.34999999998"/>
    <m/>
    <n v="0"/>
    <d v="2024-11-11T15:18:00"/>
    <d v="2024-11-17T18:18:00"/>
    <d v="2025-01-23T00:00:00"/>
    <m/>
    <x v="0"/>
    <m/>
    <n v="-45607.637499999997"/>
    <n v="-45613.762499999997"/>
    <n v="0"/>
    <d v="2024-12-06T11:20:28"/>
    <d v="2024-12-16T21:29:08"/>
    <d v="2024-12-31T15:18:00"/>
    <n v="-1228.872454861111"/>
    <n v="0"/>
    <n v="40"/>
    <n v="36"/>
    <n v="27.835051546391753"/>
    <n v="35.257731958762882"/>
    <n v="24.835051546391753"/>
    <n v="55"/>
    <n v="44"/>
    <n v="39"/>
    <d v="1900-02-12T00:00:00"/>
    <d v="1900-02-07T00:00:00"/>
    <m/>
    <m/>
    <m/>
    <m/>
    <m/>
    <m/>
    <m/>
    <m/>
    <s v="No PO generated"/>
    <m/>
    <d v="1900-01-14T00:00:00"/>
    <n v="0"/>
    <m/>
    <m/>
    <m/>
    <m/>
    <m/>
    <m/>
    <m/>
    <m/>
    <m/>
    <m/>
    <s v="Y"/>
    <m/>
    <m/>
    <m/>
    <m/>
    <m/>
    <m/>
    <m/>
    <d v="2024-11-20T00:00:00"/>
    <s v="B7-0938, B7-8118, B7-0949, B7-8119, B7-8120, B7-0947, B7-8121, 523080, B7-0946"/>
  </r>
  <r>
    <d v="2024-11-22T00:00:00"/>
    <m/>
    <m/>
    <x v="2"/>
    <s v="R23605089"/>
    <s v="CHAN JULIE TANG,"/>
    <s v="NORTH LUZON, PHILAMLIFE VILL, LAS PINAS CITY"/>
    <s v="LAS PIÑAS CITY"/>
    <s v="PARAÑAQUE"/>
    <m/>
    <m/>
    <x v="0"/>
    <s v="SCHED"/>
    <s v="RRG"/>
    <n v="144.1848"/>
    <n v="198.43"/>
    <n v="0"/>
    <x v="10"/>
    <n v="345112.37"/>
    <n v="116117.1"/>
    <m/>
    <n v="0"/>
    <d v="2024-11-12T16:32:00"/>
    <d v="2024-11-20T09:31:00"/>
    <d v="2024-11-21T00:00:00"/>
    <m/>
    <x v="0"/>
    <m/>
    <n v="-45608.688888888886"/>
    <n v="-45616.396527777775"/>
    <n v="0"/>
    <d v="2024-12-03T21:29:56"/>
    <d v="2024-12-13T08:25:23"/>
    <d v="2025-01-01T16:32:00"/>
    <n v="-1413.0897198480529"/>
    <n v="0"/>
    <n v="26"/>
    <n v="36"/>
    <n v="24.206896551724139"/>
    <n v="30.662068965517239"/>
    <n v="21.206896551724139"/>
    <n v="44"/>
    <n v="35.200000000000003"/>
    <n v="30.200000000000003"/>
    <d v="1900-02-03T04:48:00"/>
    <d v="1900-01-29T04:48:00"/>
    <m/>
    <m/>
    <m/>
    <m/>
    <m/>
    <m/>
    <m/>
    <m/>
    <m/>
    <m/>
    <d v="1900-01-14T00:00:00"/>
    <n v="0"/>
    <m/>
    <m/>
    <m/>
    <m/>
    <m/>
    <m/>
    <m/>
    <m/>
    <m/>
    <m/>
    <s v="Y"/>
    <m/>
    <m/>
    <m/>
    <m/>
    <m/>
    <m/>
    <m/>
    <d v="2024-11-27T00:00:00"/>
    <s v="CW7-1170, CW7-8078, 350025, CV6-0063"/>
  </r>
  <r>
    <d v="2024-12-11T00:00:00"/>
    <m/>
    <m/>
    <x v="4"/>
    <s v="R19938231"/>
    <s v="DEPARTMENT OF TRANSPORTATION"/>
    <s v="LAGUERTA, TUNASAN, MUNTINLUPA"/>
    <s v="MUNTINLUPA CITY"/>
    <s v="PARAÑAQUE"/>
    <m/>
    <m/>
    <x v="3"/>
    <s v="SCHED"/>
    <s v="JMM"/>
    <n v="123.4648"/>
    <n v="162.44999999999999"/>
    <n v="0"/>
    <x v="10"/>
    <n v="248190.54"/>
    <n v="99425.59"/>
    <m/>
    <n v="0"/>
    <d v="2024-11-12T17:08:00"/>
    <d v="2024-11-20T09:57:00"/>
    <d v="2024-11-15T00:00:00"/>
    <m/>
    <x v="0"/>
    <m/>
    <n v="-45608.713888888888"/>
    <n v="-45616.414583333331"/>
    <n v="0"/>
    <d v="2024-12-03T22:05:56"/>
    <d v="2024-12-13T09:01:23"/>
    <d v="2025-01-01T17:08:00"/>
    <n v="-1413.0904944207027"/>
    <n v="0"/>
    <n v="26"/>
    <n v="36"/>
    <n v="24.206896551724139"/>
    <n v="30.662068965517239"/>
    <n v="21.206896551724139"/>
    <n v="44"/>
    <n v="35.200000000000003"/>
    <n v="30.200000000000003"/>
    <d v="1900-02-03T04:48:00"/>
    <d v="1900-01-29T04:48:00"/>
    <m/>
    <m/>
    <m/>
    <m/>
    <m/>
    <m/>
    <m/>
    <m/>
    <m/>
    <m/>
    <d v="1900-01-14T00:00:00"/>
    <n v="0"/>
    <m/>
    <m/>
    <m/>
    <m/>
    <m/>
    <m/>
    <m/>
    <m/>
    <m/>
    <m/>
    <m/>
    <m/>
    <m/>
    <m/>
    <m/>
    <m/>
    <m/>
    <m/>
    <s v="N/A"/>
    <s v="DR1-5135,DR2-5696,DR1-0552,DR25697,DR1-0046"/>
  </r>
  <r>
    <d v="2024-11-27T00:00:00"/>
    <m/>
    <m/>
    <x v="2"/>
    <s v="X24093681665"/>
    <s v="DANIELA MARIE ORCINE NAPILI"/>
    <s v="BLOCK 2, BAMBOO BREEZE RESIDENCES, BACOOR"/>
    <s v="BACOOR CITY"/>
    <s v="DASMA"/>
    <m/>
    <s v="W/O ISSUE"/>
    <x v="4"/>
    <s v="SCHED"/>
    <s v="RRG"/>
    <n v="10.98"/>
    <n v="19.23"/>
    <n v="1.5"/>
    <x v="8"/>
    <n v="31712.560000000001"/>
    <n v="8842.15"/>
    <m/>
    <n v="0"/>
    <d v="2024-11-18T11:01:02"/>
    <d v="2024-11-26T10:54:00"/>
    <d v="2024-11-20T00:00:00"/>
    <m/>
    <x v="0"/>
    <m/>
    <n v="-45614.459050925929"/>
    <n v="-45622.45416666667"/>
    <n v="0"/>
    <d v="2024-12-07T05:35:52"/>
    <d v="2024-12-16T00:57:10"/>
    <d v="2025-01-07T11:01:02"/>
    <n v="-1571.1647006430042"/>
    <n v="0"/>
    <n v="20"/>
    <n v="36"/>
    <n v="21.774193548387096"/>
    <n v="27.58064516129032"/>
    <n v="18.774193548387096"/>
    <n v="40"/>
    <n v="32"/>
    <n v="27"/>
    <d v="1900-01-31T00:00:00"/>
    <d v="1900-01-26T00:00:00"/>
    <m/>
    <m/>
    <m/>
    <m/>
    <m/>
    <m/>
    <m/>
    <m/>
    <m/>
    <m/>
    <d v="1900-01-14T00:00:00"/>
    <n v="0"/>
    <m/>
    <m/>
    <m/>
    <m/>
    <m/>
    <m/>
    <m/>
    <m/>
    <m/>
    <m/>
    <s v="Y"/>
    <m/>
    <m/>
    <m/>
    <m/>
    <m/>
    <m/>
    <m/>
    <s v="N/A"/>
    <s v="CU5-6018, CU6-2053"/>
  </r>
  <r>
    <d v="2024-11-22T00:00:00"/>
    <m/>
    <m/>
    <x v="4"/>
    <s v="X24051847714"/>
    <s v="DITO TELECOMMUNITY CORPORATION"/>
    <s v="BLOCK 5, ENLISTED PERSONNEL VIL 2, TAGUIG CITY"/>
    <s v="TAGUIG CITY"/>
    <s v="PARAÑAQUE"/>
    <s v="with pole location issue; request for joint survey"/>
    <s v="W/O ISSUE"/>
    <x v="1"/>
    <s v="SCHED"/>
    <s v="JMM"/>
    <n v="143.62180000000001"/>
    <n v="279.7"/>
    <n v="31"/>
    <x v="8"/>
    <n v="754908.68"/>
    <n v="115655.3"/>
    <m/>
    <n v="0"/>
    <d v="2024-11-14T14:38:25"/>
    <d v="2024-11-20T06:49:00"/>
    <d v="2024-11-21T00:00:00"/>
    <m/>
    <x v="0"/>
    <m/>
    <n v="-45610.610011574077"/>
    <n v="-45616.28402777778"/>
    <n v="0"/>
    <d v="2024-12-06T11:28:57"/>
    <d v="2024-12-16T02:38:25"/>
    <d v="2025-01-03T14:38:25"/>
    <n v="-1375.5580797141388"/>
    <n v="0"/>
    <n v="28"/>
    <n v="36"/>
    <n v="24.868421052631579"/>
    <n v="31.499999999999996"/>
    <n v="21.868421052631579"/>
    <n v="46"/>
    <n v="36.800000000000004"/>
    <n v="31.800000000000004"/>
    <d v="1900-02-04T19:12:00"/>
    <d v="1900-01-30T19:12:00"/>
    <m/>
    <m/>
    <m/>
    <m/>
    <m/>
    <m/>
    <m/>
    <m/>
    <s v="No PO generated"/>
    <m/>
    <d v="1900-01-14T00:00:00"/>
    <n v="0"/>
    <m/>
    <m/>
    <m/>
    <m/>
    <m/>
    <m/>
    <m/>
    <m/>
    <m/>
    <m/>
    <s v="Y"/>
    <m/>
    <m/>
    <m/>
    <m/>
    <m/>
    <m/>
    <m/>
    <d v="2024-11-27T00:00:00"/>
    <s v="C8-0532, C8-8044, 517915"/>
  </r>
  <r>
    <d v="2024-11-27T00:00:00"/>
    <m/>
    <m/>
    <x v="4"/>
    <s v="X24062083547"/>
    <s v="DITO TELECOMMUNITY CORPORATION"/>
    <s v="M.L. QUEZON, PUROK 3, TAGUIG CITY"/>
    <s v="TAGUIG CITY"/>
    <s v="PARAÑAQUE"/>
    <s v="SSP for re-sched due to ROW issue"/>
    <s v="W/ ISSUE"/>
    <x v="2"/>
    <s v="SCHED"/>
    <s v="IGL"/>
    <n v="40.271299999999997"/>
    <n v="61.37"/>
    <n v="22"/>
    <x v="8"/>
    <n v="270682.98"/>
    <n v="32429.439999999999"/>
    <m/>
    <n v="0"/>
    <d v="2024-11-18T10:36:11"/>
    <d v="2024-11-26T10:43:00"/>
    <d v="2024-11-20T00:00:00"/>
    <m/>
    <x v="0"/>
    <m/>
    <n v="-45614.441793981481"/>
    <n v="-45622.446527777778"/>
    <n v="0"/>
    <d v="2024-12-08T12:39:18"/>
    <d v="2024-12-17T16:24:08"/>
    <d v="2025-01-07T10:36:11"/>
    <n v="-1481.918459248915"/>
    <n v="0"/>
    <n v="23"/>
    <n v="36"/>
    <n v="23.085501858736059"/>
    <n v="29.241635687732341"/>
    <n v="20.085501858736059"/>
    <n v="42"/>
    <n v="33.6"/>
    <n v="28.6"/>
    <d v="1900-02-01T14:24:00"/>
    <d v="1900-01-27T14:24:00"/>
    <m/>
    <m/>
    <m/>
    <m/>
    <m/>
    <m/>
    <m/>
    <m/>
    <m/>
    <m/>
    <d v="1900-01-14T00:00:00"/>
    <n v="0"/>
    <m/>
    <m/>
    <m/>
    <m/>
    <m/>
    <m/>
    <m/>
    <m/>
    <m/>
    <m/>
    <s v="Y"/>
    <m/>
    <m/>
    <m/>
    <m/>
    <m/>
    <m/>
    <m/>
    <d v="2024-11-28T00:00:00"/>
    <s v="086142, DY2-8053, 522520"/>
  </r>
  <r>
    <d v="2024-11-27T00:00:00"/>
    <m/>
    <s v="Y"/>
    <x v="2"/>
    <s v="X23020656225"/>
    <s v="JENNIFER AUSTRIA BARZAGA"/>
    <s v="LAUAN, AYALA-ALABANG VILL, MUNTINLUPA"/>
    <s v="MUNTINLUPA CITY"/>
    <s v="PARAÑAQUE"/>
    <s v="SSP Dec 26"/>
    <s v="W/O ISSUE"/>
    <x v="2"/>
    <s v="FCOMP"/>
    <s v="JSP"/>
    <n v="421.59"/>
    <n v="599.82000000000005"/>
    <n v="127.5"/>
    <x v="8"/>
    <n v="1822047.68"/>
    <n v="338008.24"/>
    <m/>
    <n v="0"/>
    <d v="2024-11-15T00:00:00"/>
    <d v="2024-11-25T00:00:00"/>
    <d v="2024-12-05T00:00:00"/>
    <m/>
    <x v="28"/>
    <m/>
    <n v="48"/>
    <n v="38"/>
    <n v="-45659.602083333331"/>
    <d v="2024-12-08T00:00:00"/>
    <d v="2024-12-18T00:00:00"/>
    <d v="2025-01-04T00:00:00"/>
    <n v="1.41"/>
    <n v="-830.17"/>
    <n v="40"/>
    <n v="32"/>
    <n v="26"/>
    <n v="32"/>
    <n v="23"/>
    <n v="55"/>
    <n v="44"/>
    <n v="39"/>
    <d v="2025-02-15T00:00:00"/>
    <d v="2025-02-10T00:00:00"/>
    <m/>
    <m/>
    <m/>
    <m/>
    <m/>
    <m/>
    <m/>
    <m/>
    <s v="FOR AUDIT"/>
    <m/>
    <d v="2025-01-17T14:27:00"/>
    <n v="27.397916666668607"/>
    <d v="2025-01-02T00:00:00"/>
    <d v="2025-02-14T00:00:00"/>
    <m/>
    <m/>
    <m/>
    <m/>
    <m/>
    <m/>
    <m/>
    <m/>
    <s v="Y"/>
    <m/>
    <m/>
    <m/>
    <m/>
    <m/>
    <m/>
    <m/>
    <d v="2024-11-28T00:00:00"/>
    <s v="CU9-2353, CU9-8009, CU9-0017, CU9-8010, CU9-0760, CU9-0761, CU9-0492, CU9-8011, 516197, CU9-0491"/>
  </r>
  <r>
    <d v="2024-11-27T00:00:00"/>
    <m/>
    <m/>
    <x v="1"/>
    <s v="X24072541358"/>
    <s v="WILHOME DEVELOPMENT INC."/>
    <s v="MOLINO ROAD, MOLINO III, BACOOR"/>
    <s v="BACOOR CITY"/>
    <s v="DASMA"/>
    <m/>
    <s v="W/O ISSUE"/>
    <x v="3"/>
    <s v="FCOMP"/>
    <s v="JMM"/>
    <n v="93.061999999999998"/>
    <n v="144.6"/>
    <n v="120"/>
    <x v="8"/>
    <n v="833293.59"/>
    <n v="74940.47"/>
    <m/>
    <n v="0"/>
    <d v="2024-11-18T14:11:42"/>
    <d v="2024-11-26T10:55:00"/>
    <d v="2024-11-20T00:00:00"/>
    <m/>
    <x v="29"/>
    <m/>
    <n v="51.904374999998254"/>
    <n v="44.040972222224809"/>
    <n v="-45666.495833333334"/>
    <d v="2024-12-08T00:54:00"/>
    <d v="2024-12-17T00:33:17"/>
    <d v="2025-01-07T14:11:42"/>
    <n v="1.7343048377403263"/>
    <n v="-1037.8749053030303"/>
    <n v="26"/>
    <n v="32"/>
    <n v="22.446043165467625"/>
    <n v="28.431654676258994"/>
    <n v="19.446043165467625"/>
    <n v="44"/>
    <n v="35.200000000000003"/>
    <n v="30.200000000000003"/>
    <d v="2025-02-13T16:42:00"/>
    <d v="2025-02-08T16:42:00"/>
    <m/>
    <m/>
    <m/>
    <m/>
    <m/>
    <m/>
    <m/>
    <m/>
    <s v="FOR AUDIT"/>
    <m/>
    <d v="2025-01-24T11:54:00"/>
    <n v="24.504166666665697"/>
    <d v="2025-01-07T00:00:00"/>
    <d v="2025-02-18T00:00:00"/>
    <m/>
    <m/>
    <m/>
    <m/>
    <m/>
    <m/>
    <m/>
    <m/>
    <s v="Y"/>
    <d v="2025-01-07T00:00:00"/>
    <m/>
    <m/>
    <m/>
    <m/>
    <m/>
    <m/>
    <d v="2024-11-27T00:00:00"/>
    <s v="CS7-8119, 522705"/>
  </r>
  <r>
    <d v="2024-11-22T00:00:00"/>
    <m/>
    <m/>
    <x v="2"/>
    <s v="R23611939"/>
    <s v="DPWH DEO LAS PINAS-MUNTI,"/>
    <s v="MARCOS ALVAREZ, TALON V, LAS PINAS CITY"/>
    <s v="LAS PIÑAS CITY"/>
    <s v="PARAÑAQUE"/>
    <m/>
    <m/>
    <x v="3"/>
    <s v="SCHED"/>
    <s v="JMM"/>
    <n v="80.494100000000003"/>
    <n v="137.02000000000001"/>
    <n v="0"/>
    <x v="10"/>
    <n v="246953.97"/>
    <n v="64820.26"/>
    <m/>
    <n v="0"/>
    <d v="2024-11-14T16:09:45"/>
    <d v="2024-11-20T10:02:00"/>
    <d v="2024-11-20T00:00:00"/>
    <m/>
    <x v="0"/>
    <m/>
    <n v="-45610.673437500001"/>
    <n v="-45616.418055555558"/>
    <n v="0"/>
    <d v="2024-12-05T21:07:41"/>
    <d v="2024-12-15T08:03:08"/>
    <d v="2025-01-03T16:09:45"/>
    <n v="-1413.1512069310897"/>
    <n v="0"/>
    <n v="26"/>
    <n v="36"/>
    <n v="24.206896551724139"/>
    <n v="30.662068965517239"/>
    <n v="21.206896551724139"/>
    <n v="44"/>
    <n v="35.200000000000003"/>
    <n v="30.200000000000003"/>
    <d v="1900-02-03T04:48:00"/>
    <d v="1900-01-29T04:48:00"/>
    <m/>
    <m/>
    <m/>
    <m/>
    <m/>
    <m/>
    <m/>
    <m/>
    <m/>
    <m/>
    <d v="1900-01-14T00:00:00"/>
    <n v="0"/>
    <m/>
    <m/>
    <m/>
    <m/>
    <m/>
    <m/>
    <m/>
    <m/>
    <m/>
    <m/>
    <s v="Y"/>
    <m/>
    <m/>
    <m/>
    <m/>
    <m/>
    <m/>
    <m/>
    <d v="2024-11-27T00:00:00"/>
    <s v="CU8-8102"/>
  </r>
  <r>
    <d v="2024-11-27T00:00:00"/>
    <m/>
    <m/>
    <x v="2"/>
    <s v="X24093771340"/>
    <s v="STO. CRISTO PROPERTIES &amp; HOLDINGS CORP."/>
    <s v="PASCUAL, PARANAQUE GREEN HEIGHTS, PARANAQUE"/>
    <s v="PARAÑAQUE CITY"/>
    <s v="PARAÑAQUE"/>
    <s v="TO TRANSFER ALL ISSUED MATERIALS FROM X24051519918 and transfer all SI"/>
    <s v="W/O ISSUE"/>
    <x v="2"/>
    <s v="FCOMP"/>
    <s v="IGL"/>
    <n v="18.878"/>
    <n v="21.7"/>
    <n v="114"/>
    <x v="8"/>
    <n v="42608.01"/>
    <n v="15202.2"/>
    <m/>
    <n v="0"/>
    <d v="2024-11-15T15:37:30"/>
    <d v="2024-11-25T15:05:00"/>
    <d v="2024-11-21T00:00:00"/>
    <m/>
    <x v="30"/>
    <m/>
    <n v="81.348958333335759"/>
    <n v="71.371527777781012"/>
    <n v="-45693"/>
    <d v="2024-12-02T23:45:38"/>
    <d v="2024-12-11T09:55:48"/>
    <d v="2025-01-04T15:37:30"/>
    <n v="2.9997428385417559"/>
    <n v="-1142.325"/>
    <n v="20"/>
    <n v="32"/>
    <n v="20.33898305084746"/>
    <n v="25.762711864406779"/>
    <n v="17.33898305084746"/>
    <n v="40"/>
    <n v="32"/>
    <n v="27"/>
    <d v="2025-03-09T00:00:00"/>
    <d v="2025-03-04T00:00:00"/>
    <m/>
    <m/>
    <m/>
    <m/>
    <m/>
    <m/>
    <m/>
    <m/>
    <s v="NO COC"/>
    <m/>
    <d v="2025-02-20T00:00:00"/>
    <n v="-415"/>
    <m/>
    <m/>
    <m/>
    <m/>
    <m/>
    <m/>
    <m/>
    <m/>
    <m/>
    <m/>
    <s v="Y"/>
    <d v="2025-02-03T00:00:00"/>
    <m/>
    <m/>
    <m/>
    <m/>
    <m/>
    <m/>
    <s v="N/A"/>
    <s v="CY9-1108, CY9-8039"/>
  </r>
  <r>
    <d v="2024-12-02T00:00:00"/>
    <m/>
    <m/>
    <x v="2"/>
    <s v="X24093502622"/>
    <s v="GINA BAGASIN ECLIPSE"/>
    <s v="KALAYAAN VILL/BALAGBAG, KALAYAAN VILL/BALAGBAG, PASAY CITY"/>
    <s v="PASAY CITY"/>
    <s v="PARAÑAQUE"/>
    <m/>
    <m/>
    <x v="1"/>
    <s v="FCOMP"/>
    <s v="JMM"/>
    <n v="3.4"/>
    <n v="4.67"/>
    <n v="1.5"/>
    <x v="8"/>
    <n v="25036.83"/>
    <n v="2739.2"/>
    <m/>
    <n v="0"/>
    <d v="2024-11-19T09:52:27"/>
    <d v="2024-11-28T07:57:00"/>
    <d v="2024-11-27T00:00:00"/>
    <m/>
    <x v="8"/>
    <m/>
    <n v="83.588576388887304"/>
    <n v="74.66874999999709"/>
    <n v="-45699"/>
    <d v="2024-12-08T04:27:17"/>
    <d v="2024-12-16T23:48:35"/>
    <d v="2025-01-08T09:52:27"/>
    <n v="2.8791620756172294"/>
    <n v="-1142.4749999999999"/>
    <n v="20"/>
    <n v="36"/>
    <n v="21.774193548387096"/>
    <n v="27.58064516129032"/>
    <n v="18.774193548387096"/>
    <n v="40"/>
    <n v="32"/>
    <n v="27"/>
    <d v="2025-03-15T00:00:00"/>
    <d v="2025-03-10T00:00:00"/>
    <m/>
    <m/>
    <m/>
    <m/>
    <m/>
    <m/>
    <m/>
    <m/>
    <s v="FOR AUDIT"/>
    <m/>
    <d v="2025-02-26T00:00:00"/>
    <n v="-6"/>
    <d v="2025-02-11T00:00:00"/>
    <d v="2025-02-20T00:00:00"/>
    <m/>
    <m/>
    <m/>
    <m/>
    <m/>
    <m/>
    <m/>
    <m/>
    <m/>
    <m/>
    <m/>
    <m/>
    <m/>
    <m/>
    <m/>
    <m/>
    <s v="N/A"/>
    <m/>
  </r>
  <r>
    <d v="2024-11-28T00:00:00"/>
    <m/>
    <m/>
    <x v="2"/>
    <s v="X24104029330"/>
    <s v="NOEMI A SUMINISTRADO"/>
    <s v="MILLARES, PUROK 4B, TAGUIG CITY"/>
    <s v="TAGUIG CITY"/>
    <s v="PARAÑAQUE"/>
    <s v="SSP 1/10"/>
    <m/>
    <x v="1"/>
    <s v="PCAN"/>
    <s v="JMM"/>
    <n v="19.560300000000002"/>
    <n v="26.72"/>
    <n v="15"/>
    <x v="8"/>
    <n v="187691.5"/>
    <n v="15751.46"/>
    <m/>
    <n v="0"/>
    <d v="2024-11-20T10:37:53"/>
    <d v="2024-11-28T07:59:00"/>
    <d v="2024-11-27T00:00:00"/>
    <m/>
    <x v="0"/>
    <m/>
    <n v="-45616.442974537036"/>
    <n v="-45624.332638888889"/>
    <n v="0"/>
    <d v="2024-12-09T05:12:43"/>
    <d v="2024-12-18T00:34:01"/>
    <d v="2025-01-09T10:37:53"/>
    <n v="-1571.2330357896089"/>
    <n v="0"/>
    <n v="20"/>
    <n v="36"/>
    <n v="21.774193548387096"/>
    <n v="27.58064516129032"/>
    <n v="18.774193548387096"/>
    <n v="40"/>
    <n v="32"/>
    <n v="27"/>
    <d v="1900-01-31T00:00:00"/>
    <d v="1900-01-26T00:00:00"/>
    <m/>
    <m/>
    <m/>
    <m/>
    <m/>
    <m/>
    <m/>
    <m/>
    <s v="No PO generated"/>
    <m/>
    <d v="1900-01-14T00:00:00"/>
    <n v="0"/>
    <m/>
    <m/>
    <m/>
    <m/>
    <m/>
    <m/>
    <m/>
    <m/>
    <m/>
    <m/>
    <s v="Y"/>
    <m/>
    <m/>
    <m/>
    <m/>
    <m/>
    <m/>
    <m/>
    <s v="N/A"/>
    <s v="A8-5396, 193411, A8-1155"/>
  </r>
  <r>
    <d v="2024-11-28T00:00:00"/>
    <m/>
    <m/>
    <x v="4"/>
    <s v="X24114479034"/>
    <s v="MAKATI DEVELOPMENT CORPORATION"/>
    <s v="NEXUS, ARCA SOUTH, TAGUIG CITY"/>
    <s v="TAGUIG CITY"/>
    <s v="PARAÑAQUE"/>
    <m/>
    <m/>
    <x v="1"/>
    <s v="FCOMP"/>
    <s v="JMM"/>
    <n v="196.50659999999999"/>
    <n v="267.02999999999997"/>
    <n v="0"/>
    <x v="2"/>
    <n v="157531.82999999999"/>
    <n v="158282.26"/>
    <m/>
    <n v="0"/>
    <d v="2024-11-21T09:07:48"/>
    <d v="2024-11-27T14:21:00"/>
    <d v="2024-11-27T00:00:00"/>
    <m/>
    <x v="23"/>
    <m/>
    <n v="71.619583333333139"/>
    <n v="65.402083333334303"/>
    <n v="-45689"/>
    <d v="2024-12-13T05:58:20"/>
    <d v="2024-12-22T21:07:48"/>
    <d v="2025-01-10T09:07:48"/>
    <n v="2.1599556878306818"/>
    <n v="-993.23913043478262"/>
    <n v="28"/>
    <n v="36"/>
    <n v="24.868421052631579"/>
    <n v="31.499999999999996"/>
    <n v="21.868421052631579"/>
    <n v="46"/>
    <n v="36.800000000000004"/>
    <n v="31.800000000000004"/>
    <d v="2025-03-09T19:12:00"/>
    <d v="2025-03-04T19:12:00"/>
    <m/>
    <m/>
    <m/>
    <m/>
    <m/>
    <m/>
    <m/>
    <m/>
    <s v="No PO generated/NO COC"/>
    <m/>
    <d v="2025-02-16T00:00:00"/>
    <n v="-411"/>
    <m/>
    <m/>
    <m/>
    <m/>
    <m/>
    <m/>
    <m/>
    <m/>
    <m/>
    <m/>
    <s v="Y"/>
    <d v="2024-11-27T00:00:00"/>
    <m/>
    <m/>
    <m/>
    <m/>
    <m/>
    <m/>
    <s v="N/A"/>
    <s v="B8-6208"/>
  </r>
  <r>
    <d v="2024-12-02T00:00:00"/>
    <m/>
    <s v="Y"/>
    <x v="1"/>
    <s v="X24020649090"/>
    <s v="MICHAEL CHRISTIAN R. PICHEL"/>
    <s v="M.L. QUEZON, PUROK 3, TAGUIG CITY"/>
    <s v="TAGUIG CITY"/>
    <s v="PARAÑAQUE"/>
    <s v="Completed, for re-trigger of PO and route to FCOMP"/>
    <m/>
    <x v="1"/>
    <s v="FCOMP"/>
    <s v="JMM"/>
    <n v="68.040499999999994"/>
    <n v="115.65"/>
    <n v="49"/>
    <x v="8"/>
    <n v="525931.28"/>
    <n v="54791.3"/>
    <m/>
    <n v="0"/>
    <d v="2024-11-22T15:21:42"/>
    <d v="2024-11-28T08:28:00"/>
    <d v="2024-11-27T00:00:00"/>
    <m/>
    <x v="31"/>
    <m/>
    <n v="50.359930555554456"/>
    <n v="44.647222222221899"/>
    <n v="-45669"/>
    <d v="2024-12-13T20:19:38"/>
    <d v="2024-12-23T07:15:05"/>
    <d v="2025-01-11T15:21:42"/>
    <n v="1.5602969937084179"/>
    <n v="-1037.9318181818182"/>
    <n v="26"/>
    <n v="36"/>
    <n v="24.206896551724139"/>
    <n v="30.662068965517239"/>
    <n v="21.206896551724139"/>
    <n v="44"/>
    <n v="35.200000000000003"/>
    <n v="30.200000000000003"/>
    <d v="2025-02-16T04:48:00"/>
    <d v="2025-02-11T04:48:00"/>
    <m/>
    <m/>
    <m/>
    <m/>
    <m/>
    <m/>
    <m/>
    <m/>
    <s v="NO COC"/>
    <m/>
    <d v="2025-01-27T00:00:00"/>
    <n v="-391"/>
    <m/>
    <m/>
    <m/>
    <m/>
    <m/>
    <m/>
    <m/>
    <m/>
    <m/>
    <m/>
    <m/>
    <m/>
    <m/>
    <m/>
    <m/>
    <m/>
    <m/>
    <m/>
    <d v="2024-12-19T00:00:00"/>
    <s v="520809,DY2-8042"/>
  </r>
  <r>
    <d v="2024-12-02T00:00:00"/>
    <m/>
    <m/>
    <x v="2"/>
    <s v="X24072851053"/>
    <s v="DIOSA BELLE SANTILLANOSA CRUCERO"/>
    <s v=" BLOCK 27, PUROK 3, TAGUIG CITY"/>
    <s v="TAGUIG CITY"/>
    <s v="PARAÑAQUE"/>
    <m/>
    <m/>
    <x v="1"/>
    <s v="SCHED"/>
    <s v="JMM"/>
    <n v="9.8994999999999997"/>
    <n v="13.55"/>
    <n v="1.5"/>
    <x v="8"/>
    <n v="28231.84"/>
    <n v="7971.81"/>
    <m/>
    <n v="0"/>
    <d v="2024-11-25T17:24:39"/>
    <d v="2024-11-29T12:51:00"/>
    <d v="2024-11-27T00:00:00"/>
    <m/>
    <x v="0"/>
    <m/>
    <n v="-45621.725451388891"/>
    <n v="-45625.535416666666"/>
    <n v="0"/>
    <d v="2024-12-14T11:59:29"/>
    <d v="2024-12-23T07:20:47"/>
    <d v="2025-01-14T17:24:39"/>
    <n v="-1571.4149877700618"/>
    <n v="0"/>
    <n v="20"/>
    <n v="36"/>
    <n v="21.774193548387096"/>
    <n v="27.58064516129032"/>
    <n v="18.774193548387096"/>
    <n v="40"/>
    <n v="32"/>
    <n v="27"/>
    <d v="1900-01-31T00:00:00"/>
    <d v="1900-01-26T00:00:00"/>
    <m/>
    <m/>
    <m/>
    <m/>
    <m/>
    <m/>
    <m/>
    <m/>
    <s v="No PO generated"/>
    <m/>
    <d v="1900-01-14T00:00:00"/>
    <n v="0"/>
    <m/>
    <m/>
    <m/>
    <m/>
    <m/>
    <m/>
    <m/>
    <m/>
    <m/>
    <m/>
    <m/>
    <m/>
    <m/>
    <m/>
    <m/>
    <m/>
    <m/>
    <m/>
    <s v="N/A"/>
    <s v="A7-0928"/>
  </r>
  <r>
    <d v="2024-11-28T00:00:00"/>
    <m/>
    <m/>
    <x v="2"/>
    <s v="X24093707345"/>
    <s v="CITY GOVERNMENT OF TAGUIG"/>
    <s v="MAGSAYSAY, ZONE 6, TAGUIG CITY"/>
    <s v="TAGUIG CITY"/>
    <s v="PARAÑAQUE"/>
    <s v="need to complete conjunct ECProject"/>
    <s v="W/ ISSUE"/>
    <x v="1"/>
    <s v="FCOMP"/>
    <s v="JMM"/>
    <n v="83.854299999999995"/>
    <n v="114.4"/>
    <n v="157"/>
    <x v="8"/>
    <n v="715296.24"/>
    <n v="67525.75"/>
    <m/>
    <n v="0"/>
    <d v="2024-11-21T12:51:09"/>
    <d v="2024-11-28T08:13:00"/>
    <d v="2024-11-27T00:00:00"/>
    <m/>
    <x v="32"/>
    <m/>
    <n v="65.464479166665114"/>
    <n v="58.65763888888614"/>
    <n v="-45683"/>
    <d v="2024-12-10T23:33:27"/>
    <d v="2024-12-19T23:12:44"/>
    <d v="2025-01-10T12:51:09"/>
    <n v="2.1873948567707813"/>
    <n v="-1038.25"/>
    <n v="26"/>
    <n v="32"/>
    <n v="22.446043165467625"/>
    <n v="28.431654676258994"/>
    <n v="19.446043165467625"/>
    <n v="44"/>
    <n v="35.200000000000003"/>
    <n v="30.200000000000003"/>
    <d v="2025-03-02T04:48:00"/>
    <d v="2025-02-25T04:48:00"/>
    <m/>
    <m/>
    <m/>
    <m/>
    <m/>
    <m/>
    <m/>
    <m/>
    <s v="NO COC"/>
    <m/>
    <d v="2025-02-10T00:00:00"/>
    <n v="-405"/>
    <m/>
    <m/>
    <m/>
    <m/>
    <m/>
    <m/>
    <m/>
    <m/>
    <m/>
    <m/>
    <s v="Y"/>
    <d v="2025-01-22T00:00:00"/>
    <m/>
    <m/>
    <m/>
    <m/>
    <m/>
    <m/>
    <d v="2024-11-28T00:00:00"/>
    <s v="B8-0701, 523895"/>
  </r>
  <r>
    <d v="2024-11-28T00:00:00"/>
    <m/>
    <m/>
    <x v="1"/>
    <s v="X24073004630"/>
    <s v="PHILIPPINE SEVEN CORPORATION"/>
    <s v="UMALI, POBLACION, MUNTINLUPA"/>
    <s v="MUNTINLUPA CITY"/>
    <s v="PARAÑAQUE"/>
    <m/>
    <m/>
    <x v="3"/>
    <s v="FCOMP"/>
    <s v="JMM"/>
    <n v="45.667000000000002"/>
    <n v="73.42"/>
    <n v="44"/>
    <x v="8"/>
    <n v="381529.43"/>
    <n v="36774.449999999997"/>
    <m/>
    <n v="0"/>
    <d v="2024-11-22T10:57:32"/>
    <d v="2024-11-27T10:06:00"/>
    <d v="2024-11-27T00:00:00"/>
    <m/>
    <x v="33"/>
    <m/>
    <n v="45.193379629628907"/>
    <n v="40.229166666671517"/>
    <n v="-45663.65"/>
    <d v="2024-12-12T13:00:39"/>
    <d v="2024-12-21T16:45:29"/>
    <d v="2025-01-11T10:57:32"/>
    <n v="1.4682390241992966"/>
    <n v="-1087.229761904762"/>
    <n v="23"/>
    <n v="36"/>
    <n v="23.085501858736059"/>
    <n v="29.241635687732341"/>
    <n v="20.085501858736059"/>
    <n v="42"/>
    <n v="33.6"/>
    <n v="28.6"/>
    <d v="2025-02-09T06:00:00"/>
    <d v="2025-02-04T06:00:00"/>
    <m/>
    <m/>
    <m/>
    <m/>
    <m/>
    <m/>
    <m/>
    <m/>
    <s v="NO COC"/>
    <m/>
    <d v="2025-01-21T15:36:00"/>
    <n v="-385.65000000000146"/>
    <m/>
    <m/>
    <m/>
    <m/>
    <m/>
    <m/>
    <m/>
    <m/>
    <m/>
    <m/>
    <s v="Y"/>
    <m/>
    <m/>
    <m/>
    <m/>
    <m/>
    <m/>
    <m/>
    <d v="2024-11-28T00:00:00"/>
    <s v="DR2-8020, 523167"/>
  </r>
  <r>
    <d v="2024-11-28T00:00:00"/>
    <m/>
    <m/>
    <x v="1"/>
    <s v="X24114483448"/>
    <s v="MILLENIUM ERECTORS CORPORATION"/>
    <s v="ALABANG-ZAPOTE, ALMANZA I, LAS PINAS CITY"/>
    <s v="LAS PIÑAS CITY"/>
    <s v="PARAÑAQUE"/>
    <m/>
    <m/>
    <x v="3"/>
    <s v="SCHED"/>
    <s v="JMM"/>
    <n v="35.07"/>
    <n v="47.82"/>
    <n v="0"/>
    <x v="2"/>
    <n v="36680.51"/>
    <n v="28249.06"/>
    <m/>
    <n v="0"/>
    <d v="2024-11-22T15:37:55"/>
    <d v="2024-11-27T10:08:00"/>
    <d v="2024-11-27T00:00:00"/>
    <m/>
    <x v="0"/>
    <m/>
    <n v="-45618.651331018518"/>
    <n v="-45623.422222222223"/>
    <n v="0"/>
    <d v="2024-12-11T10:12:45"/>
    <d v="2024-12-20T05:34:03"/>
    <d v="2025-01-11T15:37:55"/>
    <n v="-1571.3091014017489"/>
    <n v="0"/>
    <n v="20"/>
    <n v="36"/>
    <n v="21.774193548387096"/>
    <n v="27.58064516129032"/>
    <n v="18.774193548387096"/>
    <n v="40"/>
    <n v="32"/>
    <n v="27"/>
    <d v="1900-01-31T00:00:00"/>
    <d v="1900-01-26T00:00:00"/>
    <m/>
    <m/>
    <m/>
    <m/>
    <m/>
    <m/>
    <m/>
    <m/>
    <m/>
    <m/>
    <d v="1900-01-14T00:00:00"/>
    <n v="0"/>
    <m/>
    <m/>
    <m/>
    <m/>
    <m/>
    <m/>
    <m/>
    <m/>
    <m/>
    <m/>
    <s v="Y"/>
    <d v="2025-01-14T00:00:00"/>
    <m/>
    <m/>
    <m/>
    <m/>
    <m/>
    <m/>
    <s v="N/A"/>
    <s v="CV9-5929"/>
  </r>
  <r>
    <d v="2024-12-02T00:00:00"/>
    <m/>
    <m/>
    <x v="2"/>
    <s v="X24051781334"/>
    <s v="MARIA NATALIA ORIG PALMA"/>
    <s v="BELMONT, ALABANG 400 VILLAGE, MUNTINLUPA"/>
    <s v="MUNTINLUPA CITY"/>
    <s v="PARAÑAQUE"/>
    <m/>
    <m/>
    <x v="3"/>
    <s v="SCHED"/>
    <s v="JMM"/>
    <n v="56.18"/>
    <n v="86.17"/>
    <n v="106"/>
    <x v="5"/>
    <n v="386016.72"/>
    <n v="45264.51"/>
    <m/>
    <n v="0"/>
    <d v="2024-11-25T08:37:38"/>
    <d v="2024-11-29T12:45:00"/>
    <d v="2024-11-27T00:00:00"/>
    <m/>
    <x v="0"/>
    <m/>
    <n v="-45621.359467592592"/>
    <n v="-45625.53125"/>
    <n v="0"/>
    <d v="2024-12-13T20:06:49"/>
    <d v="2024-12-22T13:34:36"/>
    <d v="2025-01-14T08:37:38"/>
    <n v="-1593.0284488004477"/>
    <n v="0"/>
    <n v="23"/>
    <n v="32"/>
    <n v="21.478599221789885"/>
    <n v="27.206225680933851"/>
    <n v="18.478599221789885"/>
    <n v="42"/>
    <n v="33.6"/>
    <n v="28.6"/>
    <d v="1900-02-01T14:24:00"/>
    <d v="1900-01-27T14:24:00"/>
    <m/>
    <m/>
    <m/>
    <m/>
    <m/>
    <m/>
    <m/>
    <m/>
    <m/>
    <m/>
    <d v="1900-01-14T00:00:00"/>
    <n v="0"/>
    <m/>
    <m/>
    <m/>
    <m/>
    <m/>
    <m/>
    <m/>
    <m/>
    <m/>
    <m/>
    <m/>
    <m/>
    <m/>
    <m/>
    <m/>
    <m/>
    <m/>
    <m/>
    <d v="2024-12-23T00:00:00"/>
    <s v="DV1-0795,DV1-8050,TLN-521987,"/>
  </r>
  <r>
    <d v="2024-12-02T00:00:00"/>
    <m/>
    <s v="Y"/>
    <x v="1"/>
    <s v="X24062171822"/>
    <s v="M.H. BURTON REPAIR SERVICES, INC."/>
    <s v="BLOCK 5, MAGDIWANG SUBD, BACOOR"/>
    <s v="BACOOR CITY"/>
    <s v="DASMA"/>
    <m/>
    <m/>
    <x v="3"/>
    <s v="SCHED"/>
    <s v="JMM"/>
    <n v="240.51830000000001"/>
    <n v="347.48"/>
    <n v="120"/>
    <x v="8"/>
    <n v="1126618.3500000001"/>
    <n v="193724.47"/>
    <m/>
    <n v="0"/>
    <d v="2024-11-22T15:23:47"/>
    <d v="2024-11-28T08:31:00"/>
    <d v="2024-11-27T00:00:00"/>
    <m/>
    <x v="0"/>
    <m/>
    <n v="-45618.641516203701"/>
    <n v="-45624.354861111111"/>
    <n v="0"/>
    <d v="2024-12-13T04:06:08"/>
    <d v="2024-12-22T10:41:26"/>
    <d v="2025-01-11T15:23:47"/>
    <n v="-1454.0941983289929"/>
    <n v="0"/>
    <n v="30"/>
    <n v="32"/>
    <n v="23.52941176470588"/>
    <n v="29.803921568627448"/>
    <n v="20.52941176470588"/>
    <n v="48"/>
    <n v="38.400000000000006"/>
    <n v="33.400000000000006"/>
    <d v="1900-02-06T09:36:00"/>
    <d v="1900-02-01T09:36:00"/>
    <m/>
    <m/>
    <m/>
    <m/>
    <m/>
    <m/>
    <m/>
    <m/>
    <m/>
    <m/>
    <d v="1900-01-14T00:00:00"/>
    <n v="0"/>
    <m/>
    <m/>
    <m/>
    <m/>
    <m/>
    <m/>
    <m/>
    <m/>
    <m/>
    <m/>
    <m/>
    <m/>
    <m/>
    <m/>
    <m/>
    <m/>
    <m/>
    <m/>
    <d v="2024-12-23T00:00:00"/>
    <s v="CT7-2306,CT7-8090,CT7-2218,CT7-8091,CT7-8092,TLN-434054"/>
  </r>
  <r>
    <d v="2024-11-28T00:00:00"/>
    <m/>
    <m/>
    <x v="1"/>
    <s v="X24103919469"/>
    <s v="NOR BARQUILLA CUBERO"/>
    <s v="GARNET, SEVERINA DIAMOND SUBD, PARANAQUE"/>
    <s v="PARAÑAQUE CITY"/>
    <s v="PARAÑAQUE"/>
    <m/>
    <m/>
    <x v="3"/>
    <s v="FCOMP"/>
    <s v="JMM"/>
    <n v="83.165199999999999"/>
    <n v="120.12"/>
    <n v="66"/>
    <x v="8"/>
    <n v="372611.01"/>
    <n v="66970.92"/>
    <m/>
    <n v="0"/>
    <d v="2024-11-19T17:57:45"/>
    <d v="2024-11-27T10:01:00"/>
    <d v="2024-11-27T00:00:00"/>
    <m/>
    <x v="34"/>
    <m/>
    <n v="68.251562500001455"/>
    <n v="60.582638888889051"/>
    <n v="-45684"/>
    <d v="2024-12-10T02:14:39"/>
    <d v="2024-12-19T07:39:10"/>
    <d v="2025-01-08T17:57:45"/>
    <n v="2.192697256787377"/>
    <n v="-1038.2727272727273"/>
    <n v="26"/>
    <n v="34"/>
    <n v="23.345070422535212"/>
    <n v="29.570422535211268"/>
    <n v="20.345070422535212"/>
    <n v="44"/>
    <n v="35.200000000000003"/>
    <n v="30.200000000000003"/>
    <d v="2025-03-03T04:48:00"/>
    <d v="2025-02-26T04:48:00"/>
    <m/>
    <m/>
    <m/>
    <m/>
    <m/>
    <m/>
    <m/>
    <m/>
    <s v="NO COC"/>
    <m/>
    <d v="2025-02-11T00:00:00"/>
    <n v="-406"/>
    <m/>
    <m/>
    <m/>
    <m/>
    <m/>
    <m/>
    <m/>
    <m/>
    <m/>
    <m/>
    <s v="Y"/>
    <d v="2025-01-23T00:00:00"/>
    <m/>
    <m/>
    <m/>
    <m/>
    <m/>
    <m/>
    <d v="2024-11-28T00:00:00"/>
    <s v="DX1-5182, DX1-8096, 526080"/>
  </r>
  <r>
    <d v="2024-11-29T00:00:00"/>
    <m/>
    <m/>
    <x v="2"/>
    <s v="X24104049812"/>
    <s v="RACHEL RIVERA BACALLA"/>
    <s v="ILANG-ILANG, DON JUAN BAYVIEW SUBD, MUNTINLUPA"/>
    <s v="MUNTINLUPA CITY"/>
    <s v="PARAÑAQUE"/>
    <m/>
    <m/>
    <x v="3"/>
    <s v="FCOMP"/>
    <s v="JMM"/>
    <n v="50.061700000000002"/>
    <n v="74.819999999999993"/>
    <n v="70"/>
    <x v="8"/>
    <n v="363185.56"/>
    <n v="40313.42"/>
    <m/>
    <n v="0"/>
    <d v="2024-11-22T12:54:13"/>
    <d v="2024-11-28T08:33:00"/>
    <d v="2024-11-27T00:00:00"/>
    <m/>
    <x v="25"/>
    <m/>
    <n v="76.462349537039699"/>
    <n v="70.64375000000291"/>
    <n v="-45695"/>
    <d v="2024-12-11T20:06:46"/>
    <d v="2024-12-20T18:50:07"/>
    <d v="2025-01-11T12:54:13"/>
    <n v="2.5715598373710282"/>
    <n v="-1087.9761904761904"/>
    <n v="23"/>
    <n v="34"/>
    <n v="22.300380228136884"/>
    <n v="28.247148288973385"/>
    <n v="19.300380228136884"/>
    <n v="42"/>
    <n v="33.6"/>
    <n v="28.6"/>
    <d v="2025-03-12T14:24:00"/>
    <d v="2025-03-07T14:24:00"/>
    <m/>
    <m/>
    <m/>
    <m/>
    <m/>
    <m/>
    <m/>
    <m/>
    <s v="NO COC"/>
    <m/>
    <d v="2025-02-22T00:00:00"/>
    <n v="-417"/>
    <m/>
    <m/>
    <m/>
    <m/>
    <m/>
    <m/>
    <m/>
    <m/>
    <m/>
    <m/>
    <s v="Y"/>
    <d v="2025-02-04T00:00:00"/>
    <m/>
    <m/>
    <m/>
    <m/>
    <m/>
    <m/>
    <d v="2024-11-29T00:00:00"/>
    <s v="DX1-0290, 523391, DX2-8015"/>
  </r>
  <r>
    <d v="2024-12-02T00:00:00"/>
    <m/>
    <m/>
    <x v="2"/>
    <s v="X24104113256"/>
    <s v="MA. VICTORIA DE LUNA DUQUE"/>
    <s v="OSORIO COMPOUND, SITIO DE ASIS, PARANAQUE"/>
    <s v="PARAÑAQUE CITY"/>
    <s v="PARAÑAQUE"/>
    <m/>
    <m/>
    <x v="3"/>
    <s v="FCOMP"/>
    <s v="JMM"/>
    <n v="61.139499999999998"/>
    <n v="88.93"/>
    <n v="31.5"/>
    <x v="8"/>
    <n v="318987.77"/>
    <n v="49234.13"/>
    <m/>
    <n v="0"/>
    <d v="2024-11-20T16:48:31"/>
    <d v="2024-11-28T08:01:00"/>
    <d v="2024-11-27T00:00:00"/>
    <m/>
    <x v="35"/>
    <m/>
    <n v="49.911446759258979"/>
    <n v="42.277777777781012"/>
    <n v="-45666.611805555556"/>
    <d v="2024-12-10T18:51:38"/>
    <d v="2024-12-19T22:36:28"/>
    <d v="2025-01-09T16:48:31"/>
    <n v="1.621519224425201"/>
    <n v="-1087.300281084656"/>
    <n v="23"/>
    <n v="36"/>
    <n v="23.085501858736059"/>
    <n v="29.241635687732341"/>
    <n v="20.085501858736059"/>
    <n v="42"/>
    <n v="33.6"/>
    <n v="28.6"/>
    <d v="2025-02-12T05:05:00"/>
    <d v="2025-02-07T05:05:00"/>
    <m/>
    <m/>
    <m/>
    <m/>
    <m/>
    <m/>
    <m/>
    <m/>
    <s v="NO COC"/>
    <m/>
    <d v="2025-01-24T14:41:00"/>
    <n v="-388.6118055555562"/>
    <m/>
    <m/>
    <m/>
    <m/>
    <m/>
    <m/>
    <m/>
    <m/>
    <m/>
    <m/>
    <m/>
    <m/>
    <m/>
    <m/>
    <m/>
    <m/>
    <m/>
    <m/>
    <d v="2024-12-21T00:00:00"/>
    <s v="DZI-0289,DZI-8040,TLN-526312"/>
  </r>
  <r>
    <d v="2024-12-02T00:00:00"/>
    <m/>
    <m/>
    <x v="4"/>
    <s v="X23093531555"/>
    <s v="EDOTCO TOWERS, INC."/>
    <s v="PROGRESSIVE, PROGRESSIVE VILLAGE 15, BACOOR"/>
    <s v="BACOOR CITY"/>
    <s v="DASMA"/>
    <m/>
    <m/>
    <x v="4"/>
    <s v="FCOMP"/>
    <s v="RRG"/>
    <n v="36.013800000000003"/>
    <n v="49.15"/>
    <n v="23"/>
    <x v="5"/>
    <n v="219117.43"/>
    <n v="29025.16"/>
    <m/>
    <n v="0"/>
    <d v="2024-11-20T10:11:26"/>
    <d v="2024-11-28T08:08:00"/>
    <d v="2024-11-28T00:00:00"/>
    <m/>
    <x v="1"/>
    <m/>
    <n v="70.575393518520286"/>
    <n v="62.661111111112405"/>
    <n v="-45687"/>
    <d v="2024-12-09T04:46:16"/>
    <d v="2024-12-18T00:07:34"/>
    <d v="2025-01-09T10:11:26"/>
    <n v="2.430930221193476"/>
    <n v="-1142.175"/>
    <n v="20"/>
    <n v="36"/>
    <n v="21.774193548387096"/>
    <n v="27.58064516129032"/>
    <n v="18.774193548387096"/>
    <n v="40"/>
    <n v="32"/>
    <n v="27"/>
    <d v="2025-03-03T00:00:00"/>
    <d v="2025-02-26T00:00:00"/>
    <m/>
    <m/>
    <m/>
    <m/>
    <m/>
    <m/>
    <m/>
    <m/>
    <s v="NO COC"/>
    <m/>
    <d v="2025-02-14T00:00:00"/>
    <n v="-409"/>
    <m/>
    <m/>
    <m/>
    <m/>
    <m/>
    <m/>
    <m/>
    <m/>
    <m/>
    <m/>
    <m/>
    <m/>
    <m/>
    <m/>
    <m/>
    <m/>
    <m/>
    <m/>
    <d v="2024-12-23T00:00:00"/>
    <s v="TLN-870204"/>
  </r>
  <r>
    <d v="2024-12-02T00:00:00"/>
    <m/>
    <m/>
    <x v="2"/>
    <s v="X24072816217"/>
    <s v="JERICK MARTIN C. FELIZARDO"/>
    <s v="PALO-ALTO SUBD, PALO-ALTO SUBD, BACOOR"/>
    <s v="BACOOR CITY"/>
    <s v="DASMA"/>
    <m/>
    <m/>
    <x v="4"/>
    <s v="SCHED"/>
    <s v="RRG"/>
    <n v="73.384399999999999"/>
    <n v="116.82"/>
    <n v="16.5"/>
    <x v="8"/>
    <n v="409734.62"/>
    <n v="58717.23"/>
    <m/>
    <n v="0"/>
    <d v="2024-11-22T18:56:21"/>
    <d v="2024-11-28T08:35:00"/>
    <d v="2024-11-28T00:00:00"/>
    <m/>
    <x v="0"/>
    <m/>
    <n v="-45618.789131944446"/>
    <n v="-45624.357638888891"/>
    <n v="0"/>
    <d v="2024-12-13T23:54:17"/>
    <d v="2024-12-23T10:49:44"/>
    <d v="2025-01-11T18:56:21"/>
    <n v="-1413.402654729048"/>
    <n v="0"/>
    <n v="26"/>
    <n v="36"/>
    <n v="24.206896551724139"/>
    <n v="30.662068965517239"/>
    <n v="21.206896551724139"/>
    <n v="44"/>
    <n v="35.200000000000003"/>
    <n v="30.200000000000003"/>
    <d v="1900-02-03T04:48:00"/>
    <d v="1900-01-29T04:48:00"/>
    <m/>
    <m/>
    <m/>
    <m/>
    <m/>
    <m/>
    <m/>
    <m/>
    <s v="No PO generated"/>
    <m/>
    <d v="1900-01-14T00:00:00"/>
    <n v="0"/>
    <m/>
    <m/>
    <m/>
    <m/>
    <m/>
    <m/>
    <m/>
    <m/>
    <m/>
    <m/>
    <m/>
    <m/>
    <m/>
    <m/>
    <m/>
    <m/>
    <m/>
    <m/>
    <d v="2024-12-19T00:00:00"/>
    <s v="CW5-8034,047134,CW5-0290"/>
  </r>
  <r>
    <d v="2024-11-28T00:00:00"/>
    <m/>
    <m/>
    <x v="2"/>
    <s v="X24083141279"/>
    <s v="VILLA FER-FLOR STA. TERESA NEIGHBORHOOD ASSN. INC"/>
    <s v="BLOCK 2, VILLA FER FLOR SUBDIVISION, TAGUIG CITY"/>
    <s v="TAGUIG CITY"/>
    <s v="PARAÑAQUE"/>
    <m/>
    <m/>
    <x v="4"/>
    <s v="SCHED"/>
    <s v="RRG"/>
    <n v="226.0445"/>
    <n v="352.87"/>
    <n v="30"/>
    <x v="8"/>
    <n v="1063185.5900000001"/>
    <n v="182029.11"/>
    <m/>
    <n v="0"/>
    <d v="2024-11-21T13:51:31"/>
    <d v="2024-11-28T08:15:00"/>
    <d v="2024-11-28T00:00:00"/>
    <m/>
    <x v="0"/>
    <m/>
    <n v="-45617.57744212963"/>
    <n v="-45624.34375"/>
    <n v="0"/>
    <d v="2024-12-14T01:10:46"/>
    <d v="2024-12-23T20:11:54"/>
    <d v="2025-01-10T13:51:31"/>
    <n v="-1343.184224684928"/>
    <n v="0"/>
    <n v="30"/>
    <n v="36"/>
    <n v="25.471698113207545"/>
    <n v="32.264150943396224"/>
    <n v="22.471698113207545"/>
    <n v="48"/>
    <n v="38.400000000000006"/>
    <n v="33.400000000000006"/>
    <d v="1900-02-06T09:36:00"/>
    <d v="1900-02-01T09:36:00"/>
    <m/>
    <m/>
    <m/>
    <m/>
    <m/>
    <m/>
    <m/>
    <m/>
    <s v="No PO generated"/>
    <m/>
    <d v="1900-01-14T00:00:00"/>
    <n v="0"/>
    <m/>
    <m/>
    <m/>
    <m/>
    <m/>
    <m/>
    <m/>
    <m/>
    <m/>
    <m/>
    <s v="Y"/>
    <m/>
    <m/>
    <m/>
    <m/>
    <m/>
    <m/>
    <m/>
    <d v="2024-11-28T00:00:00"/>
    <s v="DY2-8080, DY2-8081, DY2-8082, 523344, DY2-8083, DY2-8089, DY2-8090, DY2-8103, DY2-8086, DY2-8091"/>
  </r>
  <r>
    <d v="2024-11-28T00:00:00"/>
    <m/>
    <m/>
    <x v="2"/>
    <s v="X24083140896"/>
    <s v="VILLA FER-FLOR STA. TERESA NEIGHBORHOOD ASSN. INC"/>
    <s v="BLOCK 1, VILLA FER FLOR SUBDIVISION, TAGUIG CITY"/>
    <s v="TAGUIG CITY"/>
    <s v="PARAÑAQUE"/>
    <m/>
    <m/>
    <x v="4"/>
    <s v="SCHED"/>
    <s v="RRG"/>
    <n v="498.16230000000002"/>
    <n v="779"/>
    <n v="22.5"/>
    <x v="8"/>
    <n v="2213932.19"/>
    <n v="401159.44"/>
    <m/>
    <n v="0"/>
    <d v="2024-11-22T10:44:57"/>
    <d v="2024-11-28T08:21:00"/>
    <d v="2024-11-28T00:00:00"/>
    <m/>
    <x v="0"/>
    <m/>
    <n v="-45618.447881944441"/>
    <n v="-45624.347916666666"/>
    <n v="0"/>
    <d v="2024-12-17T06:47:25"/>
    <d v="2024-12-27T16:56:05"/>
    <d v="2025-01-11T10:44:57"/>
    <n v="-1229.1637345968363"/>
    <n v="0"/>
    <n v="40"/>
    <n v="36"/>
    <n v="27.835051546391753"/>
    <n v="35.257731958762882"/>
    <n v="24.835051546391753"/>
    <n v="55"/>
    <n v="44"/>
    <n v="39"/>
    <d v="1900-02-12T00:00:00"/>
    <d v="1900-02-07T00:00:00"/>
    <m/>
    <m/>
    <m/>
    <m/>
    <m/>
    <m/>
    <m/>
    <m/>
    <s v="No PO generated"/>
    <m/>
    <d v="1900-01-14T00:00:00"/>
    <n v="0"/>
    <m/>
    <m/>
    <m/>
    <m/>
    <m/>
    <m/>
    <m/>
    <m/>
    <m/>
    <m/>
    <s v="Y"/>
    <m/>
    <m/>
    <m/>
    <m/>
    <m/>
    <m/>
    <m/>
    <d v="2024-11-28T00:00:00"/>
    <s v="DY2-5309, DY2-5310, DY2-8075, DY2-8076, DY2-8077, DY2-8078, DY2-8080, DY2-8081, DY2-8084, DY2-8085, TLN-523342, DY2-8086, DY2-8087, DY2-8088, DY2-8101, DY2-8102"/>
  </r>
  <r>
    <d v="2024-11-28T00:00:00"/>
    <m/>
    <m/>
    <x v="2"/>
    <s v="X24093488253"/>
    <s v="VILLA FER-FLOR STA. TERESA NEIGHBORHOOD ASSN. INC"/>
    <s v="BLOCK 1, VILLA FER FLOR SUBDIVISION, TAGUIG CITY"/>
    <s v="TAGUIG CITY"/>
    <s v="PARAÑAQUE"/>
    <m/>
    <m/>
    <x v="4"/>
    <s v="SCHED"/>
    <s v="RRG"/>
    <n v="225.35890000000001"/>
    <n v="356.77"/>
    <n v="22.5"/>
    <x v="8"/>
    <n v="1106973.1000000001"/>
    <n v="181099.46"/>
    <m/>
    <n v="0"/>
    <d v="2024-11-21T13:53:00"/>
    <d v="2024-11-28T08:17:00"/>
    <d v="2024-11-28T00:00:00"/>
    <m/>
    <x v="0"/>
    <m/>
    <n v="-45617.578472222223"/>
    <n v="-45624.345138888886"/>
    <n v="0"/>
    <d v="2024-12-14T01:12:15"/>
    <d v="2024-12-23T20:13:23"/>
    <d v="2025-01-10T13:53:00"/>
    <n v="-1343.184255015432"/>
    <n v="0"/>
    <n v="30"/>
    <n v="36"/>
    <n v="25.471698113207545"/>
    <n v="32.264150943396224"/>
    <n v="22.471698113207545"/>
    <n v="48"/>
    <n v="38.400000000000006"/>
    <n v="33.400000000000006"/>
    <d v="1900-02-06T09:36:00"/>
    <d v="1900-02-01T09:36:00"/>
    <m/>
    <m/>
    <m/>
    <m/>
    <m/>
    <m/>
    <m/>
    <m/>
    <s v="No PO generated"/>
    <m/>
    <d v="1900-01-14T00:00:00"/>
    <n v="0"/>
    <m/>
    <m/>
    <m/>
    <m/>
    <m/>
    <m/>
    <m/>
    <m/>
    <m/>
    <m/>
    <s v="Y"/>
    <m/>
    <m/>
    <m/>
    <m/>
    <m/>
    <m/>
    <m/>
    <d v="2024-11-28T00:00:00"/>
    <s v="DY2-8077, DY2-8078, 523689, DY2-8094, DY2-8095, DY2-8096, DY2-8097, DY2-8098, DY2-8099, DY2-8100"/>
  </r>
  <r>
    <d v="2024-12-02T00:00:00"/>
    <m/>
    <m/>
    <x v="4"/>
    <s v="X24103880983"/>
    <s v="GLOBE TELECOM, INC."/>
    <s v="BUHAY NA TUBIG, MOLINO III, BACOOR"/>
    <s v="BACOOR CITY"/>
    <s v="DASMA"/>
    <s v="SSP Feb 1, 2025"/>
    <s v="W/O ISSUE"/>
    <x v="4"/>
    <s v="FCOMP"/>
    <s v="RRG"/>
    <n v="26.1465"/>
    <n v="35.799999999999997"/>
    <n v="23"/>
    <x v="8"/>
    <n v="206737.88"/>
    <n v="21055.08"/>
    <m/>
    <n v="0"/>
    <d v="2024-11-20T10:01:47"/>
    <d v="2024-11-28T08:10:00"/>
    <d v="2024-11-28T00:00:00"/>
    <m/>
    <x v="19"/>
    <m/>
    <n v="71.582094907404098"/>
    <n v="63.659722222218988"/>
    <n v="-45688"/>
    <d v="2024-12-09T04:36:37"/>
    <d v="2024-12-17T23:57:55"/>
    <d v="2025-01-09T10:01:47"/>
    <n v="2.4656054912550296"/>
    <n v="-1142.2"/>
    <n v="20"/>
    <n v="36"/>
    <n v="21.774193548387096"/>
    <n v="27.58064516129032"/>
    <n v="18.774193548387096"/>
    <n v="40"/>
    <n v="32"/>
    <n v="27"/>
    <d v="2025-03-04T00:00:00"/>
    <d v="2025-02-27T00:00:00"/>
    <m/>
    <m/>
    <m/>
    <m/>
    <m/>
    <m/>
    <m/>
    <m/>
    <s v="NO COC"/>
    <m/>
    <d v="2025-02-15T00:00:00"/>
    <n v="-410"/>
    <m/>
    <m/>
    <m/>
    <m/>
    <m/>
    <m/>
    <m/>
    <m/>
    <m/>
    <m/>
    <s v="Y"/>
    <d v="2025-01-30T00:00:00"/>
    <m/>
    <m/>
    <m/>
    <m/>
    <m/>
    <m/>
    <s v="N/A"/>
    <s v="TLN-197564"/>
  </r>
  <r>
    <d v="2024-12-12T00:00:00"/>
    <m/>
    <m/>
    <x v="4"/>
    <s v="X24030891625"/>
    <s v="DITO TELECOMMUNITY CORPORATION"/>
    <s v="AMPARO, POBLACION, MUNTINLUPA"/>
    <s v="MUNTINLUPA CITY"/>
    <s v="PARAÑAQUE"/>
    <s v="For completion Jan 31, 2025"/>
    <s v="W/O ISSUE"/>
    <x v="4"/>
    <s v="FCOMP"/>
    <s v="RRG"/>
    <n v="110.9425"/>
    <n v="179.12"/>
    <n v="20"/>
    <x v="8"/>
    <n v="1144190.6200000001"/>
    <n v="89339.7"/>
    <m/>
    <n v="0"/>
    <d v="2024-11-27T18:15:29"/>
    <d v="2024-12-04T09:14:00"/>
    <d v="2024-11-29T00:00:00"/>
    <m/>
    <x v="19"/>
    <m/>
    <n v="64.239247685181908"/>
    <n v="57.615277777775191"/>
    <n v="-45688"/>
    <d v="2024-12-18T23:13:25"/>
    <d v="2024-12-28T10:08:52"/>
    <d v="2025-01-16T18:15:29"/>
    <n v="1.9903185714426019"/>
    <n v="-1038.3636363636363"/>
    <n v="26"/>
    <n v="36"/>
    <n v="24.206896551724139"/>
    <n v="30.662068965517239"/>
    <n v="21.206896551724139"/>
    <n v="44"/>
    <n v="35.200000000000003"/>
    <n v="30.200000000000003"/>
    <d v="2025-03-07T04:48:00"/>
    <d v="2025-03-02T04:48:00"/>
    <m/>
    <m/>
    <m/>
    <m/>
    <m/>
    <m/>
    <m/>
    <m/>
    <s v="NO COC"/>
    <m/>
    <d v="2025-02-15T00:00:00"/>
    <n v="-410"/>
    <m/>
    <m/>
    <m/>
    <m/>
    <m/>
    <m/>
    <m/>
    <m/>
    <m/>
    <m/>
    <s v="Y"/>
    <d v="2025-01-30T00:00:00"/>
    <m/>
    <m/>
    <m/>
    <m/>
    <m/>
    <m/>
    <d v="2024-12-19T00:00:00"/>
    <s v="195632,DR2-5748,DR2-5749,212278"/>
  </r>
  <r>
    <d v="2025-02-27T00:00:00"/>
    <m/>
    <m/>
    <x v="2"/>
    <s v="X24104023531"/>
    <s v="LOWELL L. YU"/>
    <s v="NARRA, AYALA-ALABANG VILL, MUNTINLUPA"/>
    <s v="MUNTINLUPA CITY"/>
    <s v="PARAÑAQUE"/>
    <m/>
    <m/>
    <x v="4"/>
    <s v="FCOMP"/>
    <s v="RRG"/>
    <n v="88.4315"/>
    <n v="116.48"/>
    <n v="156"/>
    <x v="5"/>
    <n v="528318.36"/>
    <n v="71228.03"/>
    <m/>
    <n v="0"/>
    <d v="2024-11-27T10:23:24"/>
    <d v="2024-12-04T09:17:00"/>
    <d v="2024-11-29T00:00:00"/>
    <m/>
    <x v="36"/>
    <m/>
    <n v="72.567083333335177"/>
    <n v="65.613194444442343"/>
    <n v="-45696"/>
    <d v="2024-12-16T21:05:42"/>
    <d v="2024-12-25T20:44:59"/>
    <d v="2025-01-16T10:23:24"/>
    <n v="2.4247174479167284"/>
    <n v="-1038.5454545454545"/>
    <n v="26"/>
    <n v="32"/>
    <n v="22.446043165467625"/>
    <n v="28.431654676258994"/>
    <n v="19.446043165467625"/>
    <n v="44"/>
    <n v="35.200000000000003"/>
    <n v="30.200000000000003"/>
    <d v="2025-03-15T04:48:00"/>
    <d v="2025-03-10T04:48:00"/>
    <m/>
    <m/>
    <m/>
    <m/>
    <m/>
    <m/>
    <m/>
    <m/>
    <s v="No PO generated/ NO COC"/>
    <m/>
    <d v="2025-02-23T00:00:00"/>
    <n v="-418"/>
    <m/>
    <m/>
    <m/>
    <m/>
    <m/>
    <m/>
    <m/>
    <m/>
    <m/>
    <m/>
    <m/>
    <m/>
    <m/>
    <m/>
    <m/>
    <m/>
    <m/>
    <m/>
    <s v="N/A"/>
    <m/>
  </r>
  <r>
    <d v="2024-12-02T00:00:00"/>
    <m/>
    <m/>
    <x v="2"/>
    <s v="R23701790"/>
    <s v="DAGUMANPAN, CORNELIA A."/>
    <s v="STA. MARIA, SAN ANTONIO VALLEY 1, PARANAQUE"/>
    <s v="PARAÑAQUE CITY"/>
    <s v="PARAÑAQUE"/>
    <m/>
    <m/>
    <x v="0"/>
    <s v="FCOMP"/>
    <s v="RRG"/>
    <n v="9.1265000000000001"/>
    <n v="13.9"/>
    <n v="0"/>
    <x v="10"/>
    <n v="20018.21"/>
    <n v="7349.37"/>
    <m/>
    <n v="0"/>
    <d v="2024-11-25T16:26:26"/>
    <d v="2024-11-29T12:41:00"/>
    <d v="2024-11-29T00:00:00"/>
    <m/>
    <x v="37"/>
    <m/>
    <n v="24.314976851848769"/>
    <n v="20.471527777779556"/>
    <n v="-45646"/>
    <d v="2024-12-14T11:01:16"/>
    <d v="2024-12-23T06:22:34"/>
    <d v="2025-01-14T16:26:26"/>
    <n v="0.8375158693414575"/>
    <n v="-1141.1500000000001"/>
    <n v="20"/>
    <n v="36"/>
    <n v="21.774193548387096"/>
    <n v="27.58064516129032"/>
    <n v="18.774193548387096"/>
    <n v="40"/>
    <n v="32"/>
    <n v="27"/>
    <d v="2025-01-21T00:00:00"/>
    <d v="2025-01-16T00:00:00"/>
    <m/>
    <m/>
    <m/>
    <m/>
    <m/>
    <m/>
    <m/>
    <m/>
    <s v="NO COC"/>
    <m/>
    <d v="2025-01-04T00:00:00"/>
    <n v="-368"/>
    <m/>
    <m/>
    <m/>
    <m/>
    <m/>
    <m/>
    <m/>
    <m/>
    <m/>
    <m/>
    <m/>
    <m/>
    <m/>
    <m/>
    <m/>
    <m/>
    <m/>
    <m/>
    <s v="N/A"/>
    <s v="CY9-8052"/>
  </r>
  <r>
    <d v="2024-12-04T00:00:00"/>
    <m/>
    <m/>
    <x v="1"/>
    <s v="X24104037169"/>
    <s v="CHRISTIAN BIBLE BAPTIST CHURCH AND MINISTRIES OF S"/>
    <s v="IMPEX CPD, IMPEX CPD, LAS PINAS CITY"/>
    <s v="LAS PIÑAS CITY"/>
    <s v="PARAÑAQUE"/>
    <m/>
    <m/>
    <x v="4"/>
    <s v="SCHED"/>
    <s v="RRG"/>
    <n v="14.340299999999999"/>
    <n v="19.45"/>
    <n v="21"/>
    <x v="5"/>
    <n v="144365.54999999999"/>
    <n v="11170.37"/>
    <m/>
    <n v="0"/>
    <d v="2024-11-27T13:57:39"/>
    <d v="2024-12-04T09:38:00"/>
    <d v="2024-11-29T00:00:00"/>
    <m/>
    <x v="0"/>
    <m/>
    <n v="-45623.581701388888"/>
    <n v="-45630.401388888888"/>
    <n v="0"/>
    <d v="2024-12-16T08:32:29"/>
    <d v="2024-12-25T03:53:47"/>
    <d v="2025-01-16T13:57:39"/>
    <n v="-1571.4789252700616"/>
    <n v="0"/>
    <n v="20"/>
    <n v="36"/>
    <n v="21.774193548387096"/>
    <n v="27.58064516129032"/>
    <n v="18.774193548387096"/>
    <n v="40"/>
    <n v="32"/>
    <n v="27"/>
    <d v="1900-01-31T00:00:00"/>
    <d v="1900-01-26T00:00:00"/>
    <m/>
    <m/>
    <m/>
    <m/>
    <m/>
    <m/>
    <m/>
    <m/>
    <s v="No PO generated"/>
    <m/>
    <d v="1900-01-14T00:00:00"/>
    <n v="0"/>
    <m/>
    <m/>
    <m/>
    <m/>
    <m/>
    <m/>
    <m/>
    <m/>
    <m/>
    <m/>
    <m/>
    <m/>
    <m/>
    <m/>
    <m/>
    <m/>
    <m/>
    <m/>
    <d v="2024-12-19T00:00:00"/>
    <s v="CW8-5091,526220"/>
  </r>
  <r>
    <d v="2024-12-10T00:00:00"/>
    <m/>
    <m/>
    <x v="2"/>
    <s v="X24114393200"/>
    <s v="MACRO GOLDEN STAR CORP,"/>
    <s v="ALABANG-ZAPOTE, PAMPLONA II, LAS PINAS CITY"/>
    <s v="LAS PIÑAS CITY"/>
    <s v="PARAÑAQUE"/>
    <m/>
    <m/>
    <x v="4"/>
    <s v="FCOMP"/>
    <s v="RRG"/>
    <n v="21.440300000000001"/>
    <n v="29.2"/>
    <n v="4.9000000000000004"/>
    <x v="11"/>
    <n v="142345.35999999999"/>
    <n v="17273.419999999998"/>
    <m/>
    <n v="0"/>
    <d v="2024-11-27T13:59:32"/>
    <d v="2024-12-04T09:22:00"/>
    <d v="2024-11-29T00:00:00"/>
    <m/>
    <x v="36"/>
    <m/>
    <n v="72.416990740741312"/>
    <n v="65.609722222223354"/>
    <n v="-45696"/>
    <d v="2024-12-16T08:34:22"/>
    <d v="2024-12-25T03:55:40"/>
    <d v="2025-01-16T13:59:32"/>
    <n v="2.4943630144033113"/>
    <n v="-1142.4000000000001"/>
    <n v="20"/>
    <n v="36"/>
    <n v="21.774193548387096"/>
    <n v="27.58064516129032"/>
    <n v="18.774193548387096"/>
    <n v="40"/>
    <n v="32"/>
    <n v="27"/>
    <d v="2025-03-12T00:00:00"/>
    <d v="2025-03-07T00:00:00"/>
    <m/>
    <m/>
    <m/>
    <m/>
    <m/>
    <m/>
    <m/>
    <m/>
    <s v="No PO generated/ NO COC"/>
    <m/>
    <d v="2025-02-23T00:00:00"/>
    <n v="-418"/>
    <m/>
    <m/>
    <m/>
    <m/>
    <m/>
    <m/>
    <m/>
    <m/>
    <m/>
    <m/>
    <s v="Y"/>
    <d v="2024-12-06T00:00:00"/>
    <m/>
    <m/>
    <m/>
    <m/>
    <m/>
    <m/>
    <d v="2024-12-10T00:00:00"/>
    <s v="CW7-2221, 104426"/>
  </r>
  <r>
    <d v="2024-12-10T00:00:00"/>
    <m/>
    <m/>
    <x v="2"/>
    <s v="X24114538494"/>
    <s v="JOHN PAULE RODRIGUEZ"/>
    <s v="TINDALO, UNITED PQUE PH 2 SUBD, PARANAQUE"/>
    <s v="PARAÑAQUE CITY"/>
    <s v="PARAÑAQUE"/>
    <m/>
    <m/>
    <x v="4"/>
    <s v="SCHED"/>
    <s v="RRG"/>
    <n v="99.131"/>
    <n v="165.67"/>
    <n v="85"/>
    <x v="5"/>
    <n v="232274.33"/>
    <n v="79450.899999999994"/>
    <m/>
    <n v="0"/>
    <d v="2024-11-26T17:07:09"/>
    <d v="2024-11-29T12:55:00"/>
    <d v="2024-11-29T00:00:00"/>
    <m/>
    <x v="0"/>
    <m/>
    <n v="-45622.71329861111"/>
    <n v="-45625.538194444445"/>
    <n v="0"/>
    <d v="2024-12-17T01:24:03"/>
    <d v="2024-12-26T06:48:34"/>
    <d v="2025-01-15T17:07:09"/>
    <n v="-1465.7070788241576"/>
    <n v="0"/>
    <n v="26"/>
    <n v="34"/>
    <n v="23.345070422535212"/>
    <n v="29.570422535211268"/>
    <n v="20.345070422535212"/>
    <n v="44"/>
    <n v="35.200000000000003"/>
    <n v="30.200000000000003"/>
    <d v="1900-02-03T04:48:00"/>
    <d v="1900-01-29T04:48:00"/>
    <m/>
    <m/>
    <m/>
    <m/>
    <m/>
    <m/>
    <m/>
    <m/>
    <s v="No PO generated"/>
    <m/>
    <d v="1900-01-14T00:00:00"/>
    <n v="0"/>
    <m/>
    <m/>
    <m/>
    <m/>
    <m/>
    <m/>
    <m/>
    <m/>
    <m/>
    <m/>
    <s v="Y"/>
    <m/>
    <m/>
    <m/>
    <m/>
    <m/>
    <m/>
    <m/>
    <d v="2024-12-10T00:00:00"/>
    <s v="A7-0442, A7-8058, ALB1-3261, 520470, A7-0426"/>
  </r>
  <r>
    <d v="2024-12-02T00:00:00"/>
    <m/>
    <m/>
    <x v="2"/>
    <s v="X24072854687"/>
    <s v="MALILIN O. RICSENIA"/>
    <s v="BLOCK 12, BETTER LIVING ANX31 SUBD, PARANAQUE"/>
    <s v="PARAÑAQUE CITY"/>
    <s v="PARAÑAQUE"/>
    <m/>
    <m/>
    <x v="1"/>
    <s v="FCOMP"/>
    <s v="JMM"/>
    <n v="47.780700000000003"/>
    <n v="72.53"/>
    <n v="4.5999999999999996"/>
    <x v="8"/>
    <n v="176013.59"/>
    <n v="38476.959999999999"/>
    <m/>
    <n v="0"/>
    <d v="2024-11-26T17:08:20"/>
    <d v="2024-11-29T12:57:00"/>
    <d v="2024-12-03T00:00:00"/>
    <m/>
    <x v="20"/>
    <m/>
    <n v="79.285879629627743"/>
    <n v="76.460416666668607"/>
    <n v="-45702"/>
    <d v="2024-12-16T19:11:27"/>
    <d v="2024-12-25T22:56:17"/>
    <d v="2025-01-15T17:08:20"/>
    <n v="2.5758335290301764"/>
    <n v="-1088.1428571428571"/>
    <n v="23"/>
    <n v="36"/>
    <n v="23.085501858736059"/>
    <n v="29.241635687732341"/>
    <n v="20.085501858736059"/>
    <n v="42"/>
    <n v="33.6"/>
    <n v="28.6"/>
    <d v="2025-03-19T14:24:00"/>
    <d v="2025-03-14T14:24:00"/>
    <m/>
    <m/>
    <m/>
    <m/>
    <m/>
    <m/>
    <m/>
    <m/>
    <s v="No PO generated/ NO COC"/>
    <m/>
    <d v="2025-03-01T00:00:00"/>
    <n v="-424"/>
    <m/>
    <m/>
    <m/>
    <m/>
    <m/>
    <m/>
    <m/>
    <m/>
    <m/>
    <m/>
    <s v="Y"/>
    <d v="2025-02-14T00:00:00"/>
    <m/>
    <m/>
    <m/>
    <m/>
    <m/>
    <m/>
    <d v="2024-12-19T00:00:00"/>
    <s v="DY1-1530,DY1-1530,DY1-5916"/>
  </r>
  <r>
    <d v="2024-12-05T00:00:00"/>
    <m/>
    <m/>
    <x v="2"/>
    <s v="X24093766777"/>
    <s v="ESMAIL FAIDAH BARODI"/>
    <s v="DON PEDRO, GARCIA HEIGHTS, PARANAQUE"/>
    <s v="PARAÑAQUE CITY"/>
    <s v="PARAÑAQUE"/>
    <m/>
    <m/>
    <x v="1"/>
    <s v="SCHED"/>
    <s v="JMM"/>
    <n v="168.62549999999999"/>
    <n v="258.2"/>
    <n v="51"/>
    <x v="5"/>
    <n v="881252.87"/>
    <n v="135412.87"/>
    <m/>
    <n v="0"/>
    <d v="2024-11-26T17:07:35"/>
    <d v="2024-11-29T13:05:00"/>
    <d v="2024-12-03T00:00:00"/>
    <m/>
    <x v="0"/>
    <m/>
    <n v="-45622.713599537034"/>
    <n v="-45625.545138888891"/>
    <n v="0"/>
    <d v="2024-12-17T16:09:36"/>
    <d v="2024-12-27T01:30:08"/>
    <d v="2025-01-15T17:07:35"/>
    <n v="-1428.1059509098777"/>
    <n v="0"/>
    <n v="28"/>
    <n v="34"/>
    <n v="23.959731543624162"/>
    <n v="30.348993288590602"/>
    <n v="20.959731543624162"/>
    <n v="46"/>
    <n v="36.800000000000004"/>
    <n v="31.800000000000004"/>
    <d v="1900-02-04T19:12:00"/>
    <d v="1900-01-30T19:12:00"/>
    <m/>
    <m/>
    <m/>
    <m/>
    <m/>
    <m/>
    <m/>
    <m/>
    <s v="No PO generated"/>
    <m/>
    <d v="1900-01-14T00:00:00"/>
    <n v="0"/>
    <m/>
    <m/>
    <m/>
    <m/>
    <m/>
    <m/>
    <m/>
    <m/>
    <m/>
    <m/>
    <s v="Y"/>
    <m/>
    <m/>
    <m/>
    <m/>
    <m/>
    <m/>
    <m/>
    <d v="2024-12-10T00:00:00"/>
    <s v="CX9-0820, DX1-8095, DX1-8097, DX1-8098, DX1-8092, 523988"/>
  </r>
  <r>
    <d v="2024-12-10T00:00:00"/>
    <m/>
    <m/>
    <x v="2"/>
    <s v="X24051731952"/>
    <s v="TARASH B. BERMUDEZ"/>
    <s v="MONIQUE, VILLA CRISTINA SUBD, LAS PINAS CITY"/>
    <s v="LAS PIÑAS CITY"/>
    <s v="PARAÑAQUE"/>
    <m/>
    <m/>
    <x v="3"/>
    <s v="SCHED"/>
    <s v="JMM"/>
    <n v="70.423779999999994"/>
    <n v="63.68"/>
    <n v="3"/>
    <x v="8"/>
    <n v="324422.71000000002"/>
    <n v="42905.86"/>
    <m/>
    <n v="0"/>
    <d v="2024-11-29T09:37:00"/>
    <d v="2024-12-05T10:08:00"/>
    <d v="2024-12-04T00:00:00"/>
    <m/>
    <x v="0"/>
    <m/>
    <n v="-45625.400694444441"/>
    <n v="-45631.422222222223"/>
    <n v="0"/>
    <d v="2024-12-19T11:40:07"/>
    <d v="2024-12-28T15:24:57"/>
    <d v="2025-01-18T09:37:00"/>
    <n v="-1482.2744911600912"/>
    <n v="0"/>
    <n v="23"/>
    <n v="36"/>
    <n v="23.085501858736059"/>
    <n v="29.241635687732341"/>
    <n v="20.085501858736059"/>
    <n v="42"/>
    <n v="33.6"/>
    <n v="28.6"/>
    <d v="1900-02-01T14:24:00"/>
    <d v="1900-01-27T14:24:00"/>
    <m/>
    <m/>
    <m/>
    <m/>
    <m/>
    <m/>
    <m/>
    <m/>
    <m/>
    <m/>
    <d v="1900-01-14T00:00:00"/>
    <n v="0"/>
    <m/>
    <m/>
    <m/>
    <m/>
    <m/>
    <m/>
    <m/>
    <m/>
    <m/>
    <m/>
    <s v="Y"/>
    <m/>
    <m/>
    <m/>
    <m/>
    <m/>
    <m/>
    <m/>
    <d v="2024-12-10T00:00:00"/>
    <s v="CW7-8053, CW7-2005, 522055"/>
  </r>
  <r>
    <d v="2024-12-05T00:00:00"/>
    <m/>
    <m/>
    <x v="2"/>
    <s v="X24093863040"/>
    <s v="AIRA NAVARRO JUBILADO"/>
    <s v="A. MABINI, TUAZON SUBD, LAS PINAS CITY"/>
    <s v="LAS PIÑAS CITY"/>
    <s v="PARAÑAQUE"/>
    <m/>
    <m/>
    <x v="4"/>
    <s v="SCHED"/>
    <s v="RRG"/>
    <n v="113.706"/>
    <n v="173.8"/>
    <n v="20"/>
    <x v="8"/>
    <n v="622295.41"/>
    <n v="91565.09"/>
    <m/>
    <n v="0"/>
    <d v="2024-11-29T09:41:00"/>
    <d v="2024-12-04T09:44:00"/>
    <d v="2024-12-03T00:00:00"/>
    <m/>
    <x v="0"/>
    <m/>
    <n v="-45625.40347222222"/>
    <n v="-45630.405555555553"/>
    <n v="0"/>
    <d v="2024-12-20T14:38:56"/>
    <d v="2024-12-30T01:34:23"/>
    <d v="2025-01-18T09:41:00"/>
    <n v="-1413.6075862120131"/>
    <n v="0"/>
    <n v="26"/>
    <n v="36"/>
    <n v="24.206896551724139"/>
    <n v="30.662068965517239"/>
    <n v="21.206896551724139"/>
    <n v="44"/>
    <n v="35.200000000000003"/>
    <n v="30.200000000000003"/>
    <d v="1900-02-03T04:48:00"/>
    <d v="1900-01-29T04:48:00"/>
    <m/>
    <m/>
    <m/>
    <m/>
    <m/>
    <m/>
    <m/>
    <m/>
    <s v="No PO generated"/>
    <m/>
    <d v="1900-01-14T00:00:00"/>
    <n v="0"/>
    <m/>
    <m/>
    <m/>
    <m/>
    <m/>
    <m/>
    <m/>
    <m/>
    <m/>
    <m/>
    <s v="Y"/>
    <m/>
    <m/>
    <m/>
    <m/>
    <m/>
    <m/>
    <m/>
    <d v="2024-12-10T00:00:00"/>
    <s v="CX6-2484, CX6-8132, CX6-8133, 526058, CX6-0061, CX6-8134"/>
  </r>
  <r>
    <d v="2024-12-10T00:00:00"/>
    <m/>
    <m/>
    <x v="2"/>
    <s v="X24114420508"/>
    <s v="HERMINIO VALERIO"/>
    <s v="BANABA, CAMELLA SPV CENTRAL PH 2, BACOOR"/>
    <s v="BACOOR CITY"/>
    <s v="DASMA"/>
    <m/>
    <m/>
    <x v="4"/>
    <s v="SCHED"/>
    <s v="RRG"/>
    <n v="47.653300000000002"/>
    <n v="65.23"/>
    <n v="4"/>
    <x v="5"/>
    <n v="227444.85"/>
    <n v="38373.64"/>
    <m/>
    <n v="0"/>
    <d v="2024-12-02T16:23:37"/>
    <d v="2024-12-09T15:15:00"/>
    <d v="2024-12-10T00:00:00"/>
    <m/>
    <x v="0"/>
    <m/>
    <n v="-45628.683067129627"/>
    <n v="-45635.635416666664"/>
    <n v="0"/>
    <d v="2024-12-22T18:26:44"/>
    <d v="2024-12-31T22:11:34"/>
    <d v="2025-01-21T16:23:37"/>
    <n v="-1482.3811286301775"/>
    <n v="0"/>
    <n v="23"/>
    <n v="36"/>
    <n v="23.085501858736059"/>
    <n v="29.241635687732341"/>
    <n v="20.085501858736059"/>
    <n v="42"/>
    <n v="33.6"/>
    <n v="28.6"/>
    <d v="1900-02-01T14:24:00"/>
    <d v="1900-01-27T14:24:00"/>
    <m/>
    <m/>
    <m/>
    <m/>
    <m/>
    <m/>
    <m/>
    <m/>
    <s v="No PO generated"/>
    <m/>
    <d v="1900-01-14T00:00:00"/>
    <n v="0"/>
    <m/>
    <m/>
    <m/>
    <m/>
    <m/>
    <m/>
    <m/>
    <m/>
    <m/>
    <m/>
    <s v="Y"/>
    <m/>
    <m/>
    <m/>
    <m/>
    <m/>
    <m/>
    <m/>
    <d v="2024-12-10T00:00:00"/>
    <s v="CS7-0681, 193090, CS7-0689, CS7-0688, CS7-0687, CS7-0686"/>
  </r>
  <r>
    <d v="2024-12-10T00:00:00"/>
    <m/>
    <m/>
    <x v="4"/>
    <s v="X23124692592"/>
    <s v="BGST PRIME DEVELOPMENT CORP."/>
    <s v="COASTAL RD, SAN DIONISIO, PARANAQUE"/>
    <s v="PARAÑAQUE CITY"/>
    <s v="PARAÑAQUE"/>
    <m/>
    <m/>
    <x v="4"/>
    <s v="FCOMP"/>
    <s v="RRG"/>
    <n v="49.339100000000002"/>
    <n v="218.5"/>
    <n v="1528"/>
    <x v="8"/>
    <n v="760153.47"/>
    <n v="38066.29"/>
    <m/>
    <n v="0"/>
    <d v="2024-12-02T15:32:04"/>
    <d v="2024-12-06T14:42:00"/>
    <d v="2024-12-13T00:00:00"/>
    <m/>
    <x v="1"/>
    <m/>
    <n v="58.352731481478259"/>
    <n v="54.38749999999709"/>
    <n v="-45687"/>
    <d v="2024-12-16T01:17:04"/>
    <d v="2024-12-23T10:17:04"/>
    <d v="2025-01-21T15:32:04"/>
    <n v="2.6675534391532914"/>
    <n v="-993.195652173913"/>
    <n v="28"/>
    <n v="20"/>
    <n v="16.406250000000004"/>
    <n v="20.781250000000004"/>
    <n v="13.406250000000004"/>
    <n v="46"/>
    <n v="36.800000000000004"/>
    <n v="31.800000000000004"/>
    <d v="2025-03-07T19:12:00"/>
    <d v="2025-03-02T19:12:00"/>
    <m/>
    <m/>
    <m/>
    <m/>
    <m/>
    <m/>
    <m/>
    <m/>
    <s v="NO COC"/>
    <m/>
    <d v="2025-02-14T00:00:00"/>
    <n v="-409"/>
    <m/>
    <m/>
    <m/>
    <m/>
    <m/>
    <m/>
    <m/>
    <m/>
    <m/>
    <m/>
    <s v="Y"/>
    <m/>
    <m/>
    <m/>
    <m/>
    <m/>
    <m/>
    <m/>
    <d v="2024-12-10T00:00:00"/>
    <s v="CZ7-0475, 515959"/>
  </r>
  <r>
    <d v="2024-12-10T00:00:00"/>
    <m/>
    <m/>
    <x v="4"/>
    <s v="X24114645553"/>
    <s v="BGST PRIME DEVELOPMENT CORP."/>
    <s v="COASTAL RD, SAN DIONISIO, PARANAQUE"/>
    <s v="PARAÑAQUE CITY"/>
    <s v="PARAÑAQUE"/>
    <m/>
    <m/>
    <x v="4"/>
    <s v="FCOMP"/>
    <s v="RRG"/>
    <n v="599.09320000000002"/>
    <n v="890.08"/>
    <n v="1528"/>
    <x v="8"/>
    <n v="1597363.95"/>
    <n v="482059.02"/>
    <m/>
    <n v="0"/>
    <d v="2024-11-29T14:03:04"/>
    <d v="2024-12-06T14:40:00"/>
    <d v="2024-12-13T00:00:00"/>
    <m/>
    <x v="1"/>
    <m/>
    <n v="61.414537037038826"/>
    <n v="54.388888888890506"/>
    <n v="-45687"/>
    <d v="2024-12-14T05:34:50"/>
    <d v="2024-12-21T22:31:18"/>
    <d v="2025-01-18T14:03:04"/>
    <n v="2.6101178240741501"/>
    <n v="-830.67272727272723"/>
    <n v="40"/>
    <n v="20"/>
    <n v="17.647058823529413"/>
    <n v="22.352941176470591"/>
    <n v="14.647058823529413"/>
    <n v="55"/>
    <n v="44"/>
    <n v="39"/>
    <d v="2025-03-15T00:00:00"/>
    <d v="2025-03-10T00:00:00"/>
    <m/>
    <m/>
    <m/>
    <m/>
    <m/>
    <m/>
    <m/>
    <m/>
    <s v="NO COC"/>
    <m/>
    <d v="2025-02-14T00:00:00"/>
    <n v="-409"/>
    <m/>
    <m/>
    <m/>
    <m/>
    <m/>
    <m/>
    <m/>
    <m/>
    <m/>
    <m/>
    <m/>
    <m/>
    <m/>
    <m/>
    <m/>
    <m/>
    <m/>
    <m/>
    <d v="2024-12-23T00:00:00"/>
    <s v="CZ7-0528,CZ7-8032,CZ7-8033,CZ7-8034,CZ7-8035,CZ7-8036,CZ7-8037,CZ7-8038,CZ7-8039,CZ7-8040,CZ7-8041,CZ7-8042,CZ7-0475"/>
  </r>
  <r>
    <d v="2024-12-10T00:00:00"/>
    <m/>
    <m/>
    <x v="2"/>
    <s v="X24041187690"/>
    <s v="CITY GOV'T OF LAS PINAS"/>
    <s v="S. TOLENTINO, GATCHALIAN SUBD, LAS PINAS CITY"/>
    <s v="LAS PIÑAS CITY"/>
    <s v="PARAÑAQUE"/>
    <m/>
    <m/>
    <x v="3"/>
    <s v="SCHED"/>
    <s v="JMM"/>
    <n v="38.702399999999997"/>
    <n v="64.03"/>
    <n v="47"/>
    <x v="5"/>
    <n v="202593.53"/>
    <n v="31166.05"/>
    <m/>
    <n v="0"/>
    <d v="2024-12-02T16:19:47"/>
    <d v="2024-12-09T15:30:00"/>
    <d v="2024-12-11T00:00:00"/>
    <m/>
    <x v="0"/>
    <m/>
    <n v="-45628.680405092593"/>
    <n v="-45635.645833333336"/>
    <n v="0"/>
    <d v="2024-12-22T18:22:54"/>
    <d v="2024-12-31T22:07:44"/>
    <d v="2025-01-21T16:19:47"/>
    <n v="-1482.3810421461239"/>
    <n v="0"/>
    <n v="23"/>
    <n v="36"/>
    <n v="23.085501858736059"/>
    <n v="29.241635687732341"/>
    <n v="20.085501858736059"/>
    <n v="42"/>
    <n v="33.6"/>
    <n v="28.6"/>
    <d v="1900-02-01T14:24:00"/>
    <d v="1900-01-27T14:24:00"/>
    <m/>
    <m/>
    <m/>
    <m/>
    <m/>
    <m/>
    <m/>
    <m/>
    <m/>
    <m/>
    <d v="1900-01-14T00:00:00"/>
    <n v="0"/>
    <m/>
    <m/>
    <m/>
    <m/>
    <m/>
    <m/>
    <m/>
    <m/>
    <m/>
    <m/>
    <s v="Y"/>
    <m/>
    <m/>
    <m/>
    <m/>
    <m/>
    <m/>
    <m/>
    <d v="2024-12-10T00:00:00"/>
    <s v="CY8-8034, CY8-8035, 521456, CY7-0020"/>
  </r>
  <r>
    <d v="2025-02-27T00:00:00"/>
    <m/>
    <m/>
    <x v="2"/>
    <s v="X24093852320"/>
    <s v="ALEXANDRA MARIE PAMINTUAN CRUZ"/>
    <s v="ST. BERNADETTE, SAN JOSE SUBD, MUNTINLUPA"/>
    <s v="MUNTINLUPA CITY"/>
    <s v="PARAÑAQUE"/>
    <m/>
    <m/>
    <x v="3"/>
    <s v="SCHED"/>
    <s v="JMM"/>
    <n v="222.76070000000001"/>
    <n v="326.33"/>
    <n v="80"/>
    <x v="8"/>
    <n v="899400.28"/>
    <n v="178653.51"/>
    <m/>
    <n v="0"/>
    <d v="2024-12-02T08:42:40"/>
    <d v="2024-12-09T15:26:00"/>
    <d v="2024-12-17T00:00:00"/>
    <m/>
    <x v="0"/>
    <m/>
    <n v="-45628.362962962965"/>
    <n v="-45635.643055555556"/>
    <n v="0"/>
    <d v="2024-12-23T21:10:22"/>
    <d v="2025-01-02T10:05:45"/>
    <d v="2025-01-21T08:42:40"/>
    <n v="-1395.691102396514"/>
    <n v="0"/>
    <n v="30"/>
    <n v="34"/>
    <n v="24.51923076923077"/>
    <n v="31.057692307692307"/>
    <n v="21.51923076923077"/>
    <n v="48"/>
    <n v="38.400000000000006"/>
    <n v="33.400000000000006"/>
    <d v="1900-02-06T09:36:00"/>
    <d v="1900-02-01T09:36:00"/>
    <m/>
    <m/>
    <m/>
    <m/>
    <m/>
    <m/>
    <m/>
    <m/>
    <m/>
    <m/>
    <d v="1900-01-14T00:00:00"/>
    <n v="0"/>
    <m/>
    <m/>
    <m/>
    <m/>
    <m/>
    <m/>
    <m/>
    <m/>
    <m/>
    <m/>
    <m/>
    <m/>
    <m/>
    <m/>
    <m/>
    <m/>
    <m/>
    <m/>
    <d v="2024-02-27T00:00:00"/>
    <s v="CU9-0314,DV1-8077,DV1-8078,DV1-8079,TLN-523975"/>
  </r>
  <r>
    <d v="2024-12-12T00:00:00"/>
    <m/>
    <m/>
    <x v="1"/>
    <s v="X24104112560"/>
    <s v="METRO STONERICH CORPORATION,"/>
    <s v="INDOCHINA LANE, FILINVEST CORPORATE CITY, MUNTINLUPA"/>
    <s v="MUNTINLUPA CITY"/>
    <s v="PARAÑAQUE"/>
    <m/>
    <m/>
    <x v="1"/>
    <s v="FCOMP"/>
    <s v="JMM"/>
    <n v="54.72"/>
    <n v="73.97"/>
    <n v="0"/>
    <x v="2"/>
    <n v="49996.03"/>
    <n v="44193.54"/>
    <m/>
    <n v="0"/>
    <d v="2024-12-02T16:41:19"/>
    <d v="2024-12-09T15:29:00"/>
    <d v="2024-12-17T00:00:00"/>
    <m/>
    <x v="38"/>
    <m/>
    <n v="63.304641203700157"/>
    <n v="56.354861111110949"/>
    <n v="-45692"/>
    <d v="2024-12-22T18:44:26"/>
    <d v="2024-12-31T22:29:16"/>
    <d v="2025-01-21T16:41:19"/>
    <n v="2.0566362903134472"/>
    <n v="-1087.9047619047619"/>
    <n v="23"/>
    <n v="36"/>
    <n v="23.085501858736059"/>
    <n v="29.241635687732341"/>
    <n v="20.085501858736059"/>
    <n v="42"/>
    <n v="33.6"/>
    <n v="28.6"/>
    <d v="2025-03-09T14:24:00"/>
    <d v="2025-03-04T14:24:00"/>
    <m/>
    <m/>
    <m/>
    <m/>
    <m/>
    <m/>
    <m/>
    <m/>
    <s v="FOR AUDIT"/>
    <m/>
    <d v="2025-02-19T00:00:00"/>
    <n v="2"/>
    <d v="2025-02-04T00:00:00"/>
    <d v="2025-02-21T00:00:00"/>
    <m/>
    <m/>
    <m/>
    <m/>
    <m/>
    <m/>
    <m/>
    <m/>
    <s v="Y"/>
    <m/>
    <m/>
    <m/>
    <m/>
    <m/>
    <m/>
    <m/>
    <s v="N/A"/>
    <m/>
  </r>
  <r>
    <d v="2024-12-04T00:00:00"/>
    <m/>
    <m/>
    <x v="4"/>
    <s v="X24114645437"/>
    <s v="SM DEVELOPMENT CORPORATION,"/>
    <s v="DR. A SANTOS, SAN DIONISIO, PARANAQUE"/>
    <s v="PARAÑAQUE CITY"/>
    <s v="PARAÑAQUE"/>
    <s v="conj. to reloc WO"/>
    <m/>
    <x v="1"/>
    <s v="PCAN3"/>
    <s v="JMM"/>
    <n v="32.566699999999997"/>
    <n v="52.2"/>
    <n v="0"/>
    <x v="8"/>
    <n v="144072.26"/>
    <n v="26225.13"/>
    <m/>
    <n v="0"/>
    <d v="2024-12-02T15:31:00"/>
    <d v="2024-12-04T10:15:06"/>
    <d v="2024-12-17T00:00:00"/>
    <m/>
    <x v="0"/>
    <m/>
    <n v="-45628.646527777775"/>
    <n v="-45630.427152777775"/>
    <n v="0"/>
    <d v="2024-12-22T17:34:07"/>
    <d v="2024-12-31T21:18:57"/>
    <d v="2025-01-21T15:31:00"/>
    <n v="-1482.3799415425387"/>
    <n v="0"/>
    <n v="23"/>
    <n v="36"/>
    <n v="23.085501858736059"/>
    <n v="29.241635687732341"/>
    <n v="20.085501858736059"/>
    <n v="42"/>
    <n v="33.6"/>
    <n v="28.6"/>
    <d v="1900-02-01T14:24:00"/>
    <d v="1900-01-27T14:24:00"/>
    <m/>
    <m/>
    <m/>
    <m/>
    <m/>
    <m/>
    <m/>
    <m/>
    <m/>
    <m/>
    <d v="1900-01-14T00:00:00"/>
    <n v="0"/>
    <m/>
    <m/>
    <m/>
    <m/>
    <m/>
    <m/>
    <m/>
    <m/>
    <m/>
    <m/>
    <s v="N"/>
    <m/>
    <m/>
    <m/>
    <m/>
    <m/>
    <m/>
    <m/>
    <s v="N/A"/>
    <s v="CZ8-8102"/>
  </r>
  <r>
    <d v="2024-12-11T00:00:00"/>
    <m/>
    <m/>
    <x v="1"/>
    <s v="X24020533373"/>
    <s v="GRUPPO SACHIN &amp; SACHIN CO."/>
    <s v="SAN VICTORES, SEACOM CPD, PARANAQUE"/>
    <s v="PARAÑAQUE CITY"/>
    <s v="PARAÑAQUE"/>
    <m/>
    <m/>
    <x v="1"/>
    <s v="FCOMP"/>
    <s v="JMM"/>
    <n v="17.430299999999999"/>
    <n v="23.78"/>
    <n v="23"/>
    <x v="8"/>
    <n v="178449.2"/>
    <n v="14036.19"/>
    <m/>
    <n v="0"/>
    <d v="2024-12-04T17:37:00"/>
    <d v="2024-12-10T09:00:00"/>
    <d v="2024-12-17T00:00:00"/>
    <m/>
    <x v="26"/>
    <m/>
    <n v="37.265972222223354"/>
    <n v="31.625"/>
    <n v="-45668"/>
    <d v="2024-12-23T12:11:50"/>
    <d v="2025-01-01T07:33:08"/>
    <d v="2025-01-23T17:37:00"/>
    <n v="1.2836057098765823"/>
    <n v="-1141.7"/>
    <n v="20"/>
    <n v="36"/>
    <n v="21.774193548387096"/>
    <n v="27.58064516129032"/>
    <n v="18.774193548387096"/>
    <n v="40"/>
    <n v="32"/>
    <n v="27"/>
    <d v="2025-02-12T00:00:00"/>
    <d v="2025-02-07T00:00:00"/>
    <m/>
    <m/>
    <m/>
    <m/>
    <m/>
    <m/>
    <m/>
    <m/>
    <s v="NO COC"/>
    <m/>
    <d v="2025-01-26T00:00:00"/>
    <n v="-390"/>
    <m/>
    <m/>
    <m/>
    <m/>
    <m/>
    <m/>
    <m/>
    <m/>
    <m/>
    <m/>
    <s v="Y"/>
    <m/>
    <m/>
    <m/>
    <m/>
    <m/>
    <m/>
    <m/>
    <s v="N/A"/>
    <s v="DX1-1148, 087077"/>
  </r>
  <r>
    <d v="2024-12-11T00:00:00"/>
    <m/>
    <m/>
    <x v="2"/>
    <s v="X24062164559"/>
    <s v="EDWARD VINCENT SANTOS DAUIGOY"/>
    <s v="BLOCK 6, TOP MAN VILLAGE, LAS PINAS CITY"/>
    <s v="LAS PIÑAS CITY"/>
    <s v="PARAÑAQUE"/>
    <m/>
    <m/>
    <x v="4"/>
    <s v="SCHED"/>
    <s v="RRG"/>
    <n v="220.036"/>
    <n v="341.68"/>
    <n v="25.7"/>
    <x v="5"/>
    <n v="1029760.65"/>
    <n v="175680.33"/>
    <m/>
    <n v="0"/>
    <d v="2024-12-03T15:57:00"/>
    <d v="2024-12-10T09:01:00"/>
    <d v="2024-12-16T00:00:00"/>
    <m/>
    <x v="0"/>
    <m/>
    <n v="-45629.664583333331"/>
    <n v="-45636.375694444447"/>
    <n v="0"/>
    <d v="2024-12-26T03:16:15"/>
    <d v="2025-01-04T22:17:23"/>
    <d v="2025-01-22T15:57:00"/>
    <n v="-1343.5401238425925"/>
    <n v="0"/>
    <n v="30"/>
    <n v="36"/>
    <n v="25.471698113207545"/>
    <n v="32.264150943396224"/>
    <n v="22.471698113207545"/>
    <n v="48"/>
    <n v="38.400000000000006"/>
    <n v="33.400000000000006"/>
    <d v="1900-02-06T09:36:00"/>
    <d v="1900-02-01T09:36:00"/>
    <m/>
    <m/>
    <m/>
    <m/>
    <m/>
    <m/>
    <m/>
    <m/>
    <m/>
    <m/>
    <d v="1900-01-14T00:00:00"/>
    <n v="0"/>
    <m/>
    <m/>
    <m/>
    <m/>
    <m/>
    <m/>
    <m/>
    <m/>
    <m/>
    <m/>
    <s v="Y"/>
    <m/>
    <m/>
    <m/>
    <m/>
    <m/>
    <m/>
    <m/>
    <d v="2024-12-16T00:00:00"/>
    <s v="CW8-2008, CW8-8026, CW8-8027, CW8-8028, CW8-8044, CW8-8029, 522385, CW8-2007"/>
  </r>
  <r>
    <d v="2024-12-13T00:00:00"/>
    <m/>
    <m/>
    <x v="2"/>
    <s v="R23806071"/>
    <s v="EL GRANDE DEVELOPMENT CORPORATION,, HMB"/>
    <s v="BAGTIKAN, BF EL GRANDE, BACOOR"/>
    <s v="BACOOR CITY"/>
    <s v="DASMA"/>
    <m/>
    <m/>
    <x v="4"/>
    <s v="SCHED"/>
    <s v="RRG"/>
    <n v="44.732700000000001"/>
    <n v="68.23"/>
    <n v="0"/>
    <x v="10"/>
    <n v="157460.57"/>
    <n v="36022.339999999997"/>
    <m/>
    <n v="0"/>
    <d v="2024-12-03T15:15:00"/>
    <d v="2024-12-10T09:03:00"/>
    <d v="2024-12-16T00:00:00"/>
    <m/>
    <x v="0"/>
    <m/>
    <n v="-45629.635416666664"/>
    <n v="-45636.377083333333"/>
    <n v="0"/>
    <d v="2024-12-23T17:18:07"/>
    <d v="2025-01-01T21:02:57"/>
    <d v="2025-01-22T15:15:00"/>
    <n v="-1482.4120684883251"/>
    <n v="0"/>
    <n v="23"/>
    <n v="36"/>
    <n v="23.085501858736059"/>
    <n v="29.241635687732341"/>
    <n v="20.085501858736059"/>
    <n v="42"/>
    <n v="33.6"/>
    <n v="28.6"/>
    <d v="1900-02-01T14:24:00"/>
    <d v="1900-01-27T14:24:00"/>
    <m/>
    <m/>
    <m/>
    <m/>
    <m/>
    <m/>
    <m/>
    <m/>
    <m/>
    <m/>
    <d v="1900-01-14T00:00:00"/>
    <n v="0"/>
    <m/>
    <m/>
    <m/>
    <m/>
    <m/>
    <m/>
    <m/>
    <m/>
    <m/>
    <m/>
    <s v="N"/>
    <m/>
    <m/>
    <m/>
    <m/>
    <m/>
    <m/>
    <m/>
    <m/>
    <s v="CU7-2198, CU7-8052"/>
  </r>
  <r>
    <d v="2024-12-12T00:00:00"/>
    <m/>
    <m/>
    <x v="1"/>
    <s v="X24093767977"/>
    <s v="BIGBANG REALTY AND DEVELOPMENT CORPORATION"/>
    <s v="ANIBAN I, ANIBAN I, BACOOR"/>
    <s v="BACOOR CITY"/>
    <s v="DASMA"/>
    <m/>
    <m/>
    <x v="3"/>
    <s v="FCOMP"/>
    <s v="JMM"/>
    <n v="341.17270000000002"/>
    <n v="477.08"/>
    <n v="624"/>
    <x v="8"/>
    <n v="2236672.58"/>
    <n v="274874.86"/>
    <m/>
    <n v="0"/>
    <d v="2024-12-04T17:05:00"/>
    <d v="2024-12-10T09:04:00"/>
    <d v="2024-12-17T00:00:00"/>
    <m/>
    <x v="39"/>
    <m/>
    <n v="32.9375"/>
    <n v="27.271527777775191"/>
    <n v="-45663.649305555555"/>
    <d v="2024-12-20T13:14:01"/>
    <d v="2024-12-28T13:48:25"/>
    <d v="2025-01-23T17:05:00"/>
    <n v="1.3112347146739132"/>
    <n v="-913.27298611111109"/>
    <n v="32"/>
    <n v="23"/>
    <n v="18.839590443686006"/>
    <n v="23.863481228668942"/>
    <n v="15.839590443686006"/>
    <n v="50"/>
    <n v="40"/>
    <n v="35"/>
    <d v="2025-02-15T15:35:00"/>
    <d v="2025-02-10T15:35:00"/>
    <m/>
    <m/>
    <m/>
    <m/>
    <m/>
    <m/>
    <m/>
    <m/>
    <s v="NO COC"/>
    <m/>
    <d v="2025-01-21T15:35:00"/>
    <n v="-385.64930555555475"/>
    <m/>
    <m/>
    <m/>
    <m/>
    <m/>
    <m/>
    <m/>
    <m/>
    <m/>
    <m/>
    <s v="Y"/>
    <m/>
    <m/>
    <m/>
    <m/>
    <m/>
    <m/>
    <m/>
    <d v="2024-12-16T00:00:00"/>
    <s v="CX6-1466, 518626, CX6-8027, CX6-8043"/>
  </r>
  <r>
    <d v="2025-02-27T00:00:00"/>
    <m/>
    <m/>
    <x v="2"/>
    <s v="X24104312412"/>
    <s v="SEVRANDO OLAES LAPUZ"/>
    <s v="BLOCK 6, MAGDIWANG SUBD, BACOOR"/>
    <s v="BACOOR CITY"/>
    <s v="DASMA"/>
    <m/>
    <m/>
    <x v="3"/>
    <s v="SCHED"/>
    <s v="JMM"/>
    <n v="58.043999999999997"/>
    <n v="92.2"/>
    <n v="73.400000000000006"/>
    <x v="8"/>
    <n v="495870.33"/>
    <n v="46765.49"/>
    <m/>
    <n v="0"/>
    <d v="2024-12-04T09:18:00"/>
    <d v="2024-12-09T15:28:00"/>
    <d v="2024-12-17T00:00:00"/>
    <m/>
    <x v="0"/>
    <m/>
    <n v="-45630.387499999997"/>
    <n v="-45635.644444444442"/>
    <n v="0"/>
    <d v="2024-12-23T16:30:33"/>
    <d v="2025-01-01T15:13:54"/>
    <d v="2025-01-23T09:18:00"/>
    <n v="-1534.628121803069"/>
    <n v="0"/>
    <n v="23"/>
    <n v="34"/>
    <n v="22.300380228136884"/>
    <n v="28.247148288973385"/>
    <n v="19.300380228136884"/>
    <n v="42"/>
    <n v="33.6"/>
    <n v="28.6"/>
    <d v="1900-02-01T14:24:00"/>
    <d v="1900-01-27T14:24:00"/>
    <m/>
    <m/>
    <m/>
    <m/>
    <m/>
    <m/>
    <m/>
    <m/>
    <m/>
    <m/>
    <d v="1900-01-14T00:00:00"/>
    <n v="0"/>
    <m/>
    <m/>
    <m/>
    <m/>
    <m/>
    <m/>
    <m/>
    <m/>
    <m/>
    <m/>
    <m/>
    <m/>
    <m/>
    <m/>
    <m/>
    <m/>
    <m/>
    <m/>
    <d v="2024-02-27T00:00:00"/>
    <s v="CT7-8139,TLN-526439"/>
  </r>
  <r>
    <d v="2024-12-16T00:00:00"/>
    <m/>
    <m/>
    <x v="2"/>
    <s v="X24083392619"/>
    <s v="RONILO LANSANG DAVID"/>
    <s v="LAPU-LAPU, BACLARAN, PARANAQUE"/>
    <s v="PARAÑAQUE CITY"/>
    <s v="PARAÑAQUE"/>
    <s v="completed 1/12/2025"/>
    <m/>
    <x v="0"/>
    <s v="FCOMP"/>
    <s v="RRG"/>
    <n v="144.56"/>
    <n v="218.5"/>
    <n v="69"/>
    <x v="8"/>
    <n v="655324.42000000004"/>
    <n v="116411.06"/>
    <n v="32061.14"/>
    <n v="0.2754131780949336"/>
    <d v="2024-12-04T17:24:00"/>
    <d v="2024-12-10T09:05:00"/>
    <d v="2024-12-17T00:00:00"/>
    <m/>
    <x v="2"/>
    <m/>
    <n v="41.275000000001455"/>
    <n v="35.621527777781012"/>
    <n v="-45672"/>
    <d v="2024-12-25T16:26:01"/>
    <d v="2025-01-04T01:46:33"/>
    <d v="2025-01-23T17:24:00"/>
    <n v="1.2920115546218942"/>
    <n v="-992.86956521739125"/>
    <n v="28"/>
    <n v="34"/>
    <n v="23.959731543624162"/>
    <n v="30.348993288590602"/>
    <n v="20.959731543624162"/>
    <n v="46"/>
    <n v="36.800000000000004"/>
    <n v="31.800000000000004"/>
    <d v="2025-02-20T19:12:00"/>
    <d v="2025-02-15T19:12:00"/>
    <m/>
    <m/>
    <m/>
    <m/>
    <m/>
    <m/>
    <m/>
    <m/>
    <s v="FOR AUDIT"/>
    <s v="PARTIALLY BILLED"/>
    <d v="2025-01-30T00:00:00"/>
    <n v="-8"/>
    <d v="2025-01-12T00:00:00"/>
    <d v="2025-01-22T00:00:00"/>
    <m/>
    <m/>
    <m/>
    <m/>
    <m/>
    <m/>
    <m/>
    <m/>
    <s v="Y"/>
    <m/>
    <m/>
    <m/>
    <m/>
    <m/>
    <m/>
    <m/>
    <d v="2024-12-16T00:00:00"/>
    <s v="C5-0076, C5-8177, ALB1-2896, C5-8178, 523569, C5-0077, C5-0040"/>
  </r>
  <r>
    <d v="2024-12-20T00:00:00"/>
    <m/>
    <m/>
    <x v="2"/>
    <s v="X24114379540"/>
    <s v="DHAN JERICO MIKE M. DELOS SANTOS"/>
    <s v="BLOCK 11, VISTA VERDE SOUTH PH I, BACOOR"/>
    <s v="BACOOR CITY"/>
    <s v="DASMA"/>
    <m/>
    <m/>
    <x v="4"/>
    <s v="FCOMP"/>
    <s v="RRG"/>
    <n v="24.133299999999998"/>
    <n v="33.049999999999997"/>
    <n v="48"/>
    <x v="5"/>
    <n v="207326.18"/>
    <n v="19433.91"/>
    <m/>
    <n v="0"/>
    <d v="2024-12-05T14:12:00"/>
    <d v="2024-12-12T09:54:00"/>
    <d v="2024-12-17T00:00:00"/>
    <m/>
    <x v="36"/>
    <m/>
    <n v="64.408333333332848"/>
    <n v="57.587500000001455"/>
    <n v="-45696"/>
    <d v="2024-12-24T08:46:50"/>
    <d v="2025-01-02T04:08:08"/>
    <d v="2025-01-24T14:12:00"/>
    <n v="2.2185092592592426"/>
    <n v="-1142.4000000000001"/>
    <n v="20"/>
    <n v="36"/>
    <n v="21.774193548387096"/>
    <n v="27.58064516129032"/>
    <n v="18.774193548387096"/>
    <n v="40"/>
    <n v="32"/>
    <n v="27"/>
    <d v="2025-03-12T00:00:00"/>
    <d v="2025-03-07T00:00:00"/>
    <m/>
    <m/>
    <m/>
    <m/>
    <m/>
    <m/>
    <m/>
    <m/>
    <s v="No PO generated/FOR AUDIT"/>
    <m/>
    <d v="2025-02-23T00:00:00"/>
    <n v="-16"/>
    <d v="2024-12-28T00:00:00"/>
    <d v="2025-02-07T00:00:00"/>
    <m/>
    <m/>
    <m/>
    <m/>
    <m/>
    <m/>
    <m/>
    <m/>
    <m/>
    <m/>
    <m/>
    <m/>
    <m/>
    <m/>
    <m/>
    <m/>
    <d v="2024-12-20T00:00:00"/>
    <s v="CU6-6516,TLN-526581"/>
  </r>
  <r>
    <d v="2024-12-23T00:00:00"/>
    <m/>
    <m/>
    <x v="2"/>
    <s v="X24041001641"/>
    <s v="FILINVEST LAND, INC."/>
    <s v="BLOCK 2, PRINCETON HEIGHTS PH 3, BACOOR"/>
    <s v="BACOOR CITY"/>
    <s v="DASMA"/>
    <m/>
    <m/>
    <x v="4"/>
    <s v="SCHED"/>
    <s v="RRG"/>
    <n v="222.44659999999999"/>
    <n v="332.42"/>
    <n v="43.69"/>
    <x v="8"/>
    <n v="1006242.08"/>
    <n v="179131.86"/>
    <m/>
    <n v="0"/>
    <d v="2024-12-06T15:29:00"/>
    <d v="2024-12-12T10:49:00"/>
    <d v="2024-12-17T00:00:00"/>
    <m/>
    <x v="0"/>
    <m/>
    <n v="-45632.645138888889"/>
    <n v="-45638.450694444444"/>
    <n v="0"/>
    <d v="2024-12-29T02:48:15"/>
    <d v="2025-01-07T21:49:23"/>
    <d v="2025-01-25T15:29:00"/>
    <n v="-1343.6278846450618"/>
    <n v="0"/>
    <n v="30"/>
    <n v="36"/>
    <n v="25.471698113207545"/>
    <n v="32.264150943396224"/>
    <n v="22.471698113207545"/>
    <n v="48"/>
    <n v="38.400000000000006"/>
    <n v="33.400000000000006"/>
    <d v="1900-02-06T09:36:00"/>
    <d v="1900-02-01T09:36:00"/>
    <m/>
    <m/>
    <m/>
    <m/>
    <m/>
    <m/>
    <m/>
    <m/>
    <s v="No PO generated"/>
    <m/>
    <d v="1900-01-14T00:00:00"/>
    <n v="0"/>
    <m/>
    <m/>
    <m/>
    <m/>
    <m/>
    <m/>
    <m/>
    <m/>
    <m/>
    <m/>
    <m/>
    <m/>
    <m/>
    <m/>
    <m/>
    <m/>
    <m/>
    <m/>
    <d v="2024-12-23T00:00:00"/>
    <s v="CV6-6330,CV6-8035,CV6-8036,CV6-8037,CV6-8038,TLN-521175,CV6-8039"/>
  </r>
  <r>
    <d v="2025-02-27T00:00:00"/>
    <m/>
    <m/>
    <x v="2"/>
    <s v="X24093702490"/>
    <s v="BARANGAY MOLINO VI"/>
    <s v="STREET, EVERLASTING, SOLDIER'S HILLS 4 PH II, BACOOR"/>
    <s v="BACOOR CITY"/>
    <s v="DASMA"/>
    <m/>
    <m/>
    <x v="4"/>
    <s v="FCOMP"/>
    <s v="RRG"/>
    <n v="73.844999999999999"/>
    <n v="104.2"/>
    <n v="20"/>
    <x v="8"/>
    <n v="367358.69"/>
    <n v="59466.29"/>
    <m/>
    <n v="0"/>
    <d v="2024-12-05T16:09:00"/>
    <d v="2024-12-12T09:56:00"/>
    <d v="2024-12-16T00:00:00"/>
    <m/>
    <x v="25"/>
    <m/>
    <n v="63.327083333329938"/>
    <n v="56.586111111108039"/>
    <n v="-45695"/>
    <d v="2024-12-26T21:06:56"/>
    <d v="2025-01-05T08:02:23"/>
    <d v="2025-01-24T16:09:00"/>
    <n v="1.962057069088214"/>
    <n v="-1038.5227272727273"/>
    <n v="26"/>
    <n v="36"/>
    <n v="24.206896551724139"/>
    <n v="30.662068965517239"/>
    <n v="21.206896551724139"/>
    <n v="44"/>
    <n v="35.200000000000003"/>
    <n v="30.200000000000003"/>
    <d v="2025-03-14T04:48:00"/>
    <d v="2025-03-09T04:48:00"/>
    <m/>
    <m/>
    <m/>
    <m/>
    <m/>
    <m/>
    <m/>
    <m/>
    <s v="No PO generated/NO COC"/>
    <m/>
    <d v="2025-02-22T00:00:00"/>
    <n v="-417"/>
    <m/>
    <m/>
    <m/>
    <m/>
    <m/>
    <m/>
    <m/>
    <m/>
    <m/>
    <m/>
    <s v="Y"/>
    <d v="2025-02-06T00:00:00"/>
    <m/>
    <m/>
    <m/>
    <m/>
    <m/>
    <m/>
    <d v="2025-02-27T00:00:00"/>
    <s v="CT7-8117,TLN-523915"/>
  </r>
  <r>
    <d v="2024-12-13T00:00:00"/>
    <m/>
    <s v="Y"/>
    <x v="2"/>
    <s v="X24093725089"/>
    <s v="RUBEN LEYVA TERRADO"/>
    <s v="PILAR, ST. JOSEPH SUBD, LAS PINAS CITY"/>
    <s v="LAS PIÑAS CITY"/>
    <s v="PARAÑAQUE"/>
    <m/>
    <m/>
    <x v="3"/>
    <s v="FCOMP"/>
    <s v="JMM"/>
    <n v="167.39709999999999"/>
    <n v="249.3"/>
    <n v="131.5"/>
    <x v="8"/>
    <n v="833252.11"/>
    <n v="134801.60999999999"/>
    <m/>
    <n v="0"/>
    <d v="2024-12-06T12:56:00"/>
    <d v="2024-12-12T10:48:00"/>
    <d v="2024-12-17T00:00:00"/>
    <m/>
    <x v="40"/>
    <m/>
    <n v="35.927777777775191"/>
    <n v="30.016666666670062"/>
    <n v="-45668.466666666667"/>
    <d v="2024-12-26T13:15:44"/>
    <d v="2025-01-04T16:32:59"/>
    <d v="2025-01-25T12:56:00"/>
    <n v="1.1708606150792806"/>
    <n v="-992.79275362318845"/>
    <n v="28"/>
    <n v="32"/>
    <n v="23.013698630136989"/>
    <n v="29.150684931506852"/>
    <n v="20.013698630136989"/>
    <n v="46"/>
    <n v="36.800000000000004"/>
    <n v="31.800000000000004"/>
    <d v="2025-02-17T06:24:00"/>
    <d v="2025-02-12T06:24:00"/>
    <m/>
    <m/>
    <m/>
    <m/>
    <m/>
    <m/>
    <m/>
    <m/>
    <s v="NO COC"/>
    <m/>
    <d v="2025-01-26T11:12:00"/>
    <n v="-390.46666666666715"/>
    <m/>
    <m/>
    <m/>
    <m/>
    <m/>
    <m/>
    <m/>
    <m/>
    <m/>
    <m/>
    <s v="Y"/>
    <d v="2025-01-10T00:00:00"/>
    <m/>
    <m/>
    <m/>
    <m/>
    <m/>
    <m/>
    <d v="2024-12-16T00:00:00"/>
    <s v="CX8-0536, CV9-8058, CX8-0537, CV9-8059, CV9-8060, 523891, CV9-2409-S"/>
  </r>
  <r>
    <d v="2024-12-15T00:00:00"/>
    <m/>
    <m/>
    <x v="2"/>
    <s v="X24062388683"/>
    <s v="MARC MEDALLA O'CONNOR"/>
    <s v="ARAGONA, CITADELLA EXEC VILL, LAS PINAS CITY"/>
    <s v="LAS PIÑAS CITY"/>
    <s v="PARAÑAQUE"/>
    <m/>
    <m/>
    <x v="3"/>
    <s v="SCHED"/>
    <s v="JMM"/>
    <n v="4.2366999999999999"/>
    <n v="5.97"/>
    <n v="40.1"/>
    <x v="5"/>
    <n v="63407.7"/>
    <n v="3411.92"/>
    <m/>
    <n v="0"/>
    <d v="2024-12-09T15:08:00"/>
    <d v="2025-01-20T15:00:00"/>
    <d v="2024-12-17T00:00:00"/>
    <m/>
    <x v="0"/>
    <m/>
    <n v="-45635.630555555559"/>
    <n v="-45677.625"/>
    <n v="0"/>
    <d v="2024-12-28T09:42:50"/>
    <d v="2025-01-06T05:04:08"/>
    <d v="2025-01-28T15:08:00"/>
    <n v="-1571.8939413580247"/>
    <n v="0"/>
    <n v="20"/>
    <n v="36"/>
    <n v="21.774193548387096"/>
    <n v="27.58064516129032"/>
    <n v="18.774193548387096"/>
    <n v="40"/>
    <n v="32"/>
    <n v="27"/>
    <d v="1900-01-31T00:00:00"/>
    <d v="1900-01-26T00:00:00"/>
    <m/>
    <m/>
    <m/>
    <m/>
    <m/>
    <m/>
    <m/>
    <m/>
    <m/>
    <m/>
    <d v="1900-01-14T00:00:00"/>
    <n v="0"/>
    <m/>
    <m/>
    <m/>
    <m/>
    <m/>
    <m/>
    <m/>
    <m/>
    <m/>
    <m/>
    <m/>
    <m/>
    <m/>
    <m/>
    <m/>
    <m/>
    <m/>
    <m/>
    <d v="2024-02-27T00:00:00"/>
    <s v="CX8-8154,CX8-8155,CX8-8156,CX8-8157,CX8-8158,CX8-8092,TLN-522627"/>
  </r>
  <r>
    <d v="2024-12-13T00:00:00"/>
    <m/>
    <m/>
    <x v="4"/>
    <s v="X24083423327"/>
    <s v="NATIONAL RESEARCH COUNCIL OF THE PHILIPPINES"/>
    <s v="GEN. SANTOS, UPPER BICUTAN, TAGUIG CITY"/>
    <s v="TAGUIG CITY"/>
    <s v="PARAÑAQUE"/>
    <m/>
    <m/>
    <x v="1"/>
    <s v="FCOMP"/>
    <s v="JMM"/>
    <n v="43.93"/>
    <n v="60.15"/>
    <n v="0"/>
    <x v="5"/>
    <n v="100355.03"/>
    <n v="35399.870000000003"/>
    <m/>
    <n v="0"/>
    <d v="2024-12-05T12:41:00"/>
    <d v="2024-12-12T10:46:00"/>
    <d v="2024-12-17T00:00:00"/>
    <m/>
    <x v="4"/>
    <m/>
    <n v="43.471527777779556"/>
    <n v="36.551388888889051"/>
    <n v="-45675"/>
    <d v="2024-12-25T14:44:07"/>
    <d v="2025-01-03T18:28:57"/>
    <d v="2025-01-24T12:41:00"/>
    <n v="1.4122996343264131"/>
    <n v="-1087.5"/>
    <n v="23"/>
    <n v="36"/>
    <n v="23.085501858736059"/>
    <n v="29.241635687732341"/>
    <n v="20.085501858736059"/>
    <n v="42"/>
    <n v="33.6"/>
    <n v="28.6"/>
    <d v="2025-02-20T14:24:00"/>
    <d v="2025-02-15T14:24:00"/>
    <m/>
    <m/>
    <m/>
    <m/>
    <m/>
    <m/>
    <m/>
    <m/>
    <s v="NO COC"/>
    <m/>
    <d v="2025-02-02T00:00:00"/>
    <n v="-397"/>
    <m/>
    <m/>
    <m/>
    <m/>
    <m/>
    <m/>
    <m/>
    <m/>
    <m/>
    <m/>
    <s v="Y"/>
    <d v="2025-01-17T00:00:00"/>
    <m/>
    <m/>
    <m/>
    <m/>
    <m/>
    <m/>
    <s v="N/A"/>
    <s v="DZ1-0632, 035245"/>
  </r>
  <r>
    <d v="2024-12-23T00:00:00"/>
    <d v="2024-12-21T00:00:00"/>
    <m/>
    <x v="4"/>
    <s v="X24114628777"/>
    <s v="HOUSEHOLD DEVELOPMENT CORPORATION"/>
    <s v="BARCELONA, BRIA FLATS LAS PIÑAS, LAS PINAS CITY"/>
    <s v="LAS PINAS CITY"/>
    <s v="PARAÑAQUE"/>
    <m/>
    <s v="W/O ISSUE"/>
    <x v="4"/>
    <s v="SCHED"/>
    <s v="RRG"/>
    <n v="99.840699999999998"/>
    <n v="136.53"/>
    <n v="0"/>
    <x v="2"/>
    <n v="89332.4"/>
    <n v="80399.210000000006"/>
    <m/>
    <n v="0"/>
    <d v="2024-12-10T09:24:00"/>
    <d v="2024-12-16T14:18:00"/>
    <d v="2024-12-17T00:00:00"/>
    <m/>
    <x v="0"/>
    <m/>
    <n v="-45636.39166666667"/>
    <n v="-45642.595833333333"/>
    <n v="0"/>
    <d v="2024-12-31T14:21:56"/>
    <d v="2025-01-10T01:17:23"/>
    <d v="2025-01-29T09:24:00"/>
    <n v="-1413.9480324074075"/>
    <n v="0"/>
    <n v="26"/>
    <n v="36"/>
    <n v="24.206896551724139"/>
    <n v="30.662068965517239"/>
    <n v="21.206896551724139"/>
    <n v="44"/>
    <n v="35.200000000000003"/>
    <n v="30.200000000000003"/>
    <d v="1900-02-03T04:48:00"/>
    <d v="1900-01-29T04:48:00"/>
    <m/>
    <m/>
    <m/>
    <m/>
    <m/>
    <m/>
    <m/>
    <m/>
    <s v="No PO generated"/>
    <m/>
    <d v="1900-01-14T00:00:00"/>
    <n v="0"/>
    <m/>
    <m/>
    <m/>
    <m/>
    <m/>
    <m/>
    <m/>
    <m/>
    <m/>
    <m/>
    <m/>
    <m/>
    <m/>
    <m/>
    <m/>
    <m/>
    <m/>
    <m/>
    <s v="N/A"/>
    <m/>
  </r>
  <r>
    <d v="2024-12-16T00:00:00"/>
    <d v="2024-12-21T00:00:00"/>
    <s v="Y"/>
    <x v="1"/>
    <s v="X24103956559"/>
    <s v="LILY REAL ESTATE DEVELOPMENT CORPORATION"/>
    <s v="QUIRINO, TAMBO, PARANAQUE"/>
    <s v="PARAÑAQUE CITY"/>
    <s v="PARAÑAQUE"/>
    <m/>
    <s v="W/O ISSUE"/>
    <x v="4"/>
    <s v="SCHED"/>
    <s v="RRG"/>
    <n v="187.60159999999999"/>
    <n v="272.83"/>
    <n v="395"/>
    <x v="8"/>
    <n v="1391926.53"/>
    <n v="151199.6"/>
    <m/>
    <n v="0"/>
    <d v="2024-12-11T13:23:52"/>
    <d v="2024-12-16T14:14:00"/>
    <d v="2024-12-17T00:00:00"/>
    <m/>
    <x v="0"/>
    <m/>
    <n v="-45637.558240740742"/>
    <n v="-45642.593055555553"/>
    <n v="0"/>
    <d v="2024-12-29T13:23:52"/>
    <d v="2025-01-07T03:47:52"/>
    <d v="2025-01-30T13:23:52"/>
    <n v="-1629.9127943121691"/>
    <n v="0"/>
    <n v="28"/>
    <n v="28"/>
    <n v="21"/>
    <n v="26.6"/>
    <n v="18"/>
    <n v="46"/>
    <n v="36.800000000000004"/>
    <n v="31.800000000000004"/>
    <d v="1900-02-04T19:12:00"/>
    <d v="1900-01-30T19:12:00"/>
    <m/>
    <m/>
    <m/>
    <m/>
    <m/>
    <m/>
    <m/>
    <m/>
    <s v="No PO generated"/>
    <m/>
    <d v="1900-01-14T00:00:00"/>
    <n v="0"/>
    <m/>
    <m/>
    <m/>
    <m/>
    <m/>
    <m/>
    <m/>
    <m/>
    <m/>
    <m/>
    <s v="Y"/>
    <m/>
    <m/>
    <m/>
    <m/>
    <m/>
    <m/>
    <m/>
    <d v="2024-12-16T00:00:00"/>
    <s v="C5-8144, C5-8145, 526083"/>
  </r>
  <r>
    <d v="2024-12-16T00:00:00"/>
    <d v="2024-12-27T00:00:00"/>
    <m/>
    <x v="1"/>
    <s v="X24051975891"/>
    <s v="FANG LIN OASIS CORPORATION"/>
    <s v="QUIRINO, TAMBO, PARANAQUE"/>
    <s v="PARAÑAQUE CITY"/>
    <s v="PARAÑAQUE"/>
    <m/>
    <s v="W/O ISSUE"/>
    <x v="0"/>
    <s v="FCOMP"/>
    <s v="RRG"/>
    <n v="144.6317"/>
    <n v="197.35"/>
    <n v="247"/>
    <x v="8"/>
    <n v="975572.44"/>
    <n v="116492.84"/>
    <m/>
    <n v="0"/>
    <d v="2024-12-11T13:22:55"/>
    <d v="2024-12-16T14:12:00"/>
    <d v="2024-12-17T00:00:00"/>
    <m/>
    <x v="16"/>
    <m/>
    <n v="56.442418981481751"/>
    <n v="51.408333333332848"/>
    <n v="-45694"/>
    <d v="2024-12-30T01:33:30"/>
    <d v="2025-01-07T19:12:20"/>
    <d v="2025-01-30T13:22:55"/>
    <n v="1.9682484567901328"/>
    <n v="-1038.5"/>
    <n v="26"/>
    <n v="30"/>
    <n v="21.507352941176471"/>
    <n v="27.242647058823529"/>
    <n v="18.507352941176471"/>
    <n v="44"/>
    <n v="35.200000000000003"/>
    <n v="30.200000000000003"/>
    <d v="2025-03-13T04:48:00"/>
    <d v="2025-03-08T04:48:00"/>
    <m/>
    <m/>
    <m/>
    <m/>
    <m/>
    <m/>
    <m/>
    <m/>
    <s v="NO COC"/>
    <m/>
    <d v="2025-02-21T00:00:00"/>
    <n v="-416"/>
    <m/>
    <m/>
    <m/>
    <m/>
    <m/>
    <m/>
    <m/>
    <m/>
    <m/>
    <m/>
    <s v="Y"/>
    <d v="2025-02-05T00:00:00"/>
    <m/>
    <m/>
    <m/>
    <m/>
    <m/>
    <m/>
    <d v="2024-12-16T00:00:00"/>
    <s v="C5-0273, 522214, C5-8087"/>
  </r>
  <r>
    <d v="2024-12-16T00:00:00"/>
    <d v="2024-12-21T00:00:00"/>
    <m/>
    <x v="2"/>
    <s v="X24051797098"/>
    <s v="ERIC CHAN KE"/>
    <s v="MASBATE LOOP, MARINA SUBD, PARANAQUE"/>
    <s v="PARAÑAQUE CITY"/>
    <s v="PARAÑAQUE"/>
    <m/>
    <s v="W/O ISSUE"/>
    <x v="4"/>
    <s v="SCHED"/>
    <s v="RRG"/>
    <n v="64.906999999999996"/>
    <n v="96.48"/>
    <n v="117"/>
    <x v="5"/>
    <n v="410179.91"/>
    <n v="51914.54"/>
    <m/>
    <n v="0"/>
    <d v="2024-12-11T15:40:12"/>
    <d v="2024-12-16T14:10:00"/>
    <d v="2024-12-17T00:00:00"/>
    <m/>
    <x v="0"/>
    <m/>
    <n v="-45637.652916666666"/>
    <n v="-45642.590277777781"/>
    <n v="0"/>
    <d v="2024-12-30T03:09:23"/>
    <d v="2025-01-07T20:37:10"/>
    <d v="2025-01-30T15:40:12"/>
    <n v="-1593.5973912477352"/>
    <n v="0"/>
    <n v="23"/>
    <n v="32"/>
    <n v="21.478599221789885"/>
    <n v="27.206225680933851"/>
    <n v="18.478599221789885"/>
    <n v="42"/>
    <n v="33.6"/>
    <n v="28.6"/>
    <d v="1900-02-01T14:24:00"/>
    <d v="1900-01-27T14:24:00"/>
    <m/>
    <m/>
    <m/>
    <m/>
    <m/>
    <m/>
    <m/>
    <m/>
    <m/>
    <m/>
    <d v="1900-01-14T00:00:00"/>
    <n v="0"/>
    <m/>
    <m/>
    <m/>
    <m/>
    <m/>
    <m/>
    <m/>
    <m/>
    <m/>
    <m/>
    <s v="Y"/>
    <m/>
    <m/>
    <m/>
    <m/>
    <m/>
    <m/>
    <m/>
    <d v="2024-12-16T00:00:00"/>
    <s v="B4-8024, 522052"/>
  </r>
  <r>
    <d v="2024-12-15T00:00:00"/>
    <m/>
    <m/>
    <x v="1"/>
    <s v="X24104044893"/>
    <s v="SONAK HOLDINGS CORPORATION"/>
    <s v="WEST SERVICE, CUPANG, MUNTINLUPA"/>
    <s v="MUNTINLUPA CITY"/>
    <s v="PARAÑAQUE"/>
    <m/>
    <m/>
    <x v="0"/>
    <s v="SCHED"/>
    <s v="RRG"/>
    <n v="55.05"/>
    <n v="75.28"/>
    <n v="177"/>
    <x v="8"/>
    <n v="141821.41"/>
    <n v="44330.400000000001"/>
    <m/>
    <n v="0"/>
    <d v="2024-12-11T14:29:34"/>
    <d v="2024-12-13T09:47:00"/>
    <d v="2024-12-16T00:00:00"/>
    <m/>
    <x v="0"/>
    <m/>
    <n v="-45637.603865740741"/>
    <n v="-45639.407638888886"/>
    <n v="0"/>
    <d v="2024-12-30T01:58:45"/>
    <d v="2025-01-07T19:26:32"/>
    <d v="2025-01-30T14:29:34"/>
    <n v="-1593.5956784640448"/>
    <n v="0"/>
    <n v="23"/>
    <n v="32"/>
    <n v="21.478599221789885"/>
    <n v="27.206225680933851"/>
    <n v="18.478599221789885"/>
    <n v="42"/>
    <n v="33.6"/>
    <n v="28.6"/>
    <d v="1900-02-01T14:24:00"/>
    <d v="1900-01-27T14:24:00"/>
    <m/>
    <m/>
    <m/>
    <m/>
    <m/>
    <m/>
    <m/>
    <m/>
    <m/>
    <m/>
    <d v="1900-01-14T00:00:00"/>
    <n v="0"/>
    <m/>
    <m/>
    <m/>
    <m/>
    <m/>
    <m/>
    <m/>
    <m/>
    <m/>
    <m/>
    <s v="Y"/>
    <m/>
    <m/>
    <m/>
    <m/>
    <m/>
    <m/>
    <m/>
    <s v="N/A"/>
    <n v="262402"/>
  </r>
  <r>
    <d v="2024-12-23T00:00:00"/>
    <m/>
    <m/>
    <x v="1"/>
    <s v="X24114379635"/>
    <s v="CITYLAND DEVELOPMENT CORPORATION"/>
    <s v="ALABANG-ZAPOTE, ALMANZA I, LAS PINAS CITY"/>
    <s v="LAS PINAS CITY"/>
    <s v="PARAÑAQUE"/>
    <m/>
    <s v="W/O ISSUE"/>
    <x v="3"/>
    <s v="FCOMP"/>
    <s v="JMM"/>
    <n v="29.504999999999999"/>
    <n v="331.43"/>
    <n v="139"/>
    <x v="8"/>
    <n v="810419.94"/>
    <n v="23759.63"/>
    <m/>
    <n v="0"/>
    <d v="2024-12-11T12:23:03"/>
    <d v="2024-12-18T09:46:00"/>
    <d v="2024-12-17T00:00:00"/>
    <m/>
    <x v="14"/>
    <m/>
    <n v="39.483993055553583"/>
    <n v="32.593055555553292"/>
    <n v="-45677"/>
    <d v="2025-01-01T01:05:24"/>
    <d v="2025-01-10T07:40:42"/>
    <d v="2025-01-30T12:23:03"/>
    <n v="1.2585522786457704"/>
    <n v="-951.60416666666663"/>
    <n v="30"/>
    <n v="32"/>
    <n v="23.52941176470588"/>
    <n v="29.803921568627448"/>
    <n v="20.52941176470588"/>
    <n v="48"/>
    <n v="38.400000000000006"/>
    <n v="33.400000000000006"/>
    <d v="2025-02-27T09:36:00"/>
    <d v="2025-02-22T09:36:00"/>
    <m/>
    <m/>
    <m/>
    <m/>
    <m/>
    <m/>
    <m/>
    <m/>
    <s v="NO COC"/>
    <m/>
    <d v="2025-02-04T00:00:00"/>
    <n v="-399"/>
    <m/>
    <m/>
    <m/>
    <m/>
    <m/>
    <m/>
    <m/>
    <m/>
    <m/>
    <m/>
    <s v="Y"/>
    <d v="2025-01-14T00:00:00"/>
    <m/>
    <m/>
    <m/>
    <m/>
    <m/>
    <m/>
    <s v="N/A"/>
    <s v="TLN-055640"/>
  </r>
  <r>
    <d v="2025-01-23T00:00:00"/>
    <m/>
    <m/>
    <x v="4"/>
    <s v="X24103986359"/>
    <s v="DITO TELECOMMUNITY CORPORATION"/>
    <s v="QUEEN OF DIAMOND, QUEEN'S ROW AREA A SUBD, BACOOR"/>
    <s v="BACOOR CITY"/>
    <s v="DASMA"/>
    <m/>
    <s v="W/O ISSUE"/>
    <x v="3"/>
    <s v="FCOMP"/>
    <s v="JMM"/>
    <n v="288.62920000000003"/>
    <n v="572.16999999999996"/>
    <n v="22"/>
    <x v="8"/>
    <n v="1649653.47"/>
    <n v="231671.38"/>
    <m/>
    <n v="0"/>
    <d v="2024-12-10T15:58:41"/>
    <d v="2024-12-16T14:16:00"/>
    <d v="2024-12-17T00:00:00"/>
    <m/>
    <x v="1"/>
    <m/>
    <n v="50.334247685183072"/>
    <n v="44.405555555553292"/>
    <n v="-45687"/>
    <d v="2025-01-04T12:01:09"/>
    <d v="2025-01-14T22:09:49"/>
    <d v="2025-01-29T15:58:41"/>
    <n v="1.3562283404063216"/>
    <n v="-830.67272727272723"/>
    <n v="40"/>
    <n v="36"/>
    <n v="27.835051546391753"/>
    <n v="35.257731958762882"/>
    <n v="24.835051546391753"/>
    <n v="55"/>
    <n v="44"/>
    <n v="39"/>
    <d v="2025-03-15T00:00:00"/>
    <d v="2025-03-10T00:00:00"/>
    <m/>
    <m/>
    <m/>
    <m/>
    <m/>
    <m/>
    <m/>
    <m/>
    <s v="NO COC"/>
    <m/>
    <d v="2025-02-14T00:00:00"/>
    <n v="-409"/>
    <m/>
    <m/>
    <m/>
    <m/>
    <m/>
    <m/>
    <m/>
    <m/>
    <m/>
    <m/>
    <m/>
    <m/>
    <m/>
    <m/>
    <m/>
    <m/>
    <m/>
    <m/>
    <d v="2025-01-23T00:00:00"/>
    <s v="CS7-8136,CS7-8138,TLN-201851,CS7-8139,TLN-082385"/>
  </r>
  <r>
    <d v="2024-12-16T00:00:00"/>
    <m/>
    <m/>
    <x v="1"/>
    <s v="X24104064373"/>
    <s v="MA. CECILIA FLORES MAGAT"/>
    <s v="MULTINATIONAL, MULTINATIONAL VILL, PARANAQUE"/>
    <s v="PARAÑAQUE CITY"/>
    <s v="PARAÑAQUE"/>
    <m/>
    <s v="W/O ISSUE"/>
    <x v="3"/>
    <s v="SCHED"/>
    <s v="JMM"/>
    <n v="52.078499999999998"/>
    <n v="76.98"/>
    <n v="80"/>
    <x v="8"/>
    <n v="393602.3"/>
    <n v="41961.69"/>
    <m/>
    <n v="0"/>
    <d v="2024-12-10T15:42:48"/>
    <d v="2024-12-16T14:08:00"/>
    <d v="2024-12-17T00:00:00"/>
    <m/>
    <x v="0"/>
    <m/>
    <n v="-45636.654722222222"/>
    <n v="-45642.588888888888"/>
    <n v="0"/>
    <d v="2024-12-29T22:55:21"/>
    <d v="2025-01-07T21:38:42"/>
    <d v="2025-01-29T15:42:48"/>
    <n v="-1534.8388992256323"/>
    <n v="0"/>
    <n v="23"/>
    <n v="34"/>
    <n v="22.300380228136884"/>
    <n v="28.247148288973385"/>
    <n v="19.300380228136884"/>
    <n v="42"/>
    <n v="33.6"/>
    <n v="28.6"/>
    <d v="1900-02-01T14:24:00"/>
    <d v="1900-01-27T14:24:00"/>
    <m/>
    <m/>
    <m/>
    <m/>
    <m/>
    <m/>
    <m/>
    <m/>
    <m/>
    <m/>
    <d v="1900-01-14T00:00:00"/>
    <n v="0"/>
    <m/>
    <m/>
    <m/>
    <m/>
    <m/>
    <m/>
    <m/>
    <m/>
    <m/>
    <m/>
    <s v="Y"/>
    <m/>
    <m/>
    <m/>
    <m/>
    <m/>
    <m/>
    <m/>
    <d v="2024-12-16T00:00:00"/>
    <s v="CZ8-8053, CZ8-8101, 526286"/>
  </r>
  <r>
    <d v="2024-12-19T00:00:00"/>
    <m/>
    <m/>
    <x v="1"/>
    <s v="X24104277409"/>
    <s v="COMGLASCO AGUILA GLASS CORP."/>
    <s v="MANALAC, BAGONG TANYAG, TAGUIG CITY"/>
    <s v="TAGUIG CITY"/>
    <s v="PARAÑAQUE"/>
    <m/>
    <s v="W/O ISSUE"/>
    <x v="1"/>
    <s v="FCOMP"/>
    <s v="JMM"/>
    <n v="60.284599999999998"/>
    <n v="106.78"/>
    <n v="63"/>
    <x v="8"/>
    <n v="525751.37"/>
    <n v="52572.05"/>
    <m/>
    <n v="0"/>
    <d v="2024-12-10T09:20:17"/>
    <d v="2024-12-16T14:19:00"/>
    <d v="2024-12-19T00:00:00"/>
    <m/>
    <x v="26"/>
    <m/>
    <n v="31.610914351855172"/>
    <n v="25.403472222220444"/>
    <n v="-45668"/>
    <d v="2024-12-30T17:37:11"/>
    <d v="2025-01-08T23:01:42"/>
    <d v="2025-01-29T09:20:17"/>
    <n v="1.0155542619826774"/>
    <n v="-1037.909090909091"/>
    <n v="26"/>
    <n v="34"/>
    <n v="23.345070422535212"/>
    <n v="29.570422535211268"/>
    <n v="20.345070422535212"/>
    <n v="44"/>
    <n v="35.200000000000003"/>
    <n v="30.200000000000003"/>
    <d v="2025-02-15T04:48:00"/>
    <d v="2025-02-10T04:48:00"/>
    <m/>
    <m/>
    <m/>
    <m/>
    <m/>
    <m/>
    <m/>
    <m/>
    <s v="NO COC"/>
    <m/>
    <d v="2025-01-26T00:00:00"/>
    <n v="-390"/>
    <m/>
    <m/>
    <m/>
    <m/>
    <m/>
    <m/>
    <m/>
    <m/>
    <m/>
    <m/>
    <m/>
    <m/>
    <m/>
    <m/>
    <m/>
    <m/>
    <m/>
    <m/>
    <d v="2024-12-19T00:00:00"/>
    <s v="DZ2-8122,526339"/>
  </r>
  <r>
    <d v="2024-12-19T00:00:00"/>
    <m/>
    <m/>
    <x v="2"/>
    <s v="X24114498829"/>
    <s v="VILLA LIGHT NEIGHBORHOOD ASSOCIATION INC."/>
    <s v="BLOCK 10, VILLA LIGHT SUBD, TAGUIG CITY"/>
    <s v="TAGUIG CITY"/>
    <s v="PARAÑAQUE"/>
    <m/>
    <s v="W/O ISSUE"/>
    <x v="1"/>
    <s v="COMP-CAN"/>
    <s v="JMM"/>
    <n v="394.32159999999999"/>
    <n v="789.47"/>
    <n v="225"/>
    <x v="8"/>
    <n v="2711379.35"/>
    <n v="317538.48"/>
    <m/>
    <n v="0"/>
    <d v="2024-12-11T16:02:34"/>
    <d v="2024-12-18T09:49:00"/>
    <d v="2024-12-17T00:00:00"/>
    <m/>
    <x v="0"/>
    <m/>
    <n v="-45637.668449074074"/>
    <n v="-45644.40902777778"/>
    <n v="0"/>
    <d v="2025-01-01T23:49:36"/>
    <d v="2025-01-11T11:30:08"/>
    <d v="2025-01-30T16:02:34"/>
    <n v="-1407.1614438464505"/>
    <n v="0"/>
    <n v="40"/>
    <n v="30"/>
    <n v="24.324324324324326"/>
    <n v="30.810810810810811"/>
    <n v="21.324324324324326"/>
    <n v="55"/>
    <n v="44"/>
    <n v="39"/>
    <d v="1900-02-12T00:00:00"/>
    <d v="1900-02-07T00:00:00"/>
    <m/>
    <m/>
    <m/>
    <m/>
    <m/>
    <m/>
    <m/>
    <m/>
    <m/>
    <m/>
    <d v="1900-01-14T00:00:00"/>
    <n v="0"/>
    <m/>
    <m/>
    <m/>
    <m/>
    <m/>
    <m/>
    <m/>
    <m/>
    <m/>
    <m/>
    <m/>
    <m/>
    <m/>
    <m/>
    <m/>
    <m/>
    <m/>
    <m/>
    <d v="2024-12-19T00:00:00"/>
    <s v="B8-6311,B8-5575,ALB1-1211,513940,58-6313,513940,B8-6313,513941,B8-8161,B8-6316,212061,B8-8162,B8-8163,B8-8164,B8-8165,B8-8166,B8-8167,B8-8168,B8-8169,B8-8170,B8-8171,B8-8172,B8-8173,B8-8175,B8-8176"/>
  </r>
  <r>
    <d v="2025-02-27T00:00:00"/>
    <m/>
    <m/>
    <x v="4"/>
    <s v="X24114608824"/>
    <s v="DITO TELECOMMUNITY CORPORATION"/>
    <s v="CHAMPACA, STO. NINO, TAGUIG CITY"/>
    <s v="TAGUIG CITY"/>
    <s v="PARAÑAQUE"/>
    <s v="emailed request for drainage diversion last Feb. 7 (no update yet)"/>
    <s v="W/ ISSUE"/>
    <x v="1"/>
    <s v="SCHED"/>
    <s v="JMM"/>
    <n v="80.927599999999998"/>
    <n v="166.95"/>
    <n v="31"/>
    <x v="8"/>
    <n v="644480.06999999995"/>
    <n v="65169.08"/>
    <m/>
    <n v="0"/>
    <d v="2024-12-10T10:09:58"/>
    <d v="2024-12-16T14:17:00"/>
    <d v="2024-12-16T00:00:00"/>
    <m/>
    <x v="0"/>
    <m/>
    <n v="-45636.423587962963"/>
    <n v="-45642.595138888886"/>
    <n v="0"/>
    <d v="2024-12-31T15:07:54"/>
    <d v="2025-01-10T02:03:21"/>
    <d v="2025-01-29T10:09:58"/>
    <n v="-1413.9490214219293"/>
    <n v="0"/>
    <n v="26"/>
    <n v="36"/>
    <n v="24.206896551724139"/>
    <n v="30.662068965517239"/>
    <n v="21.206896551724139"/>
    <n v="44"/>
    <n v="35.200000000000003"/>
    <n v="30.200000000000003"/>
    <d v="1900-02-03T04:48:00"/>
    <d v="1900-01-29T04:48:00"/>
    <m/>
    <m/>
    <m/>
    <m/>
    <m/>
    <m/>
    <m/>
    <m/>
    <m/>
    <m/>
    <d v="1900-01-14T00:00:00"/>
    <n v="0"/>
    <m/>
    <m/>
    <m/>
    <m/>
    <m/>
    <m/>
    <m/>
    <m/>
    <m/>
    <m/>
    <m/>
    <m/>
    <m/>
    <m/>
    <m/>
    <m/>
    <m/>
    <m/>
    <d v="2024-12-27T00:00:00"/>
    <s v="B7-8108,TLN-522135"/>
  </r>
  <r>
    <d v="2024-12-16T00:00:00"/>
    <m/>
    <m/>
    <x v="4"/>
    <s v="X24114608975"/>
    <s v="LIGHT RAIL MANILA CORPORATION"/>
    <s v="NINOY AQUINO, STO. NINO, PARANAQUE"/>
    <s v="PARAÑAQUE CITY"/>
    <s v="PARAÑAQUE"/>
    <m/>
    <s v="W/O ISSUE"/>
    <x v="1"/>
    <s v="SCHED"/>
    <s v="JMM"/>
    <n v="41.711100000000002"/>
    <n v="331.43"/>
    <n v="4999"/>
    <x v="8"/>
    <n v="810419.94"/>
    <n v="33589.199999999997"/>
    <m/>
    <n v="0"/>
    <d v="2024-12-10T09:38:23"/>
    <d v="2024-12-17T15:06:00"/>
    <d v="2024-12-17T00:00:00"/>
    <m/>
    <x v="0"/>
    <m/>
    <n v="-45636.401655092595"/>
    <n v="-45643.629166666666"/>
    <n v="0"/>
    <d v="2024-12-24T01:38:23"/>
    <d v="2024-12-31T12:18:23"/>
    <d v="2025-01-29T09:38:23"/>
    <n v="-2053.6380744791668"/>
    <n v="0"/>
    <n v="30"/>
    <n v="20"/>
    <n v="16.666666666666668"/>
    <n v="21.111111111111111"/>
    <n v="13.666666666666668"/>
    <n v="48"/>
    <n v="38.400000000000006"/>
    <n v="33.400000000000006"/>
    <d v="1900-02-06T09:36:00"/>
    <d v="1900-02-01T09:36:00"/>
    <m/>
    <m/>
    <m/>
    <m/>
    <m/>
    <m/>
    <m/>
    <m/>
    <m/>
    <m/>
    <d v="1900-01-14T00:00:00"/>
    <n v="0"/>
    <m/>
    <m/>
    <m/>
    <m/>
    <m/>
    <m/>
    <m/>
    <m/>
    <m/>
    <m/>
    <s v="Y"/>
    <m/>
    <m/>
    <m/>
    <m/>
    <m/>
    <m/>
    <m/>
    <s v="N/A"/>
    <s v="A5-5544, A5-5530, A5-1070, A5-8015, A5-8016, A5-8018"/>
  </r>
  <r>
    <d v="2024-12-16T00:00:00"/>
    <m/>
    <m/>
    <x v="2"/>
    <s v="X23104201686"/>
    <s v="MINGHAI SU"/>
    <s v="MATTHEW, MULTINATIONAL VILL, PARANAQUE"/>
    <s v="PARAÑAQUE CITY"/>
    <s v="PARAÑAQUE"/>
    <s v="waiting for schedule"/>
    <s v="W/O ISSUE"/>
    <x v="2"/>
    <s v="FCOMP"/>
    <s v="IGL"/>
    <n v="52.731000000000002"/>
    <n v="86.52"/>
    <n v="63"/>
    <x v="8"/>
    <n v="428089.39"/>
    <n v="42462.879999999997"/>
    <m/>
    <n v="0"/>
    <d v="2024-12-11T15:39:45"/>
    <d v="2024-12-16T14:11:00"/>
    <d v="2024-12-17T00:00:00"/>
    <m/>
    <x v="41"/>
    <m/>
    <n v="74.347395833334303"/>
    <n v="69.409027777779556"/>
    <n v="-45712"/>
    <d v="2024-12-30T22:52:18"/>
    <d v="2025-01-08T21:35:39"/>
    <d v="2025-01-30T15:39:45"/>
    <n v="2.500430320225949"/>
    <n v="-1088.3809523809523"/>
    <n v="23"/>
    <n v="34"/>
    <n v="22.300380228136884"/>
    <n v="28.247148288973385"/>
    <n v="19.300380228136884"/>
    <n v="42"/>
    <n v="33.6"/>
    <n v="28.6"/>
    <d v="2025-03-29T14:24:00"/>
    <d v="2025-03-24T14:24:00"/>
    <m/>
    <m/>
    <m/>
    <m/>
    <m/>
    <m/>
    <m/>
    <m/>
    <s v="NO COC"/>
    <m/>
    <d v="2025-03-11T00:00:00"/>
    <n v="-434"/>
    <m/>
    <m/>
    <m/>
    <m/>
    <m/>
    <m/>
    <m/>
    <m/>
    <m/>
    <m/>
    <s v="Y"/>
    <d v="2025-02-21T00:00:00"/>
    <m/>
    <m/>
    <m/>
    <m/>
    <m/>
    <m/>
    <d v="2024-12-16T00:00:00"/>
    <s v="CZ8-8052, 519369"/>
  </r>
  <r>
    <d v="2024-12-19T00:00:00"/>
    <m/>
    <m/>
    <x v="2"/>
    <s v="X24073016208"/>
    <s v="KISE GAYLE RAMOS TANG"/>
    <s v="COUNTRY CLUB, AYALA-ALABANG VILL, MUNTINLUPA"/>
    <s v="MUNTINLUPA CITY"/>
    <s v="PARAÑAQUE"/>
    <s v="waiting for schedule"/>
    <s v="W/O ISSUE"/>
    <x v="2"/>
    <s v="FCOMP"/>
    <s v="JSP"/>
    <n v="283.27319999999997"/>
    <n v="385.32"/>
    <n v="890.5"/>
    <x v="8"/>
    <n v="1564214.32"/>
    <n v="227012.78"/>
    <m/>
    <n v="0"/>
    <d v="2024-12-11T14:22:37"/>
    <d v="2024-12-18T09:53:00"/>
    <d v="2024-12-17T00:00:00"/>
    <m/>
    <x v="42"/>
    <m/>
    <n v="28.800960648150067"/>
    <n v="21.988194444442343"/>
    <n v="-45666.400000000001"/>
    <d v="2024-12-27T03:32:18"/>
    <d v="2025-01-04T02:14:52"/>
    <d v="2025-01-30T14:22:37"/>
    <n v="1.1645605827295462"/>
    <n v="-951.38333333333333"/>
    <n v="30"/>
    <n v="23"/>
    <n v="18.548387096774192"/>
    <n v="23.494623655913976"/>
    <n v="15.548387096774192"/>
    <n v="48"/>
    <n v="38.400000000000006"/>
    <n v="33.400000000000006"/>
    <d v="2025-02-16T19:12:00"/>
    <d v="2025-02-11T19:12:00"/>
    <m/>
    <m/>
    <m/>
    <m/>
    <m/>
    <m/>
    <m/>
    <m/>
    <s v="FOR AUDIT"/>
    <m/>
    <d v="2025-01-24T09:36:00"/>
    <n v="24.599999999998545"/>
    <d v="2025-01-09T00:00:00"/>
    <d v="2025-02-18T00:00:00"/>
    <m/>
    <m/>
    <m/>
    <m/>
    <m/>
    <m/>
    <m/>
    <m/>
    <s v="Y"/>
    <d v="2025-01-08T00:00:00"/>
    <m/>
    <m/>
    <m/>
    <m/>
    <m/>
    <m/>
    <d v="2024-12-19T00:00:00"/>
    <s v="CS9-0022,523221,CS9-8031,CS9-8078"/>
  </r>
  <r>
    <d v="2024-12-19T00:00:00"/>
    <m/>
    <m/>
    <x v="2"/>
    <s v="X24093530616"/>
    <s v="SPRINGTOWN DEVELOPMENT CORPORATION"/>
    <s v="SUSANA, TUNASAN, MUNTINLUPA"/>
    <s v="MUNTINLUPA CITY"/>
    <s v="PARAÑAQUE"/>
    <m/>
    <m/>
    <x v="2"/>
    <s v="SCHED"/>
    <s v="IGL"/>
    <n v="72.207949999999997"/>
    <n v="98.88"/>
    <n v="0"/>
    <x v="5"/>
    <n v="73744.25"/>
    <n v="58147.16"/>
    <m/>
    <n v="0"/>
    <d v="2024-12-10T11:58:13"/>
    <d v="2024-12-16T14:20:00"/>
    <d v="2024-12-17T00:00:00"/>
    <m/>
    <x v="0"/>
    <m/>
    <n v="-45636.498761574076"/>
    <n v="-45642.597222222219"/>
    <n v="0"/>
    <d v="2024-12-30T14:01:20"/>
    <d v="2025-01-08T17:46:10"/>
    <d v="2025-01-29T11:58:13"/>
    <n v="-1482.6350443071769"/>
    <n v="0"/>
    <n v="23"/>
    <n v="36"/>
    <n v="23.085501858736059"/>
    <n v="29.241635687732341"/>
    <n v="20.085501858736059"/>
    <n v="42"/>
    <n v="33.6"/>
    <n v="28.6"/>
    <d v="1900-02-01T14:24:00"/>
    <d v="1900-01-27T14:24:00"/>
    <m/>
    <m/>
    <m/>
    <m/>
    <m/>
    <m/>
    <m/>
    <m/>
    <m/>
    <m/>
    <d v="1900-01-14T00:00:00"/>
    <n v="0"/>
    <m/>
    <m/>
    <m/>
    <m/>
    <m/>
    <m/>
    <m/>
    <m/>
    <m/>
    <m/>
    <s v="Y"/>
    <m/>
    <m/>
    <m/>
    <m/>
    <m/>
    <m/>
    <m/>
    <s v="N/A"/>
    <m/>
  </r>
  <r>
    <d v="2024-12-19T00:00:00"/>
    <m/>
    <m/>
    <x v="2"/>
    <s v="X24093717312"/>
    <s v="MARIA PERLA G DATINGALING"/>
    <s v="J. DIAZ, KATARUNGAN VILLAGE, MUNTINLUPA"/>
    <s v="MUNTINLUPA CITY"/>
    <s v="PARAÑAQUE"/>
    <m/>
    <m/>
    <x v="2"/>
    <s v="SCHED"/>
    <s v="IGL"/>
    <n v="222.63659999999999"/>
    <n v="328.32"/>
    <n v="20"/>
    <x v="5"/>
    <n v="693321.27"/>
    <n v="179284.96"/>
    <m/>
    <n v="0"/>
    <d v="2024-12-11T17:02:41"/>
    <d v="2024-12-18T09:43:00"/>
    <d v="2024-12-17T00:00:00"/>
    <m/>
    <x v="0"/>
    <m/>
    <n v="-45637.710196759261"/>
    <n v="-45644.404861111114"/>
    <n v="0"/>
    <d v="2025-01-03T04:21:56"/>
    <d v="2025-01-12T23:23:04"/>
    <d v="2025-01-30T17:02:41"/>
    <n v="-1343.7770224601336"/>
    <n v="0"/>
    <n v="30"/>
    <n v="36"/>
    <n v="25.471698113207545"/>
    <n v="32.264150943396224"/>
    <n v="22.471698113207545"/>
    <n v="48"/>
    <n v="38.400000000000006"/>
    <n v="33.400000000000006"/>
    <d v="1900-02-06T09:36:00"/>
    <d v="1900-02-01T09:36:00"/>
    <m/>
    <m/>
    <m/>
    <m/>
    <m/>
    <m/>
    <m/>
    <m/>
    <m/>
    <m/>
    <d v="1900-01-14T00:00:00"/>
    <n v="0"/>
    <m/>
    <m/>
    <m/>
    <m/>
    <m/>
    <m/>
    <m/>
    <m/>
    <m/>
    <m/>
    <m/>
    <m/>
    <m/>
    <m/>
    <m/>
    <m/>
    <m/>
    <m/>
    <d v="2024-12-19T00:00:00"/>
    <s v="CR9-0785, CR9-8043, CR9-8044, CR9-8045, CR9-8046, 526228, CR9-8047"/>
  </r>
  <r>
    <d v="2024-12-23T00:00:00"/>
    <d v="2024-12-21T00:00:00"/>
    <m/>
    <x v="2"/>
    <s v="X24010237993"/>
    <s v="ALEXANDER CREUS BONDOC"/>
    <s v="STREET, ARDEN, ST. JOSEPH SUBD, LAS PINAS CITY"/>
    <s v="LAS PINAS CITY"/>
    <s v="PARAÑAQUE"/>
    <m/>
    <m/>
    <x v="2"/>
    <s v="FCOMP"/>
    <s v="JSP"/>
    <n v="24.940300000000001"/>
    <n v="34.08"/>
    <n v="87.25"/>
    <x v="8"/>
    <n v="211369.87"/>
    <n v="20083.77"/>
    <m/>
    <n v="0"/>
    <d v="2024-12-16T00:00:00"/>
    <d v="2024-12-20T13:12:00"/>
    <d v="2024-12-19T00:00:00"/>
    <m/>
    <x v="2"/>
    <m/>
    <n v="30"/>
    <n v="25.44999999999709"/>
    <n v="-45672"/>
    <d v="2025-01-03T01:47:06"/>
    <d v="2025-01-11T16:39:40"/>
    <d v="2025-02-04T00:00:00"/>
    <n v="1.0676470588235292"/>
    <n v="-1141.8"/>
    <n v="20"/>
    <n v="34"/>
    <n v="21.074380165289259"/>
    <n v="26.694214876033058"/>
    <n v="18.074380165289259"/>
    <n v="40"/>
    <n v="32"/>
    <n v="27"/>
    <d v="2025-02-16T00:00:00"/>
    <d v="2025-02-11T00:00:00"/>
    <m/>
    <m/>
    <m/>
    <m/>
    <m/>
    <m/>
    <m/>
    <m/>
    <s v="NO COC/ON GOING MATERIAL RETURN"/>
    <s v="WITH NTC"/>
    <d v="2025-01-30T00:00:00"/>
    <n v="-394"/>
    <m/>
    <m/>
    <d v="2025-02-06T00:00:00"/>
    <s v="ECI"/>
    <s v="Y"/>
    <m/>
    <m/>
    <m/>
    <m/>
    <m/>
    <s v="Y"/>
    <d v="2025-01-14T00:00:00"/>
    <m/>
    <m/>
    <m/>
    <m/>
    <m/>
    <m/>
    <d v="2024-12-23T00:00:00"/>
    <s v="CU9-2288,TLN-520302"/>
  </r>
  <r>
    <d v="2024-12-23T00:00:00"/>
    <d v="2024-12-21T00:00:00"/>
    <m/>
    <x v="2"/>
    <s v="X24010241125"/>
    <s v="ALEXANDER CREUS BONDOC"/>
    <s v="STREET, ARDEN, ST. JOSEPH SUBD, LAS PINAS CITY"/>
    <s v="LAS PINAS CITY"/>
    <s v="PARAÑAQUE"/>
    <m/>
    <m/>
    <x v="2"/>
    <s v="FCOMP"/>
    <s v="JSP"/>
    <n v="22.520299999999999"/>
    <n v="30.77"/>
    <n v="87.25"/>
    <x v="8"/>
    <n v="206120.13"/>
    <n v="18135.009999999998"/>
    <m/>
    <n v="0"/>
    <d v="2024-12-16T00:00:00"/>
    <d v="2024-12-20T13:25:00"/>
    <d v="2024-12-19T00:00:00"/>
    <m/>
    <x v="2"/>
    <m/>
    <n v="30"/>
    <n v="25.440972222218988"/>
    <n v="-45672"/>
    <d v="2025-01-03T01:47:06"/>
    <d v="2025-01-11T16:39:40"/>
    <d v="2025-02-04T00:00:00"/>
    <n v="1.0676470588235292"/>
    <n v="-1141.8"/>
    <n v="20"/>
    <n v="34"/>
    <n v="21.074380165289259"/>
    <n v="26.694214876033058"/>
    <n v="18.074380165289259"/>
    <n v="40"/>
    <n v="32"/>
    <n v="27"/>
    <d v="2025-02-16T00:00:00"/>
    <d v="2025-02-11T00:00:00"/>
    <m/>
    <m/>
    <m/>
    <m/>
    <m/>
    <m/>
    <m/>
    <m/>
    <s v="NO COC/ON GOING MATERIAL RETURN"/>
    <s v="WITH NTC"/>
    <d v="2025-01-30T00:00:00"/>
    <n v="-394"/>
    <m/>
    <m/>
    <d v="2025-02-06T00:00:00"/>
    <s v="ECI"/>
    <s v="Y"/>
    <m/>
    <m/>
    <m/>
    <m/>
    <m/>
    <s v="Y"/>
    <d v="2025-01-14T00:00:00"/>
    <m/>
    <m/>
    <m/>
    <m/>
    <m/>
    <m/>
    <d v="2024-12-23T00:00:00"/>
    <s v="CU9-8036,TLN-520301"/>
  </r>
  <r>
    <d v="2025-01-03T00:00:00"/>
    <d v="2024-12-27T00:00:00"/>
    <m/>
    <x v="2"/>
    <s v="X24020423392"/>
    <s v="GERMAN SELDAS MOTAR"/>
    <s v="MULTINATIONAL VILL, PARANAQUE"/>
    <s v="PARAÑAQUE CITY"/>
    <s v="PARAÑAQUE"/>
    <m/>
    <m/>
    <x v="0"/>
    <s v="FCOMP"/>
    <s v="RRG"/>
    <n v="132.87139999999999"/>
    <n v="202.83"/>
    <n v="140"/>
    <x v="5"/>
    <n v="613121.03"/>
    <n v="106644.8"/>
    <m/>
    <n v="0"/>
    <d v="2024-12-17T00:00:00"/>
    <d v="2024-12-23T12:47:00"/>
    <d v="2024-12-27T00:00:00"/>
    <m/>
    <x v="9"/>
    <m/>
    <n v="67"/>
    <n v="60.46736111111386"/>
    <n v="-45710"/>
    <d v="2025-01-06T00:19:44"/>
    <d v="2025-01-15T03:36:59"/>
    <d v="2025-02-05T00:00:00"/>
    <n v="2.1834821428571427"/>
    <n v="-993.695652173913"/>
    <n v="28"/>
    <n v="32"/>
    <n v="23.013698630136989"/>
    <n v="29.150684931506852"/>
    <n v="20.013698630136989"/>
    <n v="46"/>
    <n v="36.800000000000004"/>
    <n v="31.800000000000004"/>
    <d v="2025-03-30T19:12:00"/>
    <d v="2025-03-25T19:12:00"/>
    <m/>
    <m/>
    <m/>
    <m/>
    <m/>
    <m/>
    <m/>
    <m/>
    <s v="NO COC"/>
    <m/>
    <d v="2025-03-09T00:00:00"/>
    <n v="-432"/>
    <m/>
    <m/>
    <m/>
    <m/>
    <m/>
    <m/>
    <m/>
    <m/>
    <m/>
    <m/>
    <s v="Y"/>
    <d v="2025-02-20T00:00:00"/>
    <m/>
    <m/>
    <m/>
    <m/>
    <m/>
    <m/>
    <d v="2025-01-03T00:00:00"/>
    <s v="CZ8-0913,TLN-034953,CZ8-0915,TLN-520549,CZ8-0916,CZ8-0914"/>
  </r>
  <r>
    <d v="2024-12-23T00:00:00"/>
    <d v="2024-12-27T00:00:00"/>
    <m/>
    <x v="2"/>
    <s v="X24020497540"/>
    <s v="THAYNE JARRETT TAN RECATO DY"/>
    <s v="BETTERLIVING SUBD ANNEX 29/32, PARANAQUE"/>
    <s v="PARAÑAQUE CITY"/>
    <s v="PARAÑAQUE"/>
    <m/>
    <m/>
    <x v="0"/>
    <s v="SCHED"/>
    <s v="RRG"/>
    <n v="69.344099999999997"/>
    <n v="104.67"/>
    <n v="31"/>
    <x v="5"/>
    <n v="324019.03000000003"/>
    <n v="55841.25"/>
    <m/>
    <n v="0"/>
    <d v="2024-12-16T00:00:00"/>
    <d v="2024-12-20T13:30:00"/>
    <d v="2024-12-27T00:00:00"/>
    <m/>
    <x v="0"/>
    <m/>
    <n v="-45642"/>
    <n v="-45646.5625"/>
    <n v="0"/>
    <d v="2025-01-06T04:57:56"/>
    <d v="2025-01-15T15:53:23"/>
    <d v="2025-02-04T00:00:00"/>
    <n v="-1414.1217948717949"/>
    <n v="0"/>
    <n v="26"/>
    <n v="36"/>
    <n v="24.206896551724139"/>
    <n v="30.662068965517239"/>
    <n v="21.206896551724139"/>
    <n v="44"/>
    <n v="35.200000000000003"/>
    <n v="30.200000000000003"/>
    <d v="1900-02-03T04:48:00"/>
    <d v="1900-01-29T04:48:00"/>
    <m/>
    <m/>
    <m/>
    <m/>
    <m/>
    <m/>
    <m/>
    <m/>
    <m/>
    <m/>
    <d v="1900-01-14T00:00:00"/>
    <n v="0"/>
    <m/>
    <m/>
    <m/>
    <m/>
    <m/>
    <m/>
    <m/>
    <m/>
    <m/>
    <m/>
    <m/>
    <m/>
    <m/>
    <m/>
    <m/>
    <m/>
    <m/>
    <m/>
    <d v="2024-12-27T00:00:00"/>
    <s v="CY9-0660,TLN-520599"/>
  </r>
  <r>
    <d v="2025-01-03T00:00:00"/>
    <d v="2024-12-21T00:00:00"/>
    <m/>
    <x v="2"/>
    <s v="X24114453678"/>
    <s v="JENNIFER GALANG UY"/>
    <s v="KATARUNGAN VILLAGE, MUNTINLUPA"/>
    <s v="MUNTINLUPA CITY"/>
    <s v="PARAÑAQUE"/>
    <m/>
    <m/>
    <x v="3"/>
    <s v="SCHED"/>
    <s v="JMM"/>
    <n v="193.60149999999999"/>
    <n v="275"/>
    <n v="83"/>
    <x v="5"/>
    <n v="746852.49"/>
    <n v="155928.48000000001"/>
    <m/>
    <n v="0"/>
    <d v="2024-12-16T00:00:00"/>
    <d v="2024-12-20T13:29:00"/>
    <d v="2024-12-19T00:00:00"/>
    <m/>
    <x v="0"/>
    <m/>
    <n v="-45642"/>
    <n v="-45646.561805555553"/>
    <n v="0"/>
    <d v="2025-01-05T23:02:01"/>
    <d v="2025-01-15T08:22:33"/>
    <d v="2025-02-04T00:00:00"/>
    <n v="-1428.7096638655462"/>
    <n v="0"/>
    <n v="28"/>
    <n v="34"/>
    <n v="23.959731543624162"/>
    <n v="30.348993288590602"/>
    <n v="20.959731543624162"/>
    <n v="46"/>
    <n v="36.800000000000004"/>
    <n v="31.800000000000004"/>
    <d v="1900-02-04T19:12:00"/>
    <d v="1900-01-30T19:12:00"/>
    <m/>
    <m/>
    <m/>
    <m/>
    <m/>
    <m/>
    <m/>
    <m/>
    <m/>
    <m/>
    <d v="1900-01-14T00:00:00"/>
    <n v="0"/>
    <m/>
    <m/>
    <m/>
    <m/>
    <m/>
    <m/>
    <m/>
    <m/>
    <m/>
    <m/>
    <m/>
    <m/>
    <m/>
    <m/>
    <m/>
    <m/>
    <m/>
    <m/>
    <d v="2025-01-03T00:00:00"/>
    <s v="CR9-0789,CR9-2362,CR9-8049,CR9-5016,CR9-5017,CR9-5010,CR9-8050,TLN-526521,CR9-5011"/>
  </r>
  <r>
    <d v="2024-12-23T00:00:00"/>
    <d v="2024-12-21T00:00:00"/>
    <m/>
    <x v="4"/>
    <s v="X24062437670"/>
    <s v="DITO TELECOMMUNITY CORPORATION"/>
    <s v="BETTERLIVING SUBD ANNEX 45, PARANAQUE"/>
    <s v="PARAÑAQUE CITY"/>
    <s v="PARAÑAQUE"/>
    <s v="for sched of digging; crew was deferred to execute OLDT Wos"/>
    <m/>
    <x v="3"/>
    <s v="SCHED"/>
    <s v="JMM"/>
    <n v="134.78100000000001"/>
    <n v="201.2"/>
    <n v="22"/>
    <x v="8"/>
    <n v="567073.31999999995"/>
    <n v="108536.04"/>
    <m/>
    <n v="0"/>
    <d v="2024-12-13T00:00:00"/>
    <d v="2024-12-20T13:08:00"/>
    <d v="2024-12-19T00:00:00"/>
    <m/>
    <x v="0"/>
    <m/>
    <n v="-45639"/>
    <n v="-45646.547222222223"/>
    <n v="0"/>
    <d v="2025-01-03T20:50:32"/>
    <d v="2025-01-13T12:00:00"/>
    <d v="2025-02-01T00:00:00"/>
    <n v="-1376.4142857142856"/>
    <n v="0"/>
    <n v="28"/>
    <n v="36"/>
    <n v="24.868421052631579"/>
    <n v="31.499999999999996"/>
    <n v="21.868421052631579"/>
    <n v="46"/>
    <n v="36.800000000000004"/>
    <n v="31.800000000000004"/>
    <d v="1900-02-04T19:12:00"/>
    <d v="1900-01-30T19:12:00"/>
    <m/>
    <m/>
    <m/>
    <m/>
    <m/>
    <m/>
    <m/>
    <m/>
    <m/>
    <m/>
    <d v="1900-01-14T00:00:00"/>
    <n v="0"/>
    <m/>
    <m/>
    <m/>
    <m/>
    <m/>
    <m/>
    <m/>
    <m/>
    <m/>
    <m/>
    <m/>
    <m/>
    <m/>
    <m/>
    <m/>
    <m/>
    <m/>
    <m/>
    <d v="2024-12-23T00:00:00"/>
    <s v="A6-1003,A6-8032,A6-1404,A6-1010,TLN-522577,A6-1402"/>
  </r>
  <r>
    <m/>
    <d v="2024-12-21T00:00:00"/>
    <m/>
    <x v="1"/>
    <s v="X24072720259"/>
    <s v="RAMON GALVEZ VIZMONTE"/>
    <s v="MAMBOG IV, BACOOR"/>
    <s v="BACOOR CITY"/>
    <s v="DASMA"/>
    <m/>
    <s v="For Force Fcomp "/>
    <x v="4"/>
    <s v="FCOMP"/>
    <s v="RRG"/>
    <n v="27.452799999999996"/>
    <n v="70.849999999999994"/>
    <n v="196"/>
    <x v="8"/>
    <n v="647847.98"/>
    <n v="41915.619999999995"/>
    <m/>
    <n v="0"/>
    <d v="2024-12-12T00:00:00"/>
    <d v="2025-01-02T12:26:00"/>
    <d v="2024-12-19T00:00:00"/>
    <s v="1/14/025"/>
    <x v="27"/>
    <m/>
    <n v="33"/>
    <n v="11.481944444443798"/>
    <n v="-45671"/>
    <d v="2024-12-30T11:29:11"/>
    <d v="2025-01-08T04:56:58"/>
    <d v="2025-01-31T00:00:00"/>
    <n v="1.1523097826086954"/>
    <n v="-1087.4047619047619"/>
    <n v="23"/>
    <n v="32"/>
    <n v="21.478599221789885"/>
    <n v="27.206225680933851"/>
    <n v="18.478599221789885"/>
    <n v="42"/>
    <n v="33.6"/>
    <n v="28.6"/>
    <d v="2025-02-16T14:24:00"/>
    <d v="2025-02-11T14:24:00"/>
    <m/>
    <m/>
    <m/>
    <m/>
    <m/>
    <m/>
    <m/>
    <m/>
    <s v="FOR AUDIT"/>
    <m/>
    <d v="2025-01-29T00:00:00"/>
    <n v="-6"/>
    <d v="2025-01-17T00:00:00"/>
    <d v="2025-01-23T00:00:00"/>
    <m/>
    <m/>
    <m/>
    <m/>
    <m/>
    <m/>
    <m/>
    <m/>
    <s v="Y"/>
    <d v="2025-01-13T00:00:00"/>
    <m/>
    <m/>
    <m/>
    <m/>
    <m/>
    <m/>
    <m/>
    <m/>
  </r>
  <r>
    <d v="2025-01-03T00:00:00"/>
    <d v="2024-12-21T00:00:00"/>
    <m/>
    <x v="1"/>
    <s v="X24114622443"/>
    <s v="NELSON BALIGUAT RODRIGUEZ"/>
    <s v="ENLISTED PERSONNEL VIL 2, TAGUIG CITY"/>
    <s v="TAGUIG CITY"/>
    <s v="PARAÑAQUE"/>
    <m/>
    <m/>
    <x v="1"/>
    <s v="FCOMP"/>
    <s v="JMM"/>
    <n v="39.92"/>
    <n v="54.73"/>
    <n v="21"/>
    <x v="5"/>
    <n v="78921.539999999994"/>
    <n v="32146.36"/>
    <m/>
    <n v="0"/>
    <d v="2024-12-17T00:00:00"/>
    <d v="2024-12-23T12:43:00"/>
    <d v="2024-12-19T00:00:00"/>
    <m/>
    <x v="32"/>
    <m/>
    <n v="40"/>
    <n v="33.47013888888614"/>
    <n v="-45683"/>
    <d v="2025-01-06T02:03:07"/>
    <d v="2025-01-15T05:47:57"/>
    <d v="2025-02-05T00:00:00"/>
    <n v="1.2995169082125604"/>
    <n v="-1087.6904761904761"/>
    <n v="23"/>
    <n v="36"/>
    <n v="23.085501858736059"/>
    <n v="29.241635687732341"/>
    <n v="20.085501858736059"/>
    <n v="42"/>
    <n v="33.6"/>
    <n v="28.6"/>
    <d v="2025-02-28T14:24:00"/>
    <d v="2025-02-23T14:24:00"/>
    <m/>
    <m/>
    <m/>
    <m/>
    <m/>
    <m/>
    <m/>
    <m/>
    <s v="NO COC"/>
    <m/>
    <d v="2025-02-10T00:00:00"/>
    <n v="-405"/>
    <m/>
    <m/>
    <m/>
    <m/>
    <m/>
    <m/>
    <m/>
    <m/>
    <m/>
    <m/>
    <s v="Y"/>
    <d v="2025-01-23T00:00:00"/>
    <m/>
    <m/>
    <m/>
    <m/>
    <m/>
    <m/>
    <s v="N/A"/>
    <s v="B8-0946,TLN-117028,C8-0523,"/>
  </r>
  <r>
    <d v="2025-01-06T00:00:00"/>
    <d v="2025-01-02T00:00:00"/>
    <m/>
    <x v="2"/>
    <s v="X23093703275"/>
    <s v="BARANGAY MANUYO DOS"/>
    <s v="TOLENTINO, GATCHALIAN SUBD, LAS PINAS CITY"/>
    <s v="LAS PINAS CITY"/>
    <s v="PARAÑAQUE"/>
    <m/>
    <m/>
    <x v="2"/>
    <s v="SCHED"/>
    <s v="IGL"/>
    <n v="124.15810000000002"/>
    <n v="222.05"/>
    <n v="17.8"/>
    <x v="8"/>
    <n v="650762.17000000004"/>
    <n v="117362.26000000004"/>
    <m/>
    <n v="0"/>
    <d v="2024-12-19T00:00:00"/>
    <d v="2024-12-23T12:52:00"/>
    <d v="2024-12-21T00:00:00"/>
    <m/>
    <x v="0"/>
    <m/>
    <n v="-45645"/>
    <n v="0"/>
    <n v="0"/>
    <d v="2025-01-06T02:03:07"/>
    <d v="2025-01-15T05:47:57"/>
    <d v="2025-02-05T00:00:00"/>
    <n v="-1482.8462560386474"/>
    <n v="0"/>
    <n v="23"/>
    <n v="36"/>
    <n v="23.085501858736059"/>
    <n v="29.241635687732341"/>
    <n v="20.085501858736059"/>
    <n v="42"/>
    <n v="33.6"/>
    <n v="28.6"/>
    <d v="1900-02-01T14:24:00"/>
    <d v="1900-01-27T14:24:00"/>
    <m/>
    <m/>
    <m/>
    <m/>
    <m/>
    <m/>
    <m/>
    <m/>
    <m/>
    <m/>
    <d v="1900-01-14T00:00:00"/>
    <n v="0"/>
    <m/>
    <m/>
    <m/>
    <m/>
    <m/>
    <m/>
    <m/>
    <m/>
    <m/>
    <m/>
    <m/>
    <m/>
    <m/>
    <m/>
    <m/>
    <m/>
    <m/>
    <m/>
    <d v="2025-01-06T00:00:00"/>
    <s v="CY8-8023,CY8-8024,CY8-8025,TLN-518841"/>
  </r>
  <r>
    <d v="2025-01-03T00:00:00"/>
    <d v="2025-01-02T00:00:00"/>
    <m/>
    <x v="2"/>
    <s v="X24041002556"/>
    <s v="STA. LUCIA REALTY &amp; DEVELOPMENT, INC."/>
    <s v="VISTA VERDE SOUTH EXEC PH4, BACOOR"/>
    <s v="BACOOR CITY"/>
    <s v="DASMA"/>
    <m/>
    <m/>
    <x v="3"/>
    <s v="SCHED"/>
    <s v="JMM"/>
    <n v="125.09089999999999"/>
    <n v="241.53"/>
    <n v="20"/>
    <x v="8"/>
    <n v="796877.5"/>
    <n v="130293.83"/>
    <m/>
    <n v="0"/>
    <d v="2024-12-20T00:00:00"/>
    <d v="2024-12-23T12:39:00"/>
    <d v="2024-12-21T00:00:00"/>
    <m/>
    <x v="0"/>
    <m/>
    <n v="-45646"/>
    <n v="0"/>
    <n v="0"/>
    <d v="2025-01-06T02:03:07"/>
    <d v="2025-01-15T05:47:57"/>
    <d v="2025-02-05T00:00:00"/>
    <n v="-1482.8462560386474"/>
    <n v="0"/>
    <n v="23"/>
    <n v="36"/>
    <n v="23.085501858736059"/>
    <n v="29.241635687732341"/>
    <n v="20.085501858736059"/>
    <n v="42"/>
    <n v="33.6"/>
    <n v="28.6"/>
    <d v="1900-02-01T14:24:00"/>
    <d v="1900-01-27T14:24:00"/>
    <m/>
    <m/>
    <m/>
    <m/>
    <m/>
    <m/>
    <m/>
    <m/>
    <m/>
    <m/>
    <d v="1900-01-14T00:00:00"/>
    <n v="0"/>
    <m/>
    <m/>
    <m/>
    <m/>
    <m/>
    <m/>
    <m/>
    <m/>
    <m/>
    <m/>
    <m/>
    <m/>
    <m/>
    <m/>
    <m/>
    <m/>
    <m/>
    <m/>
    <d v="2025-01-03T00:00:00"/>
    <s v="CU6-2127,CT6-8032,CT6-8033,CT6-8034,TLN-52113,CT6-8035,CU6-2128"/>
  </r>
  <r>
    <d v="2025-01-03T00:00:00"/>
    <d v="2025-01-06T00:00:00"/>
    <m/>
    <x v="2"/>
    <s v="X24093865089"/>
    <s v="JOVY BITANGCOL LOSERIAGA"/>
    <s v="STREET, BLOCK 8, AFP OVAI PH 1, TAGUIG CITY"/>
    <s v="TAGUIG CITY"/>
    <s v="PARAÑAQUE"/>
    <m/>
    <m/>
    <x v="1"/>
    <s v="FCOMP"/>
    <s v="JMM"/>
    <n v="3.58"/>
    <n v="15.83"/>
    <n v="42"/>
    <x v="5"/>
    <n v="41516.720000000001"/>
    <n v="9308.9499999999989"/>
    <m/>
    <n v="0"/>
    <d v="2024-12-19T00:00:00"/>
    <d v="2024-12-23T12:44:00"/>
    <d v="2024-12-21T00:00:00"/>
    <m/>
    <x v="26"/>
    <m/>
    <n v="23"/>
    <n v="0"/>
    <n v="-45668"/>
    <d v="2025-01-06T02:03:07"/>
    <d v="2025-01-15T05:47:57"/>
    <d v="2025-02-05T00:00:00"/>
    <n v="-1482.8462560386474"/>
    <n v="0"/>
    <n v="23"/>
    <n v="36"/>
    <n v="23.085501858736059"/>
    <n v="29.241635687732341"/>
    <n v="20.085501858736059"/>
    <n v="42"/>
    <n v="33.6"/>
    <n v="28.6"/>
    <d v="1900-02-01T14:24:00"/>
    <d v="1900-01-27T14:24:00"/>
    <m/>
    <m/>
    <m/>
    <m/>
    <m/>
    <m/>
    <m/>
    <m/>
    <s v="NO COC"/>
    <m/>
    <d v="2025-01-26T00:00:00"/>
    <n v="-390"/>
    <m/>
    <m/>
    <m/>
    <m/>
    <m/>
    <m/>
    <m/>
    <m/>
    <m/>
    <m/>
    <s v="Y"/>
    <d v="2025-01-07T00:00:00"/>
    <m/>
    <m/>
    <m/>
    <m/>
    <m/>
    <m/>
    <s v="N/A"/>
    <s v="TLN-142955"/>
  </r>
  <r>
    <d v="2025-01-03T00:00:00"/>
    <d v="2025-01-03T00:00:00"/>
    <m/>
    <x v="1"/>
    <s v="X24114564095"/>
    <s v="ROMAN CATHOLIC BISHOP OF IMUS, INCORPORATED"/>
    <s v="CAMELLA SPV CENTRAL PH 2, BACOOR"/>
    <s v="BACOOR CITY"/>
    <s v="DASMA"/>
    <m/>
    <m/>
    <x v="4"/>
    <s v="SCHED"/>
    <s v="RRG"/>
    <n v="47.618499999999997"/>
    <n v="104.3"/>
    <n v="54"/>
    <x v="8"/>
    <n v="434824.49"/>
    <n v="57699.09"/>
    <m/>
    <n v="0"/>
    <d v="2024-12-19T00:00:00"/>
    <d v="2024-12-23T12:41:00"/>
    <d v="2024-12-21T00:00:00"/>
    <m/>
    <x v="0"/>
    <m/>
    <n v="-45645"/>
    <n v="0"/>
    <n v="0"/>
    <d v="2025-01-06T02:03:07"/>
    <d v="2025-01-15T05:47:57"/>
    <d v="2025-02-05T00:00:00"/>
    <n v="-1482.8462560386474"/>
    <n v="0"/>
    <n v="23"/>
    <n v="36"/>
    <n v="23.085501858736059"/>
    <n v="29.241635687732341"/>
    <n v="20.085501858736059"/>
    <n v="42"/>
    <n v="33.6"/>
    <n v="28.6"/>
    <d v="1900-02-01T14:24:00"/>
    <d v="1900-01-27T14:24:00"/>
    <m/>
    <m/>
    <m/>
    <m/>
    <m/>
    <m/>
    <m/>
    <m/>
    <s v="No PO generated"/>
    <m/>
    <d v="1900-01-14T00:00:00"/>
    <n v="0"/>
    <m/>
    <m/>
    <m/>
    <m/>
    <m/>
    <m/>
    <m/>
    <m/>
    <m/>
    <m/>
    <m/>
    <m/>
    <m/>
    <m/>
    <m/>
    <m/>
    <m/>
    <m/>
    <d v="2025-01-03T00:00:00"/>
    <s v="CS7-0545,CS7-8118,TLN-522171,CS7-0685,CS7-0686"/>
  </r>
  <r>
    <d v="2025-01-09T00:00:00"/>
    <d v="2025-01-07T00:00:00"/>
    <m/>
    <x v="1"/>
    <s v="X24114565283"/>
    <s v="FANTASTICBAKA INCORPORATED"/>
    <s v="TAGUIG BAGUMBAYAN INDL ASS INC, TAGUIG CITY"/>
    <s v="TAGUIG CITY"/>
    <s v="PARAÑAQUE"/>
    <m/>
    <s v="W/O ISSUE"/>
    <x v="0"/>
    <s v="FCOMP"/>
    <s v="RRG"/>
    <n v="6.79"/>
    <n v="46.58"/>
    <n v="115"/>
    <x v="8"/>
    <n v="73436.03"/>
    <n v="27371.280000000002"/>
    <m/>
    <n v="0"/>
    <d v="2024-12-20T18:00:00"/>
    <d v="2024-12-26T14:19:00"/>
    <d v="2024-12-27T00:00:00"/>
    <m/>
    <x v="43"/>
    <m/>
    <n v="21.670833333329938"/>
    <n v="0"/>
    <n v="-45668.42083333333"/>
    <d v="2025-01-06T02:03:07"/>
    <d v="2025-01-15T05:47:57"/>
    <d v="2025-02-05T00:00:00"/>
    <n v="0.70404035829296541"/>
    <n v="0"/>
    <n v="23"/>
    <n v="36"/>
    <n v="23.085501858736059"/>
    <n v="29.241635687732341"/>
    <n v="20.085501858736059"/>
    <n v="42"/>
    <n v="33.6"/>
    <n v="28.6"/>
    <d v="2025-02-02T00:00:00"/>
    <d v="1900-01-27T14:24:00"/>
    <m/>
    <m/>
    <m/>
    <m/>
    <m/>
    <m/>
    <m/>
    <m/>
    <s v="NO COC"/>
    <m/>
    <d v="2025-01-26T10:06:00"/>
    <n v="-390.42083333332994"/>
    <m/>
    <m/>
    <m/>
    <m/>
    <m/>
    <m/>
    <m/>
    <m/>
    <m/>
    <m/>
    <s v="Y"/>
    <d v="2025-01-10T00:00:00"/>
    <m/>
    <m/>
    <m/>
    <m/>
    <m/>
    <m/>
    <s v="NA"/>
    <s v="DY1-1208"/>
  </r>
  <r>
    <d v="2025-01-06T00:00:00"/>
    <d v="2025-01-02T00:00:00"/>
    <m/>
    <x v="1"/>
    <s v="X24072572239"/>
    <s v="ROMEO ICASAS ABAD JR."/>
    <s v="NIOG III, NIOG III, BACOOR"/>
    <s v="BACOOR CITY"/>
    <s v="DASMA"/>
    <m/>
    <m/>
    <x v="3"/>
    <s v="SCHED"/>
    <s v="JMM"/>
    <n v="42.734700000000004"/>
    <n v="84.73"/>
    <n v="40"/>
    <x v="8"/>
    <n v="376178.98"/>
    <n v="45404.779999999992"/>
    <m/>
    <n v="0"/>
    <d v="2024-12-23T13:17:00"/>
    <d v="2024-12-26T14:21:00"/>
    <d v="2024-12-26T00:00:00"/>
    <m/>
    <x v="0"/>
    <m/>
    <n v="-45649.553472222222"/>
    <n v="0"/>
    <n v="0"/>
    <d v="2025-01-06T02:03:07"/>
    <d v="2025-01-15T05:47:57"/>
    <d v="2025-02-05T00:00:00"/>
    <n v="-1482.8462560386474"/>
    <n v="0"/>
    <n v="23"/>
    <n v="36"/>
    <n v="23.085501858736059"/>
    <n v="29.241635687732341"/>
    <n v="20.085501858736059"/>
    <n v="42"/>
    <n v="33.6"/>
    <n v="28.6"/>
    <d v="1900-02-01T14:24:00"/>
    <d v="1900-01-27T14:24:00"/>
    <m/>
    <m/>
    <m/>
    <m/>
    <m/>
    <m/>
    <m/>
    <m/>
    <m/>
    <m/>
    <d v="1900-01-14T00:00:00"/>
    <n v="0"/>
    <m/>
    <m/>
    <m/>
    <m/>
    <m/>
    <m/>
    <m/>
    <m/>
    <m/>
    <m/>
    <m/>
    <m/>
    <m/>
    <m/>
    <m/>
    <m/>
    <m/>
    <m/>
    <d v="2025-01-06T00:00:00"/>
    <s v="CV6-8050,TLN-522707,"/>
  </r>
  <r>
    <d v="2025-01-06T00:00:00"/>
    <s v="OK"/>
    <m/>
    <x v="2"/>
    <s v="X23051529972"/>
    <s v="ERIC ANTHONY S CASTAÑEDA"/>
    <s v="TIERRA NUEVA SUBD, MUNTINLUPA"/>
    <s v="MUNTINLUPA CITY"/>
    <s v="PARAÑAQUE"/>
    <m/>
    <m/>
    <x v="2"/>
    <s v="FCOMP"/>
    <s v="IGL"/>
    <n v="34.519500000000001"/>
    <n v="88.23"/>
    <n v="70.5"/>
    <x v="8"/>
    <n v="363155.38"/>
    <n v="46727.63"/>
    <m/>
    <n v="0"/>
    <d v="2024-12-27T09:17:00"/>
    <d v="2025-01-03T12:24:00"/>
    <d v="2025-01-02T00:00:00"/>
    <m/>
    <x v="44"/>
    <m/>
    <n v="46.613194444442343"/>
    <n v="0"/>
    <n v="-45700"/>
    <d v="2025-01-06T02:03:07"/>
    <d v="2025-01-15T05:47:57"/>
    <d v="2025-02-05T00:00:00"/>
    <n v="-1482.8462560386474"/>
    <n v="0"/>
    <n v="23"/>
    <n v="36"/>
    <n v="23.085501858736059"/>
    <n v="29.241635687732341"/>
    <n v="20.085501858736059"/>
    <n v="42"/>
    <n v="33.6"/>
    <n v="28.6"/>
    <d v="1900-02-01T14:24:00"/>
    <d v="1900-01-27T14:24:00"/>
    <m/>
    <m/>
    <m/>
    <m/>
    <m/>
    <m/>
    <m/>
    <m/>
    <s v="FOR AUDIT"/>
    <m/>
    <d v="2025-02-27T00:00:00"/>
    <n v="-6"/>
    <d v="2025-02-12T00:00:00"/>
    <d v="2025-02-21T00:00:00"/>
    <m/>
    <m/>
    <m/>
    <m/>
    <m/>
    <m/>
    <m/>
    <m/>
    <s v="Y"/>
    <d v="2025-02-11T00:00:00"/>
    <m/>
    <m/>
    <m/>
    <m/>
    <m/>
    <m/>
    <d v="2025-01-06T00:00:00"/>
    <s v="CV9-8016,TLN-516928"/>
  </r>
  <r>
    <d v="2025-01-06T00:00:00"/>
    <s v="OK"/>
    <s v="Y"/>
    <x v="2"/>
    <s v="X24124692677"/>
    <s v="CITY GOVERNMENT OF BACOOR"/>
    <s v="MOLINO HOMES I SUBD, BACOOR"/>
    <s v="BACOOR CITY"/>
    <s v="DASMA"/>
    <m/>
    <m/>
    <x v="3"/>
    <s v="SCHED"/>
    <s v="JMM"/>
    <n v="299.65669999999977"/>
    <n v="671.93"/>
    <n v="250"/>
    <x v="8"/>
    <n v="1901958.33"/>
    <n v="354962.15"/>
    <m/>
    <n v="0"/>
    <d v="2024-12-26T12:54:00"/>
    <d v="2025-01-03T12:26:00"/>
    <d v="2025-01-02T00:00:00"/>
    <m/>
    <x v="0"/>
    <m/>
    <n v="-45652.537499999999"/>
    <n v="0"/>
    <n v="0"/>
    <d v="2025-01-06T02:03:07"/>
    <d v="2025-01-15T05:47:57"/>
    <d v="2025-02-05T00:00:00"/>
    <n v="-1482.8462560386474"/>
    <n v="0"/>
    <n v="23"/>
    <n v="36"/>
    <n v="23.085501858736059"/>
    <n v="29.241635687732341"/>
    <n v="20.085501858736059"/>
    <n v="42"/>
    <n v="33.6"/>
    <n v="28.6"/>
    <d v="1900-02-01T14:24:00"/>
    <d v="1900-01-27T14:24:00"/>
    <m/>
    <m/>
    <m/>
    <m/>
    <m/>
    <m/>
    <m/>
    <m/>
    <m/>
    <m/>
    <d v="1900-01-14T00:00:00"/>
    <n v="0"/>
    <m/>
    <m/>
    <m/>
    <m/>
    <m/>
    <m/>
    <m/>
    <m/>
    <m/>
    <m/>
    <m/>
    <m/>
    <m/>
    <m/>
    <m/>
    <m/>
    <m/>
    <m/>
    <d v="2025-01-06T00:00:00"/>
    <s v="CS7-8128,CS7-8129,CS7-8130,CS7-8131,CS7-8132,TLN-367789,TLN-523727"/>
  </r>
  <r>
    <d v="2025-01-06T00:00:00"/>
    <d v="2025-01-03T00:00:00"/>
    <m/>
    <x v="1"/>
    <s v="X24124714328"/>
    <s v="AC AUTOMOTIVE BUSINESS SERVICES, INC."/>
    <s v="MOLINO BLVD., BAYANAN, BACOOR"/>
    <s v="BACOOR CITY"/>
    <s v="DASMA"/>
    <m/>
    <m/>
    <x v="4"/>
    <s v="FCOMP"/>
    <s v="RRG"/>
    <n v="14.2433"/>
    <n v="65.2"/>
    <n v="60"/>
    <x v="8"/>
    <n v="383052.97"/>
    <n v="38382.07"/>
    <m/>
    <n v="0"/>
    <d v="2024-12-27T09:19:00"/>
    <d v="2025-01-03T12:27:00"/>
    <d v="2025-01-02T00:00:00"/>
    <m/>
    <x v="2"/>
    <m/>
    <n v="18.611805555556202"/>
    <n v="0"/>
    <n v="-45672"/>
    <d v="2025-01-15T16:31:33"/>
    <d v="2025-01-24T15:14:54"/>
    <d v="2025-02-15T09:19:00"/>
    <n v="0.62594691318558571"/>
    <n v="-1087.4285714285713"/>
    <n v="23"/>
    <n v="34"/>
    <n v="22.300380228136884"/>
    <n v="28.247148288973385"/>
    <n v="19.300380228136884"/>
    <n v="42"/>
    <n v="33.6"/>
    <n v="28.6"/>
    <d v="2025-02-17T14:24:00"/>
    <d v="2025-02-12T14:24:00"/>
    <m/>
    <m/>
    <m/>
    <m/>
    <m/>
    <m/>
    <m/>
    <m/>
    <s v="FOR AUDIT"/>
    <m/>
    <d v="2025-01-30T00:00:00"/>
    <n v="-8"/>
    <d v="2025-01-15T00:00:00"/>
    <d v="2025-01-22T00:00:00"/>
    <m/>
    <m/>
    <m/>
    <m/>
    <m/>
    <m/>
    <m/>
    <m/>
    <m/>
    <m/>
    <m/>
    <m/>
    <m/>
    <m/>
    <m/>
    <m/>
    <d v="2025-01-06T00:00:00"/>
    <s v="TLN-526795"/>
  </r>
  <r>
    <d v="2025-01-09T00:00:00"/>
    <d v="2025-01-07T00:00:00"/>
    <m/>
    <x v="2"/>
    <s v="X23083241618 "/>
    <s v="ROMEO P. CAMBA"/>
    <s v="SAN ANTONIO VALLEY 11, PARANAQUE"/>
    <s v="PARAÑAQUE CITY"/>
    <s v="PARAÑAQUE"/>
    <m/>
    <m/>
    <x v="0"/>
    <s v="SCHED"/>
    <s v="RRG"/>
    <n v="255.58199999999999"/>
    <n v="459.98"/>
    <n v="74"/>
    <x v="8"/>
    <n v="1386868.07"/>
    <n v="250439.27999999997"/>
    <m/>
    <n v="0"/>
    <d v="2024-12-27T15:18:00"/>
    <d v="2025-01-03T12:36:00"/>
    <d v="2025-01-02T00:00:00"/>
    <m/>
    <x v="0"/>
    <m/>
    <n v="-45653.637499999997"/>
    <n v="0"/>
    <n v="0"/>
    <d v="2025-01-06T02:03:07"/>
    <d v="2025-01-15T05:47:57"/>
    <d v="2025-02-05T00:00:00"/>
    <n v="-1482.8462560386474"/>
    <n v="0"/>
    <n v="23"/>
    <n v="36"/>
    <n v="23.085501858736059"/>
    <n v="29.241635687732341"/>
    <n v="20.085501858736059"/>
    <n v="42"/>
    <n v="33.6"/>
    <n v="28.6"/>
    <d v="1900-02-01T14:24:00"/>
    <d v="1900-01-27T14:24:00"/>
    <m/>
    <m/>
    <m/>
    <m/>
    <m/>
    <m/>
    <m/>
    <m/>
    <m/>
    <m/>
    <d v="1900-01-14T00:00:00"/>
    <n v="0"/>
    <m/>
    <m/>
    <m/>
    <m/>
    <m/>
    <m/>
    <m/>
    <m/>
    <m/>
    <m/>
    <m/>
    <m/>
    <m/>
    <m/>
    <m/>
    <m/>
    <m/>
    <m/>
    <d v="2025-01-09T00:00:00"/>
    <s v="DY1-0380,DY1-0379,DY1-0378,DY1-0377,DY1-0376,DY1-0375"/>
  </r>
  <r>
    <d v="2025-01-06T00:00:00"/>
    <d v="2025-01-03T00:00:00"/>
    <m/>
    <x v="1"/>
    <s v="X24041187305"/>
    <s v="CATHEDRAL OF THE KING, INC. (CORPORATION SOLE)"/>
    <s v="MARIMAR VILLAGE, PARANAQUE"/>
    <s v="PARAÑAQUE CITY"/>
    <s v="PARAÑAQUE"/>
    <m/>
    <m/>
    <x v="2"/>
    <s v="SCHED"/>
    <s v="IGL"/>
    <n v="70.284800000000004"/>
    <n v="151.78"/>
    <n v="62"/>
    <x v="8"/>
    <n v="546397.23"/>
    <n v="76869.350000000006"/>
    <m/>
    <n v="0"/>
    <d v="2024-12-27T15:21:00"/>
    <d v="2025-01-03T12:46:00"/>
    <d v="2025-01-02T00:00:00"/>
    <m/>
    <x v="0"/>
    <m/>
    <n v="-45653.63958333333"/>
    <n v="0"/>
    <n v="0"/>
    <d v="2025-01-06T02:03:07"/>
    <d v="2025-01-15T05:47:57"/>
    <d v="2025-02-05T00:00:00"/>
    <n v="-1482.8462560386474"/>
    <n v="0"/>
    <n v="23"/>
    <n v="36"/>
    <n v="23.085501858736059"/>
    <n v="29.241635687732341"/>
    <n v="20.085501858736059"/>
    <n v="42"/>
    <n v="33.6"/>
    <n v="28.6"/>
    <d v="1900-02-01T14:24:00"/>
    <d v="1900-01-27T14:24:00"/>
    <m/>
    <m/>
    <m/>
    <m/>
    <m/>
    <m/>
    <m/>
    <m/>
    <m/>
    <m/>
    <d v="1900-01-14T00:00:00"/>
    <n v="0"/>
    <m/>
    <m/>
    <m/>
    <m/>
    <m/>
    <m/>
    <m/>
    <m/>
    <m/>
    <m/>
    <m/>
    <m/>
    <m/>
    <m/>
    <m/>
    <m/>
    <m/>
    <m/>
    <d v="2025-01-06T00:00:00"/>
    <s v="DZI-0029,TLN-054237,TLN-514500"/>
  </r>
  <r>
    <d v="2025-01-09T00:00:00"/>
    <d v="2025-01-11T00:00:00"/>
    <m/>
    <x v="1"/>
    <s v="X24114563541"/>
    <s v="MONOCRETE CONSTRUCTION PHILIPPINES, INC."/>
    <s v="PRES. DIOSDADO MACAPAGAL, ASIAWORLD CITY, PARANAQUE"/>
    <s v="PARAÑAQUE CITY"/>
    <s v="PARAÑAQUE"/>
    <m/>
    <m/>
    <x v="3"/>
    <s v="SCHED"/>
    <s v="JMM"/>
    <n v="20.650000000000002"/>
    <n v="47.82"/>
    <n v="0"/>
    <x v="2"/>
    <n v="34239.42"/>
    <n v="30141.650000000005"/>
    <m/>
    <n v="0"/>
    <d v="2025-01-02T16:09:00"/>
    <d v="2025-01-06T07:58:00"/>
    <d v="2025-01-06T00:00:00"/>
    <m/>
    <x v="0"/>
    <m/>
    <n v="-45659.67291666667"/>
    <n v="0"/>
    <n v="0"/>
    <d v="2025-01-06T02:03:07"/>
    <d v="2025-01-15T05:47:57"/>
    <d v="2025-02-05T00:00:00"/>
    <n v="-1482.8462560386474"/>
    <n v="0"/>
    <n v="23"/>
    <n v="36"/>
    <n v="23.085501858736059"/>
    <n v="29.241635687732341"/>
    <n v="20.085501858736059"/>
    <n v="42"/>
    <n v="33.6"/>
    <n v="28.6"/>
    <d v="1900-02-01T14:24:00"/>
    <d v="1900-01-27T14:24:00"/>
    <m/>
    <m/>
    <m/>
    <m/>
    <m/>
    <m/>
    <m/>
    <m/>
    <m/>
    <m/>
    <d v="1900-01-14T00:00:00"/>
    <n v="0"/>
    <m/>
    <m/>
    <m/>
    <m/>
    <m/>
    <m/>
    <m/>
    <m/>
    <m/>
    <m/>
    <m/>
    <m/>
    <m/>
    <m/>
    <m/>
    <m/>
    <m/>
    <m/>
    <s v="N/A"/>
    <s v="TLN-186673"/>
  </r>
  <r>
    <d v="2025-01-27T00:00:00"/>
    <d v="2025-01-11T00:00:00"/>
    <m/>
    <x v="2"/>
    <s v="X24124856516"/>
    <s v="RAUL GABRIEL II S. DIMATATAC"/>
    <s v="SUSANA HEIGHTS SUBD, MUNTINLUPA"/>
    <s v="MUNTINLUPA CITY"/>
    <s v="PARAÑAQUE"/>
    <m/>
    <s v="Error in FCOMP due to Budget Issues _x000a_Email for Force FCOMP already Sent to Mam Zarah"/>
    <x v="4"/>
    <s v="FCOMP"/>
    <s v="RRG"/>
    <n v="25.0823"/>
    <n v="43.28"/>
    <n v="82"/>
    <x v="8"/>
    <n v="273825.69"/>
    <n v="27854.74"/>
    <m/>
    <n v="0"/>
    <d v="2025-01-02T14:30:00"/>
    <d v="2025-01-03T08:38:00"/>
    <d v="2025-01-06T00:00:00"/>
    <m/>
    <x v="45"/>
    <m/>
    <n v="1.3958333333357587"/>
    <n v="0"/>
    <n v="-45661"/>
    <d v="2025-01-20T16:17:06"/>
    <d v="2025-01-29T07:09:40"/>
    <d v="2025-02-21T14:30:00"/>
    <n v="4.9675245098125528E-2"/>
    <n v="-1141.5250000000001"/>
    <n v="20"/>
    <n v="34"/>
    <n v="21.074380165289259"/>
    <n v="26.694214876033058"/>
    <n v="18.074380165289259"/>
    <n v="40"/>
    <n v="32"/>
    <n v="27"/>
    <d v="2025-02-05T00:00:00"/>
    <d v="2025-01-31T00:00:00"/>
    <m/>
    <m/>
    <m/>
    <m/>
    <m/>
    <m/>
    <m/>
    <m/>
    <s v="NO COC"/>
    <m/>
    <d v="2025-01-19T00:00:00"/>
    <n v="0"/>
    <d v="2025-01-04T00:00:00"/>
    <d v="2025-01-30T00:00:00"/>
    <m/>
    <m/>
    <m/>
    <m/>
    <m/>
    <m/>
    <m/>
    <m/>
    <m/>
    <m/>
    <m/>
    <m/>
    <m/>
    <m/>
    <m/>
    <m/>
    <d v="2025-01-27T00:00:00"/>
    <s v="TLN-526858"/>
  </r>
  <r>
    <d v="2025-01-13T00:00:00"/>
    <d v="2025-01-11T00:00:00"/>
    <m/>
    <x v="1"/>
    <s v="X24104149594"/>
    <s v="NORTH PHILIPPINE UNION CONFERENCE CORP OF THE SEVE"/>
    <s v="STREET, BAYANAN, BAYANAN, BACOOR"/>
    <s v="BACOOR CITY"/>
    <s v="DASMA"/>
    <m/>
    <m/>
    <x v="4"/>
    <s v="SCHED"/>
    <s v="RRG"/>
    <n v="53.161999999999999"/>
    <n v="95.17"/>
    <n v="34"/>
    <x v="8"/>
    <n v="465517.05"/>
    <n v="45678.36"/>
    <m/>
    <n v="0"/>
    <d v="2025-01-03T09:52:00"/>
    <d v="2025-01-08T15:25:00"/>
    <d v="2025-01-06T00:00:00"/>
    <m/>
    <x v="0"/>
    <m/>
    <n v="-45660.411111111112"/>
    <n v="0"/>
    <n v="0"/>
    <d v="2025-01-06T02:03:07"/>
    <d v="2025-02-01T15:39:57"/>
    <d v="2025-02-05T00:00:00"/>
    <n v="-1482.8462560386474"/>
    <n v="0"/>
    <n v="23"/>
    <n v="36"/>
    <n v="23.085501858736059"/>
    <n v="29.241635687732341"/>
    <n v="20.085501858736059"/>
    <n v="42"/>
    <n v="33.6"/>
    <n v="28.6"/>
    <d v="1900-02-01T14:24:00"/>
    <d v="1900-01-27T14:24:00"/>
    <m/>
    <m/>
    <m/>
    <m/>
    <m/>
    <m/>
    <m/>
    <m/>
    <m/>
    <m/>
    <d v="1900-01-14T00:00:00"/>
    <n v="0"/>
    <m/>
    <m/>
    <m/>
    <m/>
    <m/>
    <m/>
    <m/>
    <m/>
    <m/>
    <m/>
    <m/>
    <m/>
    <m/>
    <m/>
    <m/>
    <m/>
    <m/>
    <m/>
    <d v="2025-01-13T00:00:00"/>
    <s v="CU9-0191,CU6-8094,TLN-526350"/>
  </r>
  <r>
    <d v="2025-01-13T00:00:00"/>
    <d v="2025-01-11T00:00:00"/>
    <m/>
    <x v="4"/>
    <s v="X24124737940"/>
    <s v="PETRON CORPORATION"/>
    <s v="ALABANG-ZAPOTE, TALON II, LAS PINAS CITY"/>
    <s v="LAS PINAS CITY"/>
    <s v="PARAÑAQUE"/>
    <m/>
    <m/>
    <x v="2"/>
    <s v="FCOMP"/>
    <s v="JSP"/>
    <n v="46.2"/>
    <n v="151.75"/>
    <n v="117"/>
    <x v="8"/>
    <n v="879274.36"/>
    <n v="82635.45"/>
    <m/>
    <n v="0"/>
    <d v="2025-01-03T09:49:00"/>
    <d v="2025-01-08T15:23:00"/>
    <d v="2025-01-06T00:00:00"/>
    <m/>
    <x v="2"/>
    <m/>
    <n v="11.590972222220444"/>
    <n v="6.359027777776646"/>
    <n v="-45672"/>
    <d v="2025-01-06T02:03:07"/>
    <d v="2025-01-15T05:47:57"/>
    <d v="2025-02-05T00:00:00"/>
    <n v="0.37656660963493949"/>
    <n v="0"/>
    <n v="23"/>
    <n v="36"/>
    <n v="23.085501858736059"/>
    <n v="29.241635687732341"/>
    <n v="20.085501858736059"/>
    <n v="42"/>
    <n v="33.6"/>
    <n v="28.6"/>
    <d v="2025-02-02T00:00:00"/>
    <d v="1900-01-27T14:24:00"/>
    <m/>
    <m/>
    <m/>
    <m/>
    <m/>
    <m/>
    <m/>
    <m/>
    <s v="ON GOING MATERIAL RETURN/NO COC"/>
    <s v="WITH NTC"/>
    <d v="2025-01-30T00:00:00"/>
    <n v="-394"/>
    <m/>
    <m/>
    <d v="2025-02-06T00:00:00"/>
    <s v="ECI"/>
    <s v="N"/>
    <m/>
    <m/>
    <m/>
    <m/>
    <m/>
    <s v="Y"/>
    <d v="2025-01-13T00:00:00"/>
    <m/>
    <m/>
    <m/>
    <m/>
    <m/>
    <m/>
    <s v="N/A"/>
    <s v="CW7-1144,TLN-068771"/>
  </r>
  <r>
    <d v="2025-01-13T00:00:00"/>
    <d v="2025-01-13T00:00:00"/>
    <m/>
    <x v="1"/>
    <s v="X24124874147"/>
    <s v="EMPIRE METAL WORKS, INC."/>
    <s v="NIOG III, NIOG III, BACOOR"/>
    <s v="BACOOR CITY"/>
    <s v="DASMA"/>
    <m/>
    <m/>
    <x v="4"/>
    <s v="SCHED"/>
    <s v="RRG"/>
    <n v="6.77"/>
    <n v="126.5"/>
    <n v="0"/>
    <x v="2"/>
    <n v="70611.97"/>
    <n v="79358.02"/>
    <m/>
    <n v="0"/>
    <d v="2025-01-06T11:59:00"/>
    <d v="2025-01-10T15:10:00"/>
    <d v="2025-01-13T00:00:00"/>
    <m/>
    <x v="0"/>
    <m/>
    <n v="-45663.499305555553"/>
    <n v="-45667.631944444445"/>
    <n v="0"/>
    <d v="2025-01-27T16:56:56"/>
    <d v="2025-02-06T03:52:23"/>
    <d v="2025-02-25T11:59:00"/>
    <n v="-1414.7879058345202"/>
    <n v="0"/>
    <n v="26"/>
    <n v="36"/>
    <n v="24.206896551724139"/>
    <n v="30.662068965517239"/>
    <n v="21.206896551724139"/>
    <n v="44"/>
    <n v="35.200000000000003"/>
    <n v="30.200000000000003"/>
    <d v="1900-02-03T04:48:00"/>
    <d v="1900-01-29T04:48:00"/>
    <m/>
    <m/>
    <m/>
    <m/>
    <m/>
    <m/>
    <m/>
    <m/>
    <m/>
    <m/>
    <d v="1900-01-14T00:00:00"/>
    <n v="0"/>
    <m/>
    <m/>
    <m/>
    <m/>
    <m/>
    <m/>
    <m/>
    <m/>
    <m/>
    <m/>
    <m/>
    <m/>
    <m/>
    <m/>
    <m/>
    <m/>
    <m/>
    <m/>
    <s v="N/A"/>
    <s v="TLN-071870,"/>
  </r>
  <r>
    <d v="2025-01-13T00:00:00"/>
    <d v="2025-01-13T00:00:00"/>
    <m/>
    <x v="1"/>
    <s v="X24124873554"/>
    <s v="SHANZHEN HAIWEI FOOD CORP. DOING BUSINESS UNDER TH"/>
    <s v="GEN. EMILIO AGUINALDO, PANAPAAN I, BACOOR"/>
    <s v="BACOOR CITY"/>
    <s v="DASMA"/>
    <m/>
    <m/>
    <x v="4"/>
    <s v="SCHED"/>
    <s v="RRG"/>
    <n v="11.3"/>
    <n v="24.47"/>
    <n v="0"/>
    <x v="2"/>
    <n v="24072.27"/>
    <n v="15354.35"/>
    <m/>
    <n v="0"/>
    <d v="2025-01-06T12:07:00"/>
    <d v="2025-01-10T15:11:00"/>
    <d v="2025-01-13T00:00:00"/>
    <m/>
    <x v="0"/>
    <m/>
    <n v="-45663.504861111112"/>
    <n v="-45667.632638888892"/>
    <n v="0"/>
    <d v="2025-01-25T06:41:50"/>
    <d v="2025-02-03T02:03:08"/>
    <d v="2025-02-25T12:07:00"/>
    <n v="-1572.8540563271604"/>
    <n v="0"/>
    <n v="20"/>
    <n v="36"/>
    <n v="21.774193548387096"/>
    <n v="27.58064516129032"/>
    <n v="18.774193548387096"/>
    <n v="40"/>
    <n v="32"/>
    <n v="27"/>
    <d v="1900-01-31T00:00:00"/>
    <d v="1900-01-26T00:00:00"/>
    <m/>
    <m/>
    <m/>
    <m/>
    <m/>
    <m/>
    <m/>
    <m/>
    <m/>
    <m/>
    <d v="1900-01-14T00:00:00"/>
    <n v="0"/>
    <m/>
    <m/>
    <m/>
    <m/>
    <m/>
    <m/>
    <m/>
    <m/>
    <m/>
    <m/>
    <m/>
    <m/>
    <m/>
    <m/>
    <m/>
    <m/>
    <m/>
    <m/>
    <s v="N/A"/>
    <s v="TLN-169874"/>
  </r>
  <r>
    <d v="2025-01-13T00:00:00"/>
    <d v="2025-01-10T00:00:00"/>
    <m/>
    <x v="2"/>
    <s v="X24093710813"/>
    <s v="ALLAN RAMIREZ SORBITO"/>
    <s v="CAMELLA SPRINGVILLE HEIGHTS III, BACOOR"/>
    <s v="BACOOR CITY"/>
    <s v="DASMA"/>
    <m/>
    <m/>
    <x v="4"/>
    <s v="FCOMP"/>
    <s v="RRG"/>
    <n v="27.34"/>
    <n v="37.43"/>
    <n v="5"/>
    <x v="8"/>
    <n v="55291.05"/>
    <n v="23492.09"/>
    <m/>
    <n v="0"/>
    <d v="2025-01-06T10:11:00"/>
    <d v="2025-01-10T15:07:00"/>
    <d v="2025-01-09T00:00:00"/>
    <m/>
    <x v="25"/>
    <m/>
    <n v="31.575694444443798"/>
    <n v="27.370138888887595"/>
    <n v="-45695"/>
    <d v="2025-01-25T04:45:50"/>
    <d v="2025-02-03T00:07:08"/>
    <d v="2025-02-25T10:11:00"/>
    <n v="1.0876072530863974"/>
    <n v="-1142.375"/>
    <n v="20"/>
    <n v="36"/>
    <n v="21.774193548387096"/>
    <n v="27.58064516129032"/>
    <n v="18.774193548387096"/>
    <n v="40"/>
    <n v="32"/>
    <n v="27"/>
    <d v="2025-03-11T00:00:00"/>
    <d v="2025-03-06T00:00:00"/>
    <m/>
    <m/>
    <m/>
    <m/>
    <m/>
    <m/>
    <m/>
    <m/>
    <s v="NO COC"/>
    <m/>
    <d v="2025-02-22T00:00:00"/>
    <n v="-417"/>
    <m/>
    <m/>
    <m/>
    <m/>
    <m/>
    <m/>
    <m/>
    <m/>
    <m/>
    <m/>
    <m/>
    <m/>
    <m/>
    <m/>
    <m/>
    <m/>
    <m/>
    <m/>
    <s v="N/A"/>
    <s v="CS8-8003,CS8-8002,CS8-8001,CS8-0129"/>
  </r>
  <r>
    <d v="2025-01-13T00:00:00"/>
    <d v="2025-01-10T00:00:00"/>
    <m/>
    <x v="2"/>
    <s v="X24104283780"/>
    <s v="GOLDEN LARIELLE, INC.,"/>
    <s v="BLOCK 1, TUNASAN, MUNTINLUPA"/>
    <s v="MUNTINLUPA CITY"/>
    <s v="PARAÑAQUE"/>
    <m/>
    <m/>
    <x v="0"/>
    <s v="SCHED"/>
    <s v="RRG"/>
    <n v="147.75859999999994"/>
    <n v="276.48"/>
    <n v="45"/>
    <x v="8"/>
    <n v="890781.19"/>
    <n v="150792.13"/>
    <m/>
    <n v="0"/>
    <d v="2025-01-06T10:11:00"/>
    <d v="2025-01-10T15:12:00"/>
    <d v="2025-01-09T00:00:00"/>
    <m/>
    <x v="0"/>
    <m/>
    <n v="-45663.424305555556"/>
    <n v="-45667.633333333331"/>
    <n v="0"/>
    <d v="2025-01-28T07:01:32"/>
    <d v="2025-02-06T22:11:00"/>
    <d v="2025-02-25T10:11:00"/>
    <n v="-1377.1508917548499"/>
    <n v="0"/>
    <n v="28"/>
    <n v="36"/>
    <n v="24.868421052631579"/>
    <n v="31.499999999999996"/>
    <n v="21.868421052631579"/>
    <n v="46"/>
    <n v="36.800000000000004"/>
    <n v="31.800000000000004"/>
    <d v="1900-02-04T19:12:00"/>
    <d v="1900-01-30T19:12:00"/>
    <m/>
    <m/>
    <m/>
    <m/>
    <m/>
    <m/>
    <m/>
    <m/>
    <m/>
    <m/>
    <d v="1900-01-14T00:00:00"/>
    <m/>
    <m/>
    <m/>
    <m/>
    <m/>
    <m/>
    <m/>
    <m/>
    <m/>
    <m/>
    <m/>
    <m/>
    <m/>
    <m/>
    <m/>
    <m/>
    <m/>
    <m/>
    <m/>
    <d v="2025-01-13T00:00:00"/>
    <s v="DR1-6046,DR1-6047,DR1-6048,TLN-173161,DR1-6069"/>
  </r>
  <r>
    <m/>
    <d v="2025-01-10T00:00:00"/>
    <m/>
    <x v="2"/>
    <s v="X24020621621"/>
    <s v="RHOEY LEE CANLAS DAKIS"/>
    <s v="BLOCK 14, TUNASAN, MUNTINLUPA"/>
    <s v="MUNTINLUPA CITY"/>
    <s v="PARAÑAQUE"/>
    <m/>
    <m/>
    <x v="0"/>
    <s v="FCOMP"/>
    <s v="RRG"/>
    <n v="11.4428"/>
    <n v="40.4"/>
    <n v="60"/>
    <x v="5"/>
    <n v="227308.27"/>
    <n v="23833.939999999995"/>
    <m/>
    <n v="0"/>
    <d v="2025-01-07T16:38:00"/>
    <d v="2025-01-14T14:49:00"/>
    <d v="2025-01-10T00:00:00"/>
    <m/>
    <x v="30"/>
    <m/>
    <n v="28.306944444440887"/>
    <n v="21.382638888891961"/>
    <n v="-45693"/>
    <d v="2025-01-25T18:25:06"/>
    <d v="2025-02-03T09:17:40"/>
    <d v="2025-02-26T16:38:00"/>
    <n v="1.0073941993462785"/>
    <n v="-1142.325"/>
    <n v="20"/>
    <n v="34"/>
    <n v="21.074380165289259"/>
    <n v="26.694214876033058"/>
    <n v="18.074380165289259"/>
    <n v="40"/>
    <n v="32"/>
    <n v="27"/>
    <d v="2025-03-09T00:00:00"/>
    <d v="2025-03-04T00:00:00"/>
    <m/>
    <m/>
    <m/>
    <m/>
    <m/>
    <m/>
    <m/>
    <m/>
    <s v="NO COC"/>
    <m/>
    <d v="2025-02-20T00:00:00"/>
    <m/>
    <m/>
    <m/>
    <m/>
    <m/>
    <m/>
    <m/>
    <m/>
    <m/>
    <m/>
    <m/>
    <m/>
    <m/>
    <m/>
    <m/>
    <m/>
    <m/>
    <m/>
    <m/>
    <s v="N/A"/>
    <m/>
  </r>
  <r>
    <d v="2025-01-15T00:00:00"/>
    <d v="2025-01-10T00:00:00"/>
    <s v="Y"/>
    <x v="2"/>
    <s v="X24093778968"/>
    <s v="CITY GOVERNMENT OF TAGUIG"/>
    <s v="M.L. QUEZON, LOWER BICUTAN, TAGUIG CITY"/>
    <s v="TAGUIG CITY"/>
    <s v="PARAÑAQUE"/>
    <m/>
    <m/>
    <x v="1"/>
    <s v="FCOMP"/>
    <s v="JMM"/>
    <n v="296.29910000000001"/>
    <n v="1030.52"/>
    <n v="73"/>
    <x v="8"/>
    <n v="2732739.46"/>
    <n v="648325.43999999994"/>
    <m/>
    <n v="0"/>
    <d v="2025-01-08T16:28:00"/>
    <d v="2025-01-14T14:50:00"/>
    <d v="2025-01-10T00:00:00"/>
    <m/>
    <x v="46"/>
    <m/>
    <n v="47.31388888888614"/>
    <n v="41.381944444445253"/>
    <n v="-45713"/>
    <d v="2025-02-02T21:27:28"/>
    <d v="2025-02-13T09:59:20"/>
    <d v="2025-02-27T16:28:00"/>
    <n v="1.2579928104574432"/>
    <n v="-761.88333333333333"/>
    <n v="50"/>
    <n v="34"/>
    <n v="28.207964601769909"/>
    <n v="35.730088495575217"/>
    <n v="25.207964601769909"/>
    <n v="60"/>
    <n v="48"/>
    <n v="43"/>
    <d v="2025-04-14T00:00:00"/>
    <d v="2025-04-09T00:00:00"/>
    <m/>
    <m/>
    <m/>
    <m/>
    <m/>
    <m/>
    <m/>
    <m/>
    <m/>
    <m/>
    <d v="2025-03-12T00:00:00"/>
    <m/>
    <m/>
    <m/>
    <m/>
    <m/>
    <m/>
    <m/>
    <m/>
    <m/>
    <m/>
    <m/>
    <s v="Y"/>
    <d v="2025-02-18T00:00:00"/>
    <m/>
    <m/>
    <m/>
    <m/>
    <m/>
    <m/>
    <d v="2025-01-15T00:00:00"/>
    <s v="B8-8156,B8-8157,A8-8106,A8-8107,TLN-526017"/>
  </r>
  <r>
    <d v="2025-01-13T00:00:00"/>
    <d v="2025-01-10T00:00:00"/>
    <m/>
    <x v="1"/>
    <s v="X25010007601"/>
    <s v="ACASYS DEVELOPMENT CORP."/>
    <s v="SAN ANDRES, SUN VALLEY, PARANAQUE"/>
    <s v="PARANAQUE CITY"/>
    <s v="PARAÑAQUE"/>
    <m/>
    <m/>
    <x v="1"/>
    <s v="FCOMP"/>
    <s v="JMM"/>
    <n v="277.3716"/>
    <n v="763.67"/>
    <n v="1680"/>
    <x v="8"/>
    <n v="3356230.93"/>
    <n v="413605.22"/>
    <m/>
    <n v="0"/>
    <d v="2025-01-07T15:58:00"/>
    <d v="2025-01-10T15:05:00"/>
    <d v="2025-01-10T00:00:00"/>
    <m/>
    <x v="23"/>
    <m/>
    <n v="24.334722222221899"/>
    <n v="21.371527777781012"/>
    <n v="-45689"/>
    <d v="2025-01-22T07:29:46"/>
    <d v="2025-01-30T00:26:14"/>
    <d v="2025-02-26T15:58:00"/>
    <n v="1.0342256944444308"/>
    <n v="-830.70909090909095"/>
    <n v="40"/>
    <n v="20"/>
    <n v="17.647058823529413"/>
    <n v="22.352941176470591"/>
    <n v="14.647058823529413"/>
    <n v="55"/>
    <n v="44"/>
    <n v="39"/>
    <d v="2025-03-17T00:00:00"/>
    <d v="2025-03-12T00:00:00"/>
    <m/>
    <m/>
    <m/>
    <m/>
    <m/>
    <m/>
    <m/>
    <m/>
    <s v="NO COC"/>
    <m/>
    <d v="2025-02-16T00:00:00"/>
    <m/>
    <m/>
    <m/>
    <m/>
    <m/>
    <m/>
    <m/>
    <m/>
    <m/>
    <m/>
    <m/>
    <s v="Y"/>
    <d v="2025-01-22T00:00:00"/>
    <m/>
    <m/>
    <m/>
    <m/>
    <m/>
    <m/>
    <d v="2025-01-13T00:00:00"/>
    <s v="A7-0063,A7-0371,A7-8016,A7-8017,A7-0372,A7-0373,A7-0374,A7-8018,A7-8019,TLN-515608"/>
  </r>
  <r>
    <d v="2025-01-27T00:00:00"/>
    <d v="2025-01-16T00:00:00"/>
    <m/>
    <x v="4"/>
    <s v="X24030860881"/>
    <s v="FILIPINAS BENSON INDUSTRIAL AND DEVELOPMENT CORPOR"/>
    <s v="RODRIGUEZ, TUNASAN, MUNTINLUPA"/>
    <s v="MUNTINLUPA CITY"/>
    <s v="PARAÑAQUE"/>
    <m/>
    <m/>
    <x v="4"/>
    <s v="FCOMP"/>
    <s v="RRG"/>
    <n v="209.17350000000002"/>
    <n v="331.42"/>
    <n v="730"/>
    <x v="8"/>
    <n v="1864204.78"/>
    <n v="203044.77"/>
    <m/>
    <n v="0"/>
    <d v="2025-01-08T00:00:00"/>
    <d v="2025-01-13T14:50:00"/>
    <d v="2025-01-13T00:00:00"/>
    <m/>
    <x v="14"/>
    <m/>
    <n v="12"/>
    <n v="6.3819444444452529"/>
    <n v="-45677"/>
    <d v="2025-01-23T13:09:41"/>
    <d v="2025-01-31T11:52:15"/>
    <d v="2025-02-27T00:00:00"/>
    <n v="0.48521739130434777"/>
    <n v="-951.60416666666663"/>
    <n v="30"/>
    <n v="23"/>
    <n v="18.548387096774192"/>
    <n v="23.494623655913976"/>
    <n v="15.548387096774192"/>
    <n v="48"/>
    <n v="38.400000000000006"/>
    <n v="33.400000000000006"/>
    <d v="2025-02-27T09:36:00"/>
    <d v="2025-02-22T09:36:00"/>
    <m/>
    <m/>
    <m/>
    <m/>
    <m/>
    <m/>
    <m/>
    <m/>
    <s v="NO COC"/>
    <m/>
    <d v="2025-02-04T00:00:00"/>
    <n v="-399"/>
    <m/>
    <m/>
    <m/>
    <m/>
    <m/>
    <m/>
    <m/>
    <m/>
    <m/>
    <m/>
    <m/>
    <m/>
    <m/>
    <m/>
    <m/>
    <m/>
    <m/>
    <m/>
    <d v="2025-01-27T00:00:00"/>
    <s v="DR2-8014,DR2-8015,TLN-520871"/>
  </r>
  <r>
    <m/>
    <d v="2025-01-10T00:00:00"/>
    <m/>
    <x v="1"/>
    <s v="X25010012239"/>
    <s v="FRANCIS ARANEZ REYES"/>
    <s v="DAANG BATA, MOONWALK, PARANAQUE"/>
    <s v="PARANAQUE CITY"/>
    <s v="PARAÑAQUE"/>
    <m/>
    <m/>
    <x v="3"/>
    <s v="SCHED"/>
    <s v="JMM"/>
    <n v="42.149000000000001"/>
    <n v="106.47"/>
    <n v="58"/>
    <x v="8"/>
    <n v="544190.66"/>
    <n v="65233.330000000009"/>
    <m/>
    <n v="0"/>
    <d v="2025-01-08T17:29:53"/>
    <d v="2025-01-13T11:04:00"/>
    <d v="2025-01-10T00:00:00"/>
    <m/>
    <x v="0"/>
    <m/>
    <n v="-45665.729085648149"/>
    <n v="-45670.461111111108"/>
    <n v="0"/>
    <d v="2025-01-29T01:46:47"/>
    <d v="2025-02-07T07:11:18"/>
    <d v="2025-02-27T17:29:53"/>
    <n v="-1467.0890339733114"/>
    <n v="0"/>
    <n v="26"/>
    <n v="34"/>
    <n v="23.345070422535212"/>
    <n v="29.570422535211268"/>
    <n v="20.345070422535212"/>
    <n v="44"/>
    <n v="35.200000000000003"/>
    <n v="30.200000000000003"/>
    <d v="1900-02-03T04:48:00"/>
    <d v="1900-01-29T04:48:00"/>
    <m/>
    <m/>
    <m/>
    <m/>
    <m/>
    <m/>
    <m/>
    <m/>
    <m/>
    <m/>
    <d v="1900-01-14T00:00:00"/>
    <m/>
    <m/>
    <m/>
    <m/>
    <m/>
    <m/>
    <m/>
    <m/>
    <m/>
    <m/>
    <m/>
    <m/>
    <m/>
    <m/>
    <m/>
    <m/>
    <m/>
    <m/>
    <m/>
    <m/>
    <m/>
  </r>
  <r>
    <d v="2025-01-27T00:00:00"/>
    <d v="2025-01-10T00:00:00"/>
    <m/>
    <x v="1"/>
    <s v="X24041122874"/>
    <s v="ST.MICHAEL'S INST. OF BACOOR"/>
    <s v="GEN. EVANGELISTA, TABING DAGAT, BACOOR"/>
    <s v="BACOOR CITY"/>
    <s v="DASMA"/>
    <m/>
    <m/>
    <x v="3"/>
    <s v="SCHED"/>
    <s v="JMM"/>
    <n v="142.35950000000005"/>
    <n v="354.45"/>
    <n v="384"/>
    <x v="5"/>
    <n v="1446562.4"/>
    <n v="193011.69999999998"/>
    <m/>
    <n v="0"/>
    <d v="2025-01-09T13:21:02"/>
    <d v="2025-01-14T14:59:00"/>
    <d v="2025-01-10T00:00:00"/>
    <m/>
    <x v="0"/>
    <m/>
    <n v="-45666.556273148148"/>
    <n v="-45671.624305555553"/>
    <n v="0"/>
    <d v="2025-01-27T23:38:11"/>
    <d v="2025-02-05T16:46:45"/>
    <d v="2025-02-28T13:21:02"/>
    <n v="-1598.3294695601851"/>
    <n v="0"/>
    <n v="30"/>
    <n v="28"/>
    <n v="21.428571428571431"/>
    <n v="27.142857142857146"/>
    <n v="18.428571428571431"/>
    <n v="48"/>
    <n v="38.400000000000006"/>
    <n v="33.400000000000006"/>
    <d v="1900-02-06T09:36:00"/>
    <d v="1900-02-01T09:36:00"/>
    <m/>
    <m/>
    <m/>
    <m/>
    <m/>
    <m/>
    <m/>
    <m/>
    <m/>
    <m/>
    <d v="1900-01-14T00:00:00"/>
    <m/>
    <m/>
    <m/>
    <m/>
    <m/>
    <m/>
    <m/>
    <m/>
    <m/>
    <m/>
    <m/>
    <m/>
    <m/>
    <m/>
    <m/>
    <m/>
    <m/>
    <m/>
    <m/>
    <d v="2025-01-27T00:00:00"/>
    <s v="TLN-138990,CX5-8002"/>
  </r>
  <r>
    <d v="2025-01-13T00:00:00"/>
    <d v="2025-01-10T00:00:00"/>
    <m/>
    <x v="1"/>
    <s v="X24103955636"/>
    <s v="DELECTABLE FEAST CORPORATION"/>
    <s v="AGUIRRE, BF HOMES, PARANAQUE"/>
    <s v="PARANAQUE CITY"/>
    <s v="PARAÑAQUE"/>
    <m/>
    <m/>
    <x v="2"/>
    <s v="FCOMP"/>
    <s v="IGL"/>
    <n v="37.269500000000001"/>
    <n v="71.569999999999993"/>
    <n v="68"/>
    <x v="8"/>
    <n v="381005.41"/>
    <n v="37323.409999999996"/>
    <m/>
    <n v="0"/>
    <d v="2025-01-07T15:58:04"/>
    <d v="2025-01-10T15:09:00"/>
    <d v="2025-01-10T00:00:00"/>
    <m/>
    <x v="23"/>
    <m/>
    <n v="24.334675925929332"/>
    <n v="21.368750000001455"/>
    <n v="-45689"/>
    <d v="2025-01-26T23:10:37"/>
    <d v="2025-02-04T21:53:58"/>
    <d v="2025-02-26T15:58:04"/>
    <n v="0.81841685019429855"/>
    <n v="-1087.8333333333333"/>
    <n v="23"/>
    <n v="34"/>
    <n v="22.300380228136884"/>
    <n v="28.247148288973385"/>
    <n v="19.300380228136884"/>
    <n v="42"/>
    <n v="33.6"/>
    <n v="28.6"/>
    <d v="2025-03-06T14:24:00"/>
    <d v="2025-03-01T14:24:00"/>
    <m/>
    <m/>
    <m/>
    <m/>
    <m/>
    <m/>
    <m/>
    <m/>
    <s v="FOR AUDIT"/>
    <m/>
    <d v="2025-02-16T00:00:00"/>
    <m/>
    <d v="2025-02-01T00:00:00"/>
    <d v="2025-02-21T00:00:00"/>
    <m/>
    <m/>
    <m/>
    <m/>
    <m/>
    <m/>
    <m/>
    <m/>
    <m/>
    <m/>
    <m/>
    <m/>
    <m/>
    <m/>
    <m/>
    <m/>
    <d v="2025-01-13T00:00:00"/>
    <s v="CW9-8056,TLN-526116"/>
  </r>
  <r>
    <d v="2025-01-20T00:00:00"/>
    <d v="2025-01-10T00:00:00"/>
    <m/>
    <x v="1"/>
    <s v="X24103973963"/>
    <s v="IMV GEMINI PHARMA INC."/>
    <s v="BF HOMES-HERNANDEZ PORTION, ALMANZA I, LAS PINAS CITY"/>
    <s v="LAS PINAS CITY"/>
    <s v="PARAÑAQUE"/>
    <m/>
    <m/>
    <x v="2"/>
    <s v="FCOMP"/>
    <s v="IGL"/>
    <n v="20.258999999999997"/>
    <n v="53.6"/>
    <n v="98"/>
    <x v="8"/>
    <n v="458087.14"/>
    <n v="32512.640000000003"/>
    <m/>
    <n v="0"/>
    <d v="2025-01-08T16:35:13"/>
    <d v="2025-01-14T14:57:00"/>
    <d v="2025-01-10T00:00:00"/>
    <m/>
    <x v="25"/>
    <m/>
    <n v="29.30887731481198"/>
    <n v="23.377083333332848"/>
    <n v="-45695"/>
    <d v="2025-01-27T23:47:46"/>
    <d v="2025-02-05T22:31:07"/>
    <d v="2025-02-27T16:35:13"/>
    <n v="0.98570776647001912"/>
    <n v="-1087.9761904761904"/>
    <n v="23"/>
    <n v="34"/>
    <n v="22.300380228136884"/>
    <n v="28.247148288973385"/>
    <n v="19.300380228136884"/>
    <n v="42"/>
    <n v="33.6"/>
    <n v="28.6"/>
    <d v="2025-03-12T14:24:00"/>
    <d v="2025-03-07T14:24:00"/>
    <m/>
    <m/>
    <m/>
    <m/>
    <m/>
    <m/>
    <m/>
    <m/>
    <s v="NO COC"/>
    <m/>
    <d v="2025-02-22T00:00:00"/>
    <m/>
    <m/>
    <m/>
    <m/>
    <m/>
    <m/>
    <m/>
    <m/>
    <m/>
    <m/>
    <m/>
    <m/>
    <m/>
    <m/>
    <m/>
    <m/>
    <m/>
    <m/>
    <m/>
    <d v="2025-01-20T00:00:00"/>
    <s v="TLN-517778"/>
  </r>
  <r>
    <d v="2025-01-13T00:00:00"/>
    <d v="2025-01-10T00:00:00"/>
    <m/>
    <x v="2"/>
    <s v="X24072803104"/>
    <s v="PATRICK SOON NGO"/>
    <s v="AZUCENA, BF HOMES, PARANAQUE"/>
    <s v="PARANAQUE CITY"/>
    <s v="PARAÑAQUE"/>
    <m/>
    <m/>
    <x v="2"/>
    <s v="FCOMP"/>
    <s v="IGL"/>
    <n v="109.61980000000001"/>
    <n v="190.9"/>
    <n v="67"/>
    <x v="5"/>
    <n v="479799.06"/>
    <n v="108263.20000000006"/>
    <m/>
    <n v="0"/>
    <d v="2025-01-08T08:25:33"/>
    <d v="2025-01-10T15:10:00"/>
    <d v="2025-01-10T00:00:00"/>
    <m/>
    <x v="47"/>
    <m/>
    <n v="32.64892361110833"/>
    <n v="30.368055555554747"/>
    <n v="-45698"/>
    <d v="2025-01-28T16:42:27"/>
    <d v="2025-02-06T22:06:58"/>
    <d v="2025-02-27T08:25:33"/>
    <n v="1.0489020707641137"/>
    <n v="-1038.590909090909"/>
    <n v="26"/>
    <n v="34"/>
    <n v="23.345070422535212"/>
    <n v="29.570422535211268"/>
    <n v="20.345070422535212"/>
    <n v="44"/>
    <n v="35.200000000000003"/>
    <n v="30.200000000000003"/>
    <d v="2025-03-17T04:48:00"/>
    <d v="2025-03-12T04:48:00"/>
    <m/>
    <m/>
    <m/>
    <m/>
    <m/>
    <m/>
    <m/>
    <m/>
    <s v="FOR AUDIT"/>
    <m/>
    <d v="2025-02-25T00:00:00"/>
    <m/>
    <d v="2025-02-10T00:00:00"/>
    <d v="2025-02-27T00:00:00"/>
    <m/>
    <m/>
    <m/>
    <m/>
    <m/>
    <m/>
    <m/>
    <m/>
    <s v="Y"/>
    <d v="2025-02-06T00:00:00"/>
    <m/>
    <m/>
    <m/>
    <m/>
    <m/>
    <m/>
    <d v="2025-01-13T00:00:00"/>
    <s v="CW9-0399,DW1-8035,CW9-0400,CW9-0400,DW1-8036,CW9-0470,CW9-0470,TLN-523026"/>
  </r>
  <r>
    <d v="2025-01-17T00:00:00"/>
    <m/>
    <m/>
    <x v="2"/>
    <s v="X24062324373"/>
    <s v="MANUEL ANTONIO S BOCALING"/>
    <s v="BLOCK 19, TUNASAN, MUNTINLUPA"/>
    <s v="MUNTINLUPA CITY"/>
    <s v="PARAÑAQUE"/>
    <m/>
    <m/>
    <x v="5"/>
    <s v="COMP"/>
    <s v="IGL"/>
    <n v="0"/>
    <n v="30.5"/>
    <n v="87"/>
    <x v="5"/>
    <n v="238527.99"/>
    <m/>
    <m/>
    <m/>
    <d v="2025-01-07T14:57:29"/>
    <d v="2025-01-14T14:46:00"/>
    <m/>
    <m/>
    <x v="48"/>
    <d v="2025-02-11T14:03:00"/>
    <n v="13.376747685186274"/>
    <n v="6.3847222222248092"/>
    <n v="21.585416666668607"/>
    <d v="2025-01-25T16:44:35"/>
    <d v="2025-02-03T07:37:09"/>
    <d v="2025-02-26T14:57:29"/>
    <n v="0.47605484409045268"/>
    <n v="0.53963541666671522"/>
    <n v="20"/>
    <n v="34"/>
    <n v="21.074380165289259"/>
    <n v="26.694214876033058"/>
    <n v="18.074380165289259"/>
    <n v="40"/>
    <n v="32"/>
    <n v="27"/>
    <d v="2025-02-22T00:00:00"/>
    <d v="2025-02-17T00:00:00"/>
    <m/>
    <m/>
    <m/>
    <m/>
    <m/>
    <m/>
    <m/>
    <m/>
    <s v="CHECKING OF SERVICE ITEM"/>
    <s v="WITH BACKJOB"/>
    <d v="2025-02-05T00:00:00"/>
    <n v="-400"/>
    <m/>
    <m/>
    <d v="2025-02-05T00:00:00"/>
    <s v="ECI "/>
    <s v="Y"/>
    <m/>
    <m/>
    <m/>
    <m/>
    <m/>
    <s v="Y"/>
    <d v="2025-01-20T00:00:00"/>
    <m/>
    <m/>
    <m/>
    <m/>
    <m/>
    <m/>
    <m/>
    <m/>
  </r>
  <r>
    <d v="2025-01-27T00:00:00"/>
    <m/>
    <m/>
    <x v="1"/>
    <s v="X24083059434"/>
    <s v="ALFAMART TRADING PHILIPPINES, INC."/>
    <s v="BLOCK 1, SAN NICOLAS III, BACOOR"/>
    <s v="BACOOR CITY"/>
    <s v="DASMA"/>
    <m/>
    <m/>
    <x v="6"/>
    <s v="COMP"/>
    <s v="IGL"/>
    <n v="0"/>
    <n v="38.93"/>
    <n v="28"/>
    <x v="8"/>
    <n v="224520.24"/>
    <m/>
    <m/>
    <m/>
    <d v="2025-01-08T13:19:41"/>
    <d v="2025-01-14T14:47:00"/>
    <m/>
    <m/>
    <x v="13"/>
    <d v="2025-02-11T14:00:00"/>
    <n v="15.444664351853135"/>
    <n v="9.3840277777781012"/>
    <n v="18.583333333335759"/>
    <d v="2025-01-27T07:54:31"/>
    <d v="2025-02-05T03:15:49"/>
    <d v="2025-02-27T13:19:41"/>
    <n v="0.53198288323049681"/>
    <n v="0.46458333333339397"/>
    <n v="20"/>
    <n v="36"/>
    <n v="21.774193548387096"/>
    <n v="27.58064516129032"/>
    <n v="18.774193548387096"/>
    <n v="40"/>
    <n v="32"/>
    <n v="27"/>
    <d v="2025-02-25T00:00:00"/>
    <d v="2025-02-20T00:00:00"/>
    <m/>
    <m/>
    <m/>
    <m/>
    <m/>
    <m/>
    <m/>
    <m/>
    <s v="CHECKING OF SERVICE ITEM"/>
    <m/>
    <d v="2025-02-08T00:00:00"/>
    <m/>
    <m/>
    <m/>
    <d v="2025-02-05T00:00:00"/>
    <s v="ECI "/>
    <s v="N"/>
    <m/>
    <m/>
    <m/>
    <m/>
    <m/>
    <s v="Y"/>
    <d v="2025-01-23T00:00:00"/>
    <m/>
    <m/>
    <m/>
    <m/>
    <m/>
    <m/>
    <d v="2025-01-27T00:00:00"/>
    <s v="TLN-523235"/>
  </r>
  <r>
    <d v="2025-01-21T00:00:00"/>
    <d v="2025-01-16T00:00:00"/>
    <m/>
    <x v="2"/>
    <s v="R23155273"/>
    <s v="ALVAREZ, SAIMON LOUISE"/>
    <s v="VISTA VERDE SOUTH, VISTA VERDE SOUTH EXEC VILL 1, BACOOR"/>
    <s v="BACOOR CITY"/>
    <s v="DASMA"/>
    <m/>
    <m/>
    <x v="4"/>
    <s v="SCHED"/>
    <s v="RRG"/>
    <n v="60.620699999999992"/>
    <n v="126.33"/>
    <m/>
    <x v="10"/>
    <n v="321730.09999999998"/>
    <n v="54956.670000000006"/>
    <m/>
    <n v="0"/>
    <d v="2025-01-10T13:30:00"/>
    <d v="2025-01-20T14:26:00"/>
    <d v="2025-01-14T00:00:00"/>
    <m/>
    <x v="0"/>
    <m/>
    <n v="-45667.5625"/>
    <n v="-45677.601388888892"/>
    <n v="0"/>
    <d v="2025-01-31T18:27:56"/>
    <d v="2025-02-10T05:23:23"/>
    <d v="2025-03-01T13:30:00"/>
    <n v="-1414.9137954059829"/>
    <n v="0"/>
    <n v="26"/>
    <n v="36"/>
    <n v="24.206896551724139"/>
    <n v="30.662068965517239"/>
    <n v="21.206896551724139"/>
    <n v="44"/>
    <n v="35.200000000000003"/>
    <n v="30.200000000000003"/>
    <d v="1900-02-03T04:48:00"/>
    <d v="1900-01-29T04:48:00"/>
    <m/>
    <m/>
    <m/>
    <m/>
    <m/>
    <m/>
    <m/>
    <m/>
    <m/>
    <m/>
    <d v="1900-01-14T00:00:00"/>
    <m/>
    <m/>
    <m/>
    <m/>
    <m/>
    <m/>
    <m/>
    <m/>
    <m/>
    <m/>
    <m/>
    <m/>
    <m/>
    <m/>
    <m/>
    <m/>
    <m/>
    <m/>
    <m/>
    <d v="2025-01-21T00:00:00"/>
    <s v="CU6-8046,CU6-8047"/>
  </r>
  <r>
    <d v="2025-01-21T00:00:00"/>
    <d v="2025-01-16T00:00:00"/>
    <m/>
    <x v="4"/>
    <s v="X24041165850"/>
    <s v="DITO TELECOMMUNITY CORPORATION"/>
    <s v="TUNASAN, MUNTINLUPA"/>
    <s v="MUNTINLUPA CITY"/>
    <s v="PARAÑAQUE"/>
    <m/>
    <m/>
    <x v="2"/>
    <s v="FCOMP"/>
    <s v="IGL"/>
    <n v="41.209299999999999"/>
    <n v="90.53"/>
    <n v="20"/>
    <x v="8"/>
    <n v="1017553.36"/>
    <n v="33184.800000000003"/>
    <m/>
    <n v="0"/>
    <d v="2025-01-14T13:46:00"/>
    <d v="2025-01-20T14:29:00"/>
    <d v="2025-01-14T00:00:00"/>
    <m/>
    <x v="25"/>
    <m/>
    <n v="23.426388888889051"/>
    <n v="17.396527777775191"/>
    <n v="-45695"/>
    <d v="2025-02-03T15:49:07"/>
    <d v="2025-02-12T19:33:57"/>
    <d v="2025-03-05T13:46:00"/>
    <n v="0.76107471148685435"/>
    <n v="-1087.9761904761904"/>
    <n v="23"/>
    <n v="36"/>
    <n v="23.085501858736059"/>
    <n v="29.241635687732341"/>
    <n v="20.085501858736059"/>
    <n v="42"/>
    <n v="33.6"/>
    <n v="28.6"/>
    <d v="2025-03-12T14:24:00"/>
    <d v="2025-03-07T14:24:00"/>
    <m/>
    <m/>
    <m/>
    <m/>
    <m/>
    <m/>
    <m/>
    <m/>
    <s v="FOR AUDIT"/>
    <m/>
    <d v="2025-02-22T00:00:00"/>
    <m/>
    <d v="2025-02-07T00:00:00"/>
    <d v="2025-02-27T00:00:00"/>
    <m/>
    <m/>
    <m/>
    <m/>
    <m/>
    <m/>
    <m/>
    <m/>
    <m/>
    <m/>
    <m/>
    <m/>
    <m/>
    <m/>
    <m/>
    <m/>
    <d v="2025-01-21T00:00:00"/>
    <s v="DR2-8016,TLN-521435"/>
  </r>
  <r>
    <m/>
    <d v="2025-01-16T00:00:00"/>
    <m/>
    <x v="4"/>
    <s v="X24083245022"/>
    <s v="EDGEPOINT TOWERS INC."/>
    <s v="C6 ROAD, HAGONOY, TAGUIG CITY"/>
    <s v="TAGUIG CITY"/>
    <s v="PARAÑAQUE"/>
    <m/>
    <m/>
    <x v="1"/>
    <s v="FCOMP"/>
    <s v="JMM"/>
    <n v="207.18429999999995"/>
    <n v="432.38"/>
    <n v="35"/>
    <x v="8"/>
    <n v="1348054.07"/>
    <n v="197215.94999999995"/>
    <m/>
    <n v="0"/>
    <d v="2025-01-13T16:12:00"/>
    <d v="2025-01-17T09:16:00"/>
    <d v="2025-01-14T00:00:00"/>
    <m/>
    <x v="9"/>
    <m/>
    <n v="39.32499999999709"/>
    <n v="35.613888888889051"/>
    <n v="-45710"/>
    <d v="2025-02-05T16:46:42"/>
    <d v="2025-02-15T15:19:57"/>
    <d v="2025-03-04T16:12:00"/>
    <n v="1.1333246527776939"/>
    <n v="-914.2"/>
    <n v="32"/>
    <n v="36"/>
    <n v="26.024096385542165"/>
    <n v="32.963855421686745"/>
    <n v="23.024096385542165"/>
    <n v="50"/>
    <n v="40"/>
    <n v="35"/>
    <d v="2025-04-03T00:00:00"/>
    <d v="2025-03-29T00:00:00"/>
    <m/>
    <m/>
    <m/>
    <m/>
    <m/>
    <m/>
    <m/>
    <m/>
    <s v="NO COC"/>
    <m/>
    <d v="2025-03-09T00:00:00"/>
    <m/>
    <m/>
    <m/>
    <m/>
    <m/>
    <m/>
    <m/>
    <m/>
    <m/>
    <m/>
    <m/>
    <m/>
    <m/>
    <m/>
    <m/>
    <m/>
    <m/>
    <m/>
    <m/>
    <m/>
    <m/>
  </r>
  <r>
    <d v="2025-01-21T00:00:00"/>
    <d v="2025-01-16T00:00:00"/>
    <m/>
    <x v="4"/>
    <s v="X24093598451"/>
    <s v="DITO TELECOMMUNITY CORPORATION"/>
    <s v="DR. A. SANTOS, SAN ISIDRO, PARANAQUE"/>
    <s v="PARANAQUE CITY"/>
    <s v="PARAÑAQUE"/>
    <m/>
    <m/>
    <x v="0"/>
    <s v="FCOMP"/>
    <s v="RRG"/>
    <n v="12.312799999999999"/>
    <n v="71.78"/>
    <n v="31"/>
    <x v="8"/>
    <n v="267072.84999999998"/>
    <n v="42193.72"/>
    <m/>
    <n v="0"/>
    <d v="2025-01-14T13:05:00"/>
    <d v="2025-01-20T14:31:00"/>
    <d v="2025-01-14T00:00:00"/>
    <m/>
    <x v="49"/>
    <m/>
    <n v="10.454861111109494"/>
    <n v="4.3951388888890506"/>
    <n v="-45682"/>
    <d v="2025-02-03T15:08:07"/>
    <d v="2025-02-12T18:52:57"/>
    <d v="2025-03-05T13:05:00"/>
    <n v="0.33965671967251859"/>
    <n v="-1087.6666666666667"/>
    <n v="23"/>
    <n v="36"/>
    <n v="23.085501858736059"/>
    <n v="29.241635687732341"/>
    <n v="20.085501858736059"/>
    <n v="42"/>
    <n v="33.6"/>
    <n v="28.6"/>
    <d v="2025-02-27T14:24:00"/>
    <d v="2025-02-22T14:24:00"/>
    <m/>
    <m/>
    <m/>
    <m/>
    <m/>
    <m/>
    <m/>
    <m/>
    <s v="FOR AUDIT"/>
    <m/>
    <d v="2025-02-09T00:00:00"/>
    <m/>
    <d v="2025-01-25T00:00:00"/>
    <d v="2025-02-14T00:00:00"/>
    <m/>
    <m/>
    <m/>
    <m/>
    <m/>
    <m/>
    <m/>
    <m/>
    <m/>
    <m/>
    <m/>
    <m/>
    <m/>
    <m/>
    <m/>
    <m/>
    <d v="2025-01-21T00:00:00"/>
    <s v="TLN-523779"/>
  </r>
  <r>
    <d v="2025-01-16T00:00:00"/>
    <d v="2025-01-16T00:00:00"/>
    <m/>
    <x v="1"/>
    <s v="X24104022803"/>
    <s v="PRECILLE DOHINOG ARQUILLANO"/>
    <s v="SAMPALOC SITE 2, SAMPALOC SITE 2, PARANAQUE"/>
    <s v="PARANAQUE CITY"/>
    <s v="PARAÑAQUE"/>
    <m/>
    <m/>
    <x v="0"/>
    <s v="FCOMP"/>
    <s v="RRG"/>
    <n v="37.639500000000005"/>
    <n v="81.72"/>
    <n v="20"/>
    <x v="8"/>
    <n v="407227.17"/>
    <n v="39598.5"/>
    <m/>
    <n v="0"/>
    <d v="2025-01-09T18:08:00"/>
    <d v="2025-01-15T15:23:00"/>
    <d v="2025-01-14T00:00:00"/>
    <m/>
    <x v="8"/>
    <m/>
    <n v="32.244444444440887"/>
    <n v="26.359027777776646"/>
    <n v="-45699"/>
    <d v="2025-01-29T20:11:07"/>
    <d v="2025-02-07T23:55:57"/>
    <d v="2025-02-28T18:08:00"/>
    <n v="1.0475550187867873"/>
    <n v="-1088.0714285714287"/>
    <n v="23"/>
    <n v="36"/>
    <n v="23.085501858736059"/>
    <n v="29.241635687732341"/>
    <n v="20.085501858736059"/>
    <n v="42"/>
    <n v="33.6"/>
    <n v="28.6"/>
    <d v="2025-03-16T14:24:00"/>
    <d v="2025-03-11T14:24:00"/>
    <m/>
    <m/>
    <m/>
    <m/>
    <m/>
    <m/>
    <m/>
    <m/>
    <s v="NO COC"/>
    <m/>
    <d v="2025-02-26T00:00:00"/>
    <m/>
    <m/>
    <m/>
    <m/>
    <m/>
    <m/>
    <m/>
    <m/>
    <m/>
    <m/>
    <m/>
    <s v="Y"/>
    <d v="2025-02-11T00:00:00"/>
    <m/>
    <m/>
    <m/>
    <m/>
    <m/>
    <m/>
    <d v="2025-01-16T00:00:00"/>
    <s v="DXI-8100,TLN-526189"/>
  </r>
  <r>
    <d v="2025-01-16T00:00:00"/>
    <d v="2025-01-16T00:00:00"/>
    <m/>
    <x v="1"/>
    <s v="X24103963394"/>
    <s v="HERSTAL SECURITY AGENCY, INC."/>
    <s v="DOÑA SOLEDAD, BETTER LIVING SUBD, PARANAQUE"/>
    <s v="PARANAQUE CITY"/>
    <s v="PARAÑAQUE"/>
    <m/>
    <m/>
    <x v="3"/>
    <s v="SCHED"/>
    <s v="JMM"/>
    <n v="50.197499999999998"/>
    <n v="76.25"/>
    <n v="55"/>
    <x v="8"/>
    <n v="391521.04"/>
    <n v="43156.97"/>
    <m/>
    <n v="0"/>
    <d v="2025-01-09T18:06:00"/>
    <d v="2025-01-15T15:25:00"/>
    <d v="2025-01-14T00:00:00"/>
    <m/>
    <x v="0"/>
    <m/>
    <n v="-45666.754166666666"/>
    <n v="-45672.642361111109"/>
    <n v="0"/>
    <d v="2025-01-29T01:18:33"/>
    <d v="2025-02-07T00:01:54"/>
    <d v="2025-02-28T18:06:00"/>
    <n v="-1535.851195119352"/>
    <n v="0"/>
    <n v="23"/>
    <n v="34"/>
    <n v="22.300380228136884"/>
    <n v="28.247148288973385"/>
    <n v="19.300380228136884"/>
    <n v="42"/>
    <n v="33.6"/>
    <n v="28.6"/>
    <d v="1900-02-01T14:24:00"/>
    <d v="1900-01-27T14:24:00"/>
    <m/>
    <m/>
    <m/>
    <m/>
    <m/>
    <m/>
    <m/>
    <m/>
    <m/>
    <m/>
    <d v="1900-01-14T00:00:00"/>
    <m/>
    <m/>
    <m/>
    <m/>
    <m/>
    <m/>
    <m/>
    <m/>
    <m/>
    <m/>
    <m/>
    <m/>
    <m/>
    <m/>
    <m/>
    <m/>
    <m/>
    <m/>
    <m/>
    <d v="2025-01-16T00:00:00"/>
    <s v="DZI-8031,TLN-522411"/>
  </r>
  <r>
    <m/>
    <d v="2025-01-16T00:00:00"/>
    <m/>
    <x v="1"/>
    <s v="X24124846054"/>
    <s v="PASONG TAMO Z2 GAS STATION INC."/>
    <s v="WEST SERVICE, MARCELO GREEN VILL, PARANAQUE"/>
    <s v="PARANAQUE CITY"/>
    <s v="PARAÑAQUE"/>
    <m/>
    <m/>
    <x v="3"/>
    <s v="FCOMP"/>
    <s v="JMM"/>
    <n v="1.73"/>
    <n v="4.6500000000000004"/>
    <n v="16"/>
    <x v="8"/>
    <n v="18039.03"/>
    <n v="2737.9300000000003"/>
    <m/>
    <n v="0"/>
    <d v="2025-01-10T15:57:00"/>
    <d v="2025-01-15T15:29:00"/>
    <d v="2025-01-14T00:00:00"/>
    <m/>
    <x v="1"/>
    <m/>
    <n v="19.335416666668607"/>
    <n v="14.354861111110949"/>
    <n v="-45687"/>
    <d v="2025-01-29T10:31:50"/>
    <d v="2025-02-07T05:53:08"/>
    <d v="2025-03-01T15:57:00"/>
    <n v="0.66599768518525204"/>
    <n v="-1142.175"/>
    <n v="20"/>
    <n v="36"/>
    <n v="21.774193548387096"/>
    <n v="27.58064516129032"/>
    <n v="18.774193548387096"/>
    <n v="40"/>
    <n v="32"/>
    <n v="27"/>
    <d v="2025-03-03T00:00:00"/>
    <d v="2025-02-26T00:00:00"/>
    <m/>
    <m/>
    <m/>
    <m/>
    <m/>
    <m/>
    <m/>
    <m/>
    <s v="NO COC"/>
    <m/>
    <d v="2025-02-14T00:00:00"/>
    <m/>
    <m/>
    <m/>
    <m/>
    <m/>
    <m/>
    <m/>
    <m/>
    <m/>
    <m/>
    <m/>
    <s v="Y"/>
    <d v="2025-01-22T00:00:00"/>
    <m/>
    <m/>
    <m/>
    <m/>
    <m/>
    <m/>
    <m/>
    <m/>
  </r>
  <r>
    <d v="2025-01-21T00:00:00"/>
    <d v="2025-01-20T00:00:00"/>
    <m/>
    <x v="2"/>
    <s v="X24093725597"/>
    <s v="RAV MC LESTER SALCEDO ASI"/>
    <s v="ST. GEORGE, METROCOR SOUTH GATE HOMES, LAS PINAS CITY"/>
    <s v="LAS PINAS CITY"/>
    <s v="PARAÑAQUE"/>
    <m/>
    <m/>
    <x v="2"/>
    <s v="FCOMP"/>
    <s v="IGL"/>
    <n v="123.3395"/>
    <n v="233.1"/>
    <n v="3.8"/>
    <x v="8"/>
    <n v="740394.49"/>
    <n v="119149.37000000007"/>
    <m/>
    <n v="0"/>
    <d v="2025-01-15T17:02:00"/>
    <d v="2025-01-20T14:34:00"/>
    <d v="2025-01-20T00:00:00"/>
    <m/>
    <x v="1"/>
    <m/>
    <n v="14.290277777778101"/>
    <n v="9.3930555555562023"/>
    <n v="-45687"/>
    <d v="2025-02-06T13:52:32"/>
    <d v="2025-02-16T05:02:00"/>
    <d v="2025-03-06T17:02:00"/>
    <n v="0.43097663139330777"/>
    <n v="-993.195652173913"/>
    <n v="28"/>
    <n v="36"/>
    <n v="24.868421052631579"/>
    <n v="31.499999999999996"/>
    <n v="21.868421052631579"/>
    <n v="46"/>
    <n v="36.800000000000004"/>
    <n v="31.800000000000004"/>
    <d v="2025-03-07T19:12:00"/>
    <d v="2025-03-02T19:12:00"/>
    <m/>
    <m/>
    <m/>
    <m/>
    <m/>
    <m/>
    <m/>
    <m/>
    <s v="FOR AUDIT"/>
    <m/>
    <d v="2025-02-14T00:00:00"/>
    <m/>
    <d v="2025-01-30T00:00:00"/>
    <d v="2025-02-27T00:00:00"/>
    <m/>
    <m/>
    <m/>
    <m/>
    <m/>
    <m/>
    <m/>
    <m/>
    <m/>
    <m/>
    <m/>
    <m/>
    <m/>
    <m/>
    <m/>
    <m/>
    <d v="2025-01-21T00:00:00"/>
    <s v="CV9-8054,TLN-523885,CV9-8055,CV9-8056,CV9-8057"/>
  </r>
  <r>
    <d v="2025-02-27T00:00:00"/>
    <d v="2025-01-20T00:00:00"/>
    <m/>
    <x v="1"/>
    <s v="X24103906652"/>
    <s v="BERNADETTE A. NAVALTA"/>
    <s v="B. CAPISTRANO, HAGONOY, TAGUIG CITY"/>
    <s v="TAGUIG CITY"/>
    <s v="PARAÑAQUE"/>
    <m/>
    <m/>
    <x v="1"/>
    <s v="SCHED"/>
    <s v="JMM"/>
    <n v="85.545100000000033"/>
    <n v="174.65"/>
    <n v="111"/>
    <x v="8"/>
    <n v="693459.93"/>
    <n v="113948.90000000004"/>
    <m/>
    <n v="0"/>
    <d v="2025-01-15T18:53:00"/>
    <d v="2025-01-21T13:52:00"/>
    <d v="2025-01-16T00:00:00"/>
    <m/>
    <x v="0"/>
    <m/>
    <n v="-45672.786805555559"/>
    <n v="-45678.577777777777"/>
    <n v="0"/>
    <d v="2025-02-04T05:35:18"/>
    <d v="2025-02-13T05:14:35"/>
    <d v="2025-03-06T18:53:00"/>
    <n v="-1526.0859052817841"/>
    <n v="0"/>
    <n v="26"/>
    <n v="32"/>
    <n v="22.446043165467625"/>
    <n v="28.431654676258994"/>
    <n v="19.446043165467625"/>
    <n v="44"/>
    <n v="35.200000000000003"/>
    <n v="30.200000000000003"/>
    <d v="1900-02-03T04:48:00"/>
    <d v="1900-01-29T04:48:00"/>
    <m/>
    <m/>
    <m/>
    <m/>
    <m/>
    <m/>
    <m/>
    <m/>
    <m/>
    <m/>
    <d v="1900-01-14T00:00:00"/>
    <m/>
    <m/>
    <m/>
    <m/>
    <m/>
    <m/>
    <m/>
    <m/>
    <m/>
    <m/>
    <m/>
    <m/>
    <m/>
    <m/>
    <m/>
    <m/>
    <m/>
    <m/>
    <m/>
    <d v="2025-01-27T00:00:00"/>
    <s v="B9-0717,B9-8085"/>
  </r>
  <r>
    <d v="2025-01-23T00:00:00"/>
    <d v="2025-01-20T00:00:00"/>
    <m/>
    <x v="4"/>
    <s v="X24104068733"/>
    <s v="DITO TELECOMMUNITY CORPORATION"/>
    <s v="M.L. QUEZON, PUROK 6, TAGUIG CITY"/>
    <s v="TAGUIG CITY"/>
    <s v="PARAÑAQUE"/>
    <s v="a"/>
    <m/>
    <x v="1"/>
    <s v="SCHED"/>
    <s v="JMM"/>
    <n v="53.5563"/>
    <n v="96.73"/>
    <n v="22"/>
    <x v="8"/>
    <n v="1033388.17"/>
    <n v="43127.53"/>
    <m/>
    <n v="0"/>
    <d v="2025-01-15T18:53:00"/>
    <d v="2025-01-21T13:50:00"/>
    <d v="2025-01-16T00:00:00"/>
    <m/>
    <x v="0"/>
    <m/>
    <n v="-45672.786805555559"/>
    <n v="-45678.576388888891"/>
    <n v="0"/>
    <d v="2025-02-04T20:56:07"/>
    <d v="2025-02-14T00:40:57"/>
    <d v="2025-03-06T18:53:00"/>
    <n v="-1483.8139674751746"/>
    <n v="0"/>
    <n v="23"/>
    <n v="36"/>
    <n v="23.085501858736059"/>
    <n v="29.241635687732341"/>
    <n v="20.085501858736059"/>
    <n v="42"/>
    <n v="33.6"/>
    <n v="28.6"/>
    <d v="1900-02-01T14:24:00"/>
    <d v="1900-01-27T14:24:00"/>
    <m/>
    <m/>
    <m/>
    <m/>
    <m/>
    <m/>
    <m/>
    <m/>
    <m/>
    <m/>
    <d v="1900-01-14T00:00:00"/>
    <m/>
    <m/>
    <m/>
    <m/>
    <m/>
    <m/>
    <m/>
    <m/>
    <m/>
    <m/>
    <m/>
    <m/>
    <m/>
    <m/>
    <m/>
    <m/>
    <m/>
    <m/>
    <m/>
    <d v="2025-01-23T00:00:00"/>
    <s v="DZ2-5886,TLN-187901,DZ2-8121,TLN-526225"/>
  </r>
  <r>
    <d v="2025-01-21T00:00:00"/>
    <d v="2025-01-20T00:00:00"/>
    <m/>
    <x v="2"/>
    <s v="X24114453763"/>
    <s v="ANGELO CALVO PICARDAL"/>
    <s v="M. BRIONES, KATARUNGAN VILLAGE, MUNTINLUPA"/>
    <s v="MUNTINLUPA CITY"/>
    <s v="PARAÑAQUE"/>
    <m/>
    <m/>
    <x v="0"/>
    <s v="SCHED"/>
    <s v="RRG"/>
    <n v="20.119999999999994"/>
    <n v="43.38"/>
    <n v="5"/>
    <x v="5"/>
    <n v="137086.39999999999"/>
    <n v="21332.079999999998"/>
    <m/>
    <n v="0"/>
    <d v="2025-01-15T18:53:00"/>
    <d v="2025-01-20T14:43:00"/>
    <d v="2025-01-16T00:00:00"/>
    <m/>
    <x v="0"/>
    <m/>
    <n v="-45672.786805555559"/>
    <n v="-45677.613194444442"/>
    <n v="0"/>
    <d v="2025-02-03T13:27:50"/>
    <d v="2025-02-12T08:49:08"/>
    <d v="2025-03-06T18:53:00"/>
    <n v="-1573.1737677469137"/>
    <n v="0"/>
    <n v="20"/>
    <n v="36"/>
    <n v="21.774193548387096"/>
    <n v="27.58064516129032"/>
    <n v="18.774193548387096"/>
    <n v="40"/>
    <n v="32"/>
    <n v="27"/>
    <d v="1900-01-31T00:00:00"/>
    <d v="1900-01-26T00:00:00"/>
    <m/>
    <m/>
    <m/>
    <m/>
    <m/>
    <m/>
    <m/>
    <m/>
    <m/>
    <m/>
    <d v="1900-01-14T00:00:00"/>
    <m/>
    <m/>
    <m/>
    <m/>
    <m/>
    <m/>
    <m/>
    <m/>
    <m/>
    <m/>
    <m/>
    <m/>
    <m/>
    <m/>
    <m/>
    <m/>
    <m/>
    <m/>
    <m/>
    <d v="2025-01-21T00:00:00"/>
    <s v="CR9-8048"/>
  </r>
  <r>
    <d v="2025-01-21T00:00:00"/>
    <d v="2025-01-20T00:00:00"/>
    <m/>
    <x v="2"/>
    <s v="X24114634882"/>
    <s v="CHRISTOPHER JOSEPH REYES TSUI"/>
    <s v="DAYAP LOOP TAMARIND COVE, AYALA-ALABANG VILL, MUNTINLUPA"/>
    <s v="MUNTINLUPA CITY"/>
    <s v="PARAÑAQUE"/>
    <m/>
    <m/>
    <x v="2"/>
    <s v="FCOMP"/>
    <s v="IGL"/>
    <n v="15.65"/>
    <n v="21.43"/>
    <n v="27.1"/>
    <x v="8"/>
    <n v="196704.22"/>
    <n v="12602.54"/>
    <m/>
    <n v="0"/>
    <d v="2025-01-15T18:53:00"/>
    <d v="2025-01-20T14:36:00"/>
    <d v="2025-01-17T00:00:00"/>
    <m/>
    <x v="5"/>
    <m/>
    <n v="30.213194444440887"/>
    <n v="25.391666666670062"/>
    <n v="-45703"/>
    <d v="2025-02-03T13:27:50"/>
    <d v="2025-02-12T08:49:08"/>
    <d v="2025-03-06T18:53:00"/>
    <n v="1.0406766975307415"/>
    <n v="-1142.575"/>
    <n v="20"/>
    <n v="36"/>
    <n v="21.774193548387096"/>
    <n v="27.58064516129032"/>
    <n v="18.774193548387096"/>
    <n v="40"/>
    <n v="32"/>
    <n v="27"/>
    <d v="2025-03-19T00:00:00"/>
    <d v="2025-03-14T00:00:00"/>
    <m/>
    <m/>
    <m/>
    <m/>
    <m/>
    <m/>
    <m/>
    <m/>
    <s v="FOR AUDIT"/>
    <s v="CONJ.  X24114634928"/>
    <d v="2025-03-02T00:00:00"/>
    <m/>
    <d v="2025-02-15T00:00:00"/>
    <d v="2025-03-03T00:00:00"/>
    <m/>
    <m/>
    <m/>
    <m/>
    <m/>
    <m/>
    <m/>
    <m/>
    <s v="Y"/>
    <d v="2025-02-15T00:00:00"/>
    <m/>
    <m/>
    <m/>
    <m/>
    <m/>
    <m/>
    <d v="2025-01-21T00:00:00"/>
    <s v="TLN-526706"/>
  </r>
  <r>
    <d v="2025-01-21T00:00:00"/>
    <d v="2025-01-20T00:00:00"/>
    <m/>
    <x v="2"/>
    <s v="X24114634928"/>
    <s v="CHRISTOPHER JOSEPH REYES TSUI"/>
    <s v="DAYAP LOOP TAMARIND COVE, AYALA-ALABANG VILL, MUNTINLUPA"/>
    <s v="MUNTINLUPA CITY"/>
    <s v="PARAÑAQUE"/>
    <m/>
    <m/>
    <x v="2"/>
    <s v="FCOMP"/>
    <s v="IGL"/>
    <n v="36.825499999999998"/>
    <n v="55.53"/>
    <m/>
    <x v="8"/>
    <n v="177491.79"/>
    <n v="29654.69"/>
    <m/>
    <n v="0"/>
    <d v="2025-01-15T18:53:00"/>
    <d v="2025-01-20T14:38:00"/>
    <d v="2025-01-17T00:00:00"/>
    <m/>
    <x v="5"/>
    <m/>
    <n v="30.213194444440887"/>
    <n v="25.390277777776646"/>
    <n v="-45703"/>
    <d v="2025-02-04T20:56:07"/>
    <d v="2025-02-14T00:40:57"/>
    <d v="2025-03-06T18:53:00"/>
    <n v="0.98156392579161811"/>
    <n v="-1088.1666666666667"/>
    <n v="23"/>
    <n v="36"/>
    <n v="23.085501858736059"/>
    <n v="29.241635687732341"/>
    <n v="20.085501858736059"/>
    <n v="42"/>
    <n v="33.6"/>
    <n v="28.6"/>
    <d v="2025-03-20T14:24:00"/>
    <d v="2025-03-15T14:24:00"/>
    <m/>
    <m/>
    <m/>
    <m/>
    <m/>
    <m/>
    <m/>
    <m/>
    <s v="FOR AUDIT"/>
    <m/>
    <d v="2025-03-02T00:00:00"/>
    <m/>
    <d v="2025-02-15T00:00:00"/>
    <d v="2025-03-03T00:00:00"/>
    <m/>
    <m/>
    <m/>
    <m/>
    <m/>
    <m/>
    <m/>
    <m/>
    <s v="Y"/>
    <d v="2025-02-15T00:00:00"/>
    <m/>
    <m/>
    <m/>
    <m/>
    <m/>
    <m/>
    <d v="2025-01-21T00:00:00"/>
    <s v="DSI-8150"/>
  </r>
  <r>
    <d v="2025-01-23T00:00:00"/>
    <d v="2025-01-20T00:00:00"/>
    <m/>
    <x v="4"/>
    <s v="X24124943162"/>
    <s v="RICARDO DELOS SANTOS ABELARDO JR."/>
    <s v="WEST SERVICE, CUPANG, MUNTINLUPA"/>
    <s v="MUNTINLUPA CITY"/>
    <s v="PARAÑAQUE"/>
    <m/>
    <m/>
    <x v="4"/>
    <s v="FCOMP"/>
    <s v="RRG"/>
    <n v="3.58"/>
    <n v="20.52"/>
    <n v="39"/>
    <x v="5"/>
    <n v="46265.45"/>
    <n v="12871.339999999998"/>
    <m/>
    <n v="0"/>
    <d v="2025-01-15T18:53:00"/>
    <d v="2025-01-21T13:43:00"/>
    <d v="2025-01-16T00:00:00"/>
    <m/>
    <x v="25"/>
    <m/>
    <n v="22.213194444440887"/>
    <n v="16.428472222221899"/>
    <n v="-45695"/>
    <d v="2025-02-03T13:27:50"/>
    <d v="2025-02-12T08:49:08"/>
    <d v="2025-03-06T18:53:00"/>
    <n v="0.7651211419751861"/>
    <n v="-1142.375"/>
    <n v="20"/>
    <n v="36"/>
    <n v="21.774193548387096"/>
    <n v="27.58064516129032"/>
    <n v="18.774193548387096"/>
    <n v="40"/>
    <n v="32"/>
    <n v="27"/>
    <d v="2025-03-11T00:00:00"/>
    <d v="2025-03-06T00:00:00"/>
    <m/>
    <m/>
    <m/>
    <m/>
    <m/>
    <m/>
    <m/>
    <m/>
    <s v="NO COC"/>
    <m/>
    <d v="2025-02-22T00:00:00"/>
    <m/>
    <m/>
    <m/>
    <m/>
    <m/>
    <m/>
    <m/>
    <m/>
    <m/>
    <m/>
    <m/>
    <m/>
    <m/>
    <m/>
    <m/>
    <m/>
    <m/>
    <m/>
    <m/>
    <s v="N/A"/>
    <m/>
  </r>
  <r>
    <d v="2025-01-21T00:00:00"/>
    <d v="2025-01-20T00:00:00"/>
    <m/>
    <x v="2"/>
    <s v="R23885137"/>
    <s v="OMNI INVESTMENT BUILDING CORPORATION"/>
    <s v="MAGDIWANG, MOLINO III, BACOOR"/>
    <s v="BACOOR CITY"/>
    <s v="DASMA"/>
    <m/>
    <m/>
    <x v="4"/>
    <s v="SCHED"/>
    <s v="RRG"/>
    <n v="113.85398000000002"/>
    <n v="169.67"/>
    <n v="0"/>
    <x v="10"/>
    <n v="340822.52"/>
    <n v="117184.96000000002"/>
    <m/>
    <n v="0"/>
    <d v="2025-01-15T18:53:00"/>
    <d v="2025-01-20T14:45:00"/>
    <d v="2025-01-16T00:00:00"/>
    <m/>
    <x v="0"/>
    <m/>
    <n v="-45672.786805555559"/>
    <n v="-45677.614583333336"/>
    <n v="0"/>
    <d v="2025-02-05T23:50:56"/>
    <d v="2025-02-15T10:46:23"/>
    <d v="2025-03-06T18:53:00"/>
    <n v="-1415.0756595738367"/>
    <n v="0"/>
    <n v="26"/>
    <n v="36"/>
    <n v="24.206896551724139"/>
    <n v="30.662068965517239"/>
    <n v="21.206896551724139"/>
    <n v="44"/>
    <n v="35.200000000000003"/>
    <n v="30.200000000000003"/>
    <d v="1900-02-03T04:48:00"/>
    <d v="1900-01-29T04:48:00"/>
    <m/>
    <m/>
    <m/>
    <m/>
    <m/>
    <m/>
    <m/>
    <m/>
    <m/>
    <m/>
    <d v="1900-01-14T00:00:00"/>
    <m/>
    <m/>
    <m/>
    <m/>
    <m/>
    <m/>
    <m/>
    <m/>
    <m/>
    <m/>
    <m/>
    <m/>
    <m/>
    <m/>
    <m/>
    <m/>
    <m/>
    <m/>
    <m/>
    <d v="2025-01-21T00:00:00"/>
    <s v="CT7-8083,TLN-108907"/>
  </r>
  <r>
    <d v="2025-01-27T00:00:00"/>
    <d v="2025-01-22T00:00:00"/>
    <m/>
    <x v="2"/>
    <s v="X24104341977"/>
    <s v="MARGARITA OROSA FELIX"/>
    <s v="TANAUAN, AYALA-ALABANG VILL, MUNTINLUPA"/>
    <s v="MUNTINLUPA CITY"/>
    <s v="PARAÑAQUE"/>
    <m/>
    <m/>
    <x v="2"/>
    <s v="FCOMP"/>
    <s v="IGL"/>
    <n v="57.179499999999997"/>
    <n v="100.7"/>
    <n v="80"/>
    <x v="8"/>
    <n v="402458.69"/>
    <n v="52921.159999999996"/>
    <m/>
    <n v="0"/>
    <d v="2025-01-16T16:33:00"/>
    <d v="2025-01-23T12:56:00"/>
    <d v="2025-01-21T00:00:00"/>
    <m/>
    <x v="5"/>
    <m/>
    <n v="29.310416666667152"/>
    <n v="22.461111111108039"/>
    <n v="-45703"/>
    <d v="2025-02-04T23:45:33"/>
    <d v="2025-02-13T22:28:54"/>
    <d v="2025-03-07T16:33:00"/>
    <n v="0.98575953751067269"/>
    <n v="-1088.1666666666667"/>
    <n v="23"/>
    <n v="34"/>
    <n v="22.300380228136884"/>
    <n v="28.247148288973385"/>
    <n v="19.300380228136884"/>
    <n v="42"/>
    <n v="33.6"/>
    <n v="28.6"/>
    <d v="2025-03-20T14:24:00"/>
    <d v="2025-03-15T14:24:00"/>
    <m/>
    <m/>
    <m/>
    <m/>
    <m/>
    <m/>
    <m/>
    <m/>
    <s v="FOR AUDIT"/>
    <m/>
    <d v="2025-03-02T00:00:00"/>
    <m/>
    <d v="2025-02-15T00:00:00"/>
    <d v="2025-02-27T00:00:00"/>
    <m/>
    <m/>
    <m/>
    <m/>
    <m/>
    <m/>
    <m/>
    <m/>
    <s v="Y"/>
    <d v="2025-02-14T00:00:00"/>
    <m/>
    <m/>
    <m/>
    <m/>
    <m/>
    <m/>
    <d v="2025-01-27T00:00:00"/>
    <s v="CS9-8083,CS9-0167,TLN-526463"/>
  </r>
  <r>
    <d v="2025-01-27T00:00:00"/>
    <d v="2025-01-22T00:00:00"/>
    <m/>
    <x v="2"/>
    <s v="X23010262595"/>
    <s v="FRANCISCO ARANETA CLIMENT"/>
    <s v="BANAWE, AYALA-ALABANG VILL, MUNTINLUPA"/>
    <s v="MUNTINLUPA CITY"/>
    <s v="PARAÑAQUE"/>
    <m/>
    <m/>
    <x v="2"/>
    <s v="FCOMP"/>
    <s v="IGL"/>
    <n v="5.58"/>
    <n v="15.97"/>
    <n v="98"/>
    <x v="8"/>
    <n v="44190.67"/>
    <n v="9373.380000000001"/>
    <m/>
    <n v="0"/>
    <d v="2025-01-20T12:31:00"/>
    <d v="2025-01-23T12:57:00"/>
    <d v="2025-01-21T00:00:00"/>
    <m/>
    <x v="5"/>
    <m/>
    <n v="25.478472222224809"/>
    <n v="22.460416666668607"/>
    <n v="-45703"/>
    <d v="2025-02-07T14:18:06"/>
    <d v="2025-02-16T05:10:40"/>
    <d v="2025-03-11T12:31:00"/>
    <n v="0.90673386437917691"/>
    <n v="-1142.575"/>
    <n v="20"/>
    <n v="34"/>
    <n v="21.074380165289259"/>
    <n v="26.694214876033058"/>
    <n v="18.074380165289259"/>
    <n v="40"/>
    <n v="32"/>
    <n v="27"/>
    <d v="2025-03-19T00:00:00"/>
    <d v="2025-03-14T00:00:00"/>
    <m/>
    <m/>
    <m/>
    <m/>
    <m/>
    <m/>
    <m/>
    <m/>
    <s v="FOR AUDIT"/>
    <m/>
    <d v="2025-03-02T00:00:00"/>
    <m/>
    <d v="2025-02-15T00:00:00"/>
    <d v="2025-02-27T00:00:00"/>
    <m/>
    <m/>
    <m/>
    <m/>
    <m/>
    <m/>
    <m/>
    <m/>
    <s v="Y"/>
    <d v="2025-02-14T00:00:00"/>
    <m/>
    <m/>
    <m/>
    <m/>
    <m/>
    <m/>
    <s v="N/A"/>
    <m/>
  </r>
  <r>
    <d v="2025-01-27T00:00:00"/>
    <d v="2025-01-22T00:00:00"/>
    <m/>
    <x v="2"/>
    <s v="X24083428614"/>
    <s v="DENNIS CALDERON SAN PEDRO"/>
    <s v="CONCORDE, CONCORDE SUBD, PARANAQUE"/>
    <s v="PARANAQUE CITY"/>
    <s v="PARAÑAQUE"/>
    <m/>
    <m/>
    <x v="1"/>
    <s v="FCOMP"/>
    <s v="JMM"/>
    <n v="41.788999999999994"/>
    <n v="85.28"/>
    <n v="85"/>
    <x v="8"/>
    <n v="379680"/>
    <n v="48102.099999999991"/>
    <m/>
    <m/>
    <d v="2025-01-17T15:43:00"/>
    <d v="2025-01-27T13:59:00"/>
    <d v="2025-01-21T00:00:00"/>
    <m/>
    <x v="50"/>
    <m/>
    <n v="22.34513888888614"/>
    <n v="12.417361111110949"/>
    <n v="-45697"/>
    <d v="2025-02-05T22:55:33"/>
    <d v="2025-02-14T21:38:54"/>
    <d v="2025-03-08T15:43:00"/>
    <n v="0.75150531045742386"/>
    <n v="-1088.0238095238096"/>
    <n v="23"/>
    <n v="34"/>
    <n v="22.300380228136884"/>
    <n v="28.247148288973385"/>
    <n v="19.300380228136884"/>
    <n v="42"/>
    <n v="33.6"/>
    <n v="28.6"/>
    <d v="2025-03-14T14:24:00"/>
    <d v="2025-03-09T14:24:00"/>
    <m/>
    <m/>
    <m/>
    <m/>
    <m/>
    <m/>
    <m/>
    <m/>
    <s v="NO COC"/>
    <m/>
    <d v="2025-02-24T00:00:00"/>
    <m/>
    <m/>
    <m/>
    <m/>
    <m/>
    <m/>
    <m/>
    <m/>
    <m/>
    <m/>
    <m/>
    <s v="Y"/>
    <d v="2025-02-07T00:00:00"/>
    <m/>
    <m/>
    <m/>
    <m/>
    <m/>
    <m/>
    <d v="2025-01-27T00:00:00"/>
    <s v="TLN-523631,B5-8084"/>
  </r>
  <r>
    <d v="2025-01-27T00:00:00"/>
    <d v="2025-01-22T00:00:00"/>
    <m/>
    <x v="2"/>
    <s v="X24083472331"/>
    <s v="ROBERTO N. LIM"/>
    <s v="MOLAVE, MOLAVE PARK VILL, PARANAQUE"/>
    <s v="PARANAQUE CITY"/>
    <s v="PARAÑAQUE"/>
    <m/>
    <m/>
    <x v="1"/>
    <s v="SCHED"/>
    <s v="JMM"/>
    <n v="187.62200000000001"/>
    <n v="278.48"/>
    <n v="100"/>
    <x v="8"/>
    <n v="910341.91"/>
    <n v="150333.31"/>
    <m/>
    <n v="0"/>
    <d v="2025-01-16T13:44:00"/>
    <d v="2025-01-23T12:58:00"/>
    <d v="2025-01-21T00:00:00"/>
    <m/>
    <x v="0"/>
    <m/>
    <n v="-45673.572222222225"/>
    <n v="-45680.540277777778"/>
    <n v="0"/>
    <d v="2025-02-06T12:46:01"/>
    <d v="2025-02-15T22:06:33"/>
    <d v="2025-03-07T13:44:00"/>
    <n v="-1429.6979540149393"/>
    <n v="0"/>
    <n v="28"/>
    <n v="34"/>
    <n v="23.959731543624162"/>
    <n v="30.348993288590602"/>
    <n v="20.959731543624162"/>
    <n v="46"/>
    <n v="36.800000000000004"/>
    <n v="31.800000000000004"/>
    <d v="1900-02-04T19:12:00"/>
    <d v="1900-01-30T19:12:00"/>
    <m/>
    <m/>
    <m/>
    <m/>
    <m/>
    <m/>
    <m/>
    <m/>
    <m/>
    <m/>
    <d v="1900-01-14T00:00:00"/>
    <m/>
    <m/>
    <m/>
    <m/>
    <m/>
    <m/>
    <m/>
    <m/>
    <m/>
    <m/>
    <m/>
    <m/>
    <m/>
    <m/>
    <m/>
    <m/>
    <m/>
    <m/>
    <m/>
    <d v="2025-01-27T00:00:00"/>
    <s v="A7-8045,A7-8046,A7-8047,TLN-523665,A7-8048"/>
  </r>
  <r>
    <d v="2025-02-27T00:00:00"/>
    <d v="2025-01-22T00:00:00"/>
    <s v="Y"/>
    <x v="2"/>
    <s v="X24124906791"/>
    <s v="VILLA LIGHT NEIGHBORHOOD ASSOCIATION INC."/>
    <s v="BLOCK 10, VILLA LIGHT SUBD, TAGUIG CITY"/>
    <s v="TAGUIG CITY"/>
    <s v="PARAÑAQUE"/>
    <m/>
    <m/>
    <x v="1"/>
    <s v="SCHED"/>
    <s v="JMM"/>
    <n v="459.09679999999952"/>
    <n v="1189.8499999999999"/>
    <n v="225"/>
    <x v="8"/>
    <n v="4039465.57"/>
    <n v="439590.52999999997"/>
    <m/>
    <m/>
    <d v="2025-01-17T14:32:00"/>
    <d v="2025-01-27T14:02:00"/>
    <d v="2025-01-21T00:00:00"/>
    <m/>
    <x v="0"/>
    <m/>
    <n v="-45674.605555555558"/>
    <n v="-45684.584722222222"/>
    <n v="0"/>
    <d v="2025-02-09T04:10:11"/>
    <d v="2025-02-18T23:48:22"/>
    <d v="2025-03-08T14:32:00"/>
    <n v="-1339.7884296296297"/>
    <n v="0"/>
    <n v="50"/>
    <n v="30"/>
    <n v="25.56818181818182"/>
    <n v="32.38636363636364"/>
    <n v="22.56818181818182"/>
    <n v="60"/>
    <n v="48"/>
    <n v="43"/>
    <d v="1900-02-16T00:00:00"/>
    <d v="1900-02-11T00:00:00"/>
    <m/>
    <m/>
    <m/>
    <m/>
    <m/>
    <m/>
    <m/>
    <m/>
    <s v="Cancel/ Supersedes: X24114498829"/>
    <m/>
    <d v="1900-01-14T00:00:00"/>
    <m/>
    <m/>
    <m/>
    <m/>
    <m/>
    <m/>
    <m/>
    <m/>
    <m/>
    <m/>
    <m/>
    <m/>
    <m/>
    <m/>
    <m/>
    <m/>
    <m/>
    <m/>
    <m/>
    <d v="2025-01-28T00:00:00"/>
    <s v="B8-6311,B8-5575,ALB1-1211,B8-6313,B8-8160,B8-6316,B8-8162,B8-8163,B8-8164,B8-8164,B8-8166,B8-8167,B8-8168,B8-8169,B8-8170,B8-8171,B8-8172,B8-8173,B8-8174,B8-8175,B8-8176,TLN-513940,TLN-513941,TLN-212061"/>
  </r>
  <r>
    <d v="2025-01-27T00:00:00"/>
    <d v="2025-01-22T00:00:00"/>
    <m/>
    <x v="4"/>
    <s v="X24103896053"/>
    <s v="DITO TELECOMMUNITY CORPORATION"/>
    <s v="BLOCK 80, PUROK 6, TAGUIG CITY"/>
    <s v="TAGUIG CITY"/>
    <s v="PARAÑAQUE"/>
    <s v="resolved pole location issue on tasks 2 and 3, for sched of digging"/>
    <m/>
    <x v="1"/>
    <s v="SCHED"/>
    <s v="JMM"/>
    <n v="153.23589999999999"/>
    <n v="227.47"/>
    <n v="22"/>
    <x v="8"/>
    <n v="554173.09"/>
    <n v="123019.83"/>
    <m/>
    <n v="0"/>
    <d v="2025-01-17T09:20:00"/>
    <d v="2025-01-23T13:00:00"/>
    <d v="2025-01-21T00:00:00"/>
    <m/>
    <x v="0"/>
    <m/>
    <n v="-45674.388888888891"/>
    <n v="-45680.541666666664"/>
    <n v="0"/>
    <d v="2025-02-08T06:10:32"/>
    <d v="2025-02-17T21:20:00"/>
    <d v="2025-03-08T09:20:00"/>
    <n v="-1377.481569664903"/>
    <n v="0"/>
    <n v="28"/>
    <n v="36"/>
    <n v="24.868421052631579"/>
    <n v="31.499999999999996"/>
    <n v="21.868421052631579"/>
    <n v="46"/>
    <n v="36.800000000000004"/>
    <n v="31.800000000000004"/>
    <d v="1900-02-04T19:12:00"/>
    <d v="1900-01-30T19:12:00"/>
    <m/>
    <m/>
    <m/>
    <m/>
    <m/>
    <m/>
    <m/>
    <m/>
    <m/>
    <m/>
    <d v="1900-01-14T00:00:00"/>
    <m/>
    <m/>
    <m/>
    <m/>
    <m/>
    <m/>
    <m/>
    <m/>
    <m/>
    <m/>
    <m/>
    <m/>
    <m/>
    <m/>
    <m/>
    <m/>
    <m/>
    <m/>
    <m/>
    <d v="2025-01-27T00:00:00"/>
    <s v="A8-5982,A8-5983,A8-0411,TLN-526056"/>
  </r>
  <r>
    <d v="2025-01-27T00:00:00"/>
    <d v="2025-01-22T00:00:00"/>
    <m/>
    <x v="2"/>
    <s v="X24103967581"/>
    <s v="VIRGILIO BRILLIANTES SY"/>
    <s v="LAPU-LAPU, BACLARAN, PARANAQUE"/>
    <s v="PARANAQUE CITY"/>
    <s v="PARAÑAQUE"/>
    <m/>
    <m/>
    <x v="3"/>
    <s v="SCHED"/>
    <s v="JMM"/>
    <n v="33.738500000000002"/>
    <n v="59.12"/>
    <n v="24"/>
    <x v="8"/>
    <n v="279847.61"/>
    <n v="32794.14"/>
    <m/>
    <m/>
    <d v="2025-01-16T16:44:00"/>
    <d v="2025-01-27T14:07:00"/>
    <d v="2025-01-21T00:00:00"/>
    <m/>
    <x v="0"/>
    <m/>
    <n v="-45673.697222222225"/>
    <n v="-45684.588194444441"/>
    <n v="0"/>
    <d v="2025-02-05T18:47:07"/>
    <d v="2025-02-14T22:31:57"/>
    <d v="2025-03-07T16:44:00"/>
    <n v="-1483.8435450214706"/>
    <n v="0"/>
    <n v="23"/>
    <n v="36"/>
    <n v="23.085501858736059"/>
    <n v="29.241635687732341"/>
    <n v="20.085501858736059"/>
    <n v="42"/>
    <n v="33.6"/>
    <n v="28.6"/>
    <d v="1900-02-01T14:24:00"/>
    <d v="1900-01-27T14:24:00"/>
    <m/>
    <m/>
    <m/>
    <m/>
    <m/>
    <m/>
    <m/>
    <m/>
    <m/>
    <m/>
    <d v="1900-01-14T00:00:00"/>
    <m/>
    <m/>
    <m/>
    <m/>
    <m/>
    <m/>
    <m/>
    <m/>
    <m/>
    <m/>
    <m/>
    <m/>
    <m/>
    <m/>
    <m/>
    <m/>
    <m/>
    <m/>
    <m/>
    <d v="2025-01-27T00:00:00"/>
    <s v="D5-8103,TLN-526118"/>
  </r>
  <r>
    <d v="2025-01-27T00:00:00"/>
    <d v="2025-01-22T00:00:00"/>
    <m/>
    <x v="2"/>
    <s v="X24093485481"/>
    <s v="ANIELYN OCAMPO BALICUDIONG"/>
    <s v="HABAY I, HABAY I, BACOOR"/>
    <s v="BACOOR CITY"/>
    <s v="DASMA"/>
    <m/>
    <m/>
    <x v="4"/>
    <s v="SCHED"/>
    <s v="RRG"/>
    <n v="152.45469999999995"/>
    <n v="285.05"/>
    <n v="9"/>
    <x v="8"/>
    <n v="879151.54"/>
    <n v="167732.49000000005"/>
    <m/>
    <n v="0"/>
    <d v="2025-01-16T13:40:00"/>
    <d v="2025-01-27T14:15:00"/>
    <d v="2025-01-21T00:00:00"/>
    <m/>
    <x v="0"/>
    <m/>
    <n v="-45673.569444444445"/>
    <n v="-45684.59375"/>
    <n v="0"/>
    <d v="2025-02-07T10:30:32"/>
    <d v="2025-02-17T01:40:00"/>
    <d v="2025-03-07T13:40:00"/>
    <n v="-1377.4568562610229"/>
    <n v="0"/>
    <n v="28"/>
    <n v="36"/>
    <n v="24.868421052631579"/>
    <n v="31.499999999999996"/>
    <n v="21.868421052631579"/>
    <n v="46"/>
    <n v="36.800000000000004"/>
    <n v="31.800000000000004"/>
    <d v="1900-02-04T19:12:00"/>
    <d v="1900-01-30T19:12:00"/>
    <m/>
    <m/>
    <m/>
    <m/>
    <m/>
    <m/>
    <m/>
    <m/>
    <m/>
    <m/>
    <d v="1900-01-14T00:00:00"/>
    <m/>
    <m/>
    <m/>
    <m/>
    <m/>
    <m/>
    <m/>
    <m/>
    <m/>
    <m/>
    <m/>
    <m/>
    <m/>
    <m/>
    <m/>
    <m/>
    <m/>
    <m/>
    <m/>
    <d v="2025-01-27T00:00:00"/>
    <s v="CW5-6406,CW5-8037,CW5-8038,CW5-8039,CW5-8040,TLN-523671"/>
  </r>
  <r>
    <d v="2025-02-27T00:00:00"/>
    <d v="2025-01-22T00:00:00"/>
    <m/>
    <x v="4"/>
    <s v="R23797682"/>
    <s v="CAVITEX INFRASTRUCTURE CORP., "/>
    <s v="KAINGIN RD., KAINGIN, PARANAQUE"/>
    <s v="PARANAQUE CITY"/>
    <s v="PARAÑAQUE"/>
    <m/>
    <m/>
    <x v="0"/>
    <s v="FCOMP"/>
    <s v="RRG"/>
    <n v="29.5181"/>
    <n v="107.92"/>
    <n v="0"/>
    <x v="10"/>
    <n v="86997.81"/>
    <n v="54655.919999999991"/>
    <m/>
    <n v="0"/>
    <d v="2025-01-20T09:07:00"/>
    <d v="2025-01-21T12:22:00"/>
    <d v="2025-01-21T00:00:00"/>
    <m/>
    <x v="30"/>
    <m/>
    <n v="15.620138888887595"/>
    <n v="14.484722222223354"/>
    <n v="-45693"/>
    <d v="2025-02-10T14:04:56"/>
    <d v="2025-02-20T01:00:23"/>
    <d v="2025-03-11T09:07:00"/>
    <n v="0.4839572946343379"/>
    <n v="-1038.4772727272727"/>
    <n v="26"/>
    <n v="36"/>
    <n v="24.206896551724139"/>
    <n v="30.662068965517239"/>
    <n v="21.206896551724139"/>
    <n v="44"/>
    <n v="35.200000000000003"/>
    <n v="30.200000000000003"/>
    <d v="2025-03-12T04:48:00"/>
    <d v="2025-03-07T04:48:00"/>
    <m/>
    <m/>
    <m/>
    <m/>
    <m/>
    <m/>
    <m/>
    <m/>
    <s v="FOR AUDIT"/>
    <m/>
    <d v="2025-02-20T00:00:00"/>
    <m/>
    <d v="2025-01-22T00:00:00"/>
    <d v="2025-02-21T00:00:00"/>
    <m/>
    <m/>
    <m/>
    <m/>
    <m/>
    <m/>
    <m/>
    <m/>
    <m/>
    <m/>
    <m/>
    <m/>
    <m/>
    <m/>
    <m/>
    <m/>
    <s v="N/A"/>
    <m/>
  </r>
  <r>
    <d v="2025-02-27T00:00:00"/>
    <d v="2025-01-22T00:00:00"/>
    <s v="Y"/>
    <x v="4"/>
    <s v="R23797676"/>
    <s v="CAVITEX INFRASTRUCTURE CORP.,"/>
    <s v="KAINGIN RD., KAINGIN, PARANAQUE"/>
    <s v="PARANAQUE CITY"/>
    <s v="PARAÑAQUE"/>
    <m/>
    <m/>
    <x v="0"/>
    <s v="SCHED"/>
    <s v="RRG"/>
    <n v="123.76480000000001"/>
    <n v="287.33"/>
    <n v="0"/>
    <x v="10"/>
    <n v="584843.86"/>
    <n v="158179.16999999998"/>
    <m/>
    <n v="0"/>
    <d v="2025-01-20T09:07:00"/>
    <d v="2025-01-21T12:18:00"/>
    <d v="2025-01-21T00:00:00"/>
    <m/>
    <x v="0"/>
    <m/>
    <n v="-45677.379861111112"/>
    <n v="-45678.512499999997"/>
    <n v="0"/>
    <d v="2025-02-11T05:57:32"/>
    <d v="2025-02-20T21:07:00"/>
    <d v="2025-03-11T09:07:00"/>
    <n v="-1377.5717735890653"/>
    <n v="0"/>
    <n v="28"/>
    <n v="36"/>
    <n v="24.868421052631579"/>
    <n v="31.499999999999996"/>
    <n v="21.868421052631579"/>
    <n v="46"/>
    <n v="36.800000000000004"/>
    <n v="31.800000000000004"/>
    <d v="1900-02-04T19:12:00"/>
    <d v="1900-01-30T19:12:00"/>
    <m/>
    <m/>
    <m/>
    <m/>
    <m/>
    <m/>
    <m/>
    <m/>
    <m/>
    <m/>
    <d v="1900-01-14T00:00:00"/>
    <m/>
    <m/>
    <m/>
    <m/>
    <m/>
    <m/>
    <m/>
    <m/>
    <m/>
    <m/>
    <m/>
    <m/>
    <m/>
    <m/>
    <m/>
    <m/>
    <m/>
    <m/>
    <m/>
    <d v="2025-01-27T00:00:00"/>
    <s v="A5-8052,A5-8053,A5-8045"/>
  </r>
  <r>
    <d v="2025-01-27T00:00:00"/>
    <d v="2025-01-22T00:00:00"/>
    <m/>
    <x v="1"/>
    <s v="X24124805811"/>
    <s v="NOEMI FRESNEDI CACHUELA"/>
    <s v="ESPELETA, POBLACION, MUNTINLUPA"/>
    <s v="MUNTINLUPA CITY"/>
    <s v="PARAÑAQUE"/>
    <m/>
    <m/>
    <x v="0"/>
    <s v="FCOMP"/>
    <s v="RRG"/>
    <n v="12.043299999999999"/>
    <n v="25.02"/>
    <n v="54"/>
    <x v="8"/>
    <n v="235553.06"/>
    <n v="14779.449999999999"/>
    <m/>
    <n v="0"/>
    <d v="2025-01-16T14:19:00"/>
    <d v="2025-01-27T13:57:00"/>
    <d v="2025-01-21T00:00:00"/>
    <m/>
    <x v="30"/>
    <m/>
    <n v="19.403472222220444"/>
    <n v="8.4187499999970896"/>
    <n v="-45693"/>
    <d v="2025-02-03T16:06:06"/>
    <d v="2025-02-12T06:58:40"/>
    <d v="2025-03-07T14:19:00"/>
    <n v="0.69053533496725694"/>
    <n v="-1142.325"/>
    <n v="20"/>
    <n v="34"/>
    <n v="21.074380165289259"/>
    <n v="26.694214876033058"/>
    <n v="18.074380165289259"/>
    <n v="40"/>
    <n v="32"/>
    <n v="27"/>
    <d v="2025-03-09T00:00:00"/>
    <d v="2025-03-04T00:00:00"/>
    <m/>
    <m/>
    <m/>
    <m/>
    <m/>
    <m/>
    <m/>
    <m/>
    <s v="NO COC"/>
    <m/>
    <d v="2025-02-20T00:00:00"/>
    <m/>
    <m/>
    <m/>
    <m/>
    <m/>
    <m/>
    <m/>
    <m/>
    <m/>
    <m/>
    <m/>
    <s v="Y"/>
    <d v="2025-02-05T00:00:00"/>
    <m/>
    <m/>
    <m/>
    <m/>
    <m/>
    <m/>
    <d v="2025-01-27T00:00:00"/>
    <s v="TLN-526847"/>
  </r>
  <r>
    <d v="2025-01-31T00:00:00"/>
    <d v="2025-01-24T00:00:00"/>
    <m/>
    <x v="1"/>
    <s v="X24093630108"/>
    <s v="KOBE Z. CHAN"/>
    <s v="BLOCK 24, ENLISTED PERSONNEL VIL 2, TAGUIG CITY"/>
    <s v="TAGUIG CITY"/>
    <s v="PARAÑAQUE"/>
    <m/>
    <m/>
    <x v="1"/>
    <s v="SCHED"/>
    <s v="JMM"/>
    <n v="17.072799999999997"/>
    <n v="27.8"/>
    <n v="20"/>
    <x v="8"/>
    <n v="227982.95"/>
    <n v="16467.329999999998"/>
    <m/>
    <n v="0"/>
    <d v="2025-01-23T13:09:00"/>
    <d v="2025-01-28T08:54:00"/>
    <d v="2025-01-24T00:00:00"/>
    <m/>
    <x v="0"/>
    <m/>
    <n v="-45680.54791666667"/>
    <n v="-45685.370833333334"/>
    <n v="0"/>
    <d v="2025-02-11T07:43:50"/>
    <d v="2025-02-20T03:05:08"/>
    <d v="2025-03-14T13:09:00"/>
    <n v="-1573.4410949074077"/>
    <n v="0"/>
    <n v="20"/>
    <n v="36"/>
    <n v="21.774193548387096"/>
    <n v="27.58064516129032"/>
    <n v="18.774193548387096"/>
    <n v="40"/>
    <n v="32"/>
    <n v="27"/>
    <d v="1900-01-31T00:00:00"/>
    <d v="1900-01-26T00:00:00"/>
    <m/>
    <m/>
    <m/>
    <m/>
    <m/>
    <m/>
    <m/>
    <m/>
    <m/>
    <m/>
    <m/>
    <m/>
    <m/>
    <m/>
    <m/>
    <m/>
    <m/>
    <m/>
    <m/>
    <m/>
    <m/>
    <m/>
    <m/>
    <m/>
    <m/>
    <m/>
    <m/>
    <m/>
    <m/>
    <m/>
    <s v="N/A"/>
    <m/>
  </r>
  <r>
    <d v="2025-01-28T00:00:00"/>
    <d v="2025-01-24T00:00:00"/>
    <m/>
    <x v="2"/>
    <s v="X24062425520"/>
    <s v="LICELLE GUMABAO YANG"/>
    <s v="BLOCK 2, BRAZILIA HEIGHTS, MUNTINLUPA"/>
    <s v="MUNTINLUPA CITY"/>
    <s v="PARAÑAQUE"/>
    <m/>
    <m/>
    <x v="3"/>
    <s v="FCOMP"/>
    <s v="JMM"/>
    <n v="72.122599999999991"/>
    <n v="129.55000000000001"/>
    <n v="49"/>
    <x v="8"/>
    <n v="431235.62"/>
    <n v="78471.11"/>
    <m/>
    <n v="0"/>
    <d v="2025-01-22T12:40:00"/>
    <d v="2025-01-28T07:48:00"/>
    <d v="2025-01-24T00:00:00"/>
    <m/>
    <x v="8"/>
    <m/>
    <n v="19.472222222218988"/>
    <n v="13.67500000000291"/>
    <n v="-45699"/>
    <d v="2025-02-12T17:37:56"/>
    <d v="2025-02-22T04:33:23"/>
    <d v="2025-03-13T12:40:00"/>
    <n v="0.60330603038926356"/>
    <n v="-1038.6136363636363"/>
    <n v="26"/>
    <n v="36"/>
    <n v="24.206896551724139"/>
    <n v="30.662068965517239"/>
    <n v="21.206896551724139"/>
    <n v="44"/>
    <n v="35.200000000000003"/>
    <n v="30.200000000000003"/>
    <d v="2025-03-18T04:48:00"/>
    <d v="2025-03-13T04:48:00"/>
    <m/>
    <m/>
    <m/>
    <m/>
    <m/>
    <m/>
    <m/>
    <m/>
    <s v="NO COC"/>
    <m/>
    <m/>
    <m/>
    <m/>
    <m/>
    <m/>
    <m/>
    <m/>
    <m/>
    <m/>
    <m/>
    <m/>
    <m/>
    <s v="Y"/>
    <d v="2025-02-10T00:00:00"/>
    <m/>
    <m/>
    <m/>
    <m/>
    <m/>
    <m/>
    <d v="2025-01-28T00:00:00"/>
    <s v="TLN-522587,DRI-6079"/>
  </r>
  <r>
    <d v="2025-01-28T00:00:00"/>
    <d v="2025-01-24T00:00:00"/>
    <s v="Y"/>
    <x v="1"/>
    <s v="X25010119305"/>
    <s v="VICENTE P PEREZ"/>
    <s v="EL GRANDE, BF HOMES, PARANAQUE"/>
    <s v="PARANAQUE CITY"/>
    <s v="PARAÑAQUE"/>
    <m/>
    <m/>
    <x v="2"/>
    <s v="SCHED"/>
    <s v="IGL"/>
    <n v="33.4983"/>
    <n v="45.67"/>
    <n v="35"/>
    <x v="8"/>
    <n v="241637.84"/>
    <n v="26975.31"/>
    <m/>
    <n v="0"/>
    <d v="2025-01-22T17:00:00"/>
    <d v="2025-01-28T08:26:00"/>
    <d v="2025-01-24T00:00:00"/>
    <m/>
    <x v="0"/>
    <m/>
    <n v="-45679.708333333336"/>
    <n v="-45685.351388888892"/>
    <n v="0"/>
    <d v="2025-02-10T11:34:50"/>
    <d v="2025-02-19T06:56:08"/>
    <d v="2025-03-13T17:00:00"/>
    <n v="-1573.412175925926"/>
    <n v="0"/>
    <n v="20"/>
    <n v="36"/>
    <n v="21.774193548387096"/>
    <n v="27.58064516129032"/>
    <n v="18.774193548387096"/>
    <n v="40"/>
    <n v="32"/>
    <n v="27"/>
    <d v="1900-01-31T00:00:00"/>
    <d v="1900-01-26T00:00:00"/>
    <m/>
    <m/>
    <m/>
    <m/>
    <m/>
    <m/>
    <m/>
    <m/>
    <m/>
    <m/>
    <m/>
    <m/>
    <m/>
    <m/>
    <m/>
    <m/>
    <m/>
    <m/>
    <m/>
    <m/>
    <m/>
    <m/>
    <m/>
    <m/>
    <m/>
    <m/>
    <m/>
    <m/>
    <m/>
    <m/>
    <m/>
    <m/>
  </r>
  <r>
    <d v="2025-01-31T00:00:00"/>
    <d v="2025-01-24T00:00:00"/>
    <m/>
    <x v="1"/>
    <s v="X24103942328"/>
    <s v="MAXBLOCK CONSTRUCTION CORP."/>
    <s v="PANORAMA CPD, VETERANS CENTER, TAGUIG CITY"/>
    <s v="TAGUIG CITY"/>
    <s v="PARAÑAQUE"/>
    <m/>
    <m/>
    <x v="1"/>
    <s v="FCOMP"/>
    <s v="JMM"/>
    <n v="3.92"/>
    <n v="24.83"/>
    <n v="30"/>
    <x v="8"/>
    <n v="48533.7"/>
    <n v="14591.570000000002"/>
    <m/>
    <n v="0"/>
    <d v="2025-01-21T14:12:00"/>
    <d v="2025-01-28T07:54:00"/>
    <d v="2025-01-24T00:00:00"/>
    <m/>
    <x v="50"/>
    <m/>
    <n v="18.408333333332848"/>
    <n v="11.670833333329938"/>
    <n v="-45697"/>
    <d v="2025-02-09T08:46:50"/>
    <d v="2025-02-18T04:08:08"/>
    <d v="2025-03-12T14:12:00"/>
    <n v="0.63406481481479804"/>
    <n v="-1142.425"/>
    <n v="20"/>
    <n v="36"/>
    <n v="21.774193548387096"/>
    <n v="27.58064516129032"/>
    <n v="18.774193548387096"/>
    <n v="40"/>
    <n v="32"/>
    <n v="27"/>
    <d v="2025-03-13T00:00:00"/>
    <d v="2025-03-08T00:00:00"/>
    <m/>
    <m/>
    <m/>
    <m/>
    <m/>
    <m/>
    <m/>
    <m/>
    <s v="NO COC"/>
    <m/>
    <m/>
    <m/>
    <m/>
    <m/>
    <m/>
    <m/>
    <m/>
    <m/>
    <m/>
    <m/>
    <m/>
    <m/>
    <s v="Y"/>
    <d v="2025-02-07T00:00:00"/>
    <m/>
    <m/>
    <m/>
    <m/>
    <m/>
    <m/>
    <s v="N/A"/>
    <m/>
  </r>
  <r>
    <d v="2025-02-11T00:00:00"/>
    <d v="2025-01-24T00:00:00"/>
    <m/>
    <x v="1"/>
    <s v="X24104105713"/>
    <s v="ECLECTUS FOOD VENTURES CORPORATION"/>
    <s v="M.L. QUEZON, PUROK 1, TAGUIG CITY"/>
    <s v="TAGUIG CITY"/>
    <s v="PARAÑAQUE"/>
    <m/>
    <m/>
    <x v="1"/>
    <s v="FCOMP"/>
    <s v="JMM"/>
    <n v="68.745900000000006"/>
    <n v="164.72"/>
    <n v="215"/>
    <x v="8"/>
    <n v="833032.22"/>
    <n v="97339.400000000023"/>
    <m/>
    <n v="0"/>
    <d v="2025-01-22T12:45:00"/>
    <d v="2025-01-28T07:55:00"/>
    <d v="2025-01-24T00:00:00"/>
    <m/>
    <x v="23"/>
    <m/>
    <n v="9.46875"/>
    <n v="3.6701388888905058"/>
    <n v="-45689"/>
    <d v="2025-02-10T00:55:35"/>
    <d v="2025-02-18T18:34:25"/>
    <d v="2025-03-13T12:45:00"/>
    <n v="0.33019230769230767"/>
    <n v="-1038.3863636363637"/>
    <n v="26"/>
    <n v="30"/>
    <n v="21.507352941176471"/>
    <n v="27.242647058823529"/>
    <n v="18.507352941176471"/>
    <n v="44"/>
    <n v="35.200000000000003"/>
    <n v="30.200000000000003"/>
    <d v="2025-03-08T04:48:00"/>
    <d v="2025-03-03T04:48:00"/>
    <m/>
    <m/>
    <m/>
    <m/>
    <m/>
    <m/>
    <m/>
    <m/>
    <s v="NO COC"/>
    <m/>
    <m/>
    <m/>
    <m/>
    <m/>
    <m/>
    <m/>
    <m/>
    <m/>
    <m/>
    <m/>
    <m/>
    <m/>
    <s v="Y"/>
    <d v="2025-01-30T00:00:00"/>
    <m/>
    <m/>
    <m/>
    <m/>
    <m/>
    <m/>
    <d v="2025-02-11T00:00:00"/>
    <s v="B9-8088,TLN-526275"/>
  </r>
  <r>
    <d v="2025-01-31T00:00:00"/>
    <d v="2025-01-24T00:00:00"/>
    <m/>
    <x v="2"/>
    <s v="X24072542131"/>
    <s v="RAMONCHITO DIZON JAVIER"/>
    <s v="BEIRUT, BF HOMES, PARANAQUE"/>
    <s v="PARANAQUE CITY"/>
    <s v="PARAÑAQUE"/>
    <m/>
    <m/>
    <x v="2"/>
    <s v="SCHED"/>
    <s v="IGL"/>
    <n v="260.13029999999998"/>
    <n v="366.23"/>
    <n v="49"/>
    <x v="5"/>
    <n v="1097209.19"/>
    <n v="209100.43"/>
    <m/>
    <n v="0"/>
    <d v="2025-01-22T17:04:00"/>
    <d v="2025-01-28T08:19:00"/>
    <d v="2025-01-24T00:00:00"/>
    <m/>
    <x v="0"/>
    <m/>
    <n v="-45679.711111111108"/>
    <n v="-45685.34652777778"/>
    <n v="0"/>
    <d v="2025-02-14T04:23:15"/>
    <d v="2025-02-23T23:24:23"/>
    <d v="2025-03-13T17:04:00"/>
    <n v="-1345.0137160493825"/>
    <n v="0"/>
    <n v="30"/>
    <n v="36"/>
    <n v="25.471698113207545"/>
    <n v="32.264150943396224"/>
    <n v="22.471698113207545"/>
    <n v="48"/>
    <n v="38.400000000000006"/>
    <n v="33.400000000000006"/>
    <d v="1900-02-06T09:36:00"/>
    <d v="1900-02-01T09:36:00"/>
    <m/>
    <m/>
    <m/>
    <m/>
    <m/>
    <m/>
    <m/>
    <m/>
    <m/>
    <m/>
    <m/>
    <m/>
    <m/>
    <m/>
    <m/>
    <m/>
    <m/>
    <m/>
    <m/>
    <m/>
    <m/>
    <m/>
    <m/>
    <m/>
    <m/>
    <m/>
    <m/>
    <m/>
    <m/>
    <m/>
    <d v="2025-01-31T00:00:00"/>
    <s v="CX8-8159,CX8-8160,CX8-0648,TLN-036703,CX8-0757,CX8-8161,CX8-0647,CX8-8162,TLN-522796"/>
  </r>
  <r>
    <d v="2025-01-31T00:00:00"/>
    <d v="2025-01-24T00:00:00"/>
    <m/>
    <x v="1"/>
    <s v="X25010119071"/>
    <s v="SPX PHILIPPINES, INC."/>
    <s v="MIMC CPD, CERVANTES CPD, PARANAQUE"/>
    <s v="PARANAQUE CITY"/>
    <s v="PARAÑAQUE"/>
    <m/>
    <m/>
    <x v="2"/>
    <s v="FCOMP"/>
    <s v="IGL"/>
    <n v="301.80369999999999"/>
    <n v="310.52999999999997"/>
    <n v="97"/>
    <x v="8"/>
    <n v="753143.29"/>
    <n v="211552.3"/>
    <m/>
    <n v="0"/>
    <d v="2025-01-22T16:58:00"/>
    <d v="2025-01-28T08:21:00"/>
    <d v="2025-01-24T00:00:00"/>
    <m/>
    <x v="30"/>
    <m/>
    <n v="13.293055555557657"/>
    <n v="7.6520833333343035"/>
    <n v="-45693"/>
    <d v="2025-02-13T05:25:42"/>
    <d v="2025-02-22T18:21:05"/>
    <d v="2025-03-13T16:58:00"/>
    <n v="0.40661111111117543"/>
    <n v="-951.9375"/>
    <n v="30"/>
    <n v="34"/>
    <n v="24.51923076923077"/>
    <n v="31.057692307692307"/>
    <n v="21.51923076923077"/>
    <n v="48"/>
    <n v="38.400000000000006"/>
    <n v="33.400000000000006"/>
    <d v="2025-03-15T09:36:00"/>
    <d v="2025-03-10T09:36:00"/>
    <m/>
    <m/>
    <m/>
    <m/>
    <m/>
    <m/>
    <m/>
    <m/>
    <s v="FOR AUDIT"/>
    <m/>
    <m/>
    <m/>
    <d v="2025-02-05T00:00:00"/>
    <d v="2025-02-21T00:00:00"/>
    <m/>
    <m/>
    <m/>
    <m/>
    <m/>
    <m/>
    <m/>
    <m/>
    <s v="Y"/>
    <d v="2025-02-03T00:00:00"/>
    <m/>
    <m/>
    <m/>
    <m/>
    <m/>
    <m/>
    <d v="2025-01-31T00:00:00"/>
    <s v="DYI-0933,DY1-8069,TLN-526556,TLN-025831"/>
  </r>
  <r>
    <d v="2025-01-27T00:00:00"/>
    <d v="2025-01-22T00:00:00"/>
    <s v="Y"/>
    <x v="4"/>
    <s v="X25010079615"/>
    <s v="CMSTAR MANAGEMENT INC."/>
    <s v="DAANG-HARI RD., MOLINO IV, BACOOR"/>
    <s v="BACOOR CITY"/>
    <s v="DASMA"/>
    <m/>
    <m/>
    <x v="3"/>
    <s v="SCHED"/>
    <s v="JMM"/>
    <n v="1155.0617999999999"/>
    <n v="1898.23"/>
    <n v="45"/>
    <x v="8"/>
    <n v="3660384.15"/>
    <n v="992062.56"/>
    <m/>
    <n v="0"/>
    <d v="2025-01-17T15:21:00"/>
    <d v="2025-01-23T12:32:00"/>
    <d v="2025-01-21T00:00:00"/>
    <m/>
    <x v="0"/>
    <m/>
    <n v="-45674.63958333333"/>
    <n v="-45680.522222222222"/>
    <n v="0"/>
    <d v="2025-02-13T02:46:25"/>
    <d v="2025-02-23T23:25:12"/>
    <d v="2025-03-08T15:21:00"/>
    <n v="-1162.1658293981479"/>
    <n v="0"/>
    <n v="50"/>
    <n v="36"/>
    <n v="29.475982532751093"/>
    <n v="37.336244541484717"/>
    <n v="26.475982532751093"/>
    <n v="60"/>
    <n v="48"/>
    <n v="43"/>
    <d v="1900-02-16T00:00:00"/>
    <d v="1900-02-11T00:00:00"/>
    <m/>
    <m/>
    <m/>
    <m/>
    <m/>
    <m/>
    <m/>
    <m/>
    <m/>
    <m/>
    <d v="1900-01-14T00:00:00"/>
    <m/>
    <m/>
    <m/>
    <m/>
    <m/>
    <m/>
    <m/>
    <m/>
    <m/>
    <m/>
    <m/>
    <m/>
    <m/>
    <m/>
    <m/>
    <m/>
    <m/>
    <m/>
    <m/>
    <d v="2025-01-27T00:00:00"/>
    <s v="CQ8-8010,CQ8-8011,CQ8-8012,CQ8-8013,CQ8-8014,CQ8-8015,CQ8-8016,CQ8-8017,CQ8-8018,CQ8-8019,CQ8-8020,CQ8-8021,CQ8-8022,CR8-8027,CR8-8028,CR8-8029,CR8-8030,CR8-8031,CR8-8032,CR8-8033,CR8-8034,CR8-8035,CR8-8036,CR8-8037,"/>
  </r>
  <r>
    <d v="2025-02-03T00:00:00"/>
    <d v="2025-01-24T00:00:00"/>
    <m/>
    <x v="2"/>
    <s v="X25010138377"/>
    <s v="GOLDEN DONUTS, INC."/>
    <s v="NINOY AQUINO, SAN DIONISIO, PARANAQUE"/>
    <s v="PARANAQUE CITY"/>
    <s v="PARAÑAQUE"/>
    <m/>
    <m/>
    <x v="0"/>
    <s v="FCOMP"/>
    <s v="RRG"/>
    <n v="2.73"/>
    <n v="40.85"/>
    <n v="29"/>
    <x v="8"/>
    <n v="79996.160000000003"/>
    <n v="24005.18"/>
    <m/>
    <n v="0"/>
    <d v="2025-01-22T17:01:00"/>
    <d v="2025-01-28T08:43:00"/>
    <d v="2025-01-24T00:00:00"/>
    <m/>
    <x v="19"/>
    <m/>
    <n v="8.2909722222248092"/>
    <n v="2.6368055555576575"/>
    <n v="-45688"/>
    <d v="2025-02-10T11:35:50"/>
    <d v="2025-02-19T06:57:08"/>
    <d v="2025-03-13T17:01:00"/>
    <n v="0.28557793209885451"/>
    <n v="-1142.2"/>
    <n v="20"/>
    <n v="36"/>
    <n v="21.774193548387096"/>
    <n v="27.58064516129032"/>
    <n v="18.774193548387096"/>
    <n v="40"/>
    <n v="32"/>
    <n v="27"/>
    <d v="2025-03-04T00:00:00"/>
    <d v="2025-02-27T00:00:00"/>
    <m/>
    <m/>
    <m/>
    <m/>
    <m/>
    <m/>
    <m/>
    <m/>
    <s v="NO COC"/>
    <m/>
    <m/>
    <m/>
    <m/>
    <m/>
    <m/>
    <m/>
    <m/>
    <m/>
    <m/>
    <m/>
    <m/>
    <m/>
    <m/>
    <m/>
    <m/>
    <m/>
    <m/>
    <m/>
    <m/>
    <m/>
    <s v="N/A"/>
    <m/>
  </r>
  <r>
    <d v="2025-01-27T00:00:00"/>
    <d v="2025-01-24T00:00:00"/>
    <m/>
    <x v="2"/>
    <s v="X24124701904"/>
    <s v="LISA ARCILIA LAW"/>
    <s v="17 DE MARZO, BACLARAN, PARANAQUE"/>
    <s v="PARANAQUE CITY"/>
    <s v="PARAÑAQUE"/>
    <m/>
    <m/>
    <x v="0"/>
    <s v="FCOMP"/>
    <s v="RRG"/>
    <n v="16.0428"/>
    <n v="69.900000000000006"/>
    <n v="155"/>
    <x v="8"/>
    <n v="465687.7"/>
    <n v="31619.429999999997"/>
    <m/>
    <n v="0"/>
    <d v="2025-01-22T17:07:00"/>
    <d v="2025-01-27T13:54:00"/>
    <d v="2025-01-24T00:00:00"/>
    <m/>
    <x v="51"/>
    <m/>
    <n v="4.8784722222262644"/>
    <n v="1.2499999997089617E-2"/>
    <n v="-45684.591666666667"/>
    <d v="2025-02-10T04:36:11"/>
    <d v="2025-02-18T22:03:58"/>
    <d v="2025-03-13T17:07:00"/>
    <n v="0.17034882623806386"/>
    <n v="-1087.7283730158731"/>
    <n v="23"/>
    <n v="32"/>
    <n v="21.478599221789885"/>
    <n v="27.206225680933851"/>
    <n v="18.478599221789885"/>
    <n v="42"/>
    <n v="33.6"/>
    <n v="28.6"/>
    <d v="2025-03-02T04:36:00"/>
    <d v="2025-02-25T04:36:00"/>
    <m/>
    <m/>
    <m/>
    <m/>
    <m/>
    <m/>
    <m/>
    <m/>
    <s v="FOR AUDIT"/>
    <m/>
    <m/>
    <m/>
    <d v="2025-01-25T00:00:00"/>
    <d v="2025-02-14T00:00:00"/>
    <m/>
    <m/>
    <m/>
    <m/>
    <m/>
    <m/>
    <m/>
    <m/>
    <m/>
    <m/>
    <m/>
    <m/>
    <m/>
    <m/>
    <m/>
    <m/>
    <d v="2025-01-27T00:00:00"/>
    <s v="TLN-526770"/>
  </r>
  <r>
    <d v="2025-02-03T00:00:00"/>
    <d v="2025-01-24T00:00:00"/>
    <m/>
    <x v="1"/>
    <s v="X25010064088"/>
    <s v="TIANLALA PHILIPPINES CORPORATION"/>
    <s v="REDEMPTORIST, BACLARAN, PARANAQUE"/>
    <s v="PARANAQUE CITY"/>
    <s v="PARAÑAQUE"/>
    <m/>
    <m/>
    <x v="1"/>
    <s v="FCOMP"/>
    <s v="RRG"/>
    <n v="9.75"/>
    <n v="17.78"/>
    <n v="10"/>
    <x v="8"/>
    <n v="30397.4"/>
    <n v="10452.539999999997"/>
    <m/>
    <n v="0"/>
    <d v="2025-01-23T17:25:00"/>
    <d v="2025-01-28T09:00:00"/>
    <d v="2025-01-24T00:00:00"/>
    <m/>
    <x v="20"/>
    <m/>
    <n v="21.274305555554747"/>
    <n v="16.625"/>
    <n v="-45702"/>
    <d v="2025-02-11T11:59:50"/>
    <d v="2025-02-20T07:21:08"/>
    <d v="2025-03-14T17:25:00"/>
    <n v="0.73278163580244127"/>
    <n v="-1142.55"/>
    <n v="20"/>
    <n v="36"/>
    <n v="21.774193548387096"/>
    <n v="27.58064516129032"/>
    <n v="18.774193548387096"/>
    <n v="40"/>
    <n v="32"/>
    <n v="27"/>
    <d v="2025-03-18T00:00:00"/>
    <d v="2025-03-13T00:00:00"/>
    <m/>
    <m/>
    <m/>
    <m/>
    <m/>
    <m/>
    <m/>
    <m/>
    <s v="NO COC"/>
    <m/>
    <d v="2025-03-01T00:00:00"/>
    <m/>
    <m/>
    <m/>
    <m/>
    <m/>
    <m/>
    <m/>
    <m/>
    <m/>
    <m/>
    <m/>
    <s v="Y"/>
    <d v="2025-02-14T00:00:00"/>
    <m/>
    <m/>
    <m/>
    <m/>
    <m/>
    <m/>
    <d v="2025-02-03T00:00:00"/>
    <s v="D5-8119,D5-0447,D5-5353"/>
  </r>
  <r>
    <d v="2025-01-28T00:00:00"/>
    <d v="2025-01-27T00:00:00"/>
    <m/>
    <x v="2"/>
    <s v="R23895778"/>
    <s v="BREIGHTON LAND INC."/>
    <s v="BLOCK 6, BELLEFORT ESTATES PH 2, BACOOR"/>
    <s v="BACOOR CITY"/>
    <s v="DASMA"/>
    <m/>
    <m/>
    <x v="0"/>
    <s v="FCOMP"/>
    <s v="RRG"/>
    <n v="1.0495000000000001"/>
    <n v="1.7"/>
    <n v="0"/>
    <x v="10"/>
    <n v="10873.51"/>
    <n v="1038.46"/>
    <m/>
    <n v="0"/>
    <d v="2025-01-21T00:00:00"/>
    <d v="2025-01-28T08:53:00"/>
    <d v="2025-01-28T00:00:00"/>
    <m/>
    <x v="3"/>
    <m/>
    <n v="7"/>
    <n v="-0.37013888888759539"/>
    <n v="-45685"/>
    <d v="2025-02-08T18:34:50"/>
    <d v="2025-02-17T13:56:08"/>
    <d v="2025-03-12T00:00:00"/>
    <n v="0.24111111111111111"/>
    <n v="-1142.125"/>
    <n v="20"/>
    <n v="36"/>
    <n v="21.774193548387096"/>
    <n v="27.58064516129032"/>
    <n v="18.774193548387096"/>
    <n v="40"/>
    <n v="32"/>
    <n v="27"/>
    <d v="2025-03-01T00:00:00"/>
    <d v="2025-02-24T00:00:00"/>
    <m/>
    <m/>
    <m/>
    <m/>
    <m/>
    <m/>
    <m/>
    <m/>
    <s v="NO COC"/>
    <m/>
    <d v="2025-02-12T00:00:00"/>
    <m/>
    <m/>
    <m/>
    <m/>
    <m/>
    <m/>
    <m/>
    <m/>
    <m/>
    <m/>
    <m/>
    <m/>
    <m/>
    <m/>
    <m/>
    <m/>
    <m/>
    <m/>
    <m/>
    <s v="N/A"/>
    <m/>
  </r>
  <r>
    <d v="2025-02-06T00:00:00"/>
    <d v="2025-01-31T00:00:00"/>
    <m/>
    <x v="2"/>
    <s v="R23512370"/>
    <s v="PCA RELOC, Overhead Facilities, N, N, N, CARPIO, EMILIO III S., HMB"/>
    <s v="BELMONT, ALABANG 400 VILLAGE, MUNTINLUPA"/>
    <s v="MUNTINLUPA CITY"/>
    <s v="PARAÑAQUE"/>
    <m/>
    <m/>
    <x v="0"/>
    <s v="SCHED"/>
    <s v="RRG"/>
    <n v="9.2899999999999991"/>
    <n v="14.85"/>
    <n v="0"/>
    <x v="10"/>
    <n v="35440.5"/>
    <n v="8616.68"/>
    <m/>
    <n v="0"/>
    <d v="2025-01-27T14:02:00"/>
    <d v="2025-02-03T13:30:00"/>
    <d v="2025-01-30T00:00:00"/>
    <m/>
    <x v="0"/>
    <m/>
    <n v="-45684.584722222222"/>
    <n v="-45691.5625"/>
    <n v="0"/>
    <d v="2025-02-15T08:36:50"/>
    <d v="2025-02-24T03:58:08"/>
    <d v="2025-03-18T14:02:00"/>
    <n v="-1573.5801404320987"/>
    <n v="0"/>
    <n v="20"/>
    <n v="36"/>
    <n v="21.774193548387096"/>
    <n v="27.58064516129032"/>
    <n v="18.774193548387096"/>
    <n v="40"/>
    <n v="32"/>
    <n v="27"/>
    <d v="1900-01-31T00:00:00"/>
    <d v="1900-01-26T00:00:00"/>
    <m/>
    <m/>
    <m/>
    <m/>
    <m/>
    <m/>
    <m/>
    <m/>
    <m/>
    <m/>
    <m/>
    <m/>
    <m/>
    <m/>
    <m/>
    <m/>
    <m/>
    <m/>
    <m/>
    <m/>
    <m/>
    <m/>
    <m/>
    <m/>
    <m/>
    <m/>
    <m/>
    <m/>
    <m/>
    <m/>
    <d v="2025-02-06T00:00:00"/>
    <s v="DV1-2256,DV1-0802"/>
  </r>
  <r>
    <d v="2025-02-03T00:00:00"/>
    <d v="2025-01-31T00:00:00"/>
    <m/>
    <x v="2"/>
    <s v="X24083258065"/>
    <s v="KENNETH NGO CHUA"/>
    <s v="DOÑA INES, ALABANG HILLS SUBD PH 1, MUNTINLUPA"/>
    <s v="MUNTINLUPA CITY"/>
    <s v="PARAÑAQUE"/>
    <m/>
    <m/>
    <x v="0"/>
    <s v="SCHED"/>
    <s v="RRG"/>
    <n v="37.549500000000002"/>
    <n v="70.72"/>
    <n v="57"/>
    <x v="5"/>
    <n v="286792.48"/>
    <n v="37209.299999999996"/>
    <m/>
    <n v="0"/>
    <d v="2025-01-24T14:01:00"/>
    <d v="2025-01-31T15:06:00"/>
    <d v="2025-01-30T00:00:00"/>
    <m/>
    <x v="0"/>
    <m/>
    <n v="-45681.584027777775"/>
    <n v="-45688.629166666666"/>
    <n v="0"/>
    <d v="2025-02-12T21:13:33"/>
    <d v="2025-02-21T19:56:54"/>
    <d v="2025-03-15T14:01:00"/>
    <n v="-1536.3499487603012"/>
    <n v="0"/>
    <n v="23"/>
    <n v="34"/>
    <n v="22.300380228136884"/>
    <n v="28.247148288973385"/>
    <n v="19.300380228136884"/>
    <n v="42"/>
    <n v="33.6"/>
    <n v="28.6"/>
    <d v="1900-02-01T14:24:00"/>
    <d v="1900-01-27T14:24:00"/>
    <m/>
    <m/>
    <m/>
    <m/>
    <m/>
    <m/>
    <m/>
    <m/>
    <s v="Conj. X22114887149"/>
    <m/>
    <m/>
    <m/>
    <m/>
    <m/>
    <m/>
    <m/>
    <m/>
    <m/>
    <m/>
    <m/>
    <m/>
    <m/>
    <m/>
    <m/>
    <m/>
    <m/>
    <m/>
    <m/>
    <m/>
    <m/>
    <d v="2025-02-03T00:00:00"/>
    <s v="DV1-8071,TLN-523455"/>
  </r>
  <r>
    <d v="2025-02-04T00:00:00"/>
    <d v="2025-01-31T00:00:00"/>
    <m/>
    <x v="2"/>
    <s v="X25010133146"/>
    <s v="F &amp; E DE CASTRO CORPORATION"/>
    <s v="BLOCK 1, ELISA HOMES PH 4 EXTENSION, BACOOR"/>
    <s v="BACOOR CITY"/>
    <s v="DASMA"/>
    <m/>
    <m/>
    <x v="4"/>
    <s v="SCHED"/>
    <s v="RRG"/>
    <n v="434.52479999999974"/>
    <n v="858.22"/>
    <n v="130"/>
    <x v="8"/>
    <n v="2659180.85"/>
    <n v="481239.28999999934"/>
    <m/>
    <n v="0"/>
    <d v="2025-01-27T15:59:00"/>
    <d v="2025-02-03T00:00:00"/>
    <d v="2025-01-30T00:00:00"/>
    <m/>
    <x v="0"/>
    <m/>
    <n v="-45684.665972222225"/>
    <n v="-45691"/>
    <n v="0"/>
    <d v="2025-02-19T04:44:57"/>
    <d v="2025-03-01T00:09:13"/>
    <d v="2025-03-18T15:59:00"/>
    <n v="-1341.9870629340278"/>
    <n v="0"/>
    <n v="40"/>
    <n v="32"/>
    <n v="25.531914893617024"/>
    <n v="32.340425531914896"/>
    <n v="22.531914893617024"/>
    <n v="55"/>
    <n v="44"/>
    <n v="39"/>
    <d v="1900-02-12T00:00:00"/>
    <d v="1900-02-07T00:00:00"/>
    <m/>
    <m/>
    <m/>
    <m/>
    <m/>
    <m/>
    <m/>
    <m/>
    <m/>
    <m/>
    <m/>
    <m/>
    <m/>
    <m/>
    <m/>
    <m/>
    <m/>
    <m/>
    <m/>
    <m/>
    <m/>
    <m/>
    <m/>
    <m/>
    <m/>
    <m/>
    <m/>
    <m/>
    <m/>
    <m/>
    <d v="2025-02-05T00:00:00"/>
    <s v="CQ7-8064,CQ7-8065,CQ7-8066,CQ7-8072,CQ7-8073,TLN-523943,CQ7-8079,CQ7-8082,CQ7-8084,CQ7-8086,CQ7-8088,TLN-523945,CQ7-8090,CQ7-8091,CQ7-8092"/>
  </r>
  <r>
    <d v="2025-02-04T00:00:00"/>
    <d v="2025-01-31T00:00:00"/>
    <m/>
    <x v="1"/>
    <s v="X24072540238"/>
    <s v="HARD DISCOUNT PHILIPPINES, INC."/>
    <s v="GOV. P.F. ESPIRITU, PANAPAAN II, BACOOR"/>
    <s v="BACOOR CITY"/>
    <s v="DASMA"/>
    <m/>
    <m/>
    <x v="4"/>
    <s v="SCHED"/>
    <s v="RRG"/>
    <n v="9.9328000000000003"/>
    <n v="18.02"/>
    <n v="20"/>
    <x v="8"/>
    <n v="145240.66"/>
    <n v="11416.91"/>
    <m/>
    <n v="0"/>
    <d v="2025-01-27T12:16:00"/>
    <d v="2025-02-03T00:00:00"/>
    <d v="2025-01-30T00:00:00"/>
    <m/>
    <x v="0"/>
    <m/>
    <n v="-45684.511111111111"/>
    <n v="-45691"/>
    <n v="0"/>
    <d v="2025-02-15T06:50:50"/>
    <d v="2025-02-24T02:12:08"/>
    <d v="2025-03-18T12:16:00"/>
    <n v="-1573.5776049382716"/>
    <n v="0"/>
    <n v="20"/>
    <n v="36"/>
    <n v="21.774193548387096"/>
    <n v="27.58064516129032"/>
    <n v="18.774193548387096"/>
    <n v="40"/>
    <n v="32"/>
    <n v="27"/>
    <d v="1900-01-31T00:00:00"/>
    <d v="1900-01-26T00:00:00"/>
    <m/>
    <m/>
    <m/>
    <m/>
    <m/>
    <m/>
    <m/>
    <m/>
    <m/>
    <m/>
    <m/>
    <m/>
    <m/>
    <m/>
    <m/>
    <m/>
    <m/>
    <m/>
    <m/>
    <m/>
    <m/>
    <m/>
    <m/>
    <m/>
    <m/>
    <m/>
    <m/>
    <m/>
    <m/>
    <m/>
    <d v="2025-02-05T00:00:00"/>
    <s v="TLN-522711"/>
  </r>
  <r>
    <d v="2025-02-03T00:00:00"/>
    <d v="2025-01-31T00:00:00"/>
    <m/>
    <x v="1"/>
    <s v="X24093766158"/>
    <s v="ALFAMART TRADING PHILIPPINES, INC."/>
    <s v="QUEEN'S MAIN, QUEEN'S ROW AREA A SUBD, BACOOR"/>
    <s v="BACOOR CITY"/>
    <s v="DASMA"/>
    <m/>
    <m/>
    <x v="3"/>
    <s v="SCHED"/>
    <s v="JMM"/>
    <n v="36.519499999999994"/>
    <n v="71.67"/>
    <n v="28"/>
    <x v="8"/>
    <n v="281351.55"/>
    <n v="33962.659999999996"/>
    <m/>
    <n v="0"/>
    <d v="2025-01-24T14:08:00"/>
    <d v="2025-01-31T15:08:00"/>
    <d v="2025-01-30T00:00:00"/>
    <m/>
    <x v="0"/>
    <m/>
    <n v="-45681.588888888888"/>
    <n v="-45688.630555555559"/>
    <n v="0"/>
    <d v="2025-02-13T16:11:07"/>
    <d v="2025-02-22T19:55:57"/>
    <d v="2025-03-15T14:08:00"/>
    <n v="-1484.0999288781536"/>
    <n v="0"/>
    <n v="23"/>
    <n v="36"/>
    <n v="23.085501858736059"/>
    <n v="29.241635687732341"/>
    <n v="20.085501858736059"/>
    <n v="42"/>
    <n v="33.6"/>
    <n v="28.6"/>
    <d v="1900-02-01T14:24:00"/>
    <d v="1900-01-27T14:24:00"/>
    <m/>
    <m/>
    <m/>
    <m/>
    <m/>
    <m/>
    <m/>
    <m/>
    <m/>
    <m/>
    <m/>
    <m/>
    <m/>
    <m/>
    <m/>
    <m/>
    <m/>
    <m/>
    <m/>
    <m/>
    <m/>
    <m/>
    <m/>
    <m/>
    <m/>
    <m/>
    <m/>
    <m/>
    <m/>
    <m/>
    <d v="2025-02-03T00:00:00"/>
    <s v="CS8-8051,TLN-522457"/>
  </r>
  <r>
    <d v="2025-02-06T00:00:00"/>
    <d v="2025-02-05T00:00:00"/>
    <m/>
    <x v="1"/>
    <s v="X25010119836"/>
    <s v="YOLANDA E REYES"/>
    <s v="DOÑA SOLEDAD, BETTER LIVING SUBD, PARANAQUE"/>
    <s v="PARANAQUE CITY"/>
    <s v="PARAÑAQUE"/>
    <m/>
    <m/>
    <x v="3"/>
    <s v="SCHED"/>
    <s v="JMM"/>
    <n v="1.72"/>
    <n v="4.92"/>
    <n v="15"/>
    <x v="8"/>
    <n v="16056.92"/>
    <n v="3075.97"/>
    <m/>
    <n v="0"/>
    <d v="2025-01-27T00:00:00"/>
    <d v="2025-02-03T13:31:00"/>
    <d v="2025-02-04T00:00:00"/>
    <m/>
    <x v="0"/>
    <m/>
    <n v="-45684"/>
    <n v="-45691.563194444447"/>
    <n v="0"/>
    <d v="2025-02-14T18:34:50"/>
    <d v="2025-02-23T13:56:08"/>
    <d v="2025-03-18T00:00:00"/>
    <n v="-1573.56"/>
    <n v="0"/>
    <n v="20"/>
    <n v="36"/>
    <n v="21.774193548387096"/>
    <n v="27.58064516129032"/>
    <n v="18.774193548387096"/>
    <n v="40"/>
    <n v="32"/>
    <n v="27"/>
    <d v="1900-01-31T00:00:00"/>
    <d v="1900-01-26T00:00:00"/>
    <m/>
    <m/>
    <m/>
    <m/>
    <m/>
    <m/>
    <m/>
    <m/>
    <m/>
    <m/>
    <m/>
    <m/>
    <m/>
    <m/>
    <m/>
    <m/>
    <m/>
    <m/>
    <m/>
    <m/>
    <m/>
    <m/>
    <m/>
    <m/>
    <m/>
    <m/>
    <m/>
    <m/>
    <m/>
    <m/>
    <s v="N/A"/>
    <m/>
  </r>
  <r>
    <d v="2025-02-03T00:00:00"/>
    <d v="2025-01-31T00:00:00"/>
    <m/>
    <x v="2"/>
    <s v="X24104141244"/>
    <s v="SERVEQUEST INC."/>
    <s v="SUMMIT CIRCLE SUBD, SUMMIT CIRCLE SUBD, MUNTINLUPA"/>
    <s v="MUNTINLUPA CITY"/>
    <s v="PARAÑAQUE"/>
    <m/>
    <m/>
    <x v="2"/>
    <s v="FCOMP"/>
    <s v="IGL"/>
    <n v="100.24850000000001"/>
    <n v="139.87"/>
    <n v="294"/>
    <x v="8"/>
    <n v="846988.2"/>
    <n v="80751.899999999994"/>
    <m/>
    <n v="0"/>
    <d v="2025-01-24T14:19:00"/>
    <d v="2025-01-31T15:09:00"/>
    <d v="2025-01-30T00:00:00"/>
    <m/>
    <x v="8"/>
    <m/>
    <n v="17.403472222220444"/>
    <n v="10.368750000001455"/>
    <n v="-45699"/>
    <d v="2025-02-12T02:29:35"/>
    <d v="2025-02-20T20:08:25"/>
    <d v="2025-03-15T14:19:00"/>
    <n v="0.60689031339025146"/>
    <n v="-1038.6136363636363"/>
    <n v="26"/>
    <n v="30"/>
    <n v="21.507352941176471"/>
    <n v="27.242647058823529"/>
    <n v="18.507352941176471"/>
    <n v="44"/>
    <n v="35.200000000000003"/>
    <n v="30.200000000000003"/>
    <d v="2025-03-18T04:48:00"/>
    <d v="2025-03-13T04:48:00"/>
    <m/>
    <m/>
    <m/>
    <m/>
    <m/>
    <m/>
    <m/>
    <m/>
    <s v="FOR AUDIT"/>
    <m/>
    <m/>
    <m/>
    <d v="2025-02-11T00:00:00"/>
    <d v="2025-02-21T00:00:00"/>
    <m/>
    <m/>
    <m/>
    <m/>
    <m/>
    <m/>
    <m/>
    <m/>
    <s v="Y"/>
    <d v="2025-02-11T00:00:00"/>
    <m/>
    <m/>
    <m/>
    <m/>
    <m/>
    <m/>
    <d v="2025-02-03T00:00:00"/>
    <s v="DT1-8088,TLN-526306"/>
  </r>
  <r>
    <d v="2025-02-04T00:00:00"/>
    <d v="2025-01-31T00:00:00"/>
    <m/>
    <x v="2"/>
    <s v="X25010133145"/>
    <s v="SPEED CONSTRUCTION &amp; DEVELOPMENT CORP.,"/>
    <s v="BLOCK 51, GEORGETOWN HEIGHTS SUBD PH II, BACOOR"/>
    <s v="BACOOR CITY"/>
    <s v="DASMA"/>
    <m/>
    <m/>
    <x v="2"/>
    <s v="SCHED"/>
    <s v="IGL"/>
    <n v="327.98789999999957"/>
    <n v="666.07"/>
    <n v="60"/>
    <x v="8"/>
    <n v="2137566.1"/>
    <n v="332127.99999999994"/>
    <m/>
    <n v="0"/>
    <d v="2025-01-27T15:58:00"/>
    <d v="2025-02-03T12:48:00"/>
    <d v="2025-01-30T00:00:00"/>
    <m/>
    <x v="0"/>
    <m/>
    <n v="-45684.665277777778"/>
    <n v="-45691.533333333333"/>
    <n v="0"/>
    <d v="2025-02-20T08:48:16"/>
    <d v="2025-03-02T11:41:40"/>
    <d v="2025-03-18T15:58:00"/>
    <n v="-1283.2016276552285"/>
    <n v="0"/>
    <n v="40"/>
    <n v="34"/>
    <n v="26.701570680628272"/>
    <n v="33.821989528795811"/>
    <n v="23.701570680628272"/>
    <n v="55"/>
    <n v="44"/>
    <n v="39"/>
    <d v="1900-02-12T00:00:00"/>
    <d v="1900-02-07T00:00:00"/>
    <m/>
    <m/>
    <m/>
    <m/>
    <m/>
    <m/>
    <m/>
    <m/>
    <m/>
    <m/>
    <m/>
    <m/>
    <m/>
    <m/>
    <m/>
    <m/>
    <m/>
    <m/>
    <m/>
    <m/>
    <m/>
    <m/>
    <m/>
    <m/>
    <m/>
    <m/>
    <m/>
    <m/>
    <m/>
    <m/>
    <d v="2025-02-04T00:00:00"/>
    <s v="CQ7-8048,CQ7-8049,TLN-523429,CQ7-8050,CQ7-8051,CQ7-8056,CQ7-8057,CQ7-8058,CQ7-8059,CQ7-8060,CQ7-8061"/>
  </r>
  <r>
    <d v="2025-02-04T00:00:00"/>
    <d v="2025-02-03T00:00:00"/>
    <m/>
    <x v="4"/>
    <s v="X24083093382"/>
    <s v="DITO TELECOMMUNITY CORPORATION"/>
    <s v="BUENDIA, TUNASAN, MUNTINLUPA"/>
    <s v="MUNTINLUPA CITY"/>
    <s v="PARAÑAQUE"/>
    <s v="on-going digging"/>
    <m/>
    <x v="2"/>
    <s v="FCOMP"/>
    <s v="IGL"/>
    <n v="273.93739999999991"/>
    <n v="557.07000000000005"/>
    <n v="31"/>
    <x v="8"/>
    <n v="4553436.26"/>
    <n v="253515.87999999998"/>
    <m/>
    <n v="0"/>
    <d v="2025-01-28T15:16:00"/>
    <d v="2025-02-03T12:52:00"/>
    <d v="2025-01-31T00:00:00"/>
    <m/>
    <x v="41"/>
    <m/>
    <n v="26.363888888889051"/>
    <n v="20.463888888887595"/>
    <n v="-45712"/>
    <d v="2025-02-22T11:18:28"/>
    <d v="2025-03-04T21:27:08"/>
    <d v="2025-03-19T15:16:00"/>
    <n v="0.71036033950617716"/>
    <n v="-831.12727272727273"/>
    <n v="40"/>
    <n v="36"/>
    <n v="27.835051546391753"/>
    <n v="35.257731958762882"/>
    <n v="24.835051546391753"/>
    <n v="55"/>
    <n v="44"/>
    <n v="39"/>
    <d v="2025-04-09T00:00:00"/>
    <d v="2025-04-04T00:00:00"/>
    <m/>
    <m/>
    <m/>
    <m/>
    <m/>
    <m/>
    <m/>
    <m/>
    <s v="NO COC"/>
    <m/>
    <m/>
    <m/>
    <m/>
    <m/>
    <m/>
    <m/>
    <m/>
    <m/>
    <m/>
    <m/>
    <m/>
    <m/>
    <s v="Y"/>
    <d v="2025-02-21T00:00:00"/>
    <m/>
    <m/>
    <m/>
    <m/>
    <m/>
    <m/>
    <d v="2025-02-05T00:00:00"/>
    <s v="DR2-8032,DQ2-0033,DQ2-5060,DQ2-8075,DQ2-0035,TLN-198894"/>
  </r>
  <r>
    <d v="2025-02-04T00:00:00"/>
    <d v="2025-02-03T00:00:00"/>
    <m/>
    <x v="2"/>
    <s v="X24104152226"/>
    <s v="MARY ROSE CUTARAN BAYLON"/>
    <s v="BLOCK 25, VISTA VERDE PH III, BACOOR"/>
    <s v="BACOOR CITY"/>
    <s v="DASMA"/>
    <m/>
    <m/>
    <x v="4"/>
    <s v="SCHED"/>
    <s v="RRG"/>
    <n v="238.29549999999989"/>
    <n v="473.32"/>
    <n v="25"/>
    <x v="8"/>
    <n v="1198475.06"/>
    <n v="279373.33999999991"/>
    <m/>
    <n v="0"/>
    <d v="2025-01-28T15:09:00"/>
    <d v="2025-02-03T00:00:00"/>
    <d v="2025-01-31T00:00:00"/>
    <m/>
    <x v="0"/>
    <m/>
    <n v="-45685.631249999999"/>
    <n v="-45691"/>
    <n v="0"/>
    <d v="2025-02-20T15:43:42"/>
    <d v="2025-03-02T14:16:57"/>
    <d v="2025-03-19T15:09:00"/>
    <n v="-1316.63451171875"/>
    <n v="0"/>
    <n v="32"/>
    <n v="36"/>
    <n v="26.024096385542165"/>
    <n v="32.963855421686745"/>
    <n v="23.024096385542165"/>
    <n v="50"/>
    <n v="40"/>
    <n v="35"/>
    <d v="1900-02-08T00:00:00"/>
    <d v="1900-02-03T00:00:00"/>
    <m/>
    <m/>
    <m/>
    <m/>
    <m/>
    <m/>
    <m/>
    <m/>
    <m/>
    <m/>
    <m/>
    <m/>
    <m/>
    <m/>
    <m/>
    <m/>
    <m/>
    <m/>
    <m/>
    <m/>
    <m/>
    <m/>
    <m/>
    <m/>
    <m/>
    <m/>
    <m/>
    <m/>
    <m/>
    <m/>
    <d v="2025-02-05T00:00:00"/>
    <s v="CU6-8071,CU6-8072,CU6-8073,CU6-8074,CU6-8075,TLN-523173"/>
  </r>
  <r>
    <d v="2025-02-04T00:00:00"/>
    <d v="2025-02-03T00:00:00"/>
    <m/>
    <x v="2"/>
    <s v="X25010173661"/>
    <s v="MJ RIAN P ROM"/>
    <s v="SAN PEDRO, CARMENCITA VILL, LAS PINAS CITY"/>
    <s v="LAS PINAS CITY"/>
    <s v="PARAÑAQUE"/>
    <m/>
    <m/>
    <x v="0"/>
    <s v="FCOMP"/>
    <s v="RRG"/>
    <n v="4.32"/>
    <n v="5.92"/>
    <n v="1.5"/>
    <x v="8"/>
    <n v="25562.85"/>
    <n v="3478.78"/>
    <m/>
    <n v="0"/>
    <d v="2025-01-28T17:06:00"/>
    <d v="2025-02-03T00:00:00"/>
    <d v="2025-01-31T00:00:00"/>
    <m/>
    <x v="41"/>
    <m/>
    <n v="26.287499999998545"/>
    <n v="21"/>
    <n v="-45712"/>
    <d v="2025-02-16T11:40:50"/>
    <d v="2025-02-25T07:02:08"/>
    <d v="2025-03-19T17:06:00"/>
    <n v="0.90545833333328307"/>
    <n v="-1142.8"/>
    <n v="20"/>
    <n v="36"/>
    <n v="21.774193548387096"/>
    <n v="27.58064516129032"/>
    <n v="18.774193548387096"/>
    <n v="40"/>
    <n v="32"/>
    <n v="27"/>
    <d v="2025-03-28T00:00:00"/>
    <d v="2025-03-23T00:00:00"/>
    <m/>
    <m/>
    <m/>
    <m/>
    <m/>
    <m/>
    <m/>
    <m/>
    <m/>
    <m/>
    <m/>
    <m/>
    <m/>
    <m/>
    <m/>
    <m/>
    <m/>
    <m/>
    <m/>
    <m/>
    <m/>
    <m/>
    <s v="Y"/>
    <d v="2025-02-25T00:00:00"/>
    <m/>
    <m/>
    <m/>
    <m/>
    <m/>
    <m/>
    <s v="N/A"/>
    <m/>
  </r>
  <r>
    <m/>
    <m/>
    <s v="Y"/>
    <x v="1"/>
    <s v="X25010059547"/>
    <s v="ALFAMETRO MARKETING INC. (CORCUERRA - BANNER 4TH ESTATE)"/>
    <s v="BANNER, 4TH ESTATE SUBD, PARANAQUE"/>
    <s v="PARANAQUE CITY"/>
    <s v="PARAÑAQUE"/>
    <m/>
    <m/>
    <x v="5"/>
    <s v="SCHED"/>
    <s v="IGL"/>
    <n v="0"/>
    <n v="27.28"/>
    <n v="31"/>
    <x v="8"/>
    <n v="202246.77"/>
    <m/>
    <m/>
    <m/>
    <d v="2025-01-28T15:26:00"/>
    <d v="2025-02-03T13:38:00"/>
    <d v="2025-01-31T00:00:00"/>
    <m/>
    <x v="0"/>
    <m/>
    <n v="-45685.643055555556"/>
    <n v="-45691.568055555559"/>
    <n v="0"/>
    <d v="2025-02-16T10:00:50"/>
    <d v="2025-02-25T05:22:08"/>
    <d v="2025-03-19T15:26:00"/>
    <n v="-1573.6165941358024"/>
    <n v="0"/>
    <n v="20"/>
    <n v="36"/>
    <n v="21.774193548387096"/>
    <n v="27.58064516129032"/>
    <n v="18.774193548387096"/>
    <n v="40"/>
    <n v="32"/>
    <n v="27"/>
    <d v="1900-01-31T00:00:00"/>
    <d v="1900-01-26T00:00:00"/>
    <m/>
    <m/>
    <m/>
    <m/>
    <m/>
    <m/>
    <m/>
    <m/>
    <s v="Conj. X25010134670 -termination "/>
    <m/>
    <m/>
    <m/>
    <m/>
    <m/>
    <m/>
    <m/>
    <m/>
    <m/>
    <m/>
    <m/>
    <m/>
    <m/>
    <m/>
    <m/>
    <m/>
    <m/>
    <m/>
    <m/>
    <m/>
    <m/>
    <m/>
    <m/>
  </r>
  <r>
    <m/>
    <m/>
    <m/>
    <x v="1"/>
    <s v="X25010059565"/>
    <s v="ALFAMETRO MARKETING, INC."/>
    <s v="SAN PEDRO, SAN ANTONIO VALLEY 2, PARANAQUE"/>
    <s v="PARANAQUE CITY"/>
    <s v="PARAÑAQUE"/>
    <m/>
    <m/>
    <x v="6"/>
    <s v="FCOMP"/>
    <s v="IGL"/>
    <n v="0"/>
    <n v="23.43"/>
    <n v="31"/>
    <x v="8"/>
    <n v="201536.4"/>
    <m/>
    <m/>
    <m/>
    <d v="2025-01-28T15:12:00"/>
    <d v="2025-02-03T00:00:00"/>
    <d v="2025-01-31T00:00:00"/>
    <m/>
    <x v="47"/>
    <m/>
    <n v="12.366666666668607"/>
    <n v="7"/>
    <n v="-45698"/>
    <d v="2025-02-16T09:46:50"/>
    <d v="2025-02-25T05:08:08"/>
    <d v="2025-03-19T15:12:00"/>
    <n v="0.42596296296302971"/>
    <n v="-1142.45"/>
    <n v="20"/>
    <n v="36"/>
    <n v="21.774193548387096"/>
    <n v="27.58064516129032"/>
    <n v="18.774193548387096"/>
    <n v="40"/>
    <n v="32"/>
    <n v="27"/>
    <d v="2025-03-14T00:00:00"/>
    <d v="2025-03-09T00:00:00"/>
    <m/>
    <m/>
    <m/>
    <m/>
    <m/>
    <m/>
    <m/>
    <m/>
    <s v="NO COC"/>
    <m/>
    <m/>
    <m/>
    <m/>
    <m/>
    <m/>
    <m/>
    <m/>
    <m/>
    <m/>
    <m/>
    <m/>
    <m/>
    <s v="Y"/>
    <d v="2025-02-06T00:00:00"/>
    <m/>
    <m/>
    <m/>
    <m/>
    <m/>
    <m/>
    <d v="2025-02-05T00:00:00"/>
    <s v="TLN-520860"/>
  </r>
  <r>
    <m/>
    <m/>
    <m/>
    <x v="1"/>
    <s v="X25010059526"/>
    <s v="ALFAMETRO MARKETING, INC."/>
    <s v="PAPA PIO - SAV 13, SAN ISIDRO, PARANAQUE"/>
    <s v="PARANAQUE CITY"/>
    <s v="PARAÑAQUE"/>
    <m/>
    <m/>
    <x v="6"/>
    <s v="FCOMP"/>
    <s v="IGL"/>
    <n v="0"/>
    <n v="12.73"/>
    <n v="31"/>
    <x v="8"/>
    <n v="35550.33"/>
    <m/>
    <m/>
    <m/>
    <d v="2025-01-28T15:12:00"/>
    <d v="2025-02-03T00:00:00"/>
    <d v="2025-01-31T00:00:00"/>
    <m/>
    <x v="47"/>
    <m/>
    <n v="12.366666666668607"/>
    <n v="7"/>
    <n v="-45698"/>
    <d v="2025-02-16T09:46:50"/>
    <d v="2025-02-25T05:08:08"/>
    <d v="2025-03-19T15:12:00"/>
    <n v="0.42596296296302971"/>
    <n v="-1142.45"/>
    <n v="20"/>
    <n v="36"/>
    <n v="21.774193548387096"/>
    <n v="27.58064516129032"/>
    <n v="18.774193548387096"/>
    <n v="40"/>
    <n v="32"/>
    <n v="27"/>
    <d v="2025-03-14T00:00:00"/>
    <d v="2025-03-09T00:00:00"/>
    <m/>
    <m/>
    <m/>
    <m/>
    <m/>
    <m/>
    <m/>
    <m/>
    <s v="NO COC"/>
    <m/>
    <m/>
    <m/>
    <m/>
    <m/>
    <m/>
    <m/>
    <m/>
    <m/>
    <m/>
    <m/>
    <m/>
    <m/>
    <s v="Y"/>
    <d v="2025-02-06T00:00:00"/>
    <m/>
    <m/>
    <m/>
    <m/>
    <m/>
    <m/>
    <d v="2025-02-05T00:00:00"/>
    <s v="CY8-0502,TLN-516761"/>
  </r>
  <r>
    <m/>
    <d v="2025-02-05T00:00:00"/>
    <m/>
    <x v="2"/>
    <s v="X24072855187"/>
    <s v="MANUEL SARIANA BOLON"/>
    <s v="A. ROLDAN, PUROK 2A, TAGUIG CITY"/>
    <s v="TAGUIG CITY"/>
    <s v="PARAÑAQUE"/>
    <m/>
    <m/>
    <x v="1"/>
    <s v="SCHED"/>
    <s v="JMM"/>
    <n v="54.011680000000013"/>
    <n v="39.42"/>
    <n v="7.5"/>
    <x v="8"/>
    <n v="32522.29"/>
    <n v="202490.13"/>
    <m/>
    <n v="0"/>
    <d v="2025-01-30T21:35:00"/>
    <d v="2025-02-06T08:04:00"/>
    <d v="2025-02-04T00:00:00"/>
    <m/>
    <x v="0"/>
    <m/>
    <n v="-45687.899305555555"/>
    <n v="-45694.336111111108"/>
    <n v="0"/>
    <d v="2025-02-18T16:09:50"/>
    <d v="2025-02-27T11:31:08"/>
    <d v="2025-03-21T21:35:00"/>
    <n v="-1573.6943094135802"/>
    <n v="0"/>
    <n v="20"/>
    <n v="36"/>
    <n v="21.774193548387096"/>
    <n v="27.58064516129032"/>
    <n v="18.774193548387096"/>
    <n v="40"/>
    <n v="32"/>
    <n v="27"/>
    <d v="1900-01-31T00:00:00"/>
    <d v="1900-01-26T00:00:00"/>
    <m/>
    <m/>
    <m/>
    <m/>
    <m/>
    <m/>
    <m/>
    <m/>
    <m/>
    <m/>
    <m/>
    <m/>
    <m/>
    <m/>
    <m/>
    <m/>
    <m/>
    <m/>
    <m/>
    <m/>
    <m/>
    <m/>
    <m/>
    <m/>
    <m/>
    <m/>
    <m/>
    <m/>
    <m/>
    <m/>
    <m/>
    <m/>
  </r>
  <r>
    <d v="2025-02-25T00:00:00"/>
    <d v="2025-02-05T00:00:00"/>
    <s v="Y"/>
    <x v="1"/>
    <s v="X24093683073"/>
    <s v="ELECTRO-SYSTEMS INDUSTRIES CORPORATION"/>
    <s v="BAES, PERPETUAL VILLAGE, TAGUIG CITY"/>
    <s v="TAGUIG CITY"/>
    <s v="PARAÑAQUE"/>
    <m/>
    <m/>
    <x v="1"/>
    <s v="FCOMP"/>
    <s v="JMM"/>
    <n v="214.8948"/>
    <n v="312.92"/>
    <n v="42"/>
    <x v="5"/>
    <n v="589728.55000000005"/>
    <n v="173057.12"/>
    <m/>
    <n v="0"/>
    <d v="2025-01-31T00:00:00"/>
    <d v="2025-02-05T08:13:00"/>
    <d v="2025-02-04T00:00:00"/>
    <m/>
    <x v="52"/>
    <m/>
    <n v="27"/>
    <n v="21.65763888888614"/>
    <n v="-45715"/>
    <d v="2025-02-22T11:19:15"/>
    <d v="2025-03-04T06:20:23"/>
    <d v="2025-03-22T00:00:00"/>
    <n v="0.79499999999999993"/>
    <n v="-952.39583333333337"/>
    <n v="30"/>
    <n v="36"/>
    <n v="25.471698113207545"/>
    <n v="32.264150943396224"/>
    <n v="22.471698113207545"/>
    <n v="48"/>
    <n v="38.400000000000006"/>
    <n v="33.400000000000006"/>
    <d v="2025-04-06T09:36:00"/>
    <d v="2025-04-01T09:36:00"/>
    <m/>
    <m/>
    <m/>
    <m/>
    <m/>
    <m/>
    <m/>
    <m/>
    <m/>
    <m/>
    <m/>
    <m/>
    <m/>
    <m/>
    <m/>
    <m/>
    <m/>
    <m/>
    <m/>
    <m/>
    <m/>
    <m/>
    <s v="Y"/>
    <d v="2025-02-25T00:00:00"/>
    <m/>
    <m/>
    <m/>
    <m/>
    <m/>
    <m/>
    <d v="2025-02-27T00:00:00"/>
    <s v="DY2-8110,TLN-035055"/>
  </r>
  <r>
    <d v="2025-02-11T00:00:00"/>
    <d v="2025-02-05T00:00:00"/>
    <m/>
    <x v="2"/>
    <s v="X24103906706"/>
    <s v="DAWN ISOBEL YU AQUINO"/>
    <s v="BATANGAS EAST, AYALA-ALABANG VILL, MUNTINLUPA"/>
    <s v="MUNTINLUPA CITY"/>
    <s v="PARAÑAQUE"/>
    <m/>
    <m/>
    <x v="4"/>
    <s v="SCHED"/>
    <s v="RRG"/>
    <n v="71.243799999999993"/>
    <n v="135.82"/>
    <n v="89"/>
    <x v="8"/>
    <n v="477133.36"/>
    <n v="81814.33"/>
    <m/>
    <n v="0"/>
    <d v="2025-02-03T00:00:00"/>
    <d v="2025-02-07T15:13:00"/>
    <d v="2025-02-04T00:00:00"/>
    <m/>
    <x v="0"/>
    <m/>
    <n v="-45691"/>
    <n v="-45695.634027777778"/>
    <n v="0"/>
    <d v="2025-02-23T08:16:54"/>
    <d v="2025-03-04T13:41:25"/>
    <d v="2025-03-25T00:00:00"/>
    <n v="-1467.9009049773754"/>
    <n v="0"/>
    <n v="26"/>
    <n v="34"/>
    <n v="23.345070422535212"/>
    <n v="29.570422535211268"/>
    <n v="20.345070422535212"/>
    <n v="44"/>
    <n v="35.200000000000003"/>
    <n v="30.200000000000003"/>
    <d v="1900-02-03T04:48:00"/>
    <d v="1900-01-29T04:48:00"/>
    <m/>
    <m/>
    <m/>
    <m/>
    <m/>
    <m/>
    <m/>
    <m/>
    <m/>
    <m/>
    <m/>
    <m/>
    <m/>
    <m/>
    <m/>
    <m/>
    <m/>
    <m/>
    <m/>
    <m/>
    <m/>
    <m/>
    <m/>
    <m/>
    <m/>
    <m/>
    <m/>
    <m/>
    <m/>
    <m/>
    <d v="2025-02-11T00:00:00"/>
    <s v="CS9-8081,TLN-526089"/>
  </r>
  <r>
    <m/>
    <m/>
    <m/>
    <x v="1"/>
    <s v="X24103965259"/>
    <s v="TEVERE AVANDY HOLDINGS INC."/>
    <s v="AGUIRRE, BF HOMES, PARANAQUE"/>
    <s v="TAGUIG CITY"/>
    <s v="PARAÑAQUE"/>
    <m/>
    <m/>
    <x v="6"/>
    <s v="FCOMP"/>
    <s v="IJP"/>
    <n v="0"/>
    <n v="37.25"/>
    <n v="57"/>
    <x v="8"/>
    <n v="242559.2"/>
    <m/>
    <m/>
    <m/>
    <d v="2025-01-31T00:00:00"/>
    <d v="2025-02-05T12:17:00"/>
    <m/>
    <m/>
    <x v="8"/>
    <m/>
    <n v="11"/>
    <n v="5.4881944444423425"/>
    <n v="-45699"/>
    <d v="2025-02-18T01:47:06"/>
    <d v="2025-02-26T16:39:40"/>
    <d v="2025-03-22T00:00:00"/>
    <n v="0.39147058823529413"/>
    <n v="-1142.4749999999999"/>
    <n v="20"/>
    <n v="34"/>
    <n v="21.074380165289259"/>
    <n v="26.694214876033058"/>
    <n v="18.074380165289259"/>
    <n v="40"/>
    <n v="32"/>
    <n v="27"/>
    <d v="2025-03-15T00:00:00"/>
    <d v="2025-03-10T00:00:00"/>
    <m/>
    <m/>
    <m/>
    <m/>
    <m/>
    <m/>
    <m/>
    <m/>
    <s v="NO COC"/>
    <m/>
    <m/>
    <m/>
    <m/>
    <m/>
    <m/>
    <m/>
    <m/>
    <m/>
    <m/>
    <m/>
    <m/>
    <m/>
    <s v="Y"/>
    <d v="2025-02-05T00:00:00"/>
    <m/>
    <m/>
    <m/>
    <m/>
    <m/>
    <m/>
    <m/>
    <m/>
  </r>
  <r>
    <m/>
    <m/>
    <m/>
    <x v="2"/>
    <s v="X24114657334"/>
    <s v="BUENA MONTES BASCUGUIN"/>
    <s v="BLOCK 18 , KALAYAAN VILL/BALAGBAG, PASAY CITY"/>
    <s v="PASAY CITY"/>
    <s v="PARAÑAQUE"/>
    <m/>
    <m/>
    <x v="6"/>
    <s v="FCOMP"/>
    <s v="IJP"/>
    <n v="0"/>
    <n v="7.92"/>
    <n v="15"/>
    <x v="8"/>
    <n v="23600.21"/>
    <m/>
    <m/>
    <m/>
    <d v="2025-01-31T00:00:00"/>
    <d v="2025-02-06T07:47:00"/>
    <m/>
    <m/>
    <x v="47"/>
    <m/>
    <n v="10"/>
    <n v="3.6756944444423425"/>
    <n v="-45698"/>
    <d v="2025-02-18T18:34:50"/>
    <d v="2025-02-27T13:56:08"/>
    <d v="2025-03-22T00:00:00"/>
    <n v="0.34444444444444444"/>
    <n v="-1142.45"/>
    <n v="20"/>
    <n v="36"/>
    <n v="21.774193548387096"/>
    <n v="27.58064516129032"/>
    <n v="18.774193548387096"/>
    <n v="40"/>
    <n v="32"/>
    <n v="27"/>
    <d v="2025-03-14T00:00:00"/>
    <d v="2025-03-09T00:00:00"/>
    <m/>
    <m/>
    <m/>
    <m/>
    <m/>
    <m/>
    <m/>
    <m/>
    <s v="NO COC"/>
    <m/>
    <m/>
    <m/>
    <m/>
    <m/>
    <m/>
    <m/>
    <m/>
    <m/>
    <m/>
    <m/>
    <m/>
    <m/>
    <m/>
    <m/>
    <m/>
    <m/>
    <m/>
    <m/>
    <m/>
    <m/>
    <m/>
    <m/>
  </r>
  <r>
    <d v="2025-02-11T00:00:00"/>
    <m/>
    <m/>
    <x v="1"/>
    <s v="X25010134670"/>
    <s v="C N C CONSTRUCTION &amp; DEV'T. CORPORATION"/>
    <s v="BANNER, 4TH ESTATE SUBD, PARANAQUE"/>
    <s v="PARANAQUE CITY"/>
    <s v="PARAÑAQUE"/>
    <m/>
    <m/>
    <x v="5"/>
    <s v="SCHED"/>
    <s v="IGL"/>
    <n v="0"/>
    <n v="9.93"/>
    <m/>
    <x v="2"/>
    <n v="17205.11"/>
    <m/>
    <m/>
    <m/>
    <d v="2025-02-03T00:00:00"/>
    <d v="2025-02-06T07:52:00"/>
    <m/>
    <m/>
    <x v="0"/>
    <m/>
    <n v="-45691"/>
    <n v="-45694.327777777777"/>
    <n v="0"/>
    <d v="2025-02-21T18:34:50"/>
    <d v="2025-03-02T13:56:08"/>
    <d v="2025-03-25T00:00:00"/>
    <n v="-1573.8011111111109"/>
    <n v="0"/>
    <n v="20"/>
    <n v="36"/>
    <n v="21.774193548387096"/>
    <n v="27.58064516129032"/>
    <n v="18.774193548387096"/>
    <n v="40"/>
    <n v="32"/>
    <n v="27"/>
    <d v="1900-01-31T00:00:00"/>
    <d v="1900-01-26T00:00:00"/>
    <m/>
    <m/>
    <m/>
    <m/>
    <m/>
    <m/>
    <m/>
    <m/>
    <s v="Conj.  X25010059547"/>
    <m/>
    <m/>
    <m/>
    <m/>
    <m/>
    <m/>
    <m/>
    <m/>
    <m/>
    <m/>
    <m/>
    <m/>
    <m/>
    <m/>
    <m/>
    <m/>
    <m/>
    <m/>
    <m/>
    <m/>
    <m/>
    <s v="N/A"/>
    <m/>
  </r>
  <r>
    <d v="2025-02-17T00:00:00"/>
    <d v="2025-02-11T00:00:00"/>
    <m/>
    <x v="4"/>
    <s v="X23093504208"/>
    <s v="YIHUA PHILIPPINES GROUP INC."/>
    <s v="QUIRINO, TAMBO, PARANAQUE"/>
    <s v="PARANAQUE CITY"/>
    <s v="PARAÑAQUE"/>
    <m/>
    <m/>
    <x v="4"/>
    <s v="SCHED"/>
    <s v="RRG"/>
    <n v="198.17739999999998"/>
    <n v="536.25"/>
    <n v="838"/>
    <x v="8"/>
    <n v="2855707.96"/>
    <n v="318164.19"/>
    <m/>
    <m/>
    <d v="2025-02-06T07:34:00"/>
    <d v="2025-02-11T17:23:00"/>
    <d v="2025-02-10T00:00:00"/>
    <m/>
    <x v="0"/>
    <m/>
    <n v="-45694.31527777778"/>
    <n v="-45699.724305555559"/>
    <n v="0"/>
    <d v="2025-02-23T02:03:55"/>
    <d v="2025-03-03T08:35:53"/>
    <d v="2025-03-28T07:34:00"/>
    <n v="-1733.4039165157005"/>
    <n v="0"/>
    <n v="40"/>
    <n v="23"/>
    <n v="19.770773638968482"/>
    <n v="25.04297994269341"/>
    <n v="16.770773638968482"/>
    <n v="55"/>
    <n v="44"/>
    <n v="39"/>
    <d v="1900-02-12T00:00:00"/>
    <d v="1900-02-07T00:00:00"/>
    <m/>
    <m/>
    <m/>
    <m/>
    <m/>
    <m/>
    <m/>
    <m/>
    <m/>
    <m/>
    <m/>
    <m/>
    <m/>
    <m/>
    <m/>
    <m/>
    <m/>
    <m/>
    <m/>
    <m/>
    <m/>
    <m/>
    <m/>
    <m/>
    <m/>
    <m/>
    <m/>
    <m/>
    <m/>
    <m/>
    <d v="2025-02-17T00:00:00"/>
    <s v="B5-8022,B5-8023,B5-8024,B5-8025,TLN-518634"/>
  </r>
  <r>
    <m/>
    <d v="2025-02-11T00:00:00"/>
    <m/>
    <x v="2"/>
    <s v="X24103884052"/>
    <s v="CARMELINDELLE PALMA MATERNAL"/>
    <s v="MOLAVE, MANILA DOCTOR VILL, LAS PINAS CITY"/>
    <s v="LAS PINAS CITY"/>
    <s v="PARAÑAQUE"/>
    <m/>
    <m/>
    <x v="4"/>
    <s v="SCHED"/>
    <s v="RRG"/>
    <n v="281.947"/>
    <n v="512.28"/>
    <n v="63.1"/>
    <x v="5"/>
    <n v="1339954.29"/>
    <n v="300056.58"/>
    <m/>
    <m/>
    <d v="2025-02-06T00:00:00"/>
    <d v="2025-02-12T10:30:00"/>
    <d v="2025-02-10T00:00:00"/>
    <m/>
    <x v="0"/>
    <m/>
    <n v="-45694"/>
    <n v="-45700.4375"/>
    <n v="0"/>
    <d v="2025-03-01T16:50:16"/>
    <d v="2025-03-11T19:43:40"/>
    <d v="2025-03-28T00:00:00"/>
    <n v="-1283.4638235294117"/>
    <n v="0"/>
    <n v="40"/>
    <n v="34"/>
    <n v="26.701570680628272"/>
    <n v="33.821989528795811"/>
    <n v="23.701570680628272"/>
    <n v="55"/>
    <n v="44"/>
    <n v="39"/>
    <d v="1900-02-12T00:00:00"/>
    <d v="1900-02-07T00:00:00"/>
    <m/>
    <m/>
    <m/>
    <m/>
    <m/>
    <m/>
    <m/>
    <m/>
    <m/>
    <m/>
    <m/>
    <m/>
    <m/>
    <m/>
    <m/>
    <m/>
    <m/>
    <m/>
    <m/>
    <m/>
    <m/>
    <m/>
    <m/>
    <m/>
    <m/>
    <m/>
    <m/>
    <m/>
    <m/>
    <m/>
    <m/>
    <m/>
  </r>
  <r>
    <d v="2025-02-17T00:00:00"/>
    <d v="2025-02-11T00:00:00"/>
    <m/>
    <x v="2"/>
    <s v="R23792026"/>
    <s v="NEW PACIFIC RESOURCES MANAGEMENT (SPV- AMC), INC., HMB"/>
    <s v="BLOCK 27, SOLVIENTO VILLAS PH 2, BACOOR"/>
    <s v="BACOOR CITY"/>
    <s v="DASMA"/>
    <m/>
    <m/>
    <x v="4"/>
    <s v="SCHED"/>
    <s v="RRG"/>
    <n v="13.413600000000001"/>
    <n v="25.5"/>
    <m/>
    <x v="10"/>
    <n v="40378.97"/>
    <n v="15581.73"/>
    <m/>
    <m/>
    <d v="2025-02-06T15:16:00"/>
    <d v="2025-02-12T10:31:00"/>
    <d v="2025-02-10T00:00:00"/>
    <m/>
    <x v="0"/>
    <m/>
    <n v="-45694.636111111111"/>
    <n v="-45700.438194444447"/>
    <n v="0"/>
    <d v="2025-02-25T09:50:50"/>
    <d v="2025-03-06T05:12:08"/>
    <d v="2025-03-28T15:16:00"/>
    <n v="-1573.9263549382717"/>
    <n v="0"/>
    <n v="20"/>
    <n v="36"/>
    <n v="21.774193548387096"/>
    <n v="27.58064516129032"/>
    <n v="18.774193548387096"/>
    <n v="40"/>
    <n v="32"/>
    <n v="27"/>
    <d v="1900-01-31T00:00:00"/>
    <d v="1900-01-26T00:00:00"/>
    <m/>
    <m/>
    <m/>
    <m/>
    <m/>
    <m/>
    <m/>
    <m/>
    <m/>
    <m/>
    <m/>
    <m/>
    <m/>
    <m/>
    <m/>
    <m/>
    <m/>
    <m/>
    <m/>
    <m/>
    <m/>
    <m/>
    <m/>
    <m/>
    <m/>
    <m/>
    <m/>
    <m/>
    <m/>
    <m/>
    <s v="N/A"/>
    <m/>
  </r>
  <r>
    <d v="2025-02-17T00:00:00"/>
    <d v="2025-02-11T00:00:00"/>
    <m/>
    <x v="2"/>
    <s v="X24103896457"/>
    <s v="CITY GOVT OF LAS PIÑAS"/>
    <s v="DOÑA PILAR AGUIRRE, PILAR VILL, LAS PINAS CITY"/>
    <s v="LAS PINAS CITY"/>
    <s v="PARAÑAQUE"/>
    <m/>
    <m/>
    <x v="0"/>
    <s v="SCHED"/>
    <s v="RRG"/>
    <n v="123.4425"/>
    <n v="323.57"/>
    <n v="339"/>
    <x v="5"/>
    <n v="1353967.43"/>
    <n v="182994.22"/>
    <m/>
    <m/>
    <d v="2025-02-05T13:14:00"/>
    <d v="2025-02-12T10:23:00"/>
    <d v="2025-02-10T00:00:00"/>
    <m/>
    <x v="0"/>
    <m/>
    <n v="-45693.551388888889"/>
    <n v="-45700.432638888888"/>
    <n v="0"/>
    <d v="2025-02-23T23:31:09"/>
    <d v="2025-03-04T16:39:43"/>
    <d v="2025-03-27T13:14:00"/>
    <n v="-1599.2742986111109"/>
    <n v="0"/>
    <n v="30"/>
    <n v="28"/>
    <n v="21.428571428571431"/>
    <n v="27.142857142857146"/>
    <n v="18.428571428571431"/>
    <n v="48"/>
    <n v="38.400000000000006"/>
    <n v="33.400000000000006"/>
    <d v="1900-02-06T09:36:00"/>
    <d v="1900-02-01T09:36:00"/>
    <m/>
    <m/>
    <m/>
    <m/>
    <m/>
    <m/>
    <m/>
    <m/>
    <m/>
    <m/>
    <m/>
    <m/>
    <m/>
    <m/>
    <m/>
    <m/>
    <m/>
    <m/>
    <m/>
    <m/>
    <m/>
    <m/>
    <m/>
    <m/>
    <m/>
    <m/>
    <m/>
    <m/>
    <m/>
    <m/>
    <d v="2025-02-17T00:00:00"/>
    <s v="CU8-8105,CU8-8058,TLN-522058,CU8-0148"/>
  </r>
  <r>
    <d v="2025-02-17T00:00:00"/>
    <d v="2025-02-11T00:00:00"/>
    <s v="Y"/>
    <x v="1"/>
    <s v="X25010120302"/>
    <s v="CDC REALTY INC."/>
    <s v="DOVE LOFTS, LION'S PARK RESIDENCES, PARANAQUE"/>
    <s v="PARANAQUE CITY"/>
    <s v="PARAÑAQUE"/>
    <m/>
    <s v="with follow up from Ma'am Cecille, Head Enterprise &amp; National Government"/>
    <x v="1"/>
    <s v="SCHED"/>
    <s v="JMM"/>
    <n v="70.673099999999991"/>
    <n v="157.18"/>
    <n v="193"/>
    <x v="8"/>
    <n v="813015.11"/>
    <n v="97030.12999999999"/>
    <m/>
    <m/>
    <d v="2025-02-06T13:14:00"/>
    <d v="2025-02-12T10:32:00"/>
    <d v="2025-02-10T00:00:00"/>
    <m/>
    <x v="0"/>
    <m/>
    <n v="-45694.551388888889"/>
    <n v="-45700.438888888886"/>
    <n v="0"/>
    <d v="2025-02-25T23:56:18"/>
    <d v="2025-03-06T23:35:35"/>
    <d v="2025-03-28T13:14:00"/>
    <n v="-1526.8131353498932"/>
    <n v="0"/>
    <n v="26"/>
    <n v="32"/>
    <n v="22.446043165467625"/>
    <n v="28.431654676258994"/>
    <n v="19.446043165467625"/>
    <n v="44"/>
    <n v="35.200000000000003"/>
    <n v="30.200000000000003"/>
    <d v="1900-02-03T04:48:00"/>
    <d v="1900-01-29T04:48:00"/>
    <m/>
    <m/>
    <m/>
    <m/>
    <m/>
    <m/>
    <m/>
    <m/>
    <m/>
    <m/>
    <m/>
    <m/>
    <m/>
    <m/>
    <m/>
    <m/>
    <m/>
    <m/>
    <m/>
    <m/>
    <m/>
    <m/>
    <s v="Y"/>
    <d v="2025-02-28T00:00:00"/>
    <m/>
    <m/>
    <m/>
    <m/>
    <m/>
    <m/>
    <d v="2025-02-17T00:00:00"/>
    <s v="DZ1-8092,TLN-523746"/>
  </r>
  <r>
    <d v="2025-02-17T00:00:00"/>
    <d v="2025-02-11T00:00:00"/>
    <m/>
    <x v="5"/>
    <s v="X24051849062"/>
    <s v="DITO TELECOMMUNITY CORPORATION"/>
    <s v="BETTER LIVING SUBD, PARANAQUE"/>
    <s v="PARANAQUE CITY"/>
    <s v="PARAÑAQUE"/>
    <s v="for survey"/>
    <m/>
    <x v="3"/>
    <s v="SCHED"/>
    <s v="JMM"/>
    <n v="37.616099999999996"/>
    <n v="168.73"/>
    <n v="22"/>
    <x v="8"/>
    <n v="808167.06"/>
    <n v="40352.42"/>
    <m/>
    <m/>
    <d v="2025-02-04T00:00:00"/>
    <d v="2025-02-12T09:51:00"/>
    <d v="2025-02-10T00:00:00"/>
    <m/>
    <x v="0"/>
    <m/>
    <n v="-45692"/>
    <n v="-45700.410416666666"/>
    <n v="0"/>
    <d v="2025-02-25T04:57:56"/>
    <d v="2025-03-06T15:53:23"/>
    <d v="2025-03-26T00:00:00"/>
    <n v="-1415.6709401709402"/>
    <n v="0"/>
    <n v="26"/>
    <n v="36"/>
    <n v="24.206896551724139"/>
    <n v="30.662068965517239"/>
    <n v="21.206896551724139"/>
    <n v="44"/>
    <n v="35.200000000000003"/>
    <n v="30.200000000000003"/>
    <d v="1900-02-03T04:48:00"/>
    <d v="1900-01-29T04:48:00"/>
    <m/>
    <m/>
    <m/>
    <m/>
    <m/>
    <m/>
    <m/>
    <m/>
    <m/>
    <m/>
    <m/>
    <m/>
    <m/>
    <m/>
    <m/>
    <m/>
    <m/>
    <m/>
    <m/>
    <m/>
    <m/>
    <m/>
    <m/>
    <m/>
    <m/>
    <m/>
    <m/>
    <m/>
    <m/>
    <m/>
    <d v="2025-02-17T00:00:00"/>
    <s v="CZ9-5983,TLN-201460"/>
  </r>
  <r>
    <d v="2025-02-25T00:00:00"/>
    <d v="2025-02-11T00:00:00"/>
    <m/>
    <x v="2"/>
    <s v="X24093618242"/>
    <s v="PRIME ACERS HOLDINGS CORPORATION"/>
    <s v="DIEGO SILANG, AFP OVAI PH 1, TAGUIG CITY"/>
    <s v="TAGUIG CITY"/>
    <s v="PARAÑAQUE"/>
    <m/>
    <m/>
    <x v="1"/>
    <s v="SCHED"/>
    <s v="JMM"/>
    <n v="122.57080000000001"/>
    <n v="267.18"/>
    <n v="263"/>
    <x v="8"/>
    <n v="1097984.1299999999"/>
    <n v="142064.76999999999"/>
    <m/>
    <m/>
    <d v="2025-02-05T00:00:00"/>
    <d v="2025-02-12T10:25:00"/>
    <d v="2025-02-10T00:00:00"/>
    <m/>
    <x v="0"/>
    <m/>
    <n v="-45693"/>
    <n v="-45700.434027777781"/>
    <n v="0"/>
    <d v="2025-02-24T00:40:17"/>
    <d v="2025-03-04T21:39:01"/>
    <d v="2025-03-27T00:00:00"/>
    <n v="-1555.7378571428569"/>
    <n v="0"/>
    <n v="28"/>
    <n v="30"/>
    <n v="22.027972027972027"/>
    <n v="27.9020979020979"/>
    <n v="19.027972027972027"/>
    <n v="46"/>
    <n v="36.800000000000004"/>
    <n v="31.800000000000004"/>
    <d v="1900-02-04T19:12:00"/>
    <d v="1900-01-30T19:12:00"/>
    <m/>
    <m/>
    <m/>
    <m/>
    <m/>
    <m/>
    <m/>
    <m/>
    <m/>
    <m/>
    <m/>
    <m/>
    <m/>
    <m/>
    <m/>
    <m/>
    <m/>
    <m/>
    <m/>
    <m/>
    <m/>
    <m/>
    <m/>
    <m/>
    <m/>
    <m/>
    <m/>
    <m/>
    <m/>
    <m/>
    <d v="2025-02-25T00:00:00"/>
    <s v="C7-8037,C7-8038,TLN-523806"/>
  </r>
  <r>
    <d v="2025-02-17T00:00:00"/>
    <d v="2025-02-11T00:00:00"/>
    <m/>
    <x v="4"/>
    <s v="X24072866458"/>
    <s v="DITO TELECOMMUNITY CORPORATION"/>
    <s v="CHAMPACA, STO. NINO, TAGUIG CITY"/>
    <s v="TAGUIG CITY"/>
    <s v="PARAÑAQUE"/>
    <s v="for survey"/>
    <m/>
    <x v="1"/>
    <s v="SCHED"/>
    <s v="JMM"/>
    <n v="36.1295"/>
    <n v="92.13"/>
    <n v="31"/>
    <x v="8"/>
    <n v="1025199.32"/>
    <n v="37538.230000000003"/>
    <m/>
    <m/>
    <d v="2025-02-04T00:00:00"/>
    <d v="2025-02-12T09:52:00"/>
    <d v="2025-02-10T00:00:00"/>
    <m/>
    <x v="0"/>
    <m/>
    <n v="-45692"/>
    <n v="-45700.411111111112"/>
    <n v="0"/>
    <d v="2025-02-24T02:03:07"/>
    <d v="2025-03-05T05:47:57"/>
    <d v="2025-03-26T00:00:00"/>
    <n v="-1484.4381642512076"/>
    <n v="0"/>
    <n v="23"/>
    <n v="36"/>
    <n v="23.085501858736059"/>
    <n v="29.241635687732341"/>
    <n v="20.085501858736059"/>
    <n v="42"/>
    <n v="33.6"/>
    <n v="28.6"/>
    <d v="1900-02-01T14:24:00"/>
    <d v="1900-01-27T14:24:00"/>
    <m/>
    <m/>
    <m/>
    <m/>
    <m/>
    <m/>
    <m/>
    <m/>
    <m/>
    <m/>
    <m/>
    <m/>
    <m/>
    <m/>
    <m/>
    <m/>
    <m/>
    <m/>
    <m/>
    <m/>
    <m/>
    <m/>
    <m/>
    <m/>
    <m/>
    <m/>
    <m/>
    <m/>
    <m/>
    <m/>
    <d v="2025-02-17T00:00:00"/>
    <s v="B7-5441,TLN-198570"/>
  </r>
  <r>
    <d v="2025-02-21T00:00:00"/>
    <d v="2025-02-11T00:00:00"/>
    <m/>
    <x v="2"/>
    <s v="X25010222043"/>
    <s v="NOEMI A SUMINISTRADO"/>
    <s v="MILLARES, PUROK 4B, TAGUIG CITY"/>
    <s v="TAGUIG CITY"/>
    <s v="PARAÑAQUE"/>
    <m/>
    <m/>
    <x v="1"/>
    <s v="FCOMP"/>
    <s v="JMM"/>
    <n v="59.174999999999997"/>
    <n v="108.68"/>
    <n v="15"/>
    <x v="8"/>
    <n v="344593.38"/>
    <n v="58274.76"/>
    <m/>
    <m/>
    <d v="2025-02-06T00:00:00"/>
    <d v="2025-02-12T10:33:00"/>
    <d v="2025-02-10T00:00:00"/>
    <m/>
    <x v="52"/>
    <m/>
    <n v="21"/>
    <n v="14.560416666667152"/>
    <n v="-45715"/>
    <d v="2025-02-27T04:57:56"/>
    <d v="2025-03-08T15:53:23"/>
    <d v="2025-03-28T00:00:00"/>
    <n v="0.65064102564102566"/>
    <n v="-1038.9772727272727"/>
    <n v="26"/>
    <n v="36"/>
    <n v="24.206896551724139"/>
    <n v="30.662068965517239"/>
    <n v="21.206896551724139"/>
    <n v="44"/>
    <n v="35.200000000000003"/>
    <n v="30.200000000000003"/>
    <d v="2025-04-03T04:48:00"/>
    <d v="2025-03-29T04:48:00"/>
    <m/>
    <m/>
    <m/>
    <m/>
    <m/>
    <m/>
    <m/>
    <m/>
    <s v="NO COC"/>
    <s v="supersedes X24104029330"/>
    <m/>
    <m/>
    <m/>
    <m/>
    <m/>
    <m/>
    <m/>
    <m/>
    <m/>
    <m/>
    <m/>
    <m/>
    <m/>
    <m/>
    <m/>
    <m/>
    <m/>
    <m/>
    <m/>
    <m/>
    <d v="2025-02-21T00:00:00"/>
    <s v="TLN-527101,A8-1154,A8-8128"/>
  </r>
  <r>
    <d v="2025-02-21T00:00:00"/>
    <d v="2025-02-11T00:00:00"/>
    <m/>
    <x v="1"/>
    <s v="X25010095532"/>
    <s v="MINA B. TAPISPISAN"/>
    <s v="BALLECER, ZONE 4, TAGUIG CITY"/>
    <s v="TAGUIG CITY"/>
    <s v="PARAÑAQUE"/>
    <m/>
    <m/>
    <x v="1"/>
    <s v="FCOMP"/>
    <s v="JMM"/>
    <n v="2.58"/>
    <n v="6.28"/>
    <n v="10"/>
    <x v="8"/>
    <n v="21877.86"/>
    <n v="3696.19"/>
    <m/>
    <m/>
    <d v="2025-02-05T00:00:00"/>
    <d v="2025-02-12T10:26:00"/>
    <d v="2025-02-10T00:00:00"/>
    <m/>
    <x v="46"/>
    <m/>
    <n v="20"/>
    <n v="12.565277777779556"/>
    <n v="-45713"/>
    <d v="2025-02-23T18:34:50"/>
    <d v="2025-03-04T13:56:08"/>
    <d v="2025-03-27T00:00:00"/>
    <n v="0.68888888888888888"/>
    <n v="-1142.825"/>
    <n v="20"/>
    <n v="36"/>
    <n v="21.774193548387096"/>
    <n v="27.58064516129032"/>
    <n v="18.774193548387096"/>
    <n v="40"/>
    <n v="32"/>
    <n v="27"/>
    <d v="2025-03-29T00:00:00"/>
    <d v="2025-03-24T00:00:00"/>
    <m/>
    <m/>
    <m/>
    <m/>
    <m/>
    <m/>
    <m/>
    <m/>
    <s v="NO COC"/>
    <m/>
    <m/>
    <m/>
    <m/>
    <m/>
    <m/>
    <m/>
    <m/>
    <m/>
    <m/>
    <m/>
    <m/>
    <m/>
    <s v="Y"/>
    <d v="2025-02-24T00:00:00"/>
    <m/>
    <m/>
    <m/>
    <m/>
    <m/>
    <m/>
    <s v="N/A"/>
    <m/>
  </r>
  <r>
    <d v="2025-02-17T00:00:00"/>
    <d v="2025-02-11T00:00:00"/>
    <m/>
    <x v="4"/>
    <s v="X24041261990"/>
    <s v="DITO TELECOMMUNITY CORPORATION"/>
    <s v="NATIONAL, TUNASAN, MUNTINLUPA"/>
    <s v="MUNTINLUPA CITY"/>
    <s v="PARAÑAQUE"/>
    <s v="For survey"/>
    <m/>
    <x v="2"/>
    <s v="SCHED"/>
    <s v="IGL"/>
    <n v="49.433200000000006"/>
    <n v="99.63"/>
    <n v="20"/>
    <x v="8"/>
    <n v="346656.97"/>
    <n v="52965.509999999995"/>
    <m/>
    <m/>
    <d v="2025-02-04T15:25:00"/>
    <d v="2025-02-12T09:53:00"/>
    <d v="2025-02-10T00:00:00"/>
    <m/>
    <x v="0"/>
    <m/>
    <n v="-45692.642361111109"/>
    <n v="-45700.411805555559"/>
    <n v="0"/>
    <d v="2025-02-24T17:28:07"/>
    <d v="2025-03-05T21:12:57"/>
    <d v="2025-03-26T15:25:00"/>
    <n v="-1484.4590332293342"/>
    <n v="0"/>
    <n v="23"/>
    <n v="36"/>
    <n v="23.085501858736059"/>
    <n v="29.241635687732341"/>
    <n v="20.085501858736059"/>
    <n v="42"/>
    <n v="33.6"/>
    <n v="28.6"/>
    <d v="1900-02-01T14:24:00"/>
    <d v="1900-01-27T14:24:00"/>
    <m/>
    <m/>
    <m/>
    <m/>
    <m/>
    <m/>
    <m/>
    <m/>
    <m/>
    <m/>
    <m/>
    <m/>
    <m/>
    <m/>
    <m/>
    <m/>
    <m/>
    <m/>
    <m/>
    <m/>
    <m/>
    <m/>
    <m/>
    <m/>
    <m/>
    <m/>
    <m/>
    <m/>
    <m/>
    <m/>
    <d v="2025-02-17T00:00:00"/>
    <s v="DR1-8042,TLN-521305"/>
  </r>
  <r>
    <d v="2025-02-25T00:00:00"/>
    <d v="2025-02-11T00:00:00"/>
    <m/>
    <x v="4"/>
    <s v="X24072535895"/>
    <s v="DITO TELECOMMUNITY CORPORATION"/>
    <s v="SINIGUELAS, ZONE 1, TAGUIG CITY"/>
    <s v="TAGUIG CITY"/>
    <s v="PARAÑAQUE"/>
    <s v="For survey"/>
    <m/>
    <x v="2"/>
    <s v="SCHED"/>
    <s v="IGL"/>
    <n v="49.433199999999999"/>
    <n v="101.05"/>
    <n v="22"/>
    <x v="8"/>
    <n v="306884.92"/>
    <n v="49458.75"/>
    <m/>
    <m/>
    <d v="2025-02-04T14:03:00"/>
    <d v="2025-02-12T09:54:00"/>
    <d v="2025-02-10T00:00:00"/>
    <m/>
    <x v="0"/>
    <m/>
    <n v="-45692.585416666669"/>
    <n v="-45700.412499999999"/>
    <n v="0"/>
    <d v="2025-02-25T19:00:56"/>
    <d v="2025-03-07T05:56:23"/>
    <d v="2025-03-26T14:03:00"/>
    <n v="-1415.6890780804843"/>
    <n v="0"/>
    <n v="26"/>
    <n v="36"/>
    <n v="24.206896551724139"/>
    <n v="30.662068965517239"/>
    <n v="21.206896551724139"/>
    <n v="44"/>
    <n v="35.200000000000003"/>
    <n v="30.200000000000003"/>
    <d v="1900-02-03T04:48:00"/>
    <d v="1900-01-29T04:48:00"/>
    <m/>
    <m/>
    <m/>
    <m/>
    <m/>
    <m/>
    <m/>
    <m/>
    <m/>
    <m/>
    <m/>
    <m/>
    <m/>
    <m/>
    <m/>
    <m/>
    <m/>
    <m/>
    <m/>
    <m/>
    <m/>
    <m/>
    <m/>
    <m/>
    <m/>
    <m/>
    <m/>
    <m/>
    <m/>
    <m/>
    <d v="2025-02-25T00:00:00"/>
    <s v="B8-5039,B8-8103,TLN-522699"/>
  </r>
  <r>
    <m/>
    <m/>
    <m/>
    <x v="1"/>
    <s v="X25020425086"/>
    <s v="C N C CONSTRUCTION &amp; DEV'T. CORPORATION"/>
    <s v="SAN PEDRO, SAN ANTONIO VALLEY 2, PARANAQUE"/>
    <s v="PARANAQUE CITY"/>
    <s v="PARAÑAQUE"/>
    <m/>
    <m/>
    <x v="6"/>
    <s v="FCOMP"/>
    <s v="IJP"/>
    <n v="0"/>
    <n v="10"/>
    <m/>
    <x v="2"/>
    <n v="17390.27"/>
    <m/>
    <m/>
    <m/>
    <d v="2025-02-06T08:59:00"/>
    <d v="2025-02-06T08:59:00"/>
    <d v="2025-02-10T00:00:00"/>
    <m/>
    <x v="8"/>
    <m/>
    <n v="4.6256944444467081"/>
    <n v="4.6256944444467081"/>
    <n v="-45699"/>
    <d v="2025-02-25T03:33:50"/>
    <d v="2025-03-05T22:55:08"/>
    <d v="2025-03-28T08:59:00"/>
    <n v="0.15932947530871994"/>
    <n v="-1142.4749999999999"/>
    <n v="20"/>
    <n v="36"/>
    <n v="21.774193548387096"/>
    <n v="27.58064516129032"/>
    <n v="18.774193548387096"/>
    <n v="40"/>
    <n v="32"/>
    <n v="27"/>
    <d v="2025-03-15T00:00:00"/>
    <d v="2025-03-10T00:00:00"/>
    <m/>
    <m/>
    <m/>
    <m/>
    <m/>
    <m/>
    <m/>
    <m/>
    <s v="NO COC"/>
    <s v="conj. X25010059565"/>
    <m/>
    <m/>
    <m/>
    <m/>
    <m/>
    <m/>
    <m/>
    <m/>
    <m/>
    <m/>
    <m/>
    <m/>
    <m/>
    <m/>
    <m/>
    <m/>
    <m/>
    <m/>
    <m/>
    <m/>
    <m/>
    <m/>
  </r>
  <r>
    <d v="2025-02-17T00:00:00"/>
    <m/>
    <m/>
    <x v="4"/>
    <s v="X24083132605"/>
    <s v="DITO TELECOMMUNITY CORPORATION"/>
    <s v="BUENCAMINO, BUENCAMINO, MUNTINLUPA"/>
    <s v="MUNTINLUPA CITY"/>
    <s v="PARAÑAQUE"/>
    <s v="For survey"/>
    <m/>
    <x v="5"/>
    <s v="SCHED"/>
    <s v="IGL"/>
    <n v="0"/>
    <n v="28.38"/>
    <n v="31"/>
    <x v="8"/>
    <n v="61546.71"/>
    <m/>
    <s v=" "/>
    <m/>
    <d v="2025-02-04T15:49:00"/>
    <d v="2025-02-12T09:55:00"/>
    <d v="2025-02-10T00:00:00"/>
    <m/>
    <x v="0"/>
    <m/>
    <n v="-45692.65902777778"/>
    <n v="-45700.413194444445"/>
    <n v="0"/>
    <d v="2025-02-23T10:23:50"/>
    <d v="2025-03-04T05:45:08"/>
    <d v="2025-03-26T15:49:00"/>
    <n v="-1573.8582554012346"/>
    <n v="0"/>
    <n v="20"/>
    <n v="36"/>
    <n v="21.774193548387096"/>
    <n v="27.58064516129032"/>
    <n v="18.774193548387096"/>
    <n v="40"/>
    <n v="32"/>
    <n v="27"/>
    <d v="1900-01-31T00:00:00"/>
    <d v="1900-01-26T00:00:00"/>
    <m/>
    <m/>
    <m/>
    <m/>
    <m/>
    <m/>
    <m/>
    <m/>
    <m/>
    <m/>
    <m/>
    <m/>
    <m/>
    <m/>
    <m/>
    <m/>
    <m/>
    <m/>
    <m/>
    <m/>
    <m/>
    <m/>
    <m/>
    <m/>
    <m/>
    <m/>
    <m/>
    <m/>
    <m/>
    <m/>
    <s v="N/A"/>
    <m/>
  </r>
  <r>
    <d v="2025-02-17T00:00:00"/>
    <m/>
    <m/>
    <x v="2"/>
    <s v="X24124766675"/>
    <s v="PATRICK SANVICTORES GARCIA"/>
    <s v="BEGONIA, AYALA-ALABANG VILL, MUNTINLUPA"/>
    <s v="MUNTINLUPA CITY"/>
    <s v="PARAÑAQUE"/>
    <m/>
    <m/>
    <x v="5"/>
    <s v="SCHED"/>
    <s v="IGL"/>
    <n v="0"/>
    <n v="26.25"/>
    <n v="100"/>
    <x v="5"/>
    <n v="58152.36"/>
    <m/>
    <m/>
    <m/>
    <d v="2025-02-05T16:16:00"/>
    <d v="2025-02-12T10:26:00"/>
    <d v="2025-02-10T00:00:00"/>
    <m/>
    <x v="0"/>
    <m/>
    <n v="-45693.677777777775"/>
    <n v="-45700.43472222222"/>
    <n v="0"/>
    <d v="2025-02-23T18:03:06"/>
    <d v="2025-03-04T08:55:40"/>
    <d v="2025-03-27T16:16:00"/>
    <n v="-1626.1573562091501"/>
    <n v="0"/>
    <n v="20"/>
    <n v="34"/>
    <n v="21.074380165289259"/>
    <n v="26.694214876033058"/>
    <n v="18.074380165289259"/>
    <n v="40"/>
    <n v="32"/>
    <n v="27"/>
    <d v="1900-01-31T00:00:00"/>
    <d v="1900-01-26T00:00:00"/>
    <m/>
    <m/>
    <m/>
    <m/>
    <m/>
    <m/>
    <m/>
    <m/>
    <m/>
    <m/>
    <m/>
    <m/>
    <m/>
    <m/>
    <m/>
    <m/>
    <m/>
    <m/>
    <m/>
    <m/>
    <m/>
    <m/>
    <m/>
    <m/>
    <m/>
    <m/>
    <m/>
    <m/>
    <m/>
    <m/>
    <s v="N/A"/>
    <m/>
  </r>
  <r>
    <d v="2025-02-21T00:00:00"/>
    <d v="2025-02-18T00:00:00"/>
    <m/>
    <x v="2"/>
    <s v="X24083222197 "/>
    <s v="AUREA PEÑERO BANAO"/>
    <s v="BLOCK 101, SITIO IMELDA, TAGUIG CITY"/>
    <s v="TAGUIG CITY"/>
    <s v="PARAÑAQUE"/>
    <m/>
    <m/>
    <x v="1"/>
    <s v="SCHED"/>
    <s v="JMM"/>
    <n v="22.31"/>
    <n v="41.55"/>
    <n v="5"/>
    <x v="8"/>
    <n v="141015.84"/>
    <n v="20357.319999999996"/>
    <m/>
    <m/>
    <d v="2025-02-10T12:12:00"/>
    <d v="2025-02-18T14:33:00"/>
    <d v="2025-02-17T00:00:00"/>
    <m/>
    <x v="0"/>
    <m/>
    <n v="-45698.508333333331"/>
    <n v="-45706.606249999997"/>
    <n v="0"/>
    <d v="2025-03-01T06:46:50"/>
    <d v="2025-03-10T02:08:08"/>
    <d v="2025-04-01T12:12:00"/>
    <n v="-1574.0597314814813"/>
    <n v="0"/>
    <n v="20"/>
    <n v="36"/>
    <n v="21.774193548387096"/>
    <n v="27.58064516129032"/>
    <n v="18.774193548387096"/>
    <n v="40"/>
    <n v="32"/>
    <n v="27"/>
    <d v="1900-01-31T00:00:00"/>
    <d v="1900-01-26T00:00:00"/>
    <m/>
    <m/>
    <m/>
    <m/>
    <m/>
    <m/>
    <m/>
    <m/>
    <m/>
    <m/>
    <m/>
    <m/>
    <m/>
    <m/>
    <m/>
    <m/>
    <m/>
    <m/>
    <m/>
    <m/>
    <m/>
    <m/>
    <m/>
    <m/>
    <m/>
    <m/>
    <m/>
    <m/>
    <m/>
    <m/>
    <d v="2025-02-21T00:00:00"/>
    <s v="A8-8096"/>
  </r>
  <r>
    <d v="2025-02-18T00:00:00"/>
    <d v="2025-02-18T00:00:00"/>
    <s v="Y"/>
    <x v="4"/>
    <s v="X24124769477 "/>
    <s v="CMSTAR MANAGEMENT INC."/>
    <s v="DAANG-HARI RD., MOLINO IV, BACOOR"/>
    <s v="BACOOR CITY"/>
    <s v="DASMA"/>
    <m/>
    <m/>
    <x v="3"/>
    <s v="SCHED"/>
    <s v="JMM"/>
    <n v="18.542799999999996"/>
    <n v="33.17"/>
    <n v="45"/>
    <x v="8"/>
    <n v="364258.38"/>
    <n v="21017.78"/>
    <m/>
    <m/>
    <d v="2025-02-11T13:39:00"/>
    <d v="2025-02-18T14:45:00"/>
    <d v="2025-02-17T00:00:00"/>
    <m/>
    <x v="0"/>
    <m/>
    <n v="-45699.568749999999"/>
    <n v="-45706.614583333336"/>
    <n v="0"/>
    <d v="2025-03-02T08:13:50"/>
    <d v="2025-03-11T03:35:08"/>
    <d v="2025-04-02T13:39:00"/>
    <n v="-1574.0962569444443"/>
    <n v="0"/>
    <n v="20"/>
    <n v="36"/>
    <n v="21.774193548387096"/>
    <n v="27.58064516129032"/>
    <n v="18.774193548387096"/>
    <n v="40"/>
    <n v="32"/>
    <n v="27"/>
    <d v="1900-01-31T00:00:00"/>
    <d v="1900-01-26T00:00:00"/>
    <m/>
    <m/>
    <m/>
    <m/>
    <m/>
    <m/>
    <m/>
    <m/>
    <m/>
    <s v="conj.X25010079615"/>
    <m/>
    <m/>
    <m/>
    <m/>
    <m/>
    <m/>
    <m/>
    <m/>
    <m/>
    <m/>
    <m/>
    <m/>
    <m/>
    <m/>
    <m/>
    <m/>
    <m/>
    <m/>
    <m/>
    <m/>
    <d v="2025-02-18T00:00:00"/>
    <s v="TLN-526895"/>
  </r>
  <r>
    <d v="2025-02-18T00:00:00"/>
    <d v="2025-02-18T00:00:00"/>
    <m/>
    <x v="1"/>
    <s v="X24124786551 "/>
    <s v="OMNICO CONSORTIUM INC."/>
    <s v="CARLO, TAGUIG BAGUMBAYAN INDL ASS INC, TAGUIG CITY"/>
    <s v="TAGUIG CITY"/>
    <s v="PARAÑAQUE"/>
    <m/>
    <m/>
    <x v="0"/>
    <s v="SCHED"/>
    <s v="RRG"/>
    <n v="101.17830000000002"/>
    <n v="238.6"/>
    <n v="220"/>
    <x v="8"/>
    <n v="1023594.08"/>
    <n v="144686.01"/>
    <m/>
    <m/>
    <d v="2025-02-11T16:31:00"/>
    <d v="2025-02-18T14:41:00"/>
    <d v="2025-02-17T00:00:00"/>
    <m/>
    <x v="0"/>
    <m/>
    <n v="-45699.688194444447"/>
    <n v="-45706.611805555556"/>
    <n v="0"/>
    <d v="2025-03-02T17:11:17"/>
    <d v="2025-03-11T14:10:01"/>
    <d v="2025-04-02T16:31:00"/>
    <n v="-1555.9655742394179"/>
    <n v="0"/>
    <n v="28"/>
    <n v="30"/>
    <n v="22.027972027972027"/>
    <n v="27.9020979020979"/>
    <n v="19.027972027972027"/>
    <n v="46"/>
    <n v="36.800000000000004"/>
    <n v="31.800000000000004"/>
    <d v="1900-02-04T19:12:00"/>
    <d v="1900-01-30T19:12:00"/>
    <m/>
    <m/>
    <m/>
    <m/>
    <m/>
    <m/>
    <m/>
    <m/>
    <m/>
    <m/>
    <m/>
    <m/>
    <m/>
    <m/>
    <m/>
    <m/>
    <m/>
    <m/>
    <m/>
    <m/>
    <m/>
    <m/>
    <m/>
    <m/>
    <m/>
    <m/>
    <m/>
    <m/>
    <m/>
    <m/>
    <d v="2025-02-18T00:00:00"/>
    <s v="DY2-8123,TLN-526843"/>
  </r>
  <r>
    <d v="2025-02-18T00:00:00"/>
    <d v="2025-02-18T00:00:00"/>
    <m/>
    <x v="4"/>
    <s v="X25010314175 "/>
    <s v="BGST PRIME DEVELOPMENT CORP."/>
    <s v="COASTAL RD, SAN DIONISIO, PARANAQUE"/>
    <s v="PARANAQUE CITY"/>
    <s v="PARAÑAQUE"/>
    <m/>
    <m/>
    <x v="4"/>
    <s v="SCHED"/>
    <s v="RRG"/>
    <n v="9.42"/>
    <n v="26.3"/>
    <m/>
    <x v="2"/>
    <n v="25833.16"/>
    <n v="16625.89"/>
    <m/>
    <m/>
    <d v="2025-02-07T15:27:00"/>
    <d v="2025-02-13T12:54:00"/>
    <d v="2025-02-17T00:00:00"/>
    <m/>
    <x v="0"/>
    <m/>
    <n v="-45695.643750000003"/>
    <n v="-45701.537499999999"/>
    <n v="0"/>
    <d v="2025-02-26T10:01:50"/>
    <d v="2025-03-07T05:23:08"/>
    <d v="2025-03-29T15:27:00"/>
    <n v="-1573.9610625"/>
    <n v="0"/>
    <n v="20"/>
    <n v="36"/>
    <n v="21.774193548387096"/>
    <n v="27.58064516129032"/>
    <n v="18.774193548387096"/>
    <n v="40"/>
    <n v="32"/>
    <n v="27"/>
    <d v="1900-01-31T00:00:00"/>
    <d v="1900-01-26T00:00:00"/>
    <m/>
    <m/>
    <m/>
    <m/>
    <m/>
    <m/>
    <m/>
    <m/>
    <m/>
    <m/>
    <m/>
    <m/>
    <m/>
    <m/>
    <m/>
    <m/>
    <m/>
    <m/>
    <m/>
    <m/>
    <m/>
    <m/>
    <m/>
    <m/>
    <m/>
    <m/>
    <m/>
    <m/>
    <m/>
    <m/>
    <s v="N/A"/>
    <m/>
  </r>
  <r>
    <d v="2025-02-19T00:00:00"/>
    <d v="2025-02-18T00:00:00"/>
    <m/>
    <x v="1"/>
    <s v="X24103959118 "/>
    <s v="MILES AND LEVELS PHILIPPINES, INC."/>
    <s v="WEST SERVICE, PHILCREST CPD, MUNTINLUPA"/>
    <s v="MUNTINLUPA CITY"/>
    <s v="PARAÑAQUE"/>
    <m/>
    <m/>
    <x v="2"/>
    <s v="SCHED"/>
    <s v="IGL"/>
    <n v="55.5593"/>
    <n v="95.15"/>
    <n v="16"/>
    <x v="8"/>
    <n v="335303.64"/>
    <n v="52409.000000000007"/>
    <m/>
    <m/>
    <d v="2025-02-10T17:00:00"/>
    <d v="2025-02-18T14:35:00"/>
    <d v="2025-02-17T00:00:00"/>
    <m/>
    <x v="0"/>
    <m/>
    <n v="-45698.708333333336"/>
    <n v="-45706.607638888891"/>
    <n v="0"/>
    <d v="2025-03-02T19:03:07"/>
    <d v="2025-03-11T22:47:57"/>
    <d v="2025-04-01T17:00:00"/>
    <n v="-1484.6561040660224"/>
    <n v="0"/>
    <n v="23"/>
    <n v="36"/>
    <n v="23.085501858736059"/>
    <n v="29.241635687732341"/>
    <n v="20.085501858736059"/>
    <n v="42"/>
    <n v="33.6"/>
    <n v="28.6"/>
    <d v="1900-02-01T14:24:00"/>
    <d v="1900-01-27T14:24:00"/>
    <m/>
    <m/>
    <m/>
    <m/>
    <m/>
    <m/>
    <m/>
    <m/>
    <m/>
    <m/>
    <m/>
    <m/>
    <m/>
    <m/>
    <m/>
    <m/>
    <m/>
    <m/>
    <m/>
    <m/>
    <m/>
    <m/>
    <m/>
    <m/>
    <m/>
    <m/>
    <m/>
    <m/>
    <m/>
    <m/>
    <d v="2025-02-19T00:00:00"/>
    <s v="DV1-8081,TLN-526114"/>
  </r>
  <r>
    <d v="2025-02-19T00:00:00"/>
    <m/>
    <m/>
    <x v="2"/>
    <s v="X25010133520"/>
    <s v="MICHAEL GERARD TANTOCO MORADA"/>
    <s v="BUNGA, AYALA-ALABANG VILL, MUNTINLUPA"/>
    <s v="MUNTINLUPA CITY"/>
    <s v="PARAÑAQUE"/>
    <m/>
    <m/>
    <x v="5"/>
    <s v="FCOMP"/>
    <s v="IGL"/>
    <n v="0"/>
    <n v="27.57"/>
    <n v="110"/>
    <x v="8"/>
    <n v="242142.06"/>
    <m/>
    <m/>
    <m/>
    <d v="2025-02-10T14:41:00"/>
    <d v="2025-02-18T11:04:00"/>
    <d v="2025-02-17T00:00:00"/>
    <m/>
    <x v="18"/>
    <m/>
    <n v="17.388194444443798"/>
    <n v="9.538888888891961"/>
    <n v="-45716"/>
    <d v="2025-02-27T22:49:08"/>
    <d v="2025-03-08T08:59:18"/>
    <d v="2025-04-01T14:41:00"/>
    <n v="0.64118967013886508"/>
    <n v="-1142.9000000000001"/>
    <n v="20"/>
    <n v="32"/>
    <n v="20.33898305084746"/>
    <n v="25.762711864406779"/>
    <n v="17.33898305084746"/>
    <n v="40"/>
    <n v="32"/>
    <n v="27"/>
    <d v="2025-04-01T00:00:00"/>
    <d v="2025-03-27T00:00:00"/>
    <m/>
    <m/>
    <m/>
    <m/>
    <m/>
    <m/>
    <m/>
    <m/>
    <m/>
    <m/>
    <m/>
    <m/>
    <m/>
    <m/>
    <m/>
    <m/>
    <m/>
    <m/>
    <m/>
    <m/>
    <m/>
    <m/>
    <m/>
    <m/>
    <m/>
    <m/>
    <m/>
    <m/>
    <m/>
    <m/>
    <d v="2025-02-19T00:00:00"/>
    <s v="TLN-527063"/>
  </r>
  <r>
    <m/>
    <m/>
    <m/>
    <x v="2"/>
    <s v="X22125058629 "/>
    <s v="CITY GOVERNMENT OF MUNTINLUPA"/>
    <s v="FILINVEST SOCIALIZED HOUSING, FILINVEST SOCIALIZED HOUSING, MUNTINLUPA"/>
    <s v="MUNTINLUPA CITY"/>
    <s v="PARAÑAQUE"/>
    <m/>
    <m/>
    <x v="5"/>
    <s v="DCOMP"/>
    <s v="IGL"/>
    <n v="0"/>
    <n v="41.92"/>
    <n v="60"/>
    <x v="5"/>
    <n v="209537.97"/>
    <m/>
    <m/>
    <m/>
    <d v="2025-02-10T14:37:00"/>
    <m/>
    <d v="2025-02-17T00:00:00"/>
    <m/>
    <x v="0"/>
    <m/>
    <n v="-45698.609027777777"/>
    <n v="0"/>
    <n v="0"/>
    <d v="2025-02-28T16:24:06"/>
    <d v="2025-03-09T07:16:40"/>
    <d v="2025-04-01T14:37:00"/>
    <n v="-1626.3328506944445"/>
    <n v="0"/>
    <n v="20"/>
    <n v="34"/>
    <n v="21.074380165289259"/>
    <n v="26.694214876033058"/>
    <n v="18.074380165289259"/>
    <n v="40"/>
    <n v="32"/>
    <n v="27"/>
    <d v="1900-01-31T00:00:00"/>
    <d v="1900-01-26T00:00:00"/>
    <m/>
    <m/>
    <m/>
    <m/>
    <m/>
    <m/>
    <m/>
    <m/>
    <m/>
    <m/>
    <m/>
    <m/>
    <m/>
    <m/>
    <m/>
    <m/>
    <m/>
    <m/>
    <m/>
    <m/>
    <m/>
    <m/>
    <m/>
    <m/>
    <m/>
    <m/>
    <m/>
    <m/>
    <m/>
    <m/>
    <m/>
    <m/>
  </r>
  <r>
    <d v="2025-02-24T00:00:00"/>
    <d v="2025-02-18T00:00:00"/>
    <m/>
    <x v="2"/>
    <s v="X23083154356 "/>
    <s v="CITY GOVERNMENT OF PARAÑAQUE"/>
    <s v="MANGGA, MASVILLE, PARANAQUE"/>
    <s v="PARANAQUE CITY"/>
    <s v="PARAÑAQUE"/>
    <m/>
    <m/>
    <x v="3"/>
    <s v="SCHED"/>
    <s v="JMM"/>
    <n v="308.19279999999992"/>
    <n v="711.1"/>
    <n v="167"/>
    <x v="8"/>
    <n v="2792430.39"/>
    <n v="484145.48999999976"/>
    <m/>
    <n v="0"/>
    <d v="2025-02-13T13:55:00"/>
    <d v="2025-02-21T15:07:00"/>
    <d v="2025-02-17T00:00:00"/>
    <m/>
    <x v="0"/>
    <m/>
    <n v="-45701.579861111109"/>
    <n v="-45709.629861111112"/>
    <n v="0"/>
    <d v="2025-03-08T02:40:57"/>
    <d v="2025-03-17T22:05:13"/>
    <d v="2025-04-04T13:55:00"/>
    <n v="-1342.4839084201387"/>
    <n v="0"/>
    <n v="40"/>
    <n v="32"/>
    <n v="25.531914893617024"/>
    <n v="32.340425531914896"/>
    <n v="22.531914893617024"/>
    <n v="55"/>
    <n v="44"/>
    <n v="39"/>
    <d v="1900-02-12T00:00:00"/>
    <d v="1900-02-07T00:00:00"/>
    <m/>
    <m/>
    <m/>
    <m/>
    <m/>
    <m/>
    <m/>
    <m/>
    <m/>
    <m/>
    <m/>
    <m/>
    <m/>
    <m/>
    <m/>
    <m/>
    <m/>
    <m/>
    <m/>
    <m/>
    <m/>
    <m/>
    <m/>
    <m/>
    <m/>
    <m/>
    <m/>
    <m/>
    <m/>
    <m/>
    <m/>
    <m/>
  </r>
  <r>
    <m/>
    <d v="2025-02-18T00:00:00"/>
    <m/>
    <x v="2"/>
    <s v="R23771915 "/>
    <s v="SALITA, HERMIE"/>
    <s v="ST. MARK, PARKDALE II SUBD, BACOOR"/>
    <s v="BACOOR CITY"/>
    <s v="DASMA"/>
    <m/>
    <m/>
    <x v="3"/>
    <s v="SCHED"/>
    <s v="JMM"/>
    <n v="52.976099999999995"/>
    <n v="101.88"/>
    <n v="0"/>
    <x v="10"/>
    <n v="226387.26"/>
    <n v="58107.389999999992"/>
    <m/>
    <n v="0"/>
    <d v="2025-02-13T14:03:00"/>
    <d v="2025-02-21T15:08:00"/>
    <d v="2025-02-17T00:00:00"/>
    <m/>
    <x v="0"/>
    <m/>
    <n v="-45701.585416666669"/>
    <n v="-45709.630555555559"/>
    <n v="0"/>
    <d v="2025-03-06T19:00:56"/>
    <d v="2025-03-16T05:56:23"/>
    <d v="2025-04-04T14:03:00"/>
    <n v="-1415.9679242343304"/>
    <n v="0"/>
    <n v="26"/>
    <n v="36"/>
    <n v="24.206896551724139"/>
    <n v="30.662068965517239"/>
    <n v="21.206896551724139"/>
    <n v="44"/>
    <n v="35.200000000000003"/>
    <n v="30.200000000000003"/>
    <d v="1900-02-03T04:48:00"/>
    <d v="1900-01-29T04:48:00"/>
    <m/>
    <m/>
    <m/>
    <m/>
    <m/>
    <m/>
    <m/>
    <m/>
    <m/>
    <m/>
    <m/>
    <m/>
    <m/>
    <m/>
    <m/>
    <m/>
    <m/>
    <m/>
    <m/>
    <m/>
    <m/>
    <m/>
    <m/>
    <m/>
    <m/>
    <m/>
    <m/>
    <m/>
    <m/>
    <m/>
    <m/>
    <m/>
  </r>
  <r>
    <d v="2025-02-21T00:00:00"/>
    <d v="2025-02-18T00:00:00"/>
    <m/>
    <x v="2"/>
    <s v="R23915467 "/>
    <s v="CUEVAS JONATHAN SANTOS"/>
    <s v="M.L. QUEZON, PUROK 1, TAGUIG CITY"/>
    <s v="TAGUIG CITY"/>
    <s v="PARAÑAQUE"/>
    <m/>
    <m/>
    <x v="1"/>
    <s v="SCHED"/>
    <s v="JMM"/>
    <n v="9.2899999999999991"/>
    <n v="12.72"/>
    <n v="0"/>
    <x v="10"/>
    <n v="27294.78"/>
    <n v="7481"/>
    <m/>
    <n v="0"/>
    <d v="2025-02-14T10:13:00"/>
    <d v="2025-02-21T15:14:00"/>
    <d v="2025-02-17T00:00:00"/>
    <m/>
    <x v="0"/>
    <m/>
    <n v="-45702.425694444442"/>
    <n v="-45709.634722222225"/>
    <n v="0"/>
    <d v="2025-03-05T04:47:50"/>
    <d v="2025-03-14T00:09:08"/>
    <d v="2025-04-05T10:13:00"/>
    <n v="-1574.1946628086421"/>
    <n v="0"/>
    <n v="20"/>
    <n v="36"/>
    <n v="21.774193548387096"/>
    <n v="27.58064516129032"/>
    <n v="18.774193548387096"/>
    <n v="40"/>
    <n v="32"/>
    <n v="27"/>
    <d v="1900-01-31T00:00:00"/>
    <d v="1900-01-26T00:00:00"/>
    <m/>
    <m/>
    <m/>
    <m/>
    <m/>
    <m/>
    <m/>
    <m/>
    <m/>
    <m/>
    <d v="1900-01-14T00:00:00"/>
    <m/>
    <m/>
    <m/>
    <m/>
    <m/>
    <m/>
    <m/>
    <m/>
    <m/>
    <m/>
    <m/>
    <m/>
    <m/>
    <m/>
    <m/>
    <m/>
    <m/>
    <m/>
    <m/>
    <s v="N/A"/>
    <m/>
  </r>
  <r>
    <d v="2025-02-21T00:00:00"/>
    <d v="2025-02-18T00:00:00"/>
    <m/>
    <x v="2"/>
    <s v="X24020448821 "/>
    <s v="ROSE NONO LIN"/>
    <s v="COUNTRY CLUB, AYALA-ALABANG VILL, MUNTINLUPA"/>
    <s v="MUNTINLUPA CITY"/>
    <s v="PARAÑAQUE"/>
    <m/>
    <m/>
    <x v="2"/>
    <s v="SCHED"/>
    <s v="IGL"/>
    <n v="103.32950000000001"/>
    <n v="110.03"/>
    <n v="240"/>
    <x v="8"/>
    <n v="606460.99"/>
    <n v="68634.489999999991"/>
    <m/>
    <n v="0"/>
    <d v="2025-02-14T10:11:00"/>
    <d v="2025-02-20T13:38:00"/>
    <d v="2025-02-17T00:00:00"/>
    <m/>
    <x v="0"/>
    <m/>
    <n v="-45702.424305555556"/>
    <n v="-45708.568055555559"/>
    <n v="0"/>
    <d v="2025-03-04T22:21:35"/>
    <d v="2025-03-13T16:00:25"/>
    <d v="2025-04-05T10:11:00"/>
    <n v="-1593.7255655270656"/>
    <n v="0"/>
    <n v="26"/>
    <n v="30"/>
    <n v="21.507352941176471"/>
    <n v="27.242647058823529"/>
    <n v="18.507352941176471"/>
    <n v="44"/>
    <n v="35.200000000000003"/>
    <n v="30.200000000000003"/>
    <d v="1900-02-03T04:48:00"/>
    <d v="1900-01-29T04:48:00"/>
    <m/>
    <m/>
    <m/>
    <m/>
    <m/>
    <m/>
    <m/>
    <m/>
    <m/>
    <m/>
    <m/>
    <m/>
    <m/>
    <m/>
    <m/>
    <m/>
    <m/>
    <m/>
    <m/>
    <m/>
    <m/>
    <m/>
    <m/>
    <m/>
    <m/>
    <m/>
    <m/>
    <m/>
    <m/>
    <m/>
    <d v="2025-02-21T00:00:00"/>
    <s v="CS9-8071,TLN-520526"/>
  </r>
  <r>
    <d v="2025-02-21T00:00:00"/>
    <d v="2025-02-18T00:00:00"/>
    <m/>
    <x v="2"/>
    <s v="X24104024806 "/>
    <s v="JUNEL PENALBA"/>
    <s v="JUDGE BIENVENIDO TAN SR., BF RESORT VILL, LAS PINAS CITY"/>
    <s v="LAS PINAS CITY"/>
    <s v="PARAÑAQUE"/>
    <m/>
    <m/>
    <x v="2"/>
    <s v="SCHED"/>
    <s v="IGL"/>
    <n v="43.706099999999999"/>
    <n v="104.8"/>
    <n v="72.75"/>
    <x v="8"/>
    <n v="431455.57"/>
    <n v="51274.68"/>
    <m/>
    <n v="0"/>
    <d v="2025-02-12T14:29:00"/>
    <d v="2025-02-18T14:54:00"/>
    <d v="2025-02-17T00:00:00"/>
    <m/>
    <x v="0"/>
    <m/>
    <n v="-45700.603472222225"/>
    <n v="-45706.620833333334"/>
    <n v="0"/>
    <d v="2025-03-04T22:45:54"/>
    <d v="2025-03-14T04:10:25"/>
    <d v="2025-04-03T14:29:00"/>
    <n v="-1468.2094328179992"/>
    <n v="0"/>
    <n v="26"/>
    <n v="34"/>
    <n v="23.345070422535212"/>
    <n v="29.570422535211268"/>
    <n v="20.345070422535212"/>
    <n v="44"/>
    <n v="35.200000000000003"/>
    <n v="30.200000000000003"/>
    <d v="1900-02-03T04:48:00"/>
    <d v="1900-01-29T04:48:00"/>
    <m/>
    <m/>
    <m/>
    <m/>
    <m/>
    <m/>
    <m/>
    <m/>
    <m/>
    <m/>
    <m/>
    <m/>
    <m/>
    <m/>
    <m/>
    <m/>
    <m/>
    <m/>
    <m/>
    <m/>
    <m/>
    <m/>
    <m/>
    <m/>
    <m/>
    <m/>
    <m/>
    <m/>
    <m/>
    <m/>
    <d v="2025-02-21T00:00:00"/>
    <s v="CV7-8150,TLN-526196"/>
  </r>
  <r>
    <d v="2025-02-18T00:00:00"/>
    <d v="2025-02-18T00:00:00"/>
    <m/>
    <x v="2"/>
    <s v="R23697156 "/>
    <s v="MORALES, LESLIE DIANNE VITAL"/>
    <s v="DAFFODIL, GSIS TOWNHOMES, BACOOR"/>
    <s v="BACOOR CITY"/>
    <s v="DASMA"/>
    <m/>
    <m/>
    <x v="4"/>
    <s v="SCHED"/>
    <s v="RRG"/>
    <n v="48.206599999999995"/>
    <n v="91.05"/>
    <n v="0"/>
    <x v="10"/>
    <n v="202633.21"/>
    <n v="48879.259999999987"/>
    <m/>
    <n v="0"/>
    <d v="2025-02-12T16:33:00"/>
    <d v="2025-02-18T14:48:00"/>
    <d v="2025-02-17T00:00:00"/>
    <m/>
    <x v="0"/>
    <m/>
    <n v="-45700.689583333333"/>
    <n v="-45706.616666666669"/>
    <n v="0"/>
    <d v="2025-03-04T18:36:07"/>
    <d v="2025-03-13T22:20:57"/>
    <d v="2025-04-03T16:33:00"/>
    <n v="-1484.7204707628823"/>
    <n v="0"/>
    <n v="23"/>
    <n v="36"/>
    <n v="23.085501858736059"/>
    <n v="29.241635687732341"/>
    <n v="20.085501858736059"/>
    <n v="42"/>
    <n v="33.6"/>
    <n v="28.6"/>
    <d v="1900-02-01T14:24:00"/>
    <d v="1900-01-27T14:24:00"/>
    <m/>
    <m/>
    <m/>
    <m/>
    <m/>
    <m/>
    <m/>
    <m/>
    <m/>
    <m/>
    <m/>
    <m/>
    <m/>
    <m/>
    <m/>
    <m/>
    <m/>
    <m/>
    <m/>
    <m/>
    <m/>
    <m/>
    <m/>
    <m/>
    <m/>
    <m/>
    <m/>
    <m/>
    <m/>
    <m/>
    <d v="2025-02-18T00:00:00"/>
    <s v="CT7-8120"/>
  </r>
  <r>
    <d v="2025-02-18T00:00:00"/>
    <d v="2025-02-18T00:00:00"/>
    <m/>
    <x v="2"/>
    <s v="R23915658 "/>
    <s v="CERNAL ARNOLD BONUS"/>
    <s v="SINIGUELAS, CAMELLA SPV WEST PH 1, BACOOR"/>
    <s v="BACOOR CITY"/>
    <s v="DASMA"/>
    <m/>
    <m/>
    <x v="4"/>
    <s v="SCHED"/>
    <s v="RRG"/>
    <n v="13.483599999999999"/>
    <n v="22.87"/>
    <n v="0"/>
    <x v="10"/>
    <n v="41482.86"/>
    <n v="14273.349999999999"/>
    <m/>
    <n v="0"/>
    <d v="2025-02-12T15:57:00"/>
    <d v="2025-02-18T14:52:00"/>
    <d v="2025-02-17T00:00:00"/>
    <m/>
    <x v="0"/>
    <m/>
    <n v="-45700.664583333331"/>
    <n v="-45706.619444444441"/>
    <n v="0"/>
    <d v="2025-03-03T10:31:50"/>
    <d v="2025-03-12T05:53:08"/>
    <d v="2025-04-03T15:57:00"/>
    <n v="-1574.1340023148146"/>
    <n v="0"/>
    <n v="20"/>
    <n v="36"/>
    <n v="21.774193548387096"/>
    <n v="27.58064516129032"/>
    <n v="18.774193548387096"/>
    <n v="40"/>
    <n v="32"/>
    <n v="27"/>
    <d v="1900-01-31T00:00:00"/>
    <d v="1900-01-26T00:00:00"/>
    <m/>
    <m/>
    <m/>
    <m/>
    <m/>
    <m/>
    <m/>
    <m/>
    <m/>
    <m/>
    <m/>
    <m/>
    <m/>
    <m/>
    <m/>
    <m/>
    <m/>
    <m/>
    <m/>
    <m/>
    <m/>
    <m/>
    <m/>
    <m/>
    <m/>
    <m/>
    <m/>
    <m/>
    <m/>
    <m/>
    <s v="N/A"/>
    <m/>
  </r>
  <r>
    <d v="2025-02-21T00:00:00"/>
    <d v="2025-02-18T00:00:00"/>
    <m/>
    <x v="2"/>
    <s v="X24124774979 "/>
    <s v="CITY GOV'T OF LAS PIÑAS"/>
    <s v="NAGA, PULANGLUPA I, LAS PINAS CITY"/>
    <s v="LAS PINAS CITY"/>
    <s v="PARAÑAQUE"/>
    <m/>
    <m/>
    <x v="0"/>
    <s v="SCHED"/>
    <s v="RRG"/>
    <n v="34.679500000000004"/>
    <n v="74.099999999999994"/>
    <n v="16.399999999999999"/>
    <x v="8"/>
    <n v="295706.76"/>
    <n v="33199.840000000004"/>
    <m/>
    <n v="0"/>
    <d v="2025-02-12T17:01:00"/>
    <d v="2025-02-18T14:56:00"/>
    <d v="2025-02-17T00:00:00"/>
    <m/>
    <x v="0"/>
    <m/>
    <n v="-45700.709027777775"/>
    <n v="-45706.62222222222"/>
    <n v="0"/>
    <d v="2025-03-04T19:04:07"/>
    <d v="2025-03-13T22:48:57"/>
    <d v="2025-04-03T17:01:00"/>
    <n v="-1484.7211024724907"/>
    <n v="0"/>
    <n v="23"/>
    <n v="36"/>
    <n v="23.085501858736059"/>
    <n v="29.241635687732341"/>
    <n v="20.085501858736059"/>
    <n v="42"/>
    <n v="33.6"/>
    <n v="28.6"/>
    <d v="1900-02-01T14:24:00"/>
    <d v="1900-01-27T14:24:00"/>
    <m/>
    <m/>
    <m/>
    <m/>
    <m/>
    <m/>
    <m/>
    <m/>
    <m/>
    <m/>
    <m/>
    <m/>
    <m/>
    <m/>
    <m/>
    <m/>
    <m/>
    <m/>
    <m/>
    <m/>
    <m/>
    <m/>
    <m/>
    <m/>
    <m/>
    <m/>
    <m/>
    <m/>
    <m/>
    <m/>
    <d v="2025-02-21T00:00:00"/>
    <s v="CY7-8111,TLN-526838"/>
  </r>
  <r>
    <d v="2025-02-26T00:00:00"/>
    <d v="2025-02-18T00:00:00"/>
    <m/>
    <x v="2"/>
    <s v="X25010310283 "/>
    <s v="MERFE A GAMAS"/>
    <s v="CHALLENGER, MOONWALK VILL, LAS PINAS CITY"/>
    <s v="LAS PINAS CITY"/>
    <s v="PARAÑAQUE"/>
    <m/>
    <m/>
    <x v="0"/>
    <s v="SCHED"/>
    <s v="RRG"/>
    <n v="3.5300000000000002"/>
    <n v="11.17"/>
    <n v="7.5"/>
    <x v="8"/>
    <n v="30919.77"/>
    <n v="6562.97"/>
    <m/>
    <n v="0"/>
    <d v="2025-02-14T10:16:00"/>
    <d v="2025-02-21T15:13:00"/>
    <d v="2025-02-17T00:00:00"/>
    <m/>
    <x v="0"/>
    <m/>
    <n v="-45702.427777777775"/>
    <n v="-45709.634027777778"/>
    <n v="0"/>
    <d v="2025-03-05T04:50:50"/>
    <d v="2025-03-14T00:12:08"/>
    <d v="2025-04-05T10:16:00"/>
    <n v="-1574.1947345679009"/>
    <n v="0"/>
    <n v="20"/>
    <n v="36"/>
    <n v="21.774193548387096"/>
    <n v="27.58064516129032"/>
    <n v="18.774193548387096"/>
    <n v="40"/>
    <n v="32"/>
    <n v="27"/>
    <d v="1900-01-31T00:00:00"/>
    <d v="1900-01-26T00:00:00"/>
    <m/>
    <m/>
    <m/>
    <m/>
    <m/>
    <m/>
    <m/>
    <m/>
    <m/>
    <m/>
    <m/>
    <m/>
    <m/>
    <m/>
    <m/>
    <m/>
    <m/>
    <m/>
    <m/>
    <m/>
    <m/>
    <m/>
    <m/>
    <m/>
    <m/>
    <m/>
    <m/>
    <m/>
    <m/>
    <m/>
    <s v="N/A"/>
    <m/>
  </r>
  <r>
    <d v="2025-02-19T00:00:00"/>
    <d v="2025-02-18T00:00:00"/>
    <s v="Y"/>
    <x v="4"/>
    <s v="R21631426"/>
    <s v="CAVITEX INFRASTRUCTURE CORP"/>
    <s v="NINOY AQUINO, LA HUERTA, PARANAQUE"/>
    <s v="PARANAQUE CITY"/>
    <s v="PARAÑAQUE"/>
    <m/>
    <m/>
    <x v="3"/>
    <s v="SCHED"/>
    <s v="RRG"/>
    <n v="341.82079999999996"/>
    <n v="630.22"/>
    <n v="0"/>
    <x v="10"/>
    <n v="1183621.73"/>
    <n v="389602.35999999987"/>
    <m/>
    <n v="0"/>
    <d v="2025-02-17T08:33:00"/>
    <d v="2025-02-17T09:47:00"/>
    <d v="2025-02-17T00:00:00"/>
    <m/>
    <x v="0"/>
    <m/>
    <n v="-45705.356249999997"/>
    <n v="-45705.407638888886"/>
    <n v="0"/>
    <d v="2025-03-14T04:35:28"/>
    <d v="2025-03-24T14:44:08"/>
    <d v="2025-04-08T08:33:00"/>
    <n v="-1231.5054322916665"/>
    <n v="0"/>
    <n v="40"/>
    <n v="36"/>
    <n v="27.835051546391753"/>
    <n v="35.257731958762882"/>
    <n v="24.835051546391753"/>
    <n v="55"/>
    <n v="44"/>
    <n v="39"/>
    <d v="1900-02-12T00:00:00"/>
    <d v="1900-02-07T00:00:00"/>
    <m/>
    <m/>
    <m/>
    <m/>
    <m/>
    <m/>
    <m/>
    <m/>
    <m/>
    <m/>
    <m/>
    <m/>
    <m/>
    <m/>
    <m/>
    <m/>
    <m/>
    <m/>
    <m/>
    <m/>
    <m/>
    <m/>
    <m/>
    <m/>
    <m/>
    <m/>
    <m/>
    <m/>
    <m/>
    <m/>
    <d v="2025-02-19T00:00:00"/>
    <s v="CZ8-8105,CZ8-8106,CZ8-8107"/>
  </r>
  <r>
    <d v="2025-02-24T00:00:00"/>
    <d v="2025-02-27T00:00:00"/>
    <m/>
    <x v="2"/>
    <s v="X24010064473"/>
    <s v="ALEXANDER SANTOS ISIP"/>
    <s v="LANCASTER, HILLSBOROUGH SUBD, MUNTINLUPA"/>
    <s v="MUNTINLUPA CITY"/>
    <s v="PARAÑAQUE"/>
    <m/>
    <m/>
    <x v="2"/>
    <s v="SCHED"/>
    <s v="IGL"/>
    <n v="38.058499999999995"/>
    <n v="73.67"/>
    <n v="110"/>
    <x v="5"/>
    <n v="391390.73"/>
    <n v="41443.200000000004"/>
    <m/>
    <m/>
    <d v="2025-02-18T16:27:00"/>
    <d v="2025-02-24T07:05:00"/>
    <d v="2025-02-21T00:00:00"/>
    <m/>
    <x v="0"/>
    <m/>
    <n v="-45706.685416666667"/>
    <n v="-45712.295138888891"/>
    <n v="0"/>
    <d v="2025-03-09T03:56:11"/>
    <d v="2025-03-17T21:23:58"/>
    <d v="2025-04-09T16:27:00"/>
    <n v="-1596.007901098279"/>
    <n v="0"/>
    <n v="23"/>
    <n v="32"/>
    <n v="21.478599221789885"/>
    <n v="27.206225680933851"/>
    <n v="18.478599221789885"/>
    <n v="42"/>
    <n v="33.6"/>
    <n v="28.6"/>
    <d v="1900-02-01T14:24:00"/>
    <d v="1900-01-27T14:24:00"/>
    <m/>
    <m/>
    <m/>
    <m/>
    <m/>
    <m/>
    <m/>
    <m/>
    <m/>
    <m/>
    <m/>
    <m/>
    <m/>
    <m/>
    <m/>
    <m/>
    <m/>
    <m/>
    <m/>
    <m/>
    <m/>
    <m/>
    <m/>
    <m/>
    <m/>
    <m/>
    <m/>
    <m/>
    <m/>
    <m/>
    <d v="2025-02-24T00:00:00"/>
    <s v="DWI-8024,TLN-520040"/>
  </r>
  <r>
    <m/>
    <d v="2025-02-27T00:00:00"/>
    <m/>
    <x v="4"/>
    <s v="R23924589"/>
    <s v="CAVITEX INFRASTRUCTURE CORP., CBG"/>
    <s v="ALLEY 1, MULTINATIONAL VILL, PARANAQUE"/>
    <s v="PARANAQUE CITY"/>
    <s v="PARAÑAQUE"/>
    <m/>
    <m/>
    <x v="2"/>
    <s v="SCHED"/>
    <s v="IGL"/>
    <n v="307.8816999999998"/>
    <n v="705.87"/>
    <n v="0"/>
    <x v="10"/>
    <n v="1430545.13"/>
    <n v="359825.96999999991"/>
    <m/>
    <m/>
    <d v="2025-02-19T08:34:00"/>
    <d v="2025-02-25T12:38:00"/>
    <d v="2025-02-21T00:00:00"/>
    <m/>
    <x v="0"/>
    <m/>
    <n v="-45707.356944444444"/>
    <n v="-45713.526388888888"/>
    <n v="0"/>
    <d v="2025-03-16T04:36:28"/>
    <d v="2025-03-26T14:45:08"/>
    <d v="2025-04-10T08:34:00"/>
    <n v="-1231.5593398919752"/>
    <n v="0"/>
    <n v="40"/>
    <n v="36"/>
    <n v="27.835051546391753"/>
    <n v="35.257731958762882"/>
    <n v="24.835051546391753"/>
    <n v="55"/>
    <n v="44"/>
    <n v="39"/>
    <d v="1900-02-12T00:00:00"/>
    <d v="1900-02-07T00:00:00"/>
    <m/>
    <m/>
    <m/>
    <m/>
    <m/>
    <m/>
    <m/>
    <m/>
    <m/>
    <m/>
    <m/>
    <m/>
    <m/>
    <m/>
    <m/>
    <m/>
    <m/>
    <m/>
    <m/>
    <m/>
    <m/>
    <m/>
    <m/>
    <m/>
    <m/>
    <m/>
    <m/>
    <m/>
    <m/>
    <m/>
    <m/>
    <m/>
  </r>
  <r>
    <m/>
    <d v="2025-02-27T00:00:00"/>
    <m/>
    <x v="2"/>
    <s v="X25020524328"/>
    <s v="CITY GOVT OF LAS PIÑAS,"/>
    <s v="BF RESORT, TALON II, LAS PINAS CITY"/>
    <s v="LAS PINAS CITY"/>
    <s v="PARAÑAQUE"/>
    <m/>
    <m/>
    <x v="2"/>
    <s v="SCHED"/>
    <s v="IGL"/>
    <n v="11.732799999999999"/>
    <n v="20.02"/>
    <n v="29"/>
    <x v="5"/>
    <n v="188123.61"/>
    <n v="12279.670000000002"/>
    <m/>
    <m/>
    <d v="2025-02-20T15:36:00"/>
    <d v="2025-02-27T12:14:00"/>
    <d v="2025-02-21T00:00:00"/>
    <m/>
    <x v="0"/>
    <m/>
    <n v="-45708.65"/>
    <n v="-45715.509722222225"/>
    <n v="0"/>
    <d v="2025-03-11T10:10:50"/>
    <d v="2025-03-20T05:32:08"/>
    <d v="2025-04-11T15:36:00"/>
    <n v="-1574.4090555555554"/>
    <n v="0"/>
    <n v="20"/>
    <n v="36"/>
    <n v="21.774193548387096"/>
    <n v="27.58064516129032"/>
    <n v="18.774193548387096"/>
    <n v="40"/>
    <n v="32"/>
    <n v="27"/>
    <d v="1900-01-31T00:00:00"/>
    <d v="1900-01-26T00:00:00"/>
    <m/>
    <m/>
    <m/>
    <m/>
    <m/>
    <m/>
    <m/>
    <m/>
    <m/>
    <m/>
    <m/>
    <m/>
    <m/>
    <m/>
    <m/>
    <m/>
    <m/>
    <m/>
    <m/>
    <m/>
    <m/>
    <m/>
    <m/>
    <m/>
    <m/>
    <m/>
    <m/>
    <m/>
    <m/>
    <m/>
    <m/>
    <m/>
  </r>
  <r>
    <d v="2025-02-27T00:00:00"/>
    <d v="2025-02-27T00:00:00"/>
    <m/>
    <x v="2"/>
    <s v="X25010223485"/>
    <s v="CITY GOVERNMENT OF TAGUIG"/>
    <s v="MIRANDA, ZONE 2, TAGUIG CITY"/>
    <s v="TAGUIG CITY"/>
    <s v="PARAÑAQUE"/>
    <m/>
    <m/>
    <x v="2"/>
    <s v="SCHED"/>
    <s v="IGL"/>
    <n v="72.669299999999993"/>
    <n v="137.5"/>
    <n v="66"/>
    <x v="8"/>
    <n v="546721.35"/>
    <n v="78010.61"/>
    <m/>
    <m/>
    <d v="2025-02-21T12:15:00"/>
    <d v="2025-02-27T12:07:00"/>
    <d v="2025-02-21T00:00:00"/>
    <m/>
    <x v="0"/>
    <m/>
    <n v="-45709.510416666664"/>
    <n v="-45715.504861111112"/>
    <n v="0"/>
    <d v="2025-03-13T20:31:54"/>
    <d v="2025-03-23T01:56:25"/>
    <d v="2025-04-12T12:15:00"/>
    <n v="-1468.4955835218702"/>
    <n v="0"/>
    <n v="26"/>
    <n v="34"/>
    <n v="23.345070422535212"/>
    <n v="29.570422535211268"/>
    <n v="20.345070422535212"/>
    <n v="44"/>
    <n v="35.200000000000003"/>
    <n v="30.200000000000003"/>
    <d v="1900-02-03T04:48:00"/>
    <d v="1900-01-29T04:48:00"/>
    <m/>
    <m/>
    <m/>
    <m/>
    <m/>
    <m/>
    <m/>
    <m/>
    <m/>
    <m/>
    <m/>
    <m/>
    <m/>
    <m/>
    <m/>
    <m/>
    <m/>
    <m/>
    <m/>
    <m/>
    <m/>
    <m/>
    <m/>
    <m/>
    <m/>
    <m/>
    <m/>
    <m/>
    <m/>
    <m/>
    <d v="2025-02-27T00:00:00"/>
    <s v="B8-8184,B8-8185,TLN-527195"/>
  </r>
  <r>
    <d v="2025-02-24T00:00:00"/>
    <s v="OK"/>
    <m/>
    <x v="4"/>
    <s v="X24041266844"/>
    <s v="AYALA LAND, INC.,"/>
    <s v="LANGKA, FTI CPD, TAGUIG CITY"/>
    <s v="TAGUIG CITY"/>
    <s v="PARAÑAQUE"/>
    <m/>
    <m/>
    <x v="1"/>
    <s v="SCHED"/>
    <s v="JMM"/>
    <n v="58.636800000000001"/>
    <n v="107.85"/>
    <n v="17"/>
    <x v="8"/>
    <n v="347379.65"/>
    <n v="58230.82"/>
    <m/>
    <m/>
    <d v="2025-02-18T15:38:00"/>
    <d v="2025-02-24T07:06:00"/>
    <d v="2025-02-21T00:00:00"/>
    <m/>
    <x v="0"/>
    <m/>
    <n v="-45706.651388888888"/>
    <n v="-45712.29583333333"/>
    <n v="0"/>
    <d v="2025-03-11T20:35:56"/>
    <d v="2025-03-21T07:31:23"/>
    <d v="2025-04-09T15:38:00"/>
    <n v="-1416.1248827754034"/>
    <n v="0"/>
    <n v="26"/>
    <n v="36"/>
    <n v="24.206896551724139"/>
    <n v="30.662068965517239"/>
    <n v="21.206896551724139"/>
    <n v="44"/>
    <n v="35.200000000000003"/>
    <n v="30.200000000000003"/>
    <d v="1900-02-03T04:48:00"/>
    <d v="1900-01-29T04:48:00"/>
    <m/>
    <m/>
    <m/>
    <m/>
    <m/>
    <m/>
    <m/>
    <m/>
    <m/>
    <m/>
    <m/>
    <m/>
    <m/>
    <m/>
    <m/>
    <m/>
    <m/>
    <m/>
    <m/>
    <m/>
    <m/>
    <m/>
    <m/>
    <m/>
    <m/>
    <m/>
    <m/>
    <m/>
    <m/>
    <m/>
    <d v="2025-02-24T00:00:00"/>
    <s v="B8-1850,TLN-185837"/>
  </r>
  <r>
    <d v="2025-02-26T00:00:00"/>
    <d v="2025-02-27T00:00:00"/>
    <m/>
    <x v="1"/>
    <s v="X25010070942"/>
    <s v="ERNELIA O. SANCHEZ"/>
    <s v="BLOCK 26, PINAGSAMA PH 2 VILL, TAGUIG CITY"/>
    <s v="TAGUIG CITY"/>
    <s v="PARAÑAQUE"/>
    <m/>
    <m/>
    <x v="1"/>
    <s v="SCHED"/>
    <s v="JMM"/>
    <n v="2.58"/>
    <n v="9.48"/>
    <n v="16"/>
    <x v="8"/>
    <n v="25829.16"/>
    <n v="5954.420000000001"/>
    <m/>
    <m/>
    <d v="2025-02-19T15:46:00"/>
    <d v="2025-02-25T12:40:00"/>
    <d v="2025-02-21T00:00:00"/>
    <m/>
    <x v="0"/>
    <m/>
    <n v="-45707.656944444447"/>
    <n v="-45713.527777777781"/>
    <n v="0"/>
    <d v="2025-03-10T10:20:50"/>
    <d v="2025-03-19T05:42:08"/>
    <d v="2025-04-10T15:46:00"/>
    <n v="-1574.374850308642"/>
    <n v="0"/>
    <n v="20"/>
    <n v="36"/>
    <n v="21.774193548387096"/>
    <n v="27.58064516129032"/>
    <n v="18.774193548387096"/>
    <n v="40"/>
    <n v="32"/>
    <n v="27"/>
    <d v="1900-01-31T00:00:00"/>
    <d v="1900-01-26T00:00:00"/>
    <m/>
    <m/>
    <m/>
    <m/>
    <m/>
    <m/>
    <m/>
    <m/>
    <m/>
    <m/>
    <m/>
    <m/>
    <m/>
    <m/>
    <m/>
    <m/>
    <m/>
    <m/>
    <m/>
    <m/>
    <m/>
    <m/>
    <m/>
    <m/>
    <m/>
    <m/>
    <m/>
    <m/>
    <m/>
    <m/>
    <s v="N/A"/>
    <m/>
  </r>
  <r>
    <d v="2025-02-27T00:00:00"/>
    <d v="2025-02-27T00:00:00"/>
    <m/>
    <x v="2"/>
    <s v="X24093781077"/>
    <s v="ARNULFO CAL TABLIZO"/>
    <s v="1ST, BAGUMBAYAN, TAGUIG CITY"/>
    <s v="TAGUIG CITY"/>
    <s v="PARAÑAQUE"/>
    <m/>
    <m/>
    <x v="1"/>
    <s v="SCHED"/>
    <s v="JMM"/>
    <n v="50.678500000000007"/>
    <n v="90"/>
    <n v="9"/>
    <x v="8"/>
    <n v="407209.07"/>
    <n v="50064.5"/>
    <m/>
    <m/>
    <d v="2025-02-18T16:07:00"/>
    <d v="2025-02-24T10:38:00"/>
    <d v="2025-02-21T00:00:00"/>
    <m/>
    <x v="0"/>
    <m/>
    <n v="-45706.671527777777"/>
    <n v="-45712.443055555559"/>
    <n v="0"/>
    <d v="2025-03-10T18:10:07"/>
    <d v="2025-03-19T21:54:57"/>
    <d v="2025-04-09T16:07:00"/>
    <n v="-1484.9148117116208"/>
    <n v="0"/>
    <n v="23"/>
    <n v="36"/>
    <n v="23.085501858736059"/>
    <n v="29.241635687732341"/>
    <n v="20.085501858736059"/>
    <n v="42"/>
    <n v="33.6"/>
    <n v="28.6"/>
    <d v="1900-02-01T14:24:00"/>
    <d v="1900-01-27T14:24:00"/>
    <m/>
    <m/>
    <m/>
    <m/>
    <m/>
    <m/>
    <m/>
    <m/>
    <m/>
    <m/>
    <m/>
    <m/>
    <m/>
    <m/>
    <m/>
    <m/>
    <m/>
    <m/>
    <m/>
    <m/>
    <m/>
    <m/>
    <m/>
    <m/>
    <m/>
    <m/>
    <m/>
    <m/>
    <m/>
    <m/>
    <d v="2025-02-27T00:00:00"/>
    <s v="DY2-8104,DY2-8105,TLN-523960"/>
  </r>
  <r>
    <d v="2025-02-27T00:00:00"/>
    <d v="2025-02-27T00:00:00"/>
    <m/>
    <x v="1"/>
    <s v="X24104277254"/>
    <s v="JOHN PAULO H. ALBIS"/>
    <s v="BLOCK 9, ENLISTED PERSONNEL VIL 1, TAGUIG CITY"/>
    <s v="TAGUIG CITY"/>
    <s v="PARAÑAQUE"/>
    <m/>
    <m/>
    <x v="1"/>
    <s v="SCHED"/>
    <s v="JMM"/>
    <n v="52.192600000000006"/>
    <n v="100.92"/>
    <n v="46"/>
    <x v="8"/>
    <n v="442979.07"/>
    <n v="62518.65"/>
    <m/>
    <m/>
    <d v="2025-02-20T15:33:00"/>
    <d v="2025-02-27T12:09:00"/>
    <d v="2025-02-21T00:00:00"/>
    <m/>
    <x v="0"/>
    <m/>
    <n v="-45708.647916666669"/>
    <n v="-45715.506249999999"/>
    <n v="0"/>
    <d v="2025-03-12T17:36:07"/>
    <d v="2025-03-21T21:20:57"/>
    <d v="2025-04-11T15:33:00"/>
    <n v="-1484.9790204810788"/>
    <n v="0"/>
    <n v="23"/>
    <n v="36"/>
    <n v="23.085501858736059"/>
    <n v="29.241635687732341"/>
    <n v="20.085501858736059"/>
    <n v="42"/>
    <n v="33.6"/>
    <n v="28.6"/>
    <d v="1900-02-01T14:24:00"/>
    <d v="1900-01-27T14:24:00"/>
    <m/>
    <m/>
    <m/>
    <m/>
    <m/>
    <m/>
    <m/>
    <m/>
    <m/>
    <m/>
    <m/>
    <m/>
    <m/>
    <m/>
    <m/>
    <m/>
    <m/>
    <m/>
    <m/>
    <m/>
    <m/>
    <m/>
    <m/>
    <m/>
    <m/>
    <m/>
    <m/>
    <m/>
    <m/>
    <m/>
    <d v="2025-02-27T00:00:00"/>
    <s v="B8-8177,TLN-526380"/>
  </r>
  <r>
    <m/>
    <d v="2025-02-27T00:00:00"/>
    <m/>
    <x v="4"/>
    <s v="R23926303"/>
    <s v="CAVITEX INFRASTRUCTURE CORP., CBG"/>
    <s v="KAINGIN RD., KAINGIN, PARANAQUE"/>
    <s v="PARANAQUE CITY"/>
    <s v="PARAÑAQUE"/>
    <m/>
    <m/>
    <x v="3"/>
    <s v="SCHED"/>
    <s v="JMM"/>
    <n v="365.07799999999963"/>
    <n v="903.57"/>
    <n v="0"/>
    <x v="10"/>
    <n v="1683427.63"/>
    <n v="498912.29000000004"/>
    <m/>
    <m/>
    <d v="2025-02-19T08:19:00"/>
    <d v="2025-02-25T12:43:00"/>
    <d v="2025-02-21T00:00:00"/>
    <m/>
    <x v="0"/>
    <m/>
    <n v="-45707.34652777778"/>
    <n v="-45713.529861111114"/>
    <n v="0"/>
    <d v="2025-03-16T04:21:28"/>
    <d v="2025-03-26T14:30:08"/>
    <d v="2025-04-10T08:19:00"/>
    <n v="-1231.559059220679"/>
    <n v="0"/>
    <n v="40"/>
    <n v="36"/>
    <n v="27.835051546391753"/>
    <n v="35.257731958762882"/>
    <n v="24.835051546391753"/>
    <n v="55"/>
    <n v="44"/>
    <n v="39"/>
    <d v="1900-02-12T00:00:00"/>
    <d v="1900-02-07T00:00:00"/>
    <m/>
    <m/>
    <m/>
    <m/>
    <m/>
    <m/>
    <m/>
    <m/>
    <m/>
    <m/>
    <m/>
    <m/>
    <m/>
    <m/>
    <m/>
    <m/>
    <m/>
    <m/>
    <m/>
    <m/>
    <m/>
    <m/>
    <m/>
    <m/>
    <m/>
    <m/>
    <m/>
    <m/>
    <m/>
    <m/>
    <m/>
    <m/>
  </r>
  <r>
    <m/>
    <d v="2025-02-27T00:00:00"/>
    <m/>
    <x v="4"/>
    <s v="R23926307"/>
    <s v="CAVITEX INFRASTRUCTURE CORP., CBG"/>
    <s v="KAINGIN RD., KAINGIN, PARANAQUE"/>
    <s v="PARANAQUE CITY"/>
    <s v="PARAÑAQUE"/>
    <m/>
    <m/>
    <x v="3"/>
    <s v="SCHED"/>
    <s v="JMM"/>
    <n v="79.535699999999963"/>
    <n v="246.7"/>
    <n v="0"/>
    <x v="10"/>
    <n v="216676.78"/>
    <n v="173073.30999999997"/>
    <m/>
    <m/>
    <d v="2025-02-19T08:25:00"/>
    <d v="2025-02-25T12:44:00"/>
    <d v="2025-02-21T00:00:00"/>
    <m/>
    <x v="0"/>
    <m/>
    <n v="-45707.350694444445"/>
    <n v="-45713.530555555553"/>
    <n v="0"/>
    <d v="2025-03-13T05:15:32"/>
    <d v="2025-03-22T20:25:00"/>
    <d v="2025-04-10T08:25:00"/>
    <n v="-1378.4756558641975"/>
    <n v="0"/>
    <n v="28"/>
    <n v="36"/>
    <n v="24.868421052631579"/>
    <n v="31.499999999999996"/>
    <n v="21.868421052631579"/>
    <n v="46"/>
    <n v="36.800000000000004"/>
    <n v="31.800000000000004"/>
    <d v="1900-02-04T19:12:00"/>
    <d v="1900-01-30T19:12:00"/>
    <m/>
    <m/>
    <m/>
    <m/>
    <m/>
    <m/>
    <m/>
    <m/>
    <m/>
    <m/>
    <m/>
    <m/>
    <m/>
    <m/>
    <m/>
    <m/>
    <m/>
    <m/>
    <m/>
    <m/>
    <m/>
    <m/>
    <m/>
    <m/>
    <m/>
    <m/>
    <m/>
    <m/>
    <m/>
    <m/>
    <m/>
    <m/>
  </r>
  <r>
    <d v="2025-03-03T00:00:00"/>
    <d v="2025-02-27T00:00:00"/>
    <m/>
    <x v="2"/>
    <s v="X24114520845"/>
    <s v="ERIC GERARD TURLA OLIVA"/>
    <s v="WALING-WALING, TAHANAN VILL, PARANAQUE"/>
    <s v="PARANAQUE CITY"/>
    <s v="PARAÑAQUE"/>
    <m/>
    <m/>
    <x v="3"/>
    <s v="SCHED"/>
    <s v="JMM"/>
    <n v="37.049500000000002"/>
    <n v="63.83"/>
    <n v="36"/>
    <x v="8"/>
    <n v="291805.32"/>
    <n v="37465.149999999994"/>
    <m/>
    <m/>
    <d v="2025-02-19T15:53:00"/>
    <d v="2025-02-25T12:46:00"/>
    <d v="2025-02-21T00:00:00"/>
    <m/>
    <x v="0"/>
    <m/>
    <n v="-45707.661805555559"/>
    <n v="-45713.531944444447"/>
    <n v="0"/>
    <d v="2025-03-11T17:56:07"/>
    <d v="2025-03-20T21:40:57"/>
    <d v="2025-04-10T15:53:00"/>
    <n v="-1484.9469837795223"/>
    <n v="0"/>
    <n v="23"/>
    <n v="36"/>
    <n v="23.085501858736059"/>
    <n v="29.241635687732341"/>
    <n v="20.085501858736059"/>
    <n v="42"/>
    <n v="33.6"/>
    <n v="28.6"/>
    <d v="1900-02-01T14:24:00"/>
    <d v="1900-01-27T14:24:00"/>
    <m/>
    <m/>
    <m/>
    <m/>
    <m/>
    <m/>
    <m/>
    <m/>
    <m/>
    <m/>
    <m/>
    <m/>
    <m/>
    <m/>
    <m/>
    <m/>
    <m/>
    <m/>
    <m/>
    <m/>
    <m/>
    <m/>
    <m/>
    <m/>
    <m/>
    <m/>
    <m/>
    <m/>
    <m/>
    <m/>
    <d v="2025-03-04T00:00:00"/>
    <s v="DWI-8050,TLN-526676,DWI-2066"/>
  </r>
  <r>
    <d v="2025-02-28T00:00:00"/>
    <d v="2025-02-27T00:00:00"/>
    <m/>
    <x v="2"/>
    <s v="X25010176215"/>
    <s v="MARY GRACE MESINA MANDAP"/>
    <s v="BASILIO ESTANISLAO, BF RESORT VILL, LAS PINAS CITY"/>
    <s v="LAS PINAS CITY"/>
    <s v="PARAÑAQUE"/>
    <m/>
    <m/>
    <x v="4"/>
    <s v="SCHED"/>
    <s v="RRG"/>
    <n v="119.76289999999999"/>
    <n v="219.82"/>
    <n v="33"/>
    <x v="8"/>
    <n v="601808.84"/>
    <n v="130472.59"/>
    <m/>
    <m/>
    <d v="2025-02-18T17:43:00"/>
    <d v="2025-02-24T10:39:00"/>
    <d v="2025-02-21T00:00:00"/>
    <m/>
    <x v="0"/>
    <m/>
    <n v="-45706.738194444442"/>
    <n v="-45712.443749999999"/>
    <n v="0"/>
    <d v="2025-03-12T14:33:32"/>
    <d v="2025-03-22T05:43:00"/>
    <d v="2025-04-09T17:43:00"/>
    <n v="-1378.4571836419752"/>
    <n v="0"/>
    <n v="28"/>
    <n v="36"/>
    <n v="24.868421052631579"/>
    <n v="31.499999999999996"/>
    <n v="21.868421052631579"/>
    <n v="46"/>
    <n v="36.800000000000004"/>
    <n v="31.800000000000004"/>
    <d v="1900-02-04T19:12:00"/>
    <d v="1900-01-30T19:12:00"/>
    <m/>
    <m/>
    <m/>
    <m/>
    <m/>
    <m/>
    <m/>
    <m/>
    <m/>
    <m/>
    <m/>
    <m/>
    <m/>
    <m/>
    <m/>
    <m/>
    <m/>
    <m/>
    <m/>
    <m/>
    <m/>
    <m/>
    <m/>
    <m/>
    <m/>
    <m/>
    <m/>
    <m/>
    <m/>
    <m/>
    <d v="2025-02-28T00:00:00"/>
    <s v="CV7-8161,CV7-8162,ALB1-3032,TLN-527110"/>
  </r>
  <r>
    <d v="2025-02-28T00:00:00"/>
    <d v="2025-02-27T00:00:00"/>
    <m/>
    <x v="1"/>
    <s v="X25010278743"/>
    <s v="RIZALYN G TAYAG"/>
    <s v="NIOG III, NIOG III, BACOOR"/>
    <s v="BACOOR CITY"/>
    <s v="DASMA"/>
    <m/>
    <m/>
    <x v="4"/>
    <s v="SCHED"/>
    <s v="RRG"/>
    <n v="154.50030000000001"/>
    <n v="327.02999999999997"/>
    <n v="150"/>
    <x v="8"/>
    <n v="1179326.2"/>
    <n v="188897.18"/>
    <m/>
    <m/>
    <d v="2025-02-14T14:41:00"/>
    <d v="2025-02-24T07:09:00"/>
    <d v="2025-02-21T00:00:00"/>
    <m/>
    <x v="0"/>
    <m/>
    <n v="-45702.611805555556"/>
    <n v="-45712.29791666667"/>
    <n v="0"/>
    <d v="2025-03-07T03:23:21"/>
    <d v="2025-03-16T09:58:39"/>
    <d v="2025-04-05T14:41:00"/>
    <n v="-1456.7707513020832"/>
    <n v="0"/>
    <n v="30"/>
    <n v="32"/>
    <n v="23.52941176470588"/>
    <n v="29.803921568627448"/>
    <n v="20.52941176470588"/>
    <n v="48"/>
    <n v="38.400000000000006"/>
    <n v="33.400000000000006"/>
    <d v="1900-02-06T09:36:00"/>
    <d v="1900-02-01T09:36:00"/>
    <m/>
    <m/>
    <m/>
    <m/>
    <m/>
    <m/>
    <m/>
    <m/>
    <m/>
    <m/>
    <m/>
    <m/>
    <m/>
    <m/>
    <m/>
    <m/>
    <m/>
    <m/>
    <m/>
    <m/>
    <m/>
    <m/>
    <m/>
    <m/>
    <m/>
    <m/>
    <m/>
    <m/>
    <m/>
    <m/>
    <d v="2025-02-28T00:00:00"/>
    <s v="CV6-8058,CV6-8059,TLN-689612,TLN-527272"/>
  </r>
  <r>
    <d v="2025-03-03T00:00:00"/>
    <d v="2025-02-27T00:00:00"/>
    <m/>
    <x v="2"/>
    <s v="R23652915"/>
    <s v="GATDULA, RICARDO, HMB"/>
    <s v="ST. MARY, ADDAS VILLAGE PH II-A, BACOOR"/>
    <s v="BACOOR CITY"/>
    <s v="DASMA"/>
    <m/>
    <m/>
    <x v="4"/>
    <s v="SCHED"/>
    <s v="RRG"/>
    <n v="31.499999999999996"/>
    <n v="56.97"/>
    <n v="0"/>
    <x v="10"/>
    <n v="224608.3"/>
    <n v="27065.629999999994"/>
    <m/>
    <m/>
    <d v="2025-02-20T15:34:00"/>
    <d v="2025-02-27T12:14:00"/>
    <d v="2025-02-21T00:00:00"/>
    <m/>
    <x v="0"/>
    <m/>
    <n v="-45708.648611111108"/>
    <n v="-45715.509722222225"/>
    <n v="0"/>
    <d v="2025-03-12T17:37:07"/>
    <d v="2025-03-21T21:21:57"/>
    <d v="2025-04-11T15:34:00"/>
    <n v="-1484.9790430421363"/>
    <n v="0"/>
    <n v="23"/>
    <n v="36"/>
    <n v="23.085501858736059"/>
    <n v="29.241635687732341"/>
    <n v="20.085501858736059"/>
    <n v="42"/>
    <n v="33.6"/>
    <n v="28.6"/>
    <d v="1900-02-01T14:24:00"/>
    <d v="1900-01-27T14:24:00"/>
    <m/>
    <m/>
    <m/>
    <m/>
    <m/>
    <m/>
    <m/>
    <m/>
    <m/>
    <m/>
    <m/>
    <m/>
    <m/>
    <m/>
    <m/>
    <m/>
    <m/>
    <m/>
    <m/>
    <m/>
    <m/>
    <m/>
    <m/>
    <m/>
    <m/>
    <m/>
    <m/>
    <m/>
    <m/>
    <m/>
    <d v="2025-03-04T00:00:00"/>
    <s v="CT6-8056,CT6-8057"/>
  </r>
  <r>
    <d v="2025-02-28T00:00:00"/>
    <d v="2025-02-26T00:00:00"/>
    <m/>
    <x v="2"/>
    <s v="R23922888"/>
    <s v="ANG CARMEN GAN, HMB"/>
    <s v="MARCUS AURELIUS, ITALIA 500-BF HOMES, LAS PINAS CITY"/>
    <s v="LAS PINAS CITY"/>
    <s v="PARAÑAQUE"/>
    <m/>
    <m/>
    <x v="0"/>
    <s v="SCHED"/>
    <s v="RRG"/>
    <n v="1.0195000000000001"/>
    <n v="1.6"/>
    <n v="0"/>
    <x v="10"/>
    <n v="12476.61"/>
    <n v="980.15"/>
    <m/>
    <m/>
    <d v="2025-02-19T17:06:00"/>
    <d v="2025-02-25T12:47:00"/>
    <d v="2025-02-21T00:00:00"/>
    <m/>
    <x v="0"/>
    <m/>
    <n v="-45707.712500000001"/>
    <n v="-45713.532638888886"/>
    <n v="0"/>
    <d v="2025-03-10T11:40:50"/>
    <d v="2025-03-19T07:02:08"/>
    <d v="2025-04-10T17:06:00"/>
    <n v="-1574.3767638888887"/>
    <n v="0"/>
    <n v="20"/>
    <n v="36"/>
    <n v="21.774193548387096"/>
    <n v="27.58064516129032"/>
    <n v="18.774193548387096"/>
    <n v="40"/>
    <n v="32"/>
    <n v="27"/>
    <d v="1900-01-31T00:00:00"/>
    <d v="1900-01-26T00:00:00"/>
    <m/>
    <m/>
    <m/>
    <m/>
    <m/>
    <m/>
    <m/>
    <m/>
    <m/>
    <m/>
    <m/>
    <m/>
    <m/>
    <m/>
    <m/>
    <m/>
    <m/>
    <m/>
    <m/>
    <m/>
    <m/>
    <m/>
    <m/>
    <m/>
    <m/>
    <m/>
    <m/>
    <m/>
    <m/>
    <m/>
    <s v="N/A"/>
    <m/>
  </r>
  <r>
    <d v="2025-02-24T00:00:00"/>
    <d v="2025-02-26T00:00:00"/>
    <m/>
    <x v="4"/>
    <s v="X25010271342"/>
    <s v="ALVEO LAND CORP.,"/>
    <s v="ALABANG-ZAPOTE, ALMANZA I, LAS PINAS CITY"/>
    <s v="LAS PINAS CITY"/>
    <s v="PARAÑAQUE"/>
    <m/>
    <m/>
    <x v="0"/>
    <s v="SCHED"/>
    <s v="RRG"/>
    <n v="31.368500000000001"/>
    <n v="194.18"/>
    <m/>
    <x v="8"/>
    <n v="269622.12"/>
    <n v="36004.720000000008"/>
    <m/>
    <m/>
    <d v="2025-02-18T15:59:00"/>
    <d v="2025-02-24T10:40:00"/>
    <d v="2025-02-21T00:00:00"/>
    <m/>
    <x v="0"/>
    <m/>
    <n v="-45706.665972222225"/>
    <n v="-45712.444444444445"/>
    <n v="0"/>
    <d v="2025-03-11T20:56:56"/>
    <d v="2025-03-21T07:52:23"/>
    <d v="2025-04-09T15:59:00"/>
    <n v="-1416.1253346094491"/>
    <n v="0"/>
    <n v="26"/>
    <n v="36"/>
    <n v="24.206896551724139"/>
    <n v="30.662068965517239"/>
    <n v="21.206896551724139"/>
    <n v="44"/>
    <n v="35.200000000000003"/>
    <n v="30.200000000000003"/>
    <d v="1900-02-03T04:48:00"/>
    <d v="1900-01-29T04:48:00"/>
    <m/>
    <m/>
    <m/>
    <m/>
    <m/>
    <m/>
    <m/>
    <m/>
    <m/>
    <m/>
    <m/>
    <m/>
    <m/>
    <m/>
    <m/>
    <m/>
    <m/>
    <m/>
    <m/>
    <m/>
    <m/>
    <m/>
    <m/>
    <m/>
    <m/>
    <m/>
    <m/>
    <m/>
    <m/>
    <m/>
    <d v="2025-02-24T00:00:00"/>
    <s v="CU9-8094"/>
  </r>
  <r>
    <d v="2025-03-03T00:00:00"/>
    <d v="2025-02-26T00:00:00"/>
    <m/>
    <x v="1"/>
    <s v="X24114622519"/>
    <s v="OLIVAREZ REALTY CORPORATION"/>
    <s v="DR. A SANTOS, SAN DIONISIO, PARANAQUE"/>
    <s v="PARANAQUE CITY"/>
    <s v="PARAÑAQUE"/>
    <m/>
    <m/>
    <x v="0"/>
    <s v="SCHED"/>
    <s v="RRG"/>
    <n v="79.929000000000002"/>
    <n v="254.82"/>
    <n v="97"/>
    <x v="8"/>
    <n v="1165982.58"/>
    <n v="149046.37"/>
    <m/>
    <m/>
    <d v="2025-02-20T15:33:00"/>
    <d v="2025-02-27T12:16:00"/>
    <d v="2025-02-21T00:00:00"/>
    <m/>
    <x v="0"/>
    <m/>
    <n v="-45708.647916666669"/>
    <n v="-45715.511111111111"/>
    <n v="0"/>
    <d v="2025-03-13T14:35:01"/>
    <d v="2025-03-22T23:55:33"/>
    <d v="2025-04-11T15:33:00"/>
    <n v="-1430.7959116771708"/>
    <n v="0"/>
    <n v="28"/>
    <n v="34"/>
    <n v="23.959731543624162"/>
    <n v="30.348993288590602"/>
    <n v="20.959731543624162"/>
    <n v="46"/>
    <n v="36.800000000000004"/>
    <n v="31.800000000000004"/>
    <d v="1900-02-04T19:12:00"/>
    <d v="1900-01-30T19:12:00"/>
    <m/>
    <m/>
    <m/>
    <m/>
    <m/>
    <m/>
    <m/>
    <m/>
    <m/>
    <m/>
    <m/>
    <m/>
    <m/>
    <m/>
    <m/>
    <m/>
    <m/>
    <m/>
    <m/>
    <m/>
    <m/>
    <m/>
    <m/>
    <m/>
    <m/>
    <m/>
    <m/>
    <m/>
    <m/>
    <m/>
    <d v="2025-03-04T00:00:00"/>
    <s v="CZ8-8103,CZ8-8104,TLN-526713"/>
  </r>
  <r>
    <m/>
    <m/>
    <m/>
    <x v="1"/>
    <s v="X25010099398"/>
    <s v="REYNALDO BAUTISTA SALVADOR"/>
    <s v="J.P. RIZAL, TUAZON SUBD, LAS PINAS CITY"/>
    <s v="LAS PINAS CITY"/>
    <s v="PARAÑAQUE"/>
    <m/>
    <m/>
    <x v="6"/>
    <s v="SCHED"/>
    <s v="IJP"/>
    <n v="0"/>
    <n v="26.07"/>
    <n v="30"/>
    <x v="8"/>
    <n v="252346.4"/>
    <m/>
    <m/>
    <m/>
    <d v="2025-02-20T12:17:00"/>
    <d v="2025-02-27T12:28:00"/>
    <d v="2025-02-21T00:00:00"/>
    <m/>
    <x v="0"/>
    <m/>
    <n v="-45708.511805555558"/>
    <n v="-45715.519444444442"/>
    <n v="0"/>
    <d v="2025-03-11T06:51:50"/>
    <d v="2025-03-20T02:13:08"/>
    <d v="2025-04-11T12:17:00"/>
    <n v="-1574.4042955246914"/>
    <n v="0"/>
    <n v="20"/>
    <n v="36"/>
    <n v="21.774193548387096"/>
    <n v="27.58064516129032"/>
    <n v="18.774193548387096"/>
    <n v="40"/>
    <n v="32"/>
    <n v="27"/>
    <d v="1900-01-31T00:00:00"/>
    <d v="1900-01-26T00:00:00"/>
    <m/>
    <m/>
    <m/>
    <m/>
    <m/>
    <m/>
    <m/>
    <m/>
    <m/>
    <m/>
    <m/>
    <m/>
    <m/>
    <m/>
    <m/>
    <m/>
    <m/>
    <m/>
    <m/>
    <m/>
    <m/>
    <m/>
    <m/>
    <m/>
    <m/>
    <m/>
    <m/>
    <m/>
    <m/>
    <m/>
    <d v="2025-03-04T00:00:00"/>
    <s v="TLN-526967"/>
  </r>
  <r>
    <d v="2025-02-24T00:00:00"/>
    <m/>
    <s v="Y"/>
    <x v="1"/>
    <s v="X24093492216"/>
    <s v="ALFAMART TRADING PHILIPPINES, INC."/>
    <s v="SUMMIT CIRCLE SUBD, SUMMIT CIRCLE SUBD, MUNTINLUPA"/>
    <s v="MUNTINLUPA CITY"/>
    <s v="PARAÑAQUE"/>
    <m/>
    <m/>
    <x v="5"/>
    <s v="SCHED"/>
    <s v="IGL"/>
    <n v="0"/>
    <n v="17.579999999999998"/>
    <n v="28"/>
    <x v="8"/>
    <n v="186146.6"/>
    <m/>
    <m/>
    <m/>
    <d v="2025-02-18T16:09:00"/>
    <d v="2025-02-24T09:23:00"/>
    <d v="2025-02-21T00:00:00"/>
    <m/>
    <x v="0"/>
    <m/>
    <n v="-45706.67291666667"/>
    <n v="-45712.390972222223"/>
    <n v="0"/>
    <d v="2025-03-09T10:43:50"/>
    <d v="2025-03-18T06:05:08"/>
    <d v="2025-04-09T16:09:00"/>
    <n v="-1574.3409560185185"/>
    <n v="0"/>
    <n v="20"/>
    <n v="36"/>
    <n v="21.774193548387096"/>
    <n v="27.58064516129032"/>
    <n v="18.774193548387096"/>
    <n v="40"/>
    <n v="32"/>
    <n v="27"/>
    <d v="1900-01-31T00:00:00"/>
    <d v="1900-01-26T00:00:00"/>
    <m/>
    <m/>
    <m/>
    <m/>
    <m/>
    <m/>
    <m/>
    <m/>
    <m/>
    <m/>
    <m/>
    <m/>
    <m/>
    <m/>
    <m/>
    <m/>
    <m/>
    <m/>
    <m/>
    <m/>
    <m/>
    <m/>
    <m/>
    <m/>
    <m/>
    <m/>
    <m/>
    <m/>
    <m/>
    <m/>
    <d v="2025-02-24T00:00:00"/>
    <s v="TLN-523641"/>
  </r>
  <r>
    <d v="2025-02-24T00:00:00"/>
    <m/>
    <m/>
    <x v="2"/>
    <s v="X25020386591"/>
    <s v="SHEENA LORRAINE CHUA LAO"/>
    <s v="IPIL-IPIL, AYALA-ALABANG VILL, MUNTINLUPA"/>
    <s v="MUNTINLUPA CITY"/>
    <s v="PARAÑAQUE"/>
    <m/>
    <m/>
    <x v="5"/>
    <s v="SCHED"/>
    <s v="IGL"/>
    <n v="0"/>
    <n v="41"/>
    <n v="104"/>
    <x v="8"/>
    <n v="77784.02"/>
    <m/>
    <m/>
    <m/>
    <d v="2025-02-18T15:57:00"/>
    <d v="2025-02-24T09:22:00"/>
    <d v="2025-02-21T00:00:00"/>
    <m/>
    <x v="0"/>
    <m/>
    <n v="-45706.664583333331"/>
    <n v="-45712.390277777777"/>
    <n v="0"/>
    <d v="2025-03-08T00:05:08"/>
    <d v="2025-03-16T10:15:18"/>
    <d v="2025-04-09T15:57:00"/>
    <n v="-1685.4332565104164"/>
    <n v="0"/>
    <n v="20"/>
    <n v="32"/>
    <n v="20.33898305084746"/>
    <n v="25.762711864406779"/>
    <n v="17.33898305084746"/>
    <n v="40"/>
    <n v="32"/>
    <n v="27"/>
    <d v="1900-01-31T00:00:00"/>
    <d v="1900-01-26T00:00:00"/>
    <m/>
    <m/>
    <m/>
    <m/>
    <m/>
    <m/>
    <m/>
    <m/>
    <m/>
    <m/>
    <m/>
    <m/>
    <m/>
    <m/>
    <m/>
    <m/>
    <m/>
    <m/>
    <m/>
    <m/>
    <m/>
    <m/>
    <m/>
    <m/>
    <m/>
    <m/>
    <m/>
    <m/>
    <m/>
    <m/>
    <s v="N/A"/>
    <m/>
  </r>
  <r>
    <d v="2025-02-24T00:00:00"/>
    <m/>
    <m/>
    <x v="1"/>
    <s v="X25010209691"/>
    <s v="ALMALOUNA COMALING QU"/>
    <s v="EL GRANDE, BF HOMES, PARANAQUE"/>
    <s v="PARANAQUE CITY"/>
    <s v="PARAÑAQUE"/>
    <m/>
    <m/>
    <x v="5"/>
    <s v="SCHED"/>
    <s v="IGL"/>
    <n v="0"/>
    <n v="64.55"/>
    <n v="55"/>
    <x v="8"/>
    <n v="293761.53000000003"/>
    <m/>
    <m/>
    <m/>
    <d v="2025-02-18T15:38:00"/>
    <d v="2025-02-24T10:35:00"/>
    <d v="2025-02-21T00:00:00"/>
    <m/>
    <x v="0"/>
    <m/>
    <n v="-45706.651388888888"/>
    <n v="-45712.440972222219"/>
    <n v="0"/>
    <d v="2025-03-09T22:50:33"/>
    <d v="2025-03-18T21:33:54"/>
    <d v="2025-04-09T15:38:00"/>
    <n v="-1537.1930070687695"/>
    <n v="0"/>
    <n v="23"/>
    <n v="34"/>
    <n v="22.300380228136884"/>
    <n v="28.247148288973385"/>
    <n v="19.300380228136884"/>
    <n v="42"/>
    <n v="33.6"/>
    <n v="28.6"/>
    <d v="1900-02-01T14:24:00"/>
    <d v="1900-01-27T14:24:00"/>
    <m/>
    <m/>
    <m/>
    <m/>
    <m/>
    <m/>
    <m/>
    <m/>
    <m/>
    <m/>
    <m/>
    <m/>
    <m/>
    <m/>
    <m/>
    <m/>
    <m/>
    <m/>
    <m/>
    <m/>
    <m/>
    <m/>
    <m/>
    <m/>
    <m/>
    <m/>
    <m/>
    <m/>
    <m/>
    <m/>
    <s v="N/A"/>
    <m/>
  </r>
  <r>
    <d v="2025-02-11T00:00:00"/>
    <d v="2025-02-26T00:00:00"/>
    <s v="Y"/>
    <x v="1"/>
    <s v="X24030689569"/>
    <s v="PILIPINAS SHELL PETROLEUM CORPORATION"/>
    <s v="SAMPAGUITA, CAMP SAMPAGUITA, MUNTINLUPA"/>
    <s v="MUNTINLUPA CITY"/>
    <s v="PARAÑAQUE"/>
    <m/>
    <m/>
    <x v="4"/>
    <s v="FCOMP"/>
    <s v="RRG"/>
    <n v="666.33040000000028"/>
    <n v="1386.38"/>
    <n v="78"/>
    <x v="8"/>
    <n v="3575972.05"/>
    <n v="828522.97999999835"/>
    <m/>
    <n v="0"/>
    <d v="2025-02-08T20:10:00"/>
    <d v="2025-02-11T12:55:00"/>
    <d v="2025-02-21T00:00:00"/>
    <m/>
    <x v="53"/>
    <m/>
    <n v="17.796527777776646"/>
    <n v="15.098611111112405"/>
    <n v="-45714.636805555558"/>
    <d v="2025-03-06T01:09:28"/>
    <d v="2025-03-16T13:41:20"/>
    <d v="2025-03-30T20:10:00"/>
    <n v="0.47317826797382606"/>
    <n v="-761.91061342592593"/>
    <n v="50"/>
    <n v="34"/>
    <n v="28.207964601769909"/>
    <n v="35.730088495575217"/>
    <n v="25.207964601769909"/>
    <n v="60"/>
    <n v="48"/>
    <n v="43"/>
    <d v="2025-04-15T15:17:00"/>
    <d v="2025-04-10T15:17:00"/>
    <m/>
    <m/>
    <m/>
    <m/>
    <m/>
    <m/>
    <m/>
    <m/>
    <m/>
    <m/>
    <m/>
    <m/>
    <m/>
    <m/>
    <m/>
    <m/>
    <m/>
    <m/>
    <m/>
    <m/>
    <m/>
    <m/>
    <s v="Y"/>
    <d v="2025-02-21T00:00:00"/>
    <m/>
    <m/>
    <m/>
    <m/>
    <m/>
    <m/>
    <d v="2025-02-11T00:00:00"/>
    <s v="CQ9-5764,CQ9-5765,CQ9-5766,CQ9-5767,CQ9-5768,CQ9-5768,CQ9-5770,CQ9-5771,CQ9-5772,CQ9-5773,CQ9-5774,CQ9-5775,CQ9-5777,CQ9-5778,TLN-520793"/>
  </r>
  <r>
    <m/>
    <d v="2025-02-28T00:00:00"/>
    <m/>
    <x v="2"/>
    <s v="X24124701777"/>
    <s v="NELLY YAP RAÑOLA"/>
    <s v="JUAN ALEGRE, BF HOMES, PARANAQUE"/>
    <s v="PARANAQUE CITY"/>
    <s v="PARAÑAQUE"/>
    <m/>
    <m/>
    <x v="3"/>
    <s v="SCHED"/>
    <s v="JMM"/>
    <n v="79.959500000000006"/>
    <n v="149.68"/>
    <n v="38"/>
    <x v="8"/>
    <n v="504136.5"/>
    <n v="87176.680000000008"/>
    <m/>
    <m/>
    <d v="2025-02-21T15:51:00"/>
    <d v="2025-03-03T12:56:00"/>
    <d v="2025-02-28T00:00:00"/>
    <m/>
    <x v="0"/>
    <m/>
    <n v="-45709.660416666666"/>
    <n v="-45719.538888888892"/>
    <n v="0"/>
    <d v="2025-03-14T20:48:56"/>
    <d v="2025-03-24T07:44:23"/>
    <d v="2025-04-12T15:51:00"/>
    <n v="-1416.2181112001424"/>
    <n v="0"/>
    <n v="26"/>
    <n v="36"/>
    <n v="24.206896551724139"/>
    <n v="30.662068965517239"/>
    <n v="21.206896551724139"/>
    <n v="44"/>
    <n v="35.200000000000003"/>
    <n v="30.200000000000003"/>
    <d v="1900-02-03T04:48:00"/>
    <d v="1900-01-29T04:48:00"/>
    <m/>
    <m/>
    <m/>
    <m/>
    <m/>
    <m/>
    <m/>
    <m/>
    <m/>
    <m/>
    <m/>
    <m/>
    <m/>
    <m/>
    <m/>
    <m/>
    <m/>
    <m/>
    <m/>
    <m/>
    <m/>
    <m/>
    <m/>
    <m/>
    <m/>
    <m/>
    <m/>
    <m/>
    <m/>
    <m/>
    <m/>
    <m/>
  </r>
  <r>
    <d v="2025-03-03T00:00:00"/>
    <d v="2025-02-28T00:00:00"/>
    <m/>
    <x v="1"/>
    <s v="X25020539755"/>
    <s v="LIONS PARK RESIDENCES CONDOMINIUM CORPORATION ASSO"/>
    <s v="ALPACA, LION'S PARK RESIDENCES, PARANAQUE"/>
    <s v="PARANAQUE CITY"/>
    <s v="PARAÑAQUE"/>
    <m/>
    <m/>
    <x v="3"/>
    <s v="WMTRL"/>
    <s v="JMM"/>
    <n v="11.943299999999999"/>
    <n v="19.95"/>
    <n v="22"/>
    <x v="8"/>
    <n v="243992.07"/>
    <n v="12521.730000000001"/>
    <m/>
    <m/>
    <d v="2025-02-24T16:39:00"/>
    <m/>
    <d v="2025-02-28T00:00:00"/>
    <m/>
    <x v="0"/>
    <m/>
    <n v="-45712.693749999999"/>
    <n v="0"/>
    <n v="0"/>
    <d v="2025-03-15T11:13:50"/>
    <d v="2025-03-24T06:35:08"/>
    <d v="2025-04-15T16:39:00"/>
    <n v="-1574.5483402777777"/>
    <n v="0"/>
    <n v="20"/>
    <n v="36"/>
    <n v="21.774193548387096"/>
    <n v="27.58064516129032"/>
    <n v="18.774193548387096"/>
    <n v="40"/>
    <n v="32"/>
    <n v="27"/>
    <d v="1900-01-31T00:00:00"/>
    <d v="1900-01-26T00:00:00"/>
    <m/>
    <m/>
    <m/>
    <m/>
    <m/>
    <m/>
    <m/>
    <m/>
    <m/>
    <m/>
    <m/>
    <m/>
    <m/>
    <m/>
    <m/>
    <m/>
    <m/>
    <m/>
    <m/>
    <m/>
    <m/>
    <m/>
    <m/>
    <m/>
    <m/>
    <m/>
    <m/>
    <m/>
    <m/>
    <m/>
    <d v="2025-03-04T00:00:00"/>
    <s v="TLN-521157"/>
  </r>
  <r>
    <m/>
    <d v="2025-02-28T00:00:00"/>
    <m/>
    <x v="2"/>
    <s v="X24114668949"/>
    <s v="GIDEON KURT FABABIER GODOY"/>
    <s v="GUIJO, MULTINATIONAL VILL, PARANAQUE"/>
    <s v="PARANAQUE CITY"/>
    <s v="PARAÑAQUE"/>
    <m/>
    <m/>
    <x v="3"/>
    <s v="WMTRL"/>
    <s v="JMM"/>
    <n v="69.209500000000006"/>
    <n v="124.7"/>
    <n v="80"/>
    <x v="8"/>
    <n v="558159.81999999995"/>
    <n v="71925.459999999977"/>
    <m/>
    <m/>
    <d v="2025-02-26T13:44:00"/>
    <m/>
    <d v="2025-02-28T00:00:00"/>
    <m/>
    <x v="0"/>
    <m/>
    <n v="-45714.572222222225"/>
    <n v="0"/>
    <n v="0"/>
    <d v="2025-03-18T22:00:54"/>
    <d v="2025-03-28T03:25:25"/>
    <d v="2025-04-17T13:44:00"/>
    <n v="-1468.6582026143792"/>
    <n v="0"/>
    <n v="26"/>
    <n v="34"/>
    <n v="23.345070422535212"/>
    <n v="29.570422535211268"/>
    <n v="20.345070422535212"/>
    <n v="44"/>
    <n v="35.200000000000003"/>
    <n v="30.200000000000003"/>
    <d v="1900-02-03T04:48:00"/>
    <d v="1900-01-29T04:48:00"/>
    <m/>
    <m/>
    <m/>
    <m/>
    <m/>
    <m/>
    <m/>
    <m/>
    <m/>
    <m/>
    <m/>
    <m/>
    <m/>
    <m/>
    <m/>
    <m/>
    <m/>
    <m/>
    <m/>
    <m/>
    <m/>
    <m/>
    <m/>
    <m/>
    <m/>
    <m/>
    <m/>
    <m/>
    <m/>
    <m/>
    <m/>
    <m/>
  </r>
  <r>
    <m/>
    <d v="2025-02-28T00:00:00"/>
    <m/>
    <x v="1"/>
    <s v="X24083333203"/>
    <s v="ACHIEVERS BUSINESS GROUP INC."/>
    <s v="C-5 , KALAYAAN VILL/BALAGBAG, PASAY CITY"/>
    <s v="PASAY CITY"/>
    <s v="PARAÑAQUE"/>
    <m/>
    <m/>
    <x v="1"/>
    <s v="WMTRL"/>
    <s v="JMM"/>
    <n v="5.92"/>
    <n v="35.049999999999997"/>
    <n v="139"/>
    <x v="8"/>
    <n v="61294.92"/>
    <n v="21987.52"/>
    <m/>
    <m/>
    <d v="2025-02-25T16:02:00"/>
    <m/>
    <d v="2025-02-28T00:00:00"/>
    <m/>
    <x v="0"/>
    <m/>
    <n v="-45713.668055555558"/>
    <n v="0"/>
    <n v="0"/>
    <d v="2025-03-15T00:10:08"/>
    <d v="2025-03-23T10:20:18"/>
    <d v="2025-04-16T16:02:00"/>
    <n v="-1685.6915095486111"/>
    <n v="0"/>
    <n v="20"/>
    <n v="32"/>
    <n v="20.33898305084746"/>
    <n v="25.762711864406779"/>
    <n v="17.33898305084746"/>
    <n v="40"/>
    <n v="32"/>
    <n v="27"/>
    <d v="1900-01-31T00:00:00"/>
    <d v="1900-01-26T00:00:00"/>
    <m/>
    <m/>
    <m/>
    <m/>
    <m/>
    <m/>
    <m/>
    <m/>
    <m/>
    <m/>
    <m/>
    <m/>
    <m/>
    <m/>
    <m/>
    <m/>
    <m/>
    <m/>
    <m/>
    <m/>
    <m/>
    <m/>
    <m/>
    <m/>
    <m/>
    <m/>
    <m/>
    <m/>
    <m/>
    <m/>
    <m/>
    <m/>
  </r>
  <r>
    <m/>
    <d v="2025-02-28T00:00:00"/>
    <m/>
    <x v="1"/>
    <s v="X25010133238"/>
    <s v="CITY GOVERNMENT OF TAGUIG"/>
    <s v="M.L. QUEZON, PUROK 1, TAGUIG CITY"/>
    <s v="TAGUIG CITY"/>
    <s v="PARAÑAQUE"/>
    <m/>
    <m/>
    <x v="1"/>
    <s v="WMTRL"/>
    <s v="JMM"/>
    <n v="88.901300000000006"/>
    <n v="210.3"/>
    <n v="239"/>
    <x v="8"/>
    <n v="1044923.65"/>
    <n v="130705.40000000001"/>
    <m/>
    <m/>
    <d v="2025-02-24T12:07:00"/>
    <m/>
    <d v="2025-02-28T00:00:00"/>
    <m/>
    <x v="0"/>
    <m/>
    <n v="-45712.504861111112"/>
    <n v="0"/>
    <n v="0"/>
    <d v="2025-03-15T12:47:17"/>
    <d v="2025-03-24T09:46:01"/>
    <d v="2025-04-15T12:07:00"/>
    <n v="-1556.401951223545"/>
    <n v="0"/>
    <n v="28"/>
    <n v="30"/>
    <n v="22.027972027972027"/>
    <n v="27.9020979020979"/>
    <n v="19.027972027972027"/>
    <n v="46"/>
    <n v="36.800000000000004"/>
    <n v="31.800000000000004"/>
    <d v="1900-02-04T19:12:00"/>
    <d v="1900-01-30T19:12:00"/>
    <m/>
    <m/>
    <m/>
    <m/>
    <m/>
    <m/>
    <m/>
    <m/>
    <m/>
    <m/>
    <m/>
    <m/>
    <m/>
    <m/>
    <m/>
    <m/>
    <m/>
    <m/>
    <m/>
    <m/>
    <m/>
    <m/>
    <m/>
    <m/>
    <m/>
    <m/>
    <m/>
    <m/>
    <m/>
    <m/>
    <m/>
    <m/>
  </r>
  <r>
    <m/>
    <m/>
    <m/>
    <x v="4"/>
    <s v="R23094079"/>
    <s v="DEPARTMENT OF TRANSPORTATION,, CBG"/>
    <s v="EAST SERVICE, BICUTAN INTERCHANGE, PARANAQUE"/>
    <s v="PARANAQUE CITY"/>
    <s v="PARAÑAQUE"/>
    <m/>
    <m/>
    <x v="1"/>
    <s v="APPR"/>
    <s v="JMM"/>
    <n v="19.416699999999999"/>
    <n v="26.6"/>
    <m/>
    <x v="10"/>
    <n v="43757.1"/>
    <n v="16683.329999999998"/>
    <m/>
    <m/>
    <d v="2025-02-25T09:50:00"/>
    <m/>
    <m/>
    <m/>
    <x v="0"/>
    <m/>
    <n v="-45713.409722222219"/>
    <n v="0"/>
    <n v="0"/>
    <d v="2025-03-16T04:24:50"/>
    <d v="2025-03-24T23:46:08"/>
    <d v="2025-04-16T09:50:00"/>
    <n v="-1574.5730015432096"/>
    <n v="0"/>
    <n v="20"/>
    <n v="36"/>
    <n v="21.774193548387096"/>
    <n v="27.58064516129032"/>
    <n v="18.774193548387096"/>
    <n v="40"/>
    <n v="32"/>
    <n v="27"/>
    <d v="1900-01-31T00:00:00"/>
    <d v="1900-01-26T00:00:00"/>
    <m/>
    <m/>
    <m/>
    <m/>
    <m/>
    <m/>
    <m/>
    <m/>
    <m/>
    <m/>
    <m/>
    <m/>
    <m/>
    <m/>
    <m/>
    <m/>
    <m/>
    <m/>
    <m/>
    <m/>
    <m/>
    <m/>
    <m/>
    <m/>
    <m/>
    <m/>
    <m/>
    <m/>
    <m/>
    <m/>
    <m/>
    <m/>
  </r>
  <r>
    <m/>
    <m/>
    <m/>
    <x v="4"/>
    <s v="X25010359335"/>
    <s v="JOLLIBEE FOODS CORPORATION"/>
    <s v="AGUIRRE, BF HOMES, PARANAQUE"/>
    <s v="PARANAQUE CITY"/>
    <s v="PARAÑAQUE"/>
    <m/>
    <m/>
    <x v="4"/>
    <s v="APPR"/>
    <s v="RRG"/>
    <n v="20.14"/>
    <n v="108.3"/>
    <m/>
    <x v="2"/>
    <n v="61797.09"/>
    <n v="68145.2"/>
    <m/>
    <m/>
    <d v="2025-02-24T14:31:00"/>
    <m/>
    <m/>
    <m/>
    <x v="0"/>
    <m/>
    <n v="-45712.604861111111"/>
    <n v="0"/>
    <n v="0"/>
    <d v="2025-03-17T19:28:56"/>
    <d v="2025-03-27T06:24:23"/>
    <d v="2025-04-15T14:31:00"/>
    <n v="-1416.3093386455364"/>
    <n v="0"/>
    <n v="26"/>
    <n v="36"/>
    <n v="24.206896551724139"/>
    <n v="30.662068965517239"/>
    <n v="21.206896551724139"/>
    <n v="44"/>
    <n v="35.200000000000003"/>
    <n v="30.200000000000003"/>
    <d v="1900-02-03T04:48:00"/>
    <d v="1900-01-29T04:48:00"/>
    <m/>
    <m/>
    <m/>
    <m/>
    <m/>
    <m/>
    <m/>
    <m/>
    <m/>
    <m/>
    <m/>
    <m/>
    <m/>
    <m/>
    <m/>
    <m/>
    <m/>
    <m/>
    <m/>
    <m/>
    <m/>
    <m/>
    <m/>
    <m/>
    <m/>
    <m/>
    <m/>
    <m/>
    <m/>
    <m/>
    <m/>
    <m/>
  </r>
  <r>
    <m/>
    <d v="2025-02-28T00:00:00"/>
    <m/>
    <x v="4"/>
    <s v="X22093878578"/>
    <s v="DITO TELECOMMUNITY CORPORATION"/>
    <s v="NIGERIA, BETTER LIVING SUBD, PARANAQUE"/>
    <s v="PARANAQUE CITY"/>
    <s v="PARAÑAQUE"/>
    <m/>
    <m/>
    <x v="4"/>
    <s v="WMTRL"/>
    <s v="RRG"/>
    <n v="53.726000000000006"/>
    <n v="89.28"/>
    <n v="22"/>
    <x v="8"/>
    <n v="332579.90000000002"/>
    <n v="53997.88"/>
    <m/>
    <m/>
    <d v="2025-02-26T13:24:00"/>
    <m/>
    <d v="2025-02-28T00:00:00"/>
    <m/>
    <x v="0"/>
    <m/>
    <n v="-45714.558333333334"/>
    <n v="0"/>
    <n v="0"/>
    <d v="2025-03-18T15:27:07"/>
    <d v="2025-03-27T19:11:57"/>
    <d v="2025-04-17T13:24:00"/>
    <n v="-1485.1710376409017"/>
    <n v="0"/>
    <n v="23"/>
    <n v="36"/>
    <n v="23.085501858736059"/>
    <n v="29.241635687732341"/>
    <n v="20.085501858736059"/>
    <n v="42"/>
    <n v="33.6"/>
    <n v="28.6"/>
    <d v="1900-02-01T14:24:00"/>
    <d v="1900-01-27T14:24:00"/>
    <m/>
    <m/>
    <m/>
    <m/>
    <m/>
    <m/>
    <m/>
    <m/>
    <m/>
    <m/>
    <m/>
    <m/>
    <m/>
    <m/>
    <m/>
    <m/>
    <m/>
    <m/>
    <m/>
    <m/>
    <m/>
    <m/>
    <m/>
    <m/>
    <m/>
    <m/>
    <m/>
    <m/>
    <m/>
    <m/>
    <m/>
    <m/>
  </r>
  <r>
    <m/>
    <d v="2025-02-28T00:00:00"/>
    <m/>
    <x v="2"/>
    <s v="X24072802567"/>
    <s v="GREGORIO JR. MANALO GONZALVO"/>
    <s v="CADENA DE AMOR, TAHANAN VILL, PARANAQUE"/>
    <s v="PARANAQUE CITY"/>
    <s v="PARAÑAQUE"/>
    <m/>
    <m/>
    <x v="4"/>
    <s v="WMTRL"/>
    <s v="RRG"/>
    <n v="88.136200000000017"/>
    <n v="150.07"/>
    <n v="42"/>
    <x v="5"/>
    <n v="373208.99"/>
    <n v="91119.300000000032"/>
    <m/>
    <m/>
    <d v="2025-02-25T16:46:00"/>
    <m/>
    <d v="2025-02-28T00:00:00"/>
    <m/>
    <x v="0"/>
    <m/>
    <n v="-45713.698611111111"/>
    <n v="0"/>
    <n v="0"/>
    <d v="2025-03-18T21:43:56"/>
    <d v="2025-03-28T08:39:23"/>
    <d v="2025-04-16T16:46:00"/>
    <n v="-1416.3432261989551"/>
    <n v="0"/>
    <n v="26"/>
    <n v="36"/>
    <n v="24.206896551724139"/>
    <n v="30.662068965517239"/>
    <n v="21.206896551724139"/>
    <n v="44"/>
    <n v="35.200000000000003"/>
    <n v="30.200000000000003"/>
    <d v="1900-02-03T04:48:00"/>
    <d v="1900-01-29T04:48:00"/>
    <m/>
    <m/>
    <m/>
    <m/>
    <m/>
    <m/>
    <m/>
    <m/>
    <m/>
    <m/>
    <m/>
    <m/>
    <m/>
    <m/>
    <m/>
    <m/>
    <m/>
    <m/>
    <m/>
    <m/>
    <m/>
    <m/>
    <m/>
    <m/>
    <m/>
    <m/>
    <m/>
    <m/>
    <m/>
    <m/>
    <m/>
    <m/>
  </r>
  <r>
    <m/>
    <d v="2025-02-28T00:00:00"/>
    <m/>
    <x v="2"/>
    <s v="X24103967818"/>
    <s v="ELPIDIO THOMAS SANTIAGO ACERO III"/>
    <s v="WASHINGTON, MERVILLE SUBD, PARANAQUE"/>
    <s v="PARANAQUE CITY"/>
    <s v="PARAÑAQUE"/>
    <m/>
    <m/>
    <x v="0"/>
    <s v="WMTRL"/>
    <s v="RRG"/>
    <n v="50.980199999999996"/>
    <n v="92.38"/>
    <n v="82"/>
    <x v="8"/>
    <n v="398405.14"/>
    <n v="50006.080000000009"/>
    <m/>
    <m/>
    <d v="2025-02-27T07:31:00"/>
    <m/>
    <d v="2025-02-28T00:00:00"/>
    <m/>
    <x v="0"/>
    <m/>
    <n v="-45715.313194444447"/>
    <n v="0"/>
    <n v="0"/>
    <d v="2025-03-18T14:43:33"/>
    <d v="2025-03-27T13:26:54"/>
    <d v="2025-04-18T07:31:00"/>
    <n v="-1537.484318432083"/>
    <n v="0"/>
    <n v="23"/>
    <n v="34"/>
    <n v="22.300380228136884"/>
    <n v="28.247148288973385"/>
    <n v="19.300380228136884"/>
    <n v="42"/>
    <n v="33.6"/>
    <n v="28.6"/>
    <d v="1900-02-01T14:24:00"/>
    <d v="1900-01-27T14:24:00"/>
    <m/>
    <m/>
    <m/>
    <m/>
    <m/>
    <m/>
    <m/>
    <m/>
    <m/>
    <m/>
    <m/>
    <m/>
    <m/>
    <m/>
    <m/>
    <m/>
    <m/>
    <m/>
    <m/>
    <m/>
    <m/>
    <m/>
    <m/>
    <m/>
    <m/>
    <m/>
    <m/>
    <m/>
    <m/>
    <m/>
    <m/>
    <m/>
  </r>
  <r>
    <m/>
    <d v="2025-02-28T00:00:00"/>
    <m/>
    <x v="2"/>
    <s v="X24093657207"/>
    <s v="SONNY HABOC BURIAS"/>
    <s v="WASHINGTON, MERVILLE SUBD, PARANAQUE"/>
    <s v="PARANAQUE CITY"/>
    <s v="PARAÑAQUE"/>
    <m/>
    <m/>
    <x v="0"/>
    <s v="WMTRL"/>
    <s v="RRG"/>
    <n v="48.302600000000005"/>
    <n v="91.9"/>
    <n v="80"/>
    <x v="8"/>
    <n v="415129.66"/>
    <n v="53886.459999999992"/>
    <m/>
    <m/>
    <d v="2025-02-27T07:33:00"/>
    <m/>
    <d v="2025-02-28T00:00:00"/>
    <m/>
    <x v="0"/>
    <m/>
    <n v="-45715.314583333333"/>
    <n v="0"/>
    <n v="0"/>
    <d v="2025-03-18T14:45:33"/>
    <d v="2025-03-27T13:28:54"/>
    <d v="2025-04-18T07:33:00"/>
    <n v="-1537.4843651427962"/>
    <n v="0"/>
    <n v="23"/>
    <n v="34"/>
    <n v="22.300380228136884"/>
    <n v="28.247148288973385"/>
    <n v="19.300380228136884"/>
    <n v="42"/>
    <n v="33.6"/>
    <n v="28.6"/>
    <d v="1900-02-01T14:24:00"/>
    <d v="1900-01-27T14:24:00"/>
    <m/>
    <m/>
    <m/>
    <m/>
    <m/>
    <m/>
    <m/>
    <m/>
    <m/>
    <m/>
    <m/>
    <m/>
    <m/>
    <m/>
    <m/>
    <m/>
    <m/>
    <m/>
    <m/>
    <m/>
    <m/>
    <m/>
    <m/>
    <m/>
    <m/>
    <m/>
    <m/>
    <m/>
    <m/>
    <m/>
    <m/>
    <m/>
  </r>
  <r>
    <m/>
    <d v="2025-02-28T00:00:00"/>
    <m/>
    <x v="2"/>
    <s v="X25010341636"/>
    <s v="TERESITA G MANAHAN"/>
    <s v="BOEING, CONCORDE SUBD, PARANAQUE"/>
    <s v="PARANAQUE CITY"/>
    <s v="PARAÑAQUE"/>
    <m/>
    <m/>
    <x v="0"/>
    <s v="WMTRL"/>
    <s v="RRG"/>
    <n v="51.019499999999994"/>
    <n v="107.48"/>
    <n v="80"/>
    <x v="8"/>
    <n v="439221.4"/>
    <n v="65045.180000000008"/>
    <m/>
    <m/>
    <d v="2025-02-25T17:05:00"/>
    <m/>
    <d v="2025-02-28T00:00:00"/>
    <m/>
    <x v="0"/>
    <m/>
    <n v="-45713.711805555555"/>
    <n v="0"/>
    <n v="0"/>
    <d v="2025-03-18T01:21:54"/>
    <d v="2025-03-27T06:46:25"/>
    <d v="2025-04-16T17:05:00"/>
    <n v="-1468.6305602689793"/>
    <n v="0"/>
    <n v="26"/>
    <n v="34"/>
    <n v="23.345070422535212"/>
    <n v="29.570422535211268"/>
    <n v="20.345070422535212"/>
    <n v="44"/>
    <n v="35.200000000000003"/>
    <n v="30.200000000000003"/>
    <d v="1900-02-03T04:48:00"/>
    <d v="1900-01-29T04:48:00"/>
    <m/>
    <m/>
    <m/>
    <m/>
    <m/>
    <m/>
    <m/>
    <m/>
    <m/>
    <m/>
    <m/>
    <m/>
    <m/>
    <m/>
    <m/>
    <m/>
    <m/>
    <m/>
    <m/>
    <m/>
    <m/>
    <m/>
    <m/>
    <m/>
    <m/>
    <m/>
    <m/>
    <m/>
    <m/>
    <m/>
    <m/>
    <m/>
  </r>
  <r>
    <m/>
    <d v="2025-02-28T00:00:00"/>
    <m/>
    <x v="2"/>
    <s v="X24072566400"/>
    <s v="JOHN TULAO CENICA"/>
    <s v="CORDILLERA, AYALA-ALABANG VILL, MUNTINLUPA"/>
    <s v="MUNTINLUPA CITY"/>
    <s v="PARAÑAQUE"/>
    <m/>
    <m/>
    <x v="2"/>
    <s v="WMTRL"/>
    <s v="IGL"/>
    <n v="15.282799999999998"/>
    <n v="27.7"/>
    <n v="80"/>
    <x v="8"/>
    <n v="233355.21"/>
    <n v="17502.760000000002"/>
    <m/>
    <m/>
    <d v="2025-02-25T14:53:00"/>
    <m/>
    <d v="2025-02-28T00:00:00"/>
    <m/>
    <x v="0"/>
    <m/>
    <n v="-45713.620138888888"/>
    <n v="0"/>
    <n v="0"/>
    <d v="2025-03-15T16:40:06"/>
    <d v="2025-03-24T07:32:40"/>
    <d v="2025-04-16T14:53:00"/>
    <n v="-1626.8670696486927"/>
    <n v="0"/>
    <n v="20"/>
    <n v="34"/>
    <n v="21.074380165289259"/>
    <n v="26.694214876033058"/>
    <n v="18.074380165289259"/>
    <n v="40"/>
    <n v="32"/>
    <n v="27"/>
    <d v="1900-01-31T00:00:00"/>
    <d v="1900-01-26T00:00:00"/>
    <m/>
    <m/>
    <m/>
    <m/>
    <m/>
    <m/>
    <m/>
    <m/>
    <m/>
    <m/>
    <m/>
    <m/>
    <m/>
    <m/>
    <m/>
    <m/>
    <m/>
    <m/>
    <m/>
    <m/>
    <m/>
    <m/>
    <m/>
    <m/>
    <m/>
    <m/>
    <m/>
    <m/>
    <m/>
    <m/>
    <m/>
    <m/>
  </r>
  <r>
    <m/>
    <d v="2025-02-28T00:00:00"/>
    <m/>
    <x v="2"/>
    <s v="X25010310664"/>
    <s v="NEBUCHADNEZZAR C RABAYA"/>
    <s v="MARINER, MOONWALK VILL, LAS PINAS CITY"/>
    <s v="LAS PINAS CITY"/>
    <s v="PARAÑAQUE"/>
    <m/>
    <m/>
    <x v="2"/>
    <s v="WMTRL"/>
    <s v="IGL"/>
    <n v="47.496200000000002"/>
    <n v="77.53"/>
    <n v="22.5"/>
    <x v="8"/>
    <n v="290132.07"/>
    <n v="43421.75"/>
    <m/>
    <m/>
    <d v="2025-02-26T19:17:00"/>
    <m/>
    <d v="2025-02-28T00:00:00"/>
    <m/>
    <x v="0"/>
    <m/>
    <n v="-45714.803472222222"/>
    <n v="0"/>
    <n v="0"/>
    <d v="2025-03-18T21:20:07"/>
    <d v="2025-03-28T01:04:57"/>
    <d v="2025-04-17T19:17:00"/>
    <n v="-1485.1790016941759"/>
    <n v="0"/>
    <n v="23"/>
    <n v="36"/>
    <n v="23.085501858736059"/>
    <n v="29.241635687732341"/>
    <n v="20.085501858736059"/>
    <n v="42"/>
    <n v="33.6"/>
    <n v="28.6"/>
    <d v="1900-02-01T14:24:00"/>
    <d v="1900-01-27T14:24:00"/>
    <m/>
    <m/>
    <m/>
    <m/>
    <m/>
    <m/>
    <m/>
    <m/>
    <m/>
    <m/>
    <m/>
    <m/>
    <m/>
    <m/>
    <m/>
    <m/>
    <m/>
    <m/>
    <m/>
    <m/>
    <m/>
    <m/>
    <m/>
    <m/>
    <m/>
    <m/>
    <m/>
    <m/>
    <m/>
    <m/>
    <m/>
    <m/>
  </r>
  <r>
    <m/>
    <d v="2025-02-28T00:00:00"/>
    <m/>
    <x v="2"/>
    <s v="X24041166209"/>
    <s v="RENAISSANCE VILLAGE HOMEOWNERS ASSOCIATION INC."/>
    <s v="BLOCK 3, RENAISSANCE VILLAGE, LAS PINAS CITY"/>
    <s v="LAS PINAS CITY"/>
    <s v="PARAÑAQUE"/>
    <m/>
    <m/>
    <x v="2"/>
    <s v="WMTRL"/>
    <s v="IGL"/>
    <n v="352.5930799999997"/>
    <n v="619"/>
    <n v="135"/>
    <x v="8"/>
    <n v="1859854.9"/>
    <n v="416660.75000000012"/>
    <m/>
    <m/>
    <d v="2025-02-26T12:47:00"/>
    <m/>
    <d v="2025-02-28T00:00:00"/>
    <m/>
    <x v="0"/>
    <m/>
    <n v="-45714.532638888886"/>
    <n v="0"/>
    <n v="0"/>
    <d v="2025-03-21T01:32:57"/>
    <d v="2025-03-30T20:57:13"/>
    <d v="2025-04-17T12:47:00"/>
    <n v="-1342.8643962673609"/>
    <n v="0"/>
    <n v="40"/>
    <n v="32"/>
    <n v="25.531914893617024"/>
    <n v="32.340425531914896"/>
    <n v="22.531914893617024"/>
    <n v="55"/>
    <n v="44"/>
    <n v="39"/>
    <d v="1900-02-12T00:00:00"/>
    <d v="1900-02-07T00:00:00"/>
    <m/>
    <m/>
    <m/>
    <m/>
    <m/>
    <m/>
    <m/>
    <m/>
    <m/>
    <m/>
    <m/>
    <m/>
    <m/>
    <m/>
    <m/>
    <m/>
    <m/>
    <m/>
    <m/>
    <m/>
    <m/>
    <m/>
    <m/>
    <m/>
    <m/>
    <m/>
    <m/>
    <m/>
    <m/>
    <m/>
    <m/>
    <m/>
  </r>
  <r>
    <m/>
    <d v="2025-02-28T00:00:00"/>
    <m/>
    <x v="1"/>
    <s v="X25010209684"/>
    <s v="UNIOIL PETROLEUM PHILIPPINES, INC."/>
    <s v="EAST SERVICE, SN MARTIN DE PORRES, PARANAQUE"/>
    <s v="PARANAQUE CITY"/>
    <s v="PARAÑAQUE"/>
    <m/>
    <m/>
    <x v="2"/>
    <s v="WMTRL"/>
    <s v="IGL"/>
    <n v="10.332799999999999"/>
    <n v="20.52"/>
    <n v="16"/>
    <x v="8"/>
    <n v="143724.53"/>
    <n v="10792.18"/>
    <m/>
    <m/>
    <d v="2025-02-25T16:48:00"/>
    <m/>
    <d v="2025-02-28T00:00:00"/>
    <m/>
    <x v="0"/>
    <m/>
    <n v="-45713.7"/>
    <n v="0"/>
    <n v="0"/>
    <d v="2025-03-16T11:22:50"/>
    <d v="2025-03-25T06:44:08"/>
    <d v="2025-04-16T16:48:00"/>
    <n v="-1574.5829999999996"/>
    <n v="0"/>
    <n v="20"/>
    <n v="36"/>
    <n v="21.774193548387096"/>
    <n v="27.58064516129032"/>
    <n v="18.774193548387096"/>
    <n v="40"/>
    <n v="32"/>
    <n v="27"/>
    <d v="1900-01-31T00:00:00"/>
    <d v="1900-01-26T00:00:00"/>
    <m/>
    <m/>
    <m/>
    <m/>
    <m/>
    <m/>
    <m/>
    <m/>
    <m/>
    <m/>
    <m/>
    <m/>
    <m/>
    <m/>
    <m/>
    <m/>
    <m/>
    <m/>
    <m/>
    <m/>
    <m/>
    <m/>
    <m/>
    <m/>
    <m/>
    <m/>
    <m/>
    <m/>
    <m/>
    <m/>
    <m/>
    <m/>
  </r>
  <r>
    <m/>
    <m/>
    <m/>
    <x v="1"/>
    <s v="X25010136657"/>
    <s v="COFFEE MASTERS, INC."/>
    <s v="MOLINO BLVD, MOLINO III, BACOOR"/>
    <s v="BACOOR CITY"/>
    <s v="DASMA"/>
    <m/>
    <m/>
    <x v="5"/>
    <s v="SCHED"/>
    <s v="IGL"/>
    <n v="0"/>
    <n v="66.03"/>
    <n v="142"/>
    <x v="8"/>
    <n v="472661.66"/>
    <m/>
    <m/>
    <m/>
    <d v="2025-02-24T16:50:00"/>
    <d v="2025-03-01T04:21:00"/>
    <d v="2025-02-28T00:00:00"/>
    <m/>
    <x v="0"/>
    <m/>
    <n v="-45712.701388888891"/>
    <n v="-45717.181250000001"/>
    <n v="0"/>
    <d v="2025-03-15T04:19:11"/>
    <d v="2025-03-23T21:46:58"/>
    <d v="2025-04-15T16:50:00"/>
    <n v="-1596.2179696935386"/>
    <n v="0"/>
    <n v="23"/>
    <n v="32"/>
    <n v="21.478599221789885"/>
    <n v="27.206225680933851"/>
    <n v="18.478599221789885"/>
    <n v="42"/>
    <n v="33.6"/>
    <n v="28.6"/>
    <d v="1900-02-01T14:24:00"/>
    <d v="1900-01-27T14:24:00"/>
    <m/>
    <m/>
    <m/>
    <m/>
    <m/>
    <m/>
    <m/>
    <m/>
    <m/>
    <m/>
    <m/>
    <m/>
    <m/>
    <m/>
    <m/>
    <m/>
    <m/>
    <m/>
    <m/>
    <m/>
    <m/>
    <m/>
    <m/>
    <m/>
    <m/>
    <m/>
    <m/>
    <m/>
    <m/>
    <m/>
    <m/>
    <m/>
  </r>
  <r>
    <m/>
    <m/>
    <m/>
    <x v="1"/>
    <s v="X24072764755"/>
    <s v="OSAVE TRADING PHILIPPINES CORPORATION"/>
    <s v="GEN. EVANGELISTA, POBLACION, BACOOR"/>
    <s v="BACOOR CITY"/>
    <s v="DASMA"/>
    <m/>
    <m/>
    <x v="5"/>
    <s v="WMTRL"/>
    <s v="IGL"/>
    <n v="0"/>
    <n v="18.920000000000002"/>
    <n v="18"/>
    <x v="8"/>
    <n v="143807.71"/>
    <m/>
    <m/>
    <m/>
    <d v="2025-02-26T12:51:00"/>
    <m/>
    <d v="2025-02-28T00:00:00"/>
    <m/>
    <x v="0"/>
    <m/>
    <n v="-45714.535416666666"/>
    <n v="0"/>
    <n v="0"/>
    <d v="2025-03-17T07:25:50"/>
    <d v="2025-03-26T02:47:08"/>
    <d v="2025-04-17T12:51:00"/>
    <n v="-1574.6117754629629"/>
    <n v="0"/>
    <n v="20"/>
    <n v="36"/>
    <n v="21.774193548387096"/>
    <n v="27.58064516129032"/>
    <n v="18.774193548387096"/>
    <n v="40"/>
    <n v="32"/>
    <n v="27"/>
    <d v="1900-01-31T00:00:00"/>
    <d v="1900-01-26T00:00:00"/>
    <m/>
    <m/>
    <m/>
    <m/>
    <m/>
    <m/>
    <m/>
    <m/>
    <m/>
    <m/>
    <m/>
    <m/>
    <m/>
    <m/>
    <m/>
    <m/>
    <m/>
    <m/>
    <m/>
    <m/>
    <m/>
    <m/>
    <m/>
    <m/>
    <m/>
    <m/>
    <m/>
    <m/>
    <m/>
    <m/>
    <m/>
    <m/>
  </r>
  <r>
    <m/>
    <m/>
    <m/>
    <x v="1"/>
    <s v="X24030853956"/>
    <s v="MARIFE GARCIA PARCON"/>
    <s v="QUIRINO, ZAPOTE, LAS PINAS CITY"/>
    <s v="LAS PINAS CITY"/>
    <s v="PARAÑAQUE"/>
    <m/>
    <m/>
    <x v="6"/>
    <s v="WMTRL"/>
    <s v="IJP"/>
    <n v="0"/>
    <n v="103.9"/>
    <n v="237"/>
    <x v="8"/>
    <n v="674882.29"/>
    <m/>
    <m/>
    <m/>
    <d v="2025-02-25T08:36:00"/>
    <m/>
    <d v="2025-02-28T00:00:00"/>
    <m/>
    <x v="0"/>
    <m/>
    <n v="-45713.35833333333"/>
    <n v="0"/>
    <n v="0"/>
    <d v="2025-03-15T20:46:35"/>
    <d v="2025-03-24T14:25:25"/>
    <d v="2025-04-16T08:36:00"/>
    <n v="-1594.1068547008545"/>
    <n v="0"/>
    <n v="26"/>
    <n v="30"/>
    <n v="21.507352941176471"/>
    <n v="27.242647058823529"/>
    <n v="18.507352941176471"/>
    <n v="44"/>
    <n v="35.200000000000003"/>
    <n v="30.200000000000003"/>
    <d v="1900-02-03T04:48:00"/>
    <d v="1900-01-29T04:48:00"/>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1"/>
    <s v="X23020674043"/>
    <s v="ALSTOM TRANSPORT CONSTRUCTION PHILIPPINES, INC."/>
    <s v="ASIAWORLD CITY, ASIAWORLD CITY, PARANAQUE"/>
    <s v="PARAÑAQUE CITY"/>
    <s v="PARAÑAQUE"/>
    <m/>
    <m/>
    <x v="4"/>
    <s v="PCAN"/>
    <s v="HSP"/>
    <m/>
    <m/>
    <n v="78"/>
    <x v="8"/>
    <m/>
    <m/>
    <m/>
    <m/>
    <m/>
    <m/>
    <d v="2023-05-31T00:00:00"/>
    <m/>
    <x v="0"/>
    <m/>
    <n v="0"/>
    <n v="0"/>
    <n v="0"/>
    <d v="1900-01-17T01:47:06"/>
    <d v="1900-01-25T16:39:40"/>
    <d v="1900-02-18T00:00:00"/>
    <n v="0"/>
    <n v="0"/>
    <n v="20"/>
    <n v="34"/>
    <n v="21.074380165289259"/>
    <n v="26.694214876033058"/>
    <n v="18.074380165289259"/>
    <n v="40"/>
    <n v="32"/>
    <n v="27"/>
    <d v="1900-01-31T00:00:00"/>
    <d v="1900-01-26T00:00:00"/>
    <m/>
    <m/>
    <m/>
    <m/>
    <m/>
    <m/>
    <m/>
    <m/>
    <m/>
    <m/>
    <d v="1900-01-14T00:00:00"/>
    <n v="0"/>
    <m/>
    <m/>
    <m/>
    <m/>
    <m/>
    <m/>
    <m/>
    <m/>
    <m/>
    <m/>
    <s v="Y"/>
    <m/>
    <m/>
    <m/>
    <m/>
    <m/>
    <m/>
    <m/>
    <m/>
    <s v="B5-1722, B5-8009, B5-8010, B5-8011, B5-8012, B5-8013, B5-8014, 516190"/>
  </r>
  <r>
    <m/>
    <m/>
    <m/>
    <x v="1"/>
    <s v="X23020672397"/>
    <s v="LIGHT RAIL MANILA CORPORATION,"/>
    <s v="DR. A SANTOS, SAN DIONISIO, PARANAQUE"/>
    <s v="PARAÑAQUE CITY"/>
    <s v="PARAÑAQUE"/>
    <m/>
    <m/>
    <x v="3"/>
    <s v="PCAN"/>
    <s v="JSP"/>
    <m/>
    <m/>
    <n v="78"/>
    <x v="8"/>
    <m/>
    <m/>
    <m/>
    <m/>
    <m/>
    <m/>
    <d v="2023-05-31T00:00:00"/>
    <m/>
    <x v="0"/>
    <m/>
    <n v="0"/>
    <n v="0"/>
    <n v="0"/>
    <d v="1900-01-17T01:47:06"/>
    <d v="1900-01-25T16:39:40"/>
    <d v="1900-02-18T00:00:00"/>
    <n v="0"/>
    <n v="0"/>
    <n v="20"/>
    <n v="34"/>
    <n v="21.074380165289259"/>
    <n v="26.694214876033058"/>
    <n v="18.074380165289259"/>
    <n v="40"/>
    <n v="32"/>
    <n v="27"/>
    <d v="1900-01-31T00:00:00"/>
    <d v="1900-01-26T00:00:00"/>
    <m/>
    <m/>
    <m/>
    <m/>
    <m/>
    <m/>
    <m/>
    <m/>
    <m/>
    <m/>
    <d v="1900-01-14T00:00:00"/>
    <n v="0"/>
    <m/>
    <m/>
    <m/>
    <m/>
    <m/>
    <m/>
    <m/>
    <m/>
    <m/>
    <m/>
    <s v="Y"/>
    <m/>
    <m/>
    <m/>
    <m/>
    <m/>
    <m/>
    <m/>
    <m/>
    <s v="CZ8-0012-T, CZ8-2171, CZ8-8011, CZ8-8012, CZ8-8013, CZ8-8014, CZ8-8015, CZ8-8016, CZ8-8017, CZ8-8018, CZ8-8019, CZ8-8020, CZ8-8021, CZ8-8022"/>
  </r>
  <r>
    <m/>
    <m/>
    <m/>
    <x v="2"/>
    <s v="X23041442002"/>
    <s v="CARTER ONG KHO"/>
    <s v="THOMAS, MULTINATIONAL VILL, PARANAQUE"/>
    <s v="PARAÑAQUE CITY"/>
    <s v="PARAÑAQUE"/>
    <m/>
    <m/>
    <x v="2"/>
    <s v="PCAN"/>
    <s v="JSP"/>
    <m/>
    <m/>
    <m/>
    <x v="5"/>
    <m/>
    <m/>
    <m/>
    <m/>
    <d v="2023-09-25T17:47:00"/>
    <m/>
    <d v="2023-09-28T00:00:00"/>
    <m/>
    <x v="0"/>
    <m/>
    <n v="-45194.740972222222"/>
    <n v="0"/>
    <n v="0"/>
    <d v="2023-10-14T12:21:50"/>
    <d v="2023-10-23T07:43:08"/>
    <d v="2023-11-14T17:47:00"/>
    <n v="-1556.7077445987654"/>
    <n v="0"/>
    <n v="20"/>
    <n v="36"/>
    <n v="21.774193548387096"/>
    <n v="27.58064516129032"/>
    <n v="18.774193548387096"/>
    <n v="40"/>
    <n v="32"/>
    <n v="27"/>
    <d v="1900-01-31T00:00:00"/>
    <d v="1900-01-26T00:00:00"/>
    <m/>
    <m/>
    <m/>
    <m/>
    <m/>
    <m/>
    <m/>
    <m/>
    <m/>
    <m/>
    <d v="1900-01-14T00:00:00"/>
    <n v="0"/>
    <m/>
    <m/>
    <m/>
    <m/>
    <m/>
    <m/>
    <m/>
    <m/>
    <m/>
    <m/>
    <m/>
    <m/>
    <m/>
    <m/>
    <m/>
    <m/>
    <m/>
    <m/>
    <m/>
    <m/>
  </r>
  <r>
    <m/>
    <m/>
    <m/>
    <x v="1"/>
    <s v="X23093509294"/>
    <s v="PHILIPPINE SKYLANDERS INT'L. (PSI), INC."/>
    <s v="NAIA, PASAY, PASAY CITY"/>
    <s v="PASAY CITY"/>
    <s v="PARAÑAQUE"/>
    <m/>
    <m/>
    <x v="1"/>
    <s v="DCOMP"/>
    <s v="JSB"/>
    <m/>
    <m/>
    <m/>
    <x v="2"/>
    <m/>
    <m/>
    <m/>
    <m/>
    <m/>
    <m/>
    <m/>
    <m/>
    <x v="0"/>
    <m/>
    <n v="0"/>
    <n v="0"/>
    <n v="0"/>
    <d v="1900-01-17T18:34:50"/>
    <d v="1900-01-26T13:56:08"/>
    <d v="1900-02-18T00:00:00"/>
    <n v="0"/>
    <n v="0"/>
    <n v="20"/>
    <n v="36"/>
    <n v="21.774193548387096"/>
    <n v="27.58064516129032"/>
    <n v="18.774193548387096"/>
    <n v="40"/>
    <n v="32"/>
    <n v="27"/>
    <d v="1900-01-31T00:00:00"/>
    <d v="1900-01-26T00:00:00"/>
    <m/>
    <m/>
    <m/>
    <m/>
    <m/>
    <m/>
    <m/>
    <m/>
    <m/>
    <m/>
    <d v="1900-01-14T00:00:00"/>
    <n v="0"/>
    <m/>
    <m/>
    <m/>
    <m/>
    <m/>
    <m/>
    <m/>
    <m/>
    <m/>
    <m/>
    <m/>
    <m/>
    <m/>
    <m/>
    <m/>
    <m/>
    <m/>
    <m/>
    <m/>
    <m/>
  </r>
  <r>
    <m/>
    <m/>
    <m/>
    <x v="2"/>
    <s v="X23083399939"/>
    <s v="ROVIE LAYNES MALDOS"/>
    <s v="BLDG. 1, CIUDAD KAUNLARAN, BACOOR"/>
    <s v="BACOOR CITY"/>
    <s v="DASMA"/>
    <m/>
    <m/>
    <x v="3"/>
    <s v="PCAN"/>
    <s v="JSP"/>
    <m/>
    <m/>
    <n v="160"/>
    <x v="8"/>
    <m/>
    <m/>
    <m/>
    <m/>
    <m/>
    <m/>
    <m/>
    <m/>
    <x v="0"/>
    <m/>
    <n v="0"/>
    <n v="0"/>
    <n v="0"/>
    <d v="1900-01-16T08:08:08"/>
    <d v="1900-01-24T18:18:18"/>
    <d v="1900-02-18T00:00:00"/>
    <n v="0"/>
    <n v="0"/>
    <n v="20"/>
    <n v="32"/>
    <n v="20.33898305084746"/>
    <n v="25.762711864406779"/>
    <n v="17.33898305084746"/>
    <n v="40"/>
    <n v="32"/>
    <n v="27"/>
    <d v="1900-01-31T00:00:00"/>
    <d v="1900-01-26T00:00:00"/>
    <m/>
    <m/>
    <m/>
    <m/>
    <m/>
    <m/>
    <m/>
    <m/>
    <m/>
    <m/>
    <d v="1900-01-14T00:00:00"/>
    <n v="0"/>
    <m/>
    <m/>
    <m/>
    <m/>
    <m/>
    <m/>
    <m/>
    <m/>
    <m/>
    <m/>
    <m/>
    <m/>
    <m/>
    <m/>
    <m/>
    <m/>
    <m/>
    <m/>
    <m/>
    <m/>
  </r>
  <r>
    <m/>
    <m/>
    <m/>
    <x v="2"/>
    <s v="X24072743047"/>
    <s v="CITY GOVT OF LAS PIÑAS,"/>
    <s v="BF RESORT, TALON II, LAS PINAS CITY"/>
    <s v="LAS PINAS"/>
    <s v="PARAÑAQUE"/>
    <m/>
    <m/>
    <x v="3"/>
    <s v="PCAN"/>
    <m/>
    <m/>
    <m/>
    <n v="29"/>
    <x v="8"/>
    <m/>
    <m/>
    <m/>
    <m/>
    <m/>
    <m/>
    <m/>
    <m/>
    <x v="0"/>
    <m/>
    <m/>
    <m/>
    <m/>
    <m/>
    <m/>
    <m/>
    <m/>
    <m/>
    <m/>
    <m/>
    <m/>
    <m/>
    <m/>
    <m/>
    <m/>
    <m/>
    <m/>
    <m/>
    <m/>
    <m/>
    <m/>
    <m/>
    <m/>
    <m/>
    <m/>
    <m/>
    <m/>
    <m/>
    <d v="1900-01-14T00:00:00"/>
    <m/>
    <m/>
    <m/>
    <m/>
    <m/>
    <m/>
    <m/>
    <m/>
    <m/>
    <m/>
    <m/>
    <m/>
    <m/>
    <m/>
    <m/>
    <m/>
    <m/>
    <m/>
    <m/>
    <m/>
    <m/>
  </r>
  <r>
    <m/>
    <m/>
    <m/>
    <x v="6"/>
    <m/>
    <m/>
    <m/>
    <m/>
    <m/>
    <m/>
    <m/>
    <x v="7"/>
    <m/>
    <m/>
    <m/>
    <m/>
    <m/>
    <x v="12"/>
    <m/>
    <m/>
    <m/>
    <m/>
    <m/>
    <m/>
    <m/>
    <m/>
    <x v="0"/>
    <m/>
    <m/>
    <m/>
    <m/>
    <m/>
    <m/>
    <m/>
    <m/>
    <m/>
    <m/>
    <m/>
    <m/>
    <m/>
    <m/>
    <m/>
    <m/>
    <m/>
    <m/>
    <m/>
    <m/>
    <m/>
    <m/>
    <m/>
    <m/>
    <m/>
    <m/>
    <m/>
    <m/>
    <m/>
    <d v="1900-01-14T00:00:00"/>
    <m/>
    <m/>
    <m/>
    <m/>
    <m/>
    <m/>
    <m/>
    <m/>
    <m/>
    <m/>
    <m/>
    <m/>
    <m/>
    <m/>
    <m/>
    <m/>
    <m/>
    <m/>
    <m/>
    <m/>
    <m/>
  </r>
  <r>
    <m/>
    <m/>
    <m/>
    <x v="6"/>
    <m/>
    <m/>
    <m/>
    <m/>
    <m/>
    <m/>
    <m/>
    <x v="7"/>
    <m/>
    <m/>
    <m/>
    <m/>
    <m/>
    <x v="12"/>
    <m/>
    <m/>
    <m/>
    <m/>
    <m/>
    <m/>
    <m/>
    <m/>
    <x v="0"/>
    <m/>
    <m/>
    <m/>
    <m/>
    <m/>
    <m/>
    <m/>
    <m/>
    <m/>
    <m/>
    <m/>
    <m/>
    <m/>
    <m/>
    <m/>
    <m/>
    <m/>
    <m/>
    <m/>
    <m/>
    <m/>
    <m/>
    <m/>
    <m/>
    <m/>
    <m/>
    <m/>
    <m/>
    <m/>
    <d v="1900-01-14T00:00:00"/>
    <m/>
    <m/>
    <m/>
    <m/>
    <m/>
    <m/>
    <m/>
    <m/>
    <m/>
    <m/>
    <m/>
    <m/>
    <m/>
    <m/>
    <m/>
    <m/>
    <m/>
    <m/>
    <m/>
    <m/>
    <m/>
  </r>
  <r>
    <m/>
    <m/>
    <m/>
    <x v="6"/>
    <m/>
    <m/>
    <m/>
    <m/>
    <m/>
    <m/>
    <m/>
    <x v="7"/>
    <m/>
    <m/>
    <m/>
    <m/>
    <m/>
    <x v="12"/>
    <m/>
    <m/>
    <m/>
    <m/>
    <m/>
    <m/>
    <m/>
    <m/>
    <x v="0"/>
    <m/>
    <m/>
    <m/>
    <m/>
    <m/>
    <m/>
    <m/>
    <m/>
    <m/>
    <m/>
    <m/>
    <m/>
    <m/>
    <m/>
    <m/>
    <m/>
    <m/>
    <m/>
    <m/>
    <m/>
    <m/>
    <m/>
    <m/>
    <m/>
    <m/>
    <m/>
    <m/>
    <m/>
    <m/>
    <d v="1900-01-14T00:00:00"/>
    <m/>
    <m/>
    <m/>
    <m/>
    <m/>
    <m/>
    <m/>
    <m/>
    <m/>
    <m/>
    <m/>
    <m/>
    <m/>
    <m/>
    <m/>
    <m/>
    <m/>
    <m/>
    <m/>
    <m/>
    <m/>
  </r>
  <r>
    <m/>
    <m/>
    <m/>
    <x v="6"/>
    <m/>
    <m/>
    <m/>
    <m/>
    <m/>
    <m/>
    <m/>
    <x v="7"/>
    <m/>
    <m/>
    <m/>
    <m/>
    <m/>
    <x v="12"/>
    <m/>
    <m/>
    <m/>
    <m/>
    <m/>
    <m/>
    <m/>
    <m/>
    <x v="0"/>
    <m/>
    <m/>
    <m/>
    <m/>
    <m/>
    <m/>
    <m/>
    <m/>
    <m/>
    <m/>
    <m/>
    <m/>
    <m/>
    <m/>
    <m/>
    <m/>
    <m/>
    <m/>
    <m/>
    <m/>
    <m/>
    <m/>
    <m/>
    <m/>
    <m/>
    <m/>
    <m/>
    <m/>
    <m/>
    <d v="1900-01-14T00:00:00"/>
    <m/>
    <m/>
    <m/>
    <m/>
    <m/>
    <m/>
    <m/>
    <m/>
    <m/>
    <m/>
    <m/>
    <m/>
    <m/>
    <m/>
    <m/>
    <m/>
    <m/>
    <m/>
    <m/>
    <m/>
    <m/>
  </r>
  <r>
    <m/>
    <m/>
    <m/>
    <x v="6"/>
    <m/>
    <m/>
    <m/>
    <m/>
    <m/>
    <m/>
    <m/>
    <x v="7"/>
    <m/>
    <m/>
    <m/>
    <m/>
    <m/>
    <x v="12"/>
    <m/>
    <m/>
    <m/>
    <m/>
    <m/>
    <m/>
    <m/>
    <m/>
    <x v="0"/>
    <m/>
    <m/>
    <m/>
    <m/>
    <m/>
    <m/>
    <m/>
    <m/>
    <m/>
    <m/>
    <m/>
    <m/>
    <m/>
    <m/>
    <m/>
    <m/>
    <m/>
    <m/>
    <m/>
    <m/>
    <m/>
    <m/>
    <m/>
    <m/>
    <m/>
    <m/>
    <m/>
    <m/>
    <m/>
    <d v="1900-01-14T00:00:00"/>
    <m/>
    <m/>
    <m/>
    <m/>
    <m/>
    <m/>
    <m/>
    <m/>
    <m/>
    <m/>
    <m/>
    <m/>
    <m/>
    <m/>
    <m/>
    <m/>
    <m/>
    <m/>
    <m/>
    <m/>
    <m/>
  </r>
  <r>
    <m/>
    <m/>
    <m/>
    <x v="6"/>
    <m/>
    <m/>
    <m/>
    <m/>
    <m/>
    <m/>
    <m/>
    <x v="7"/>
    <m/>
    <m/>
    <m/>
    <m/>
    <m/>
    <x v="12"/>
    <m/>
    <m/>
    <m/>
    <m/>
    <m/>
    <m/>
    <m/>
    <m/>
    <x v="0"/>
    <m/>
    <m/>
    <m/>
    <m/>
    <m/>
    <m/>
    <m/>
    <m/>
    <m/>
    <m/>
    <m/>
    <m/>
    <m/>
    <m/>
    <m/>
    <m/>
    <m/>
    <m/>
    <m/>
    <m/>
    <m/>
    <m/>
    <m/>
    <m/>
    <m/>
    <m/>
    <m/>
    <m/>
    <m/>
    <d v="1900-01-14T00:00:00"/>
    <m/>
    <m/>
    <m/>
    <m/>
    <m/>
    <m/>
    <m/>
    <m/>
    <m/>
    <m/>
    <m/>
    <m/>
    <m/>
    <m/>
    <m/>
    <m/>
    <m/>
    <m/>
    <m/>
    <m/>
    <m/>
  </r>
  <r>
    <m/>
    <m/>
    <m/>
    <x v="6"/>
    <m/>
    <m/>
    <m/>
    <m/>
    <m/>
    <m/>
    <m/>
    <x v="7"/>
    <m/>
    <m/>
    <m/>
    <m/>
    <m/>
    <x v="12"/>
    <m/>
    <m/>
    <m/>
    <m/>
    <m/>
    <m/>
    <m/>
    <m/>
    <x v="0"/>
    <m/>
    <m/>
    <m/>
    <m/>
    <m/>
    <m/>
    <m/>
    <m/>
    <m/>
    <m/>
    <m/>
    <m/>
    <m/>
    <m/>
    <m/>
    <m/>
    <m/>
    <m/>
    <m/>
    <m/>
    <m/>
    <m/>
    <m/>
    <m/>
    <m/>
    <m/>
    <m/>
    <m/>
    <m/>
    <d v="1900-01-14T00:00:00"/>
    <m/>
    <m/>
    <m/>
    <m/>
    <m/>
    <m/>
    <m/>
    <m/>
    <m/>
    <m/>
    <m/>
    <m/>
    <m/>
    <m/>
    <m/>
    <m/>
    <m/>
    <m/>
    <m/>
    <m/>
    <m/>
  </r>
  <r>
    <m/>
    <m/>
    <m/>
    <x v="6"/>
    <m/>
    <m/>
    <m/>
    <m/>
    <m/>
    <m/>
    <m/>
    <x v="7"/>
    <m/>
    <m/>
    <m/>
    <m/>
    <m/>
    <x v="12"/>
    <m/>
    <m/>
    <m/>
    <m/>
    <m/>
    <m/>
    <m/>
    <m/>
    <x v="0"/>
    <m/>
    <m/>
    <m/>
    <m/>
    <m/>
    <m/>
    <m/>
    <m/>
    <m/>
    <m/>
    <m/>
    <m/>
    <m/>
    <m/>
    <m/>
    <m/>
    <m/>
    <m/>
    <m/>
    <m/>
    <m/>
    <m/>
    <m/>
    <m/>
    <m/>
    <m/>
    <m/>
    <m/>
    <m/>
    <d v="1900-01-14T00:00:00"/>
    <m/>
    <m/>
    <m/>
    <m/>
    <m/>
    <m/>
    <m/>
    <m/>
    <m/>
    <m/>
    <m/>
    <m/>
    <m/>
    <m/>
    <m/>
    <m/>
    <m/>
    <m/>
    <m/>
    <m/>
    <m/>
  </r>
  <r>
    <m/>
    <m/>
    <m/>
    <x v="6"/>
    <m/>
    <m/>
    <m/>
    <m/>
    <m/>
    <m/>
    <m/>
    <x v="7"/>
    <m/>
    <m/>
    <m/>
    <m/>
    <m/>
    <x v="12"/>
    <m/>
    <m/>
    <m/>
    <m/>
    <m/>
    <m/>
    <m/>
    <m/>
    <x v="0"/>
    <m/>
    <m/>
    <m/>
    <m/>
    <m/>
    <m/>
    <m/>
    <m/>
    <m/>
    <m/>
    <m/>
    <m/>
    <m/>
    <m/>
    <m/>
    <m/>
    <m/>
    <m/>
    <m/>
    <m/>
    <m/>
    <m/>
    <m/>
    <m/>
    <m/>
    <m/>
    <m/>
    <m/>
    <m/>
    <d v="1900-01-14T00:00:00"/>
    <m/>
    <m/>
    <m/>
    <m/>
    <m/>
    <m/>
    <m/>
    <m/>
    <m/>
    <m/>
    <m/>
    <m/>
    <m/>
    <m/>
    <m/>
    <m/>
    <m/>
    <m/>
    <m/>
    <m/>
    <m/>
  </r>
  <r>
    <m/>
    <m/>
    <m/>
    <x v="6"/>
    <m/>
    <m/>
    <m/>
    <m/>
    <m/>
    <m/>
    <m/>
    <x v="7"/>
    <m/>
    <m/>
    <m/>
    <m/>
    <m/>
    <x v="12"/>
    <m/>
    <m/>
    <m/>
    <m/>
    <m/>
    <m/>
    <m/>
    <m/>
    <x v="0"/>
    <m/>
    <m/>
    <m/>
    <m/>
    <m/>
    <m/>
    <m/>
    <m/>
    <m/>
    <m/>
    <m/>
    <m/>
    <m/>
    <m/>
    <m/>
    <m/>
    <m/>
    <m/>
    <m/>
    <m/>
    <m/>
    <m/>
    <m/>
    <m/>
    <m/>
    <m/>
    <m/>
    <m/>
    <m/>
    <d v="1900-01-14T00:00:00"/>
    <m/>
    <m/>
    <m/>
    <m/>
    <m/>
    <m/>
    <m/>
    <m/>
    <m/>
    <m/>
    <m/>
    <m/>
    <m/>
    <m/>
    <m/>
    <m/>
    <m/>
    <m/>
    <m/>
    <m/>
    <m/>
  </r>
  <r>
    <m/>
    <m/>
    <m/>
    <x v="6"/>
    <m/>
    <m/>
    <m/>
    <m/>
    <m/>
    <m/>
    <m/>
    <x v="7"/>
    <m/>
    <m/>
    <m/>
    <m/>
    <m/>
    <x v="12"/>
    <m/>
    <m/>
    <m/>
    <m/>
    <m/>
    <m/>
    <m/>
    <m/>
    <x v="0"/>
    <m/>
    <m/>
    <m/>
    <m/>
    <m/>
    <m/>
    <m/>
    <m/>
    <m/>
    <m/>
    <m/>
    <m/>
    <m/>
    <m/>
    <m/>
    <m/>
    <m/>
    <m/>
    <m/>
    <m/>
    <m/>
    <m/>
    <m/>
    <m/>
    <m/>
    <m/>
    <m/>
    <m/>
    <m/>
    <d v="1900-01-14T00:00:00"/>
    <m/>
    <m/>
    <m/>
    <m/>
    <m/>
    <m/>
    <m/>
    <m/>
    <m/>
    <m/>
    <m/>
    <m/>
    <m/>
    <m/>
    <m/>
    <m/>
    <m/>
    <m/>
    <m/>
    <m/>
    <m/>
  </r>
  <r>
    <m/>
    <m/>
    <m/>
    <x v="6"/>
    <m/>
    <m/>
    <m/>
    <m/>
    <m/>
    <m/>
    <m/>
    <x v="7"/>
    <m/>
    <m/>
    <m/>
    <m/>
    <m/>
    <x v="12"/>
    <m/>
    <m/>
    <m/>
    <m/>
    <m/>
    <m/>
    <m/>
    <m/>
    <x v="0"/>
    <m/>
    <m/>
    <m/>
    <m/>
    <m/>
    <m/>
    <m/>
    <m/>
    <m/>
    <m/>
    <m/>
    <m/>
    <m/>
    <m/>
    <m/>
    <m/>
    <m/>
    <m/>
    <m/>
    <m/>
    <m/>
    <m/>
    <m/>
    <m/>
    <m/>
    <m/>
    <m/>
    <m/>
    <m/>
    <d v="1900-01-14T00:00:00"/>
    <m/>
    <m/>
    <m/>
    <m/>
    <m/>
    <m/>
    <m/>
    <m/>
    <m/>
    <m/>
    <m/>
    <m/>
    <m/>
    <m/>
    <m/>
    <m/>
    <m/>
    <m/>
    <m/>
    <m/>
    <m/>
  </r>
  <r>
    <m/>
    <m/>
    <m/>
    <x v="6"/>
    <m/>
    <m/>
    <m/>
    <m/>
    <m/>
    <m/>
    <m/>
    <x v="7"/>
    <m/>
    <m/>
    <m/>
    <m/>
    <m/>
    <x v="12"/>
    <m/>
    <m/>
    <m/>
    <m/>
    <m/>
    <m/>
    <m/>
    <m/>
    <x v="0"/>
    <m/>
    <m/>
    <m/>
    <m/>
    <m/>
    <m/>
    <m/>
    <m/>
    <m/>
    <m/>
    <m/>
    <m/>
    <m/>
    <m/>
    <m/>
    <m/>
    <m/>
    <m/>
    <m/>
    <m/>
    <m/>
    <m/>
    <m/>
    <m/>
    <m/>
    <m/>
    <m/>
    <m/>
    <m/>
    <d v="1900-01-14T00:00:00"/>
    <m/>
    <m/>
    <m/>
    <m/>
    <m/>
    <m/>
    <m/>
    <m/>
    <m/>
    <m/>
    <m/>
    <m/>
    <m/>
    <m/>
    <m/>
    <m/>
    <m/>
    <m/>
    <m/>
    <m/>
    <m/>
  </r>
  <r>
    <m/>
    <m/>
    <m/>
    <x v="6"/>
    <m/>
    <m/>
    <m/>
    <m/>
    <m/>
    <m/>
    <m/>
    <x v="7"/>
    <m/>
    <m/>
    <m/>
    <m/>
    <m/>
    <x v="12"/>
    <m/>
    <m/>
    <m/>
    <m/>
    <m/>
    <m/>
    <m/>
    <m/>
    <x v="0"/>
    <m/>
    <m/>
    <m/>
    <m/>
    <m/>
    <m/>
    <m/>
    <m/>
    <m/>
    <m/>
    <m/>
    <m/>
    <m/>
    <m/>
    <m/>
    <m/>
    <m/>
    <m/>
    <m/>
    <m/>
    <m/>
    <m/>
    <m/>
    <m/>
    <m/>
    <m/>
    <m/>
    <m/>
    <m/>
    <d v="1900-01-14T00:00:00"/>
    <m/>
    <m/>
    <m/>
    <m/>
    <m/>
    <m/>
    <m/>
    <m/>
    <m/>
    <m/>
    <m/>
    <m/>
    <m/>
    <m/>
    <m/>
    <m/>
    <m/>
    <m/>
    <m/>
    <m/>
    <m/>
  </r>
  <r>
    <m/>
    <m/>
    <m/>
    <x v="6"/>
    <m/>
    <m/>
    <m/>
    <m/>
    <m/>
    <m/>
    <m/>
    <x v="7"/>
    <m/>
    <m/>
    <m/>
    <m/>
    <m/>
    <x v="12"/>
    <m/>
    <m/>
    <m/>
    <m/>
    <m/>
    <m/>
    <m/>
    <m/>
    <x v="0"/>
    <m/>
    <m/>
    <m/>
    <m/>
    <m/>
    <m/>
    <m/>
    <m/>
    <m/>
    <m/>
    <m/>
    <m/>
    <m/>
    <m/>
    <m/>
    <m/>
    <m/>
    <m/>
    <m/>
    <m/>
    <m/>
    <m/>
    <m/>
    <m/>
    <m/>
    <m/>
    <m/>
    <m/>
    <m/>
    <d v="1900-01-14T00:00:00"/>
    <m/>
    <m/>
    <m/>
    <m/>
    <m/>
    <m/>
    <m/>
    <m/>
    <m/>
    <m/>
    <m/>
    <m/>
    <m/>
    <m/>
    <m/>
    <m/>
    <m/>
    <m/>
    <m/>
    <m/>
    <m/>
  </r>
  <r>
    <m/>
    <m/>
    <m/>
    <x v="6"/>
    <m/>
    <m/>
    <m/>
    <m/>
    <m/>
    <m/>
    <m/>
    <x v="7"/>
    <m/>
    <m/>
    <m/>
    <m/>
    <m/>
    <x v="12"/>
    <m/>
    <m/>
    <m/>
    <m/>
    <m/>
    <m/>
    <m/>
    <m/>
    <x v="0"/>
    <m/>
    <m/>
    <m/>
    <m/>
    <m/>
    <m/>
    <m/>
    <m/>
    <m/>
    <m/>
    <m/>
    <m/>
    <m/>
    <m/>
    <m/>
    <m/>
    <m/>
    <m/>
    <m/>
    <m/>
    <m/>
    <m/>
    <m/>
    <m/>
    <m/>
    <m/>
    <m/>
    <m/>
    <m/>
    <d v="1900-01-14T00:00:00"/>
    <m/>
    <m/>
    <m/>
    <m/>
    <m/>
    <m/>
    <m/>
    <m/>
    <m/>
    <m/>
    <m/>
    <m/>
    <m/>
    <m/>
    <m/>
    <m/>
    <m/>
    <m/>
    <m/>
    <m/>
    <m/>
  </r>
  <r>
    <m/>
    <m/>
    <m/>
    <x v="6"/>
    <m/>
    <m/>
    <m/>
    <m/>
    <m/>
    <m/>
    <m/>
    <x v="7"/>
    <m/>
    <m/>
    <m/>
    <m/>
    <m/>
    <x v="12"/>
    <m/>
    <m/>
    <m/>
    <m/>
    <m/>
    <m/>
    <m/>
    <m/>
    <x v="0"/>
    <m/>
    <m/>
    <m/>
    <m/>
    <m/>
    <m/>
    <m/>
    <m/>
    <m/>
    <m/>
    <m/>
    <m/>
    <m/>
    <m/>
    <m/>
    <m/>
    <m/>
    <m/>
    <m/>
    <m/>
    <m/>
    <m/>
    <m/>
    <m/>
    <m/>
    <m/>
    <m/>
    <m/>
    <m/>
    <d v="1900-01-14T00:00:00"/>
    <m/>
    <m/>
    <m/>
    <m/>
    <m/>
    <m/>
    <m/>
    <m/>
    <m/>
    <m/>
    <m/>
    <m/>
    <m/>
    <m/>
    <m/>
    <m/>
    <m/>
    <m/>
    <m/>
    <m/>
    <m/>
  </r>
  <r>
    <m/>
    <m/>
    <m/>
    <x v="6"/>
    <m/>
    <m/>
    <m/>
    <m/>
    <m/>
    <m/>
    <m/>
    <x v="7"/>
    <m/>
    <m/>
    <m/>
    <m/>
    <m/>
    <x v="12"/>
    <m/>
    <m/>
    <m/>
    <m/>
    <m/>
    <m/>
    <m/>
    <m/>
    <x v="0"/>
    <m/>
    <m/>
    <m/>
    <m/>
    <m/>
    <m/>
    <m/>
    <m/>
    <m/>
    <m/>
    <m/>
    <m/>
    <m/>
    <m/>
    <m/>
    <m/>
    <m/>
    <m/>
    <m/>
    <m/>
    <m/>
    <m/>
    <m/>
    <m/>
    <m/>
    <m/>
    <m/>
    <m/>
    <m/>
    <d v="1900-01-14T00:00:00"/>
    <m/>
    <m/>
    <m/>
    <m/>
    <m/>
    <m/>
    <m/>
    <m/>
    <m/>
    <m/>
    <m/>
    <m/>
    <m/>
    <m/>
    <m/>
    <m/>
    <m/>
    <m/>
    <m/>
    <m/>
    <m/>
  </r>
  <r>
    <m/>
    <m/>
    <m/>
    <x v="6"/>
    <m/>
    <m/>
    <m/>
    <m/>
    <m/>
    <m/>
    <m/>
    <x v="7"/>
    <m/>
    <m/>
    <m/>
    <m/>
    <m/>
    <x v="12"/>
    <m/>
    <m/>
    <m/>
    <m/>
    <m/>
    <m/>
    <m/>
    <m/>
    <x v="0"/>
    <m/>
    <m/>
    <m/>
    <m/>
    <m/>
    <m/>
    <m/>
    <m/>
    <m/>
    <m/>
    <m/>
    <m/>
    <m/>
    <m/>
    <m/>
    <m/>
    <m/>
    <m/>
    <m/>
    <m/>
    <m/>
    <m/>
    <m/>
    <m/>
    <m/>
    <m/>
    <m/>
    <m/>
    <m/>
    <d v="1900-01-14T00:00:00"/>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r>
    <m/>
    <m/>
    <m/>
    <x v="6"/>
    <m/>
    <m/>
    <m/>
    <m/>
    <m/>
    <m/>
    <m/>
    <x v="7"/>
    <m/>
    <m/>
    <m/>
    <m/>
    <m/>
    <x v="12"/>
    <m/>
    <m/>
    <m/>
    <m/>
    <m/>
    <m/>
    <m/>
    <m/>
    <x v="0"/>
    <m/>
    <m/>
    <m/>
    <m/>
    <m/>
    <m/>
    <m/>
    <m/>
    <m/>
    <m/>
    <m/>
    <m/>
    <m/>
    <m/>
    <m/>
    <m/>
    <m/>
    <m/>
    <m/>
    <m/>
    <m/>
    <m/>
    <m/>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4">
  <r>
    <s v="P2004004805"/>
    <s v="MAINT -  44WU_TLN 051257 LOADSPLIT &amp; Inst Addl 25/50/50KVA on CY8-1276/CY8-1275/CY8-1273"/>
    <s v="DIAMOND, BERNABE PH 3 SUBD SAN DIONISIO PARAÑAQUE CITY"/>
    <s v="PARAÑAQUE CITY"/>
    <s v="PARAÑAQUE"/>
    <s v="not feasible; for survey team C1"/>
    <s v="W/ ISSUE"/>
    <x v="0"/>
    <s v="SCHED"/>
    <x v="0"/>
    <n v="139.20779999999996"/>
    <n v="10.1"/>
    <n v="0"/>
    <s v="OLDT"/>
    <n v="560984.1"/>
    <n v="109904.20999999999"/>
    <m/>
    <n v="0"/>
    <d v="2020-06-05T16:44:00"/>
    <d v="2020-06-08T08:50:00"/>
    <d v="2020-06-15T00:00:00"/>
    <m/>
    <m/>
    <m/>
    <n v="-43987.697222222225"/>
    <n v="-43990.368055555555"/>
    <n v="0"/>
    <d v="2020-06-24T11:18:50"/>
    <d v="2020-07-03T06:40:08"/>
    <d v="2020-07-25T16:44:00"/>
    <n v="-1515.1317932098766"/>
    <n v="0"/>
    <n v="20"/>
    <n v="36"/>
    <n v="21.774193548387096"/>
    <n v="27.58064516129032"/>
    <n v="18.774193548387096"/>
    <n v="40"/>
    <n v="32"/>
    <n v="27"/>
    <d v="1900-01-31T00:00:00"/>
    <d v="1900-01-26T00:00:00"/>
    <m/>
    <m/>
    <m/>
    <m/>
    <m/>
    <m/>
    <m/>
    <m/>
    <x v="0"/>
  </r>
  <r>
    <s v="P2006000420"/>
    <s v="MAINT  45WG TLN 037283; Split Loading Inst Addl 50KVA &amp; 75KVA on A8-0440&amp;ALB1-3102"/>
    <s v="BLOCK 32 PUROK 4 UPPER BICUTAN TAGUIG CITY"/>
    <s v="TAGUIG CITY"/>
    <s v="PARAÑAQUE"/>
    <s v="Sept 2023, ayaw magpahukay, for survey wityh design/For survey of C1 Team"/>
    <s v="W/ ISSUE"/>
    <x v="1"/>
    <s v="CAN"/>
    <x v="1"/>
    <n v="90.976600000000019"/>
    <n v="7.33"/>
    <n v="0"/>
    <s v="OLDT"/>
    <n v="442337.68"/>
    <n v="91388.65"/>
    <m/>
    <n v="0"/>
    <d v="2020-07-10T14:12:00"/>
    <d v="2020-07-13T12:34:00"/>
    <d v="2020-07-13T00:00:00"/>
    <m/>
    <s v="CAN"/>
    <m/>
    <e v="#VALUE!"/>
    <e v="#VALUE!"/>
    <e v="#VALUE!"/>
    <d v="2020-07-29T08:46:50"/>
    <d v="2020-08-07T04:08:08"/>
    <d v="2020-08-29T14:12:00"/>
    <e v="#VALUE!"/>
    <e v="#VALUE!"/>
    <n v="20"/>
    <n v="36"/>
    <n v="21.774193548387096"/>
    <n v="27.58064516129032"/>
    <n v="18.774193548387096"/>
    <n v="40"/>
    <n v="32"/>
    <n v="27"/>
    <e v="#VALUE!"/>
    <e v="#VALUE!"/>
    <m/>
    <m/>
    <m/>
    <m/>
    <m/>
    <m/>
    <m/>
    <m/>
    <x v="0"/>
  </r>
  <r>
    <s v="P2006000610"/>
    <s v="MAINT - 55GG_TLN 271296 Split Loading Inst Addl 50KVA on A8-0735"/>
    <s v="JASMIN PUROK 6C LOWER BICUTAN TAGUIG CITY"/>
    <s v="TAGUIG CITY"/>
    <s v="PARAÑAQUE"/>
    <s v="Sept 2023, ayaw magpahukay, for survey wityh design/For survey of C1 Team"/>
    <s v="W/ ISSUE"/>
    <x v="1"/>
    <s v="CAN"/>
    <x v="1"/>
    <n v="22.109399999999997"/>
    <n v="3.83"/>
    <n v="0"/>
    <s v="OLDT"/>
    <n v="186406.1"/>
    <n v="23237.07"/>
    <m/>
    <n v="0"/>
    <d v="2020-07-30T00:50:00"/>
    <d v="2020-08-05T10:47:00"/>
    <d v="2020-07-13T00:00:00"/>
    <m/>
    <s v="CAN"/>
    <m/>
    <e v="#VALUE!"/>
    <e v="#VALUE!"/>
    <e v="#VALUE!"/>
    <d v="2020-08-17T19:24:50"/>
    <d v="2020-08-26T14:46:08"/>
    <d v="2020-09-18T00:50:00"/>
    <e v="#VALUE!"/>
    <e v="#VALUE!"/>
    <n v="20"/>
    <n v="36"/>
    <n v="21.774193548387096"/>
    <n v="27.58064516129032"/>
    <n v="18.774193548387096"/>
    <n v="40"/>
    <n v="32"/>
    <n v="27"/>
    <e v="#VALUE!"/>
    <e v="#VALUE!"/>
    <m/>
    <m/>
    <m/>
    <m/>
    <m/>
    <m/>
    <m/>
    <m/>
    <x v="0"/>
  </r>
  <r>
    <s v="P2006000921"/>
    <s v="MAINT- 45WG Load-Split TLN 068256; Inst New 75KVA on DZ1-2057"/>
    <s v="ROAD 3 NORTH DAANG HARI BAGONG TANYAG TAGUIG CITY"/>
    <s v="TAGUIG CITY"/>
    <s v="PARAÑAQUE"/>
    <s v="not feasible; for survey team C1; continue digging on Dec 9"/>
    <s v="W/ ISSUE"/>
    <x v="2"/>
    <s v="FCOMP"/>
    <x v="2"/>
    <n v="33.01"/>
    <n v="0.93"/>
    <n v="0"/>
    <s v="OLDT"/>
    <n v="185553.84"/>
    <n v="24087.84"/>
    <m/>
    <n v="0"/>
    <d v="2020-09-28T14:10:00"/>
    <d v="2020-09-30T08:04:00"/>
    <d v="2020-10-16T00:00:00"/>
    <m/>
    <d v="2025-03-04T00:00:00"/>
    <m/>
    <n v="1617.409722222219"/>
    <n v="1615.663888888892"/>
    <n v="-45720"/>
    <d v="2020-10-17T08:44:50"/>
    <d v="2020-10-26T04:06:08"/>
    <d v="2020-11-17T14:10:00"/>
    <n v="55.710779320987541"/>
    <n v="-1143"/>
    <n v="20"/>
    <n v="36"/>
    <n v="21.774193548387096"/>
    <n v="27.58064516129032"/>
    <n v="18.774193548387096"/>
    <n v="40"/>
    <n v="32"/>
    <n v="27"/>
    <d v="2025-04-05T00:00:00"/>
    <d v="2025-03-31T00:00:00"/>
    <m/>
    <m/>
    <m/>
    <m/>
    <m/>
    <m/>
    <m/>
    <m/>
    <x v="1"/>
  </r>
  <r>
    <s v="P2009000813"/>
    <s v="MAINT 424WU Uprate from kVA to 75kVA : [039062|WA372558|A5-0334|QS]"/>
    <s v="ROSAL STO. NINO STO. NINO PARANAQUE"/>
    <s v="PARAÑAQUE CITY"/>
    <s v="PARAÑAQUE"/>
    <s v="for field survey by crew"/>
    <s v="W/O ISSUE"/>
    <x v="3"/>
    <s v="INPRG"/>
    <x v="3"/>
    <n v="15.751999999999999"/>
    <n v="8.9700000000000006"/>
    <n v="0"/>
    <s v="OLDT"/>
    <n v="160243.01999999999"/>
    <n v="10642.55"/>
    <m/>
    <n v="0"/>
    <d v="2020-10-14T16:31:00"/>
    <d v="2020-10-16T09:09:00"/>
    <d v="2020-09-29T00:00:00"/>
    <m/>
    <m/>
    <m/>
    <n v="-44118.688194444447"/>
    <n v="-44120.381249999999"/>
    <n v="0"/>
    <d v="2020-11-02T11:05:50"/>
    <d v="2020-11-11T06:27:08"/>
    <d v="2020-12-03T16:31:00"/>
    <n v="-1519.6437044753088"/>
    <n v="0"/>
    <n v="20"/>
    <n v="36"/>
    <n v="21.774193548387096"/>
    <n v="27.58064516129032"/>
    <n v="18.774193548387096"/>
    <n v="40"/>
    <n v="32"/>
    <n v="27"/>
    <d v="1900-01-31T00:00:00"/>
    <d v="1900-01-26T00:00:00"/>
    <m/>
    <m/>
    <m/>
    <m/>
    <m/>
    <m/>
    <m/>
    <m/>
    <x v="2"/>
  </r>
  <r>
    <s v="P2006000924"/>
    <s v="MAINT- 45WG Load-Split TLN 033207; Inst Addl 75KVA on DZ2-2222"/>
    <s v="ROAD 1 BAGONG TANYAG BAGONG TANYAG TAGUIG CITY"/>
    <s v="TAGUIG CITY"/>
    <s v="PARAÑAQUE"/>
    <s v="issue on task 50, customer opposition"/>
    <s v="W/ ISSUE"/>
    <x v="4"/>
    <s v="INPRG"/>
    <x v="1"/>
    <n v="59.228000000000016"/>
    <n v="1.53"/>
    <n v="0"/>
    <s v="OLDT"/>
    <n v="293278.03000000003"/>
    <n v="52996.469999999994"/>
    <m/>
    <n v="0"/>
    <d v="2020-10-21T17:25:00"/>
    <d v="2020-10-23T15:47:00"/>
    <d v="2020-10-29T00:00:00"/>
    <m/>
    <m/>
    <m/>
    <n v="-44125.725694444445"/>
    <n v="-44127.657638888886"/>
    <n v="0"/>
    <d v="2020-11-09T11:59:50"/>
    <d v="2020-11-18T07:21:08"/>
    <d v="2020-12-10T17:25:00"/>
    <n v="-1519.8861072530863"/>
    <n v="0"/>
    <n v="20"/>
    <n v="36"/>
    <n v="21.774193548387096"/>
    <n v="27.58064516129032"/>
    <n v="18.774193548387096"/>
    <n v="40"/>
    <n v="32"/>
    <n v="27"/>
    <d v="1900-01-31T00:00:00"/>
    <d v="1900-01-26T00:00:00"/>
    <m/>
    <m/>
    <m/>
    <m/>
    <m/>
    <m/>
    <m/>
    <m/>
    <x v="0"/>
  </r>
  <r>
    <s v="P2009000788"/>
    <s v="MN_MA, Uprate from 37.5kVA to 75kVA : [452201|WA200084|A5-1345|421WG|QS]"/>
    <s v="E. RODRIGUEZ JR. MOONWALK MOONWALK PARANAQUE"/>
    <s v="PARAÑAQUE CITY"/>
    <s v="PARAÑAQUE"/>
    <s v="done by who?"/>
    <s v="W/O ISSUE"/>
    <x v="3"/>
    <s v="INPRG"/>
    <x v="3"/>
    <n v="15.951999999999998"/>
    <n v="6.32"/>
    <n v="0"/>
    <s v="OLDT"/>
    <n v="151461.47"/>
    <n v="10764.63"/>
    <m/>
    <n v="0"/>
    <d v="2020-11-23T16:42:00"/>
    <d v="2020-11-25T15:58:00"/>
    <d v="2020-09-29T00:00:00"/>
    <m/>
    <m/>
    <m/>
    <n v="-44158.695833333331"/>
    <n v="-44160.665277777778"/>
    <n v="0"/>
    <d v="2020-12-12T11:16:50"/>
    <d v="2020-12-21T06:38:08"/>
    <d v="2021-01-12T16:42:00"/>
    <n v="-1521.0217453703704"/>
    <n v="0"/>
    <n v="20"/>
    <n v="36"/>
    <n v="21.774193548387096"/>
    <n v="27.58064516129032"/>
    <n v="18.774193548387096"/>
    <n v="40"/>
    <n v="32"/>
    <n v="27"/>
    <d v="1900-01-31T00:00:00"/>
    <d v="1900-01-26T00:00:00"/>
    <m/>
    <m/>
    <m/>
    <m/>
    <m/>
    <m/>
    <m/>
    <m/>
    <x v="2"/>
  </r>
  <r>
    <s v="P2007000208"/>
    <s v="MAINT 425WG Load-Split 087388/WA345584/100KVA; Inst Addl 75KVA on A7-1008"/>
    <s v="KOURUS CAMELLA HOMES MERVILLE PARANAQUE"/>
    <s v="PARAÑAQUE CITY"/>
    <s v="PARAÑAQUE"/>
    <s v="for field survey by crew"/>
    <s v="W/O ISSUE"/>
    <x v="3"/>
    <s v="INPRG"/>
    <x v="3"/>
    <n v="36.12850000000001"/>
    <n v="3.67"/>
    <n v="0"/>
    <s v="OLDT"/>
    <n v="282791.21000000002"/>
    <n v="104391"/>
    <m/>
    <n v="0"/>
    <d v="2020-12-01T16:59:00"/>
    <d v="2020-12-02T09:52:00"/>
    <d v="2020-12-03T00:00:00"/>
    <m/>
    <m/>
    <m/>
    <n v="-44166.707638888889"/>
    <n v="-44167.411111111112"/>
    <n v="0"/>
    <d v="2020-12-20T11:33:50"/>
    <d v="2020-12-29T06:55:08"/>
    <d v="2021-01-20T16:59:00"/>
    <n v="-1521.2977075617282"/>
    <n v="0"/>
    <n v="20"/>
    <n v="36"/>
    <n v="21.774193548387096"/>
    <n v="27.58064516129032"/>
    <n v="18.774193548387096"/>
    <n v="40"/>
    <n v="32"/>
    <n v="27"/>
    <d v="1900-01-31T00:00:00"/>
    <d v="1900-01-26T00:00:00"/>
    <m/>
    <m/>
    <m/>
    <m/>
    <m/>
    <m/>
    <m/>
    <m/>
    <x v="2"/>
  </r>
  <r>
    <s v="P2009000548"/>
    <s v="MAINT 55GG Loadsplit [069426|WA145069|DZ2-0528|_x000a_Install addl 2-75 kVA on Pole DZ2-0526"/>
    <s v="V.P. CRUZ PUROK 5 LOWER BICUTAN TAGUIG CITY"/>
    <s v="TAGUIG CITY"/>
    <s v="PARAÑAQUE"/>
    <s v="Sept 2023, ayaw magpahukay, for survey wityh design/For survey of C1 Team"/>
    <s v="W/ ISSUE"/>
    <x v="1"/>
    <s v="CAN"/>
    <x v="1"/>
    <n v="50.338999999999999"/>
    <n v="4.5"/>
    <n v="0"/>
    <s v="OLDT"/>
    <n v="366502.48"/>
    <n v="38657.97"/>
    <m/>
    <n v="0"/>
    <d v="2020-12-09T16:21:00"/>
    <d v="2020-12-14T13:36:00"/>
    <d v="2020-12-17T00:00:00"/>
    <m/>
    <s v="CAN"/>
    <m/>
    <e v="#VALUE!"/>
    <e v="#VALUE!"/>
    <e v="#VALUE!"/>
    <d v="2020-12-28T10:55:50"/>
    <d v="2021-01-06T06:17:08"/>
    <d v="2021-01-28T16:21:00"/>
    <e v="#VALUE!"/>
    <e v="#VALUE!"/>
    <n v="20"/>
    <n v="36"/>
    <n v="21.774193548387096"/>
    <n v="27.58064516129032"/>
    <n v="18.774193548387096"/>
    <n v="40"/>
    <n v="32"/>
    <n v="27"/>
    <e v="#VALUE!"/>
    <e v="#VALUE!"/>
    <m/>
    <m/>
    <m/>
    <m/>
    <m/>
    <m/>
    <m/>
    <m/>
    <x v="0"/>
  </r>
  <r>
    <s v="P2007000394"/>
    <s v="MAINT_55GG Load-Split 111627/WA329429/50KVA; Inst Addl 75KVA on C8-5486"/>
    <s v="7TH GHQ VILL SIGNAL VILLAGE TAGUIG CITY"/>
    <s v="TAGUIG CITY"/>
    <s v="PARAÑAQUE"/>
    <s v="for verification on site if completed"/>
    <s v="W/O ISSUE"/>
    <x v="3"/>
    <s v="INPRG"/>
    <x v="3"/>
    <n v="45.5807"/>
    <n v="0.93"/>
    <n v="0"/>
    <s v="OLDT"/>
    <n v="213069.82"/>
    <n v="36545.79"/>
    <m/>
    <n v="0"/>
    <d v="2020-12-14T00:32:00"/>
    <d v="2020-12-16T12:56:00"/>
    <d v="2020-12-15T00:00:00"/>
    <m/>
    <m/>
    <m/>
    <n v="-44179.022222222222"/>
    <n v="-44181.538888888892"/>
    <n v="0"/>
    <d v="2021-01-01T19:06:50"/>
    <d v="2021-01-10T14:28:08"/>
    <d v="2021-02-02T00:32:00"/>
    <n v="-1521.7218765432099"/>
    <n v="0"/>
    <n v="20"/>
    <n v="36"/>
    <n v="21.774193548387096"/>
    <n v="27.58064516129032"/>
    <n v="18.774193548387096"/>
    <n v="40"/>
    <n v="32"/>
    <n v="27"/>
    <d v="1900-01-31T00:00:00"/>
    <d v="1900-01-26T00:00:00"/>
    <m/>
    <m/>
    <m/>
    <m/>
    <m/>
    <m/>
    <m/>
    <m/>
    <x v="2"/>
  </r>
  <r>
    <s v="P2009000586"/>
    <s v="MN_MA, Loadsplit from kVA to 0 DT (kVA,kVA,kVA,kVA) : [134661||DV1-0012|56GG|QS]"/>
    <s v="PRES. M.L. QUEZON CUPANG CUPANG MUNTINLUPA"/>
    <s v="MUNTINLUPA CITY"/>
    <s v="PARAÑAQUE"/>
    <s v="for crew survey; road under construction; for re-survey of crew"/>
    <s v="W/ ISSUE"/>
    <x v="2"/>
    <s v="PCAN3"/>
    <x v="0"/>
    <n v="13.071999999999999"/>
    <n v="2.67"/>
    <n v="0"/>
    <s v="OLDT"/>
    <n v="169419.8"/>
    <n v="17546.740000000002"/>
    <m/>
    <n v="0"/>
    <d v="2020-12-30T20:30:00"/>
    <d v="2021-01-05T10:32:00"/>
    <d v="2021-01-25T00:00:00"/>
    <m/>
    <m/>
    <m/>
    <n v="-44195.854166666664"/>
    <n v="-44201.438888888886"/>
    <n v="0"/>
    <d v="2021-01-18T15:04:50"/>
    <d v="2021-01-27T10:26:08"/>
    <d v="2021-02-18T20:30:00"/>
    <n v="-1522.3016435185184"/>
    <n v="0"/>
    <n v="20"/>
    <n v="36"/>
    <n v="21.774193548387096"/>
    <n v="27.58064516129032"/>
    <n v="18.774193548387096"/>
    <n v="40"/>
    <n v="32"/>
    <n v="27"/>
    <d v="1900-01-31T00:00:00"/>
    <d v="1900-01-26T00:00:00"/>
    <m/>
    <m/>
    <m/>
    <m/>
    <m/>
    <m/>
    <m/>
    <m/>
    <x v="0"/>
  </r>
  <r>
    <s v="P2101102759"/>
    <s v="MN_MAJOR, Loadsplit 51XD  [037203|WA343521|CV8-1375||] install addl 1-75kVA  @ CV8- 1384"/>
    <s v="5TH GOLDEN GATE SUBD TALON III LAS PINAS CITY"/>
    <s v="LAS PIÑAS CITY"/>
    <s v="PARAÑAQUE"/>
    <s v="for field survey by crew"/>
    <s v="W/O ISSUE"/>
    <x v="3"/>
    <s v="SCHED"/>
    <x v="3"/>
    <n v="10.481999999999999"/>
    <n v="0.93"/>
    <n v="0"/>
    <s v="OLDT"/>
    <n v="137331.68"/>
    <n v="7006.35"/>
    <m/>
    <n v="0"/>
    <d v="2021-01-31T21:24:00"/>
    <d v="2021-02-02T13:35:00"/>
    <d v="2021-02-02T00:00:00"/>
    <m/>
    <m/>
    <m/>
    <n v="-44227.89166666667"/>
    <n v="-44229.565972222219"/>
    <n v="0"/>
    <d v="2021-02-19T15:58:50"/>
    <d v="2021-02-28T11:20:08"/>
    <d v="2021-03-22T21:24:00"/>
    <n v="-1523.4051574074074"/>
    <n v="0"/>
    <n v="20"/>
    <n v="36"/>
    <n v="21.774193548387096"/>
    <n v="27.58064516129032"/>
    <n v="18.774193548387096"/>
    <n v="40"/>
    <n v="32"/>
    <n v="27"/>
    <d v="1900-01-31T00:00:00"/>
    <d v="1900-01-26T00:00:00"/>
    <m/>
    <m/>
    <m/>
    <m/>
    <m/>
    <m/>
    <m/>
    <m/>
    <x v="2"/>
  </r>
  <r>
    <s v="P2101102674"/>
    <s v="MN_MAJOR, Loadsplit from 75kVA : [003404|WA110981|DR1-0404|57GG|]"/>
    <s v="ESTANISLAO LAKEVIEW HOMES I PUTATAN MUNTINLUPA"/>
    <s v="MUNTINLUPA CITY"/>
    <s v="PARAÑAQUE"/>
    <s v="change vendor/For Re-assignmnet "/>
    <s v="W/ ISSUE"/>
    <x v="0"/>
    <s v="FCOMP"/>
    <x v="0"/>
    <n v="111.24599999999998"/>
    <n v="5.5"/>
    <n v="0"/>
    <s v="OLDT"/>
    <n v="333455.39"/>
    <n v="85386.64"/>
    <m/>
    <n v="0"/>
    <d v="2021-02-18T16:40:00"/>
    <d v="2021-02-19T16:34:00"/>
    <d v="2021-02-01T00:00:00"/>
    <m/>
    <d v="2025-04-13T00:00:00"/>
    <m/>
    <n v="1514.3055555555547"/>
    <n v="1513.3097222222204"/>
    <n v="-45760"/>
    <d v="2021-03-09T11:14:50"/>
    <d v="2021-03-18T06:36:08"/>
    <d v="2021-04-09T16:40:00"/>
    <n v="52.159413580246891"/>
    <n v="-1144"/>
    <n v="20"/>
    <n v="36"/>
    <n v="21.774193548387096"/>
    <n v="27.58064516129032"/>
    <n v="18.774193548387096"/>
    <n v="40"/>
    <n v="32"/>
    <n v="27"/>
    <d v="2025-05-15T00:00:00"/>
    <d v="2025-05-10T00:00:00"/>
    <m/>
    <m/>
    <m/>
    <m/>
    <m/>
    <m/>
    <m/>
    <m/>
    <x v="1"/>
  </r>
  <r>
    <s v="P2101102720"/>
    <s v="MN_MAJOR, Loadsplit from 100kVA : [069436|WA368739|B8-0835|55GG|]"/>
    <s v="MIRANDA ZONE 1 SIGNAL VILLAGE TAGUIG CITY"/>
    <s v="TAGUIG CITY"/>
    <s v="PARAÑAQUE"/>
    <s v="not feasible; for survey team C1"/>
    <s v="W/ ISSUE"/>
    <x v="2"/>
    <s v="PCAN3"/>
    <x v="0"/>
    <n v="43.290500000000002"/>
    <n v="3.67"/>
    <n v="0"/>
    <s v="OLDT"/>
    <n v="199593.3"/>
    <n v="32150.01"/>
    <m/>
    <n v="0"/>
    <d v="2021-02-19T15:50:00"/>
    <d v="2021-02-23T15:34:00"/>
    <d v="2021-02-01T00:00:00"/>
    <m/>
    <m/>
    <m/>
    <n v="-44246.659722222219"/>
    <n v="-44250.648611111108"/>
    <n v="0"/>
    <d v="2021-03-10T10:24:50"/>
    <d v="2021-03-19T05:46:08"/>
    <d v="2021-04-10T15:50:00"/>
    <n v="-1524.0516126543207"/>
    <n v="0"/>
    <n v="20"/>
    <n v="36"/>
    <n v="21.774193548387096"/>
    <n v="27.58064516129032"/>
    <n v="18.774193548387096"/>
    <n v="40"/>
    <n v="32"/>
    <n v="27"/>
    <d v="1900-01-31T00:00:00"/>
    <d v="1900-01-26T00:00:00"/>
    <m/>
    <m/>
    <m/>
    <m/>
    <m/>
    <m/>
    <m/>
    <m/>
    <x v="0"/>
  </r>
  <r>
    <s v="P2101102682"/>
    <s v="MN_MAJOR, Loadsplit from 75kVA : [063873|WA344251|DR1-1343|46WH|]"/>
    <s v="BORACAY CAMELLA HOMES ALABANG 4 SUBD POBLACION MUNTINLUPA"/>
    <s v="MUNTINLUPA CITY"/>
    <s v="PARAÑAQUE"/>
    <s v="for crew survey; for C1 survey"/>
    <s v="W/ ISSUE"/>
    <x v="2"/>
    <s v="FCOMP"/>
    <x v="0"/>
    <n v="34.68"/>
    <n v="3.8"/>
    <n v="0"/>
    <s v="OLDT"/>
    <n v="187468.53"/>
    <n v="23355.85"/>
    <m/>
    <n v="0"/>
    <d v="2021-02-22T14:11:00"/>
    <d v="2021-02-23T10:38:00"/>
    <d v="2021-01-26T00:00:00"/>
    <m/>
    <d v="2025-03-04T00:00:00"/>
    <m/>
    <n v="1470.4090277777796"/>
    <n v="1469.5569444444409"/>
    <n v="-45720"/>
    <d v="2021-03-13T08:45:50"/>
    <d v="2021-03-22T04:07:08"/>
    <d v="2021-04-13T14:11:00"/>
    <n v="50.647422067901289"/>
    <n v="-1143"/>
    <n v="20"/>
    <n v="36"/>
    <n v="21.774193548387096"/>
    <n v="27.58064516129032"/>
    <n v="18.774193548387096"/>
    <n v="40"/>
    <n v="32"/>
    <n v="27"/>
    <d v="2025-04-05T00:00:00"/>
    <d v="2025-03-31T00:00:00"/>
    <m/>
    <m/>
    <m/>
    <m/>
    <m/>
    <m/>
    <m/>
    <m/>
    <x v="1"/>
  </r>
  <r>
    <n v="100338058856"/>
    <s v="MAINT - 414FIL - Retirement of Idle poles and other facilities pole DU1-2176"/>
    <s v="ALABANG-ZAPOTE FILINVEST CORPORATE CITY ALABANG MUNTINLUPA"/>
    <s v="MUNTINLUPA CITY"/>
    <s v="PARAÑAQUE"/>
    <s v="for permit on Feb. 22, 2023; no feed back; permit lapsed (03-08-23); "/>
    <s v="W/O ISSUE"/>
    <x v="2"/>
    <s v="SCHED"/>
    <x v="2"/>
    <n v="12.8467"/>
    <n v="3.4"/>
    <n v="0"/>
    <s v="RETIREMENT OF IDLE FACILITES"/>
    <n v="12290.71"/>
    <n v="11929.02"/>
    <m/>
    <n v="0"/>
    <d v="2021-07-06T00:33:00"/>
    <d v="2021-07-06T08:49:00"/>
    <d v="2021-10-04T00:00:00"/>
    <m/>
    <m/>
    <m/>
    <n v="-44383.022916666669"/>
    <n v="-44383.367361111108"/>
    <n v="0"/>
    <d v="2021-07-24T19:07:50"/>
    <d v="2021-08-02T14:29:08"/>
    <d v="2021-08-25T00:33:00"/>
    <n v="-1528.7485671296295"/>
    <n v="0"/>
    <n v="20"/>
    <n v="36"/>
    <n v="21.774193548387096"/>
    <n v="27.58064516129032"/>
    <n v="18.774193548387096"/>
    <n v="40"/>
    <n v="32"/>
    <n v="27"/>
    <d v="1900-01-31T00:00:00"/>
    <d v="1900-01-26T00:00:00"/>
    <m/>
    <m/>
    <m/>
    <m/>
    <m/>
    <m/>
    <m/>
    <m/>
    <x v="0"/>
  </r>
  <r>
    <s v="X21062562359"/>
    <s v="NO BIA, INC."/>
    <s v="LANGKA, FTI CPD, TAGUIG CITY"/>
    <s v="TAGUIG CITY"/>
    <s v="PARAÑAQUE"/>
    <s v="for cancellation, 1/11-transferred to other vendors, 2-22 same remarks"/>
    <s v="W/ ISSUE"/>
    <x v="1"/>
    <s v="PCAN"/>
    <x v="4"/>
    <n v="98.170000000000016"/>
    <n v="164.02"/>
    <n v="0"/>
    <s v="TERMINATION"/>
    <n v="98826.44"/>
    <n v="80129.87"/>
    <m/>
    <n v="0"/>
    <d v="2021-07-07T10:39:00"/>
    <d v="2021-07-13T00:00:00"/>
    <d v="2021-07-09T00:00:00"/>
    <m/>
    <m/>
    <m/>
    <n v="-44384.443749999999"/>
    <n v="-44390"/>
    <n v="0"/>
    <d v="2021-07-28T15:36:56"/>
    <d v="2021-08-07T02:32:23"/>
    <d v="2021-08-26T10:39:00"/>
    <n v="-1375.159047809829"/>
    <n v="0"/>
    <n v="26"/>
    <n v="36"/>
    <n v="24.206896551724139"/>
    <n v="30.662068965517239"/>
    <n v="21.206896551724139"/>
    <n v="44"/>
    <n v="35.200000000000003"/>
    <n v="30.200000000000003"/>
    <d v="1900-02-03T04:48:00"/>
    <d v="1900-01-29T04:48:00"/>
    <m/>
    <m/>
    <m/>
    <m/>
    <m/>
    <m/>
    <m/>
    <m/>
    <x v="0"/>
  </r>
  <r>
    <n v="100338058959"/>
    <s v="MAINT - 414FIL - Retirement of Idle poles and other facilities pole DU1-2307 &amp; DU1-2308"/>
    <s v="MALACCA LANE FILINVEST CORPORATE CITY ALABANG MUNTINLUPA"/>
    <s v="MUNTINLUPA CITY"/>
    <s v="PARAÑAQUE"/>
    <s v="w/ pole attachments"/>
    <s v="W/ ISSUE"/>
    <x v="2"/>
    <s v="SCHED"/>
    <x v="2"/>
    <n v="21.721399999999996"/>
    <n v="3.67"/>
    <n v="0"/>
    <s v="RETIREMENT OF IDLE FACILITES"/>
    <n v="22830.98"/>
    <n v="22427.35"/>
    <m/>
    <n v="0"/>
    <d v="2021-07-08T08:49:00"/>
    <d v="2021-07-13T13:58:00"/>
    <d v="2021-10-04T00:00:00"/>
    <m/>
    <m/>
    <m/>
    <n v="-44385.367361111108"/>
    <n v="-44390.581944444442"/>
    <n v="0"/>
    <d v="2021-07-27T03:23:50"/>
    <d v="2021-08-04T22:45:08"/>
    <d v="2021-08-27T08:49:00"/>
    <n v="-1528.8293202160494"/>
    <n v="0"/>
    <n v="20"/>
    <n v="36"/>
    <n v="21.774193548387096"/>
    <n v="27.58064516129032"/>
    <n v="18.774193548387096"/>
    <n v="40"/>
    <n v="32"/>
    <n v="27"/>
    <d v="1900-01-31T00:00:00"/>
    <d v="1900-01-26T00:00:00"/>
    <m/>
    <m/>
    <m/>
    <m/>
    <m/>
    <m/>
    <m/>
    <m/>
    <x v="0"/>
  </r>
  <r>
    <n v="100338059056"/>
    <s v="MAINT - 414FIL - Retirement of Idle poles and other facilities pole DT1-2353 &amp; DT1-2180 "/>
    <s v="PARKWAY FILINVEST CORPORATE CITY ALABANG MUNTINLUPA"/>
    <s v="MUNTINLUPA CITY"/>
    <s v="PARAÑAQUE"/>
    <s v="for permit on Feb. 22, 2023; no feed back; permit lapsed (03-08-23); "/>
    <s v="W/O ISSUE"/>
    <x v="2"/>
    <s v="SCHED"/>
    <x v="2"/>
    <n v="26.557399999999994"/>
    <n v="3.67"/>
    <n v="0"/>
    <s v="RETIREMENT OF IDLE FACILITES"/>
    <n v="26074.07"/>
    <n v="25670.439999999995"/>
    <m/>
    <n v="0"/>
    <d v="2021-07-27T12:55:00"/>
    <d v="2021-07-29T09:03:00"/>
    <d v="2021-10-04T00:00:00"/>
    <m/>
    <m/>
    <m/>
    <n v="-44404.538194444445"/>
    <n v="-44406.377083333333"/>
    <n v="0"/>
    <d v="2021-08-15T07:29:50"/>
    <d v="2021-08-24T02:51:08"/>
    <d v="2021-09-15T12:55:00"/>
    <n v="-1529.4896489197531"/>
    <n v="0"/>
    <n v="20"/>
    <n v="36"/>
    <n v="21.774193548387096"/>
    <n v="27.58064516129032"/>
    <n v="18.774193548387096"/>
    <n v="40"/>
    <n v="32"/>
    <n v="27"/>
    <d v="1900-01-31T00:00:00"/>
    <d v="1900-01-26T00:00:00"/>
    <m/>
    <m/>
    <m/>
    <m/>
    <m/>
    <m/>
    <m/>
    <m/>
    <x v="0"/>
  </r>
  <r>
    <n v="100338058517"/>
    <s v="MAINT - 414FIL - Retirement of Idle poles &amp; facilities P# DU1-2173,DU1-2282,DU1-2172,NPT"/>
    <s v="MANDARIN PLEASANT VILL BAYANAN MUNTINLUPA"/>
    <s v="MUNTINLUPA CITY"/>
    <s v="PARAÑAQUE"/>
    <s v="w/ pole attachments"/>
    <s v="W/ ISSUE"/>
    <x v="2"/>
    <s v="SCHED"/>
    <x v="2"/>
    <n v="44.54"/>
    <n v="6.8"/>
    <n v="0"/>
    <s v="RETIREMENT OF IDLE FACILITES"/>
    <n v="41109.69"/>
    <n v="40614.53"/>
    <m/>
    <n v="0"/>
    <d v="2021-08-06T00:00:00"/>
    <d v="2021-08-09T10:05:00"/>
    <d v="2021-10-04T00:00:00"/>
    <m/>
    <m/>
    <m/>
    <n v="-44414"/>
    <n v="-44417.420138888891"/>
    <n v="0"/>
    <d v="2021-08-24T18:34:50"/>
    <d v="2021-09-02T13:56:08"/>
    <d v="2021-09-25T00:00:00"/>
    <n v="-1529.8155555555554"/>
    <n v="0"/>
    <n v="20"/>
    <n v="36"/>
    <n v="21.774193548387096"/>
    <n v="27.58064516129032"/>
    <n v="18.774193548387096"/>
    <n v="40"/>
    <n v="32"/>
    <n v="27"/>
    <d v="1900-01-31T00:00:00"/>
    <d v="1900-01-26T00:00:00"/>
    <m/>
    <m/>
    <m/>
    <m/>
    <m/>
    <m/>
    <m/>
    <m/>
    <x v="0"/>
  </r>
  <r>
    <n v="100338058622"/>
    <s v="MAINT - 414FIL - Retirement of Idle poles and other facilities pole DU1-0002-T &amp; DU1-2172-B"/>
    <s v="MANDARIN PLEASANT VILL BAYANAN MUNTINLUPA"/>
    <s v="MUNTINLUPA CITY"/>
    <s v="PARAÑAQUE"/>
    <s v="w/ pole attachments"/>
    <s v="W/ ISSUE"/>
    <x v="2"/>
    <s v="SCHED"/>
    <x v="2"/>
    <n v="11.987300000000001"/>
    <n v="5.83"/>
    <n v="0"/>
    <s v="RETIREMENT OF IDLE FACILITES"/>
    <n v="24337.19"/>
    <n v="23777.68"/>
    <m/>
    <n v="0"/>
    <d v="2021-08-06T15:51:00"/>
    <d v="2021-08-09T10:06:00"/>
    <d v="2021-10-04T00:00:00"/>
    <m/>
    <m/>
    <m/>
    <n v="-44414.660416666666"/>
    <n v="-44417.42083333333"/>
    <n v="0"/>
    <d v="2021-08-25T10:25:50"/>
    <d v="2021-09-03T05:47:08"/>
    <d v="2021-09-25T15:51:00"/>
    <n v="-1529.8383032407407"/>
    <n v="0"/>
    <n v="20"/>
    <n v="36"/>
    <n v="21.774193548387096"/>
    <n v="27.58064516129032"/>
    <n v="18.774193548387096"/>
    <n v="40"/>
    <n v="32"/>
    <n v="27"/>
    <d v="1900-01-31T00:00:00"/>
    <d v="1900-01-26T00:00:00"/>
    <m/>
    <m/>
    <m/>
    <m/>
    <m/>
    <m/>
    <m/>
    <m/>
    <x v="0"/>
  </r>
  <r>
    <s v="P2106111928"/>
    <s v="MAINT 43XD Loadsplit [037150|WA196961|CX7-0436||]_x000a_Install 1-50kVA DT on pole CX7-0434"/>
    <s v="KASOY DO?A MANUELA SUBD PH 4-A PAMPLONA III LAS PINAS CITY"/>
    <s v="LAS PIÑAS CITY"/>
    <s v="PARAÑAQUE"/>
    <s v="for confirmation; crew survey of C1"/>
    <s v="W/O ISSUE"/>
    <x v="2"/>
    <s v="SCHED"/>
    <x v="2"/>
    <n v="48.498100000000008"/>
    <n v="2.6"/>
    <n v="0"/>
    <s v="OLDT"/>
    <n v="193888.88"/>
    <n v="42701.27"/>
    <m/>
    <n v="0"/>
    <d v="2021-08-10T15:55:00"/>
    <d v="2021-08-13T12:56:00"/>
    <d v="2021-08-14T00:00:00"/>
    <m/>
    <m/>
    <m/>
    <n v="-44418.663194444445"/>
    <n v="-44421.538888888892"/>
    <n v="0"/>
    <d v="2021-08-29T10:29:50"/>
    <d v="2021-09-07T05:51:08"/>
    <d v="2021-09-29T15:55:00"/>
    <n v="-1529.9761766975307"/>
    <n v="0"/>
    <n v="20"/>
    <n v="36"/>
    <n v="21.774193548387096"/>
    <n v="27.58064516129032"/>
    <n v="18.774193548387096"/>
    <n v="40"/>
    <n v="32"/>
    <n v="27"/>
    <d v="1900-01-31T00:00:00"/>
    <d v="1900-01-26T00:00:00"/>
    <m/>
    <m/>
    <m/>
    <m/>
    <m/>
    <m/>
    <m/>
    <m/>
    <x v="0"/>
  </r>
  <r>
    <s v="P2007000361"/>
    <s v="MAINT Load-Split 086298/WA350686/100KVA; _x000a_Inst Addl 1-75kVA DT on pole B8-6252 (new pole)"/>
    <s v="DIRECTO ZONE 2 SIGNAL VILLAGE TAGUIG CITY"/>
    <s v="TAGUIG CITY"/>
    <s v="PARAÑAQUE"/>
    <s v="for survey with QI, refer to design"/>
    <s v="W/ ISSUE"/>
    <x v="0"/>
    <s v="FCOMP"/>
    <x v="0"/>
    <n v="27.962"/>
    <n v="3.67"/>
    <n v="0"/>
    <s v="OLDT"/>
    <n v="195433.93"/>
    <n v="25772.589999999997"/>
    <m/>
    <n v="0"/>
    <d v="2021-08-29T23:12:00"/>
    <d v="2021-09-02T10:30:00"/>
    <d v="2021-09-15T00:00:00"/>
    <m/>
    <d v="2025-03-19T00:00:00"/>
    <m/>
    <n v="1297.0333333333328"/>
    <n v="1293.5625"/>
    <n v="-45735"/>
    <d v="2021-09-17T17:46:50"/>
    <d v="2021-09-26T13:08:08"/>
    <d v="2021-10-18T23:12:00"/>
    <n v="44.675592592592579"/>
    <n v="-1143.375"/>
    <n v="20"/>
    <n v="36"/>
    <n v="21.774193548387096"/>
    <n v="27.58064516129032"/>
    <n v="18.774193548387096"/>
    <n v="40"/>
    <n v="32"/>
    <n v="27"/>
    <d v="2025-04-20T00:00:00"/>
    <d v="2025-04-15T00:00:00"/>
    <m/>
    <m/>
    <m/>
    <m/>
    <m/>
    <m/>
    <m/>
    <m/>
    <x v="1"/>
  </r>
  <r>
    <s v="R20784640"/>
    <s v="ALLANIQUE REALTY DEVT CORP"/>
    <s v="L. ALLANIQUE, BARANGAY VILL, PARANAQUE"/>
    <s v="PARAÑAQUE CITY"/>
    <s v="PARAÑAQUE"/>
    <s v="customer refuse on location of pole digging 5/20/2025_x000a__x000a_for BC coordiantion on WO cancellation 2/15_x000a__x000a_re-surveyed 07/17/2024_x000a_to install pole in-front of existing and use small aleyarm as support"/>
    <s v="(R) W/O ISSUE"/>
    <x v="3"/>
    <s v="SCHED"/>
    <x v="3"/>
    <n v="85.05"/>
    <n v="23.23"/>
    <n v="0"/>
    <s v="PCA RELOC"/>
    <n v="94979.94"/>
    <n v="33678.6"/>
    <m/>
    <n v="0"/>
    <d v="2021-09-24T15:04:00"/>
    <d v="2021-09-30T00:00:00"/>
    <d v="2021-09-30T00:00:00"/>
    <m/>
    <m/>
    <m/>
    <n v="-44463.62777777778"/>
    <n v="-44469"/>
    <n v="0"/>
    <d v="2021-10-13T09:38:50"/>
    <d v="2021-10-22T05:00:08"/>
    <d v="2021-11-13T15:04:00"/>
    <n v="-1531.5249567901233"/>
    <n v="0"/>
    <n v="20"/>
    <n v="36"/>
    <n v="21.774193548387096"/>
    <n v="27.58064516129032"/>
    <n v="18.774193548387096"/>
    <n v="40"/>
    <n v="32"/>
    <n v="27"/>
    <d v="1900-01-31T00:00:00"/>
    <d v="1900-01-26T00:00:00"/>
    <m/>
    <m/>
    <m/>
    <m/>
    <m/>
    <m/>
    <m/>
    <m/>
    <x v="0"/>
  </r>
  <r>
    <s v="R19617176"/>
    <s v="OFFICE OF CONGRESSMAN STRIKE B. REVILLA,"/>
    <s v="GEN. EMILIO AGUINALDO, PANAPAAN VI, BACOOR"/>
    <s v="BACOOR CITY"/>
    <s v="DASMA"/>
    <s v="Job 3 for SSP/liveline, Job 4 with telco for email to FA, Job 5 for survey live line, Task 10 with issue on hukay, request assistance bacoor, job 7 for PAI sched;"/>
    <s v="W/ ISSUE"/>
    <x v="5"/>
    <s v="SCHED"/>
    <x v="2"/>
    <n v="1133.2283999999993"/>
    <n v="1281.78"/>
    <n v="0"/>
    <s v="PCA RELOC"/>
    <n v="1921072.21"/>
    <n v="821316.27"/>
    <m/>
    <n v="0"/>
    <d v="2021-10-06T19:29:00"/>
    <d v="2021-10-12T00:00:00"/>
    <d v="2021-10-13T00:00:00"/>
    <m/>
    <m/>
    <m/>
    <n v="-44475.811805555553"/>
    <n v="-44481"/>
    <n v="0"/>
    <d v="2021-11-02T06:54:25"/>
    <d v="2021-11-13T03:33:12"/>
    <d v="2021-11-25T19:29:00"/>
    <n v="-1131.6623226080246"/>
    <n v="0"/>
    <n v="50"/>
    <n v="36"/>
    <n v="29.475982532751093"/>
    <n v="37.336244541484717"/>
    <n v="26.475982532751093"/>
    <n v="60"/>
    <n v="48"/>
    <n v="43"/>
    <d v="1900-02-16T00:00:00"/>
    <d v="1900-02-11T00:00:00"/>
    <m/>
    <m/>
    <m/>
    <m/>
    <m/>
    <m/>
    <m/>
    <m/>
    <x v="0"/>
  </r>
  <r>
    <s v="X21083519494"/>
    <s v="SEVEN TALL TREES EVENTS, INC."/>
    <s v="ASEANA, ASEANA BUSINESS PARK, PARANAQUE"/>
    <s v="PARAÑAQUE CITY"/>
    <s v="PARAÑAQUE"/>
    <s v="for permit re application 2/15"/>
    <s v="W/ ISSUE"/>
    <x v="3"/>
    <s v="CAN"/>
    <x v="4"/>
    <n v="97.660000000000011"/>
    <n v="150.88"/>
    <n v="0"/>
    <s v="TERMINATION"/>
    <n v="87040.66"/>
    <n v="73733.14"/>
    <m/>
    <n v="0"/>
    <d v="2021-10-13T16:33:00"/>
    <d v="2021-10-15T00:00:00"/>
    <d v="2021-10-20T00:00:00"/>
    <m/>
    <s v="CAN"/>
    <m/>
    <e v="#VALUE!"/>
    <e v="#VALUE!"/>
    <e v="#VALUE!"/>
    <d v="2021-11-03T21:30:56"/>
    <d v="2021-11-13T08:26:23"/>
    <d v="2021-12-02T16:33:00"/>
    <e v="#VALUE!"/>
    <e v="#VALUE!"/>
    <n v="26"/>
    <n v="36"/>
    <n v="24.206896551724139"/>
    <n v="30.662068965517239"/>
    <n v="21.206896551724139"/>
    <n v="44"/>
    <n v="35.200000000000003"/>
    <n v="30.200000000000003"/>
    <e v="#VALUE!"/>
    <e v="#VALUE!"/>
    <m/>
    <m/>
    <m/>
    <m/>
    <m/>
    <m/>
    <m/>
    <m/>
    <x v="0"/>
  </r>
  <r>
    <s v="P2106111943"/>
    <s v="MAINT 45XD Loadsplit [035879|WA141444|CX8-0551||]_x000a_install 1-75kVA DT on pole CX8-0552"/>
    <s v="KYOTO BF HOMES BF HOMES PARANAQUE"/>
    <s v="PARAÑAQUE CITY"/>
    <s v="PARAÑAQUE"/>
    <s v="done digging, for pole erection"/>
    <m/>
    <x v="4"/>
    <s v="INPRG"/>
    <x v="1"/>
    <n v="53.318299999999994"/>
    <n v="73.63"/>
    <n v="0"/>
    <s v="OLDT"/>
    <n v="224779.02"/>
    <n v="49304.030000000006"/>
    <m/>
    <n v="0"/>
    <d v="2021-10-15T08:36:00"/>
    <d v="2021-10-15T12:31:00"/>
    <d v="2023-02-10T00:00:00"/>
    <m/>
    <m/>
    <m/>
    <n v="-44484.35833333333"/>
    <n v="-44484.521527777775"/>
    <n v="0"/>
    <d v="2021-11-04T10:39:07"/>
    <d v="2021-11-13T14:23:57"/>
    <d v="2021-12-04T08:36:00"/>
    <n v="-1445.2043951288242"/>
    <n v="0"/>
    <n v="23"/>
    <n v="36"/>
    <n v="23.085501858736059"/>
    <n v="29.241635687732341"/>
    <n v="20.085501858736059"/>
    <n v="42"/>
    <n v="33.6"/>
    <n v="28.6"/>
    <d v="1900-02-01T14:24:00"/>
    <d v="1900-01-27T14:24:00"/>
    <m/>
    <m/>
    <m/>
    <m/>
    <m/>
    <m/>
    <m/>
    <m/>
    <x v="0"/>
  </r>
  <r>
    <s v="X21094255140"/>
    <s v="BAYPRIME PROPERTIES INC."/>
    <s v="ASEANA, ASEANA BUSINESS PARK, PARANAQUE"/>
    <s v="PARAÑAQUE CITY"/>
    <s v="PARAÑAQUE"/>
    <s v="for WO cancellation? DT still in used by Shakey's"/>
    <s v="FOR CANCELLATION"/>
    <x v="3"/>
    <s v="SCHED"/>
    <x v="3"/>
    <n v="118.93339999999999"/>
    <n v="220.37"/>
    <n v="0"/>
    <s v="TERMINATION"/>
    <n v="139589.22"/>
    <n v="107671.03999999999"/>
    <m/>
    <n v="0"/>
    <d v="2021-10-27T14:20:00"/>
    <d v="2021-10-29T15:15:00"/>
    <d v="2021-10-30T00:00:00"/>
    <m/>
    <m/>
    <m/>
    <n v="-44496.597222222219"/>
    <n v="-44498.635416666664"/>
    <n v="0"/>
    <d v="2021-11-18T11:10:32"/>
    <d v="2021-11-28T02:20:00"/>
    <d v="2021-12-16T14:20:00"/>
    <n v="-1341.9608686067018"/>
    <n v="0"/>
    <n v="28"/>
    <n v="36"/>
    <n v="24.868421052631579"/>
    <n v="31.499999999999996"/>
    <n v="21.868421052631579"/>
    <n v="46"/>
    <n v="36.800000000000004"/>
    <n v="31.800000000000004"/>
    <d v="1900-02-04T19:12:00"/>
    <d v="1900-01-30T19:12:00"/>
    <m/>
    <m/>
    <m/>
    <m/>
    <m/>
    <m/>
    <m/>
    <m/>
    <x v="0"/>
  </r>
  <r>
    <s v="R21040226"/>
    <s v="YIELDERS TRADING CORPORATION"/>
    <s v="STA. AGUEDA, STO. NINO, PARANAQUE"/>
    <s v="PARAÑAQUE CITY"/>
    <s v="PARAÑAQUE"/>
    <m/>
    <s v="W/ ISSUE"/>
    <x v="3"/>
    <s v="SCHED"/>
    <x v="3"/>
    <n v="97.325899999999976"/>
    <n v="256.02999999999997"/>
    <n v="0"/>
    <s v="PCA RELOC"/>
    <n v="541158.15"/>
    <n v="110955.08"/>
    <m/>
    <n v="0"/>
    <d v="2021-11-12T16:42:00"/>
    <d v="2021-11-18T12:41:00"/>
    <d v="2021-11-18T00:00:00"/>
    <m/>
    <m/>
    <m/>
    <n v="-44512.695833333331"/>
    <n v="-44518.52847222222"/>
    <n v="0"/>
    <d v="2021-12-04T13:32:32"/>
    <d v="2021-12-14T04:42:00"/>
    <d v="2022-01-01T16:42:00"/>
    <n v="-1342.4463822751322"/>
    <n v="0"/>
    <n v="28"/>
    <n v="36"/>
    <n v="24.868421052631579"/>
    <n v="31.499999999999996"/>
    <n v="21.868421052631579"/>
    <n v="46"/>
    <n v="36.800000000000004"/>
    <n v="31.800000000000004"/>
    <d v="1900-02-04T19:12:00"/>
    <d v="1900-01-30T19:12:00"/>
    <m/>
    <m/>
    <m/>
    <m/>
    <m/>
    <m/>
    <m/>
    <m/>
    <x v="0"/>
  </r>
  <r>
    <s v="X21104486609"/>
    <s v="JEFFREY SAGUN CHAN"/>
    <s v="MATTHEW, MULTINATIONAL VILL, PARANAQUE"/>
    <s v="PARAÑAQUE CITY"/>
    <s v="PARAÑAQUE"/>
    <s v="for follow up Pque BC, DT location issue, 1/11-customer doesn't want DT in front of house, task 3, neighbor holds execution, DT already installed on site - 2/22"/>
    <s v="W/ ISSUE"/>
    <x v="1"/>
    <s v="PCAN3"/>
    <x v="1"/>
    <n v="26.167999999999996"/>
    <n v="63.82"/>
    <n v="44"/>
    <s v="MODIFICATION"/>
    <n v="201770.89"/>
    <n v="30870.26"/>
    <m/>
    <n v="0"/>
    <d v="2021-11-18T16:50:00"/>
    <d v="2021-11-24T00:00:00"/>
    <d v="2021-11-24T00:00:00"/>
    <m/>
    <m/>
    <m/>
    <n v="-44518.701388888891"/>
    <n v="-44524"/>
    <n v="0"/>
    <d v="2021-12-08T18:53:07"/>
    <d v="2021-12-17T22:37:57"/>
    <d v="2022-01-07T16:50:00"/>
    <n v="-1446.3201296631778"/>
    <n v="0"/>
    <n v="23"/>
    <n v="36"/>
    <n v="23.085501858736059"/>
    <n v="29.241635687732341"/>
    <n v="20.085501858736059"/>
    <n v="42"/>
    <n v="33.6"/>
    <n v="28.6"/>
    <d v="1900-02-01T14:24:00"/>
    <d v="1900-01-27T14:24:00"/>
    <m/>
    <m/>
    <m/>
    <m/>
    <m/>
    <m/>
    <m/>
    <m/>
    <x v="0"/>
  </r>
  <r>
    <s v="X21030949643"/>
    <s v="ROBERTO DE MESA BUNYI"/>
    <s v="HENRY IDE, KATARUNGAN VILLAGE, MUNTINLUPA"/>
    <s v="MUNTINLUPA CITY"/>
    <s v="PARAÑAQUE"/>
    <s v="HOA ISSUE; HOA holds exection of project; FOR CANCELLATION (superseded by WO X23010211288)"/>
    <s v="W/ ISSUE"/>
    <x v="2"/>
    <s v="PCAN"/>
    <x v="2"/>
    <n v="169.18339999999995"/>
    <n v="331.95"/>
    <n v="14"/>
    <s v="MODIFICATION"/>
    <n v="814987.11"/>
    <n v="132587.32999999999"/>
    <m/>
    <n v="0"/>
    <d v="2021-11-24T11:52:00"/>
    <d v="2021-11-29T12:35:00"/>
    <d v="2021-12-01T00:00:00"/>
    <m/>
    <m/>
    <m/>
    <n v="-44524.494444444441"/>
    <n v="-44529.524305555555"/>
    <n v="0"/>
    <d v="2021-12-16T23:11:15"/>
    <d v="2021-12-26T18:12:23"/>
    <d v="2022-01-13T11:52:00"/>
    <n v="-1310.9990030864196"/>
    <n v="0"/>
    <n v="30"/>
    <n v="36"/>
    <n v="25.471698113207545"/>
    <n v="32.264150943396224"/>
    <n v="22.471698113207545"/>
    <n v="48"/>
    <n v="38.400000000000006"/>
    <n v="33.400000000000006"/>
    <d v="1900-02-06T09:36:00"/>
    <d v="1900-02-01T09:36:00"/>
    <m/>
    <m/>
    <m/>
    <m/>
    <m/>
    <m/>
    <m/>
    <m/>
    <x v="0"/>
  </r>
  <r>
    <s v="R19291776"/>
    <s v="CITY GOVERNMENT OF BACOOR"/>
    <s v="GEN. TIRONA, HABAY I, BACOOR"/>
    <s v="BACOOR CITY"/>
    <s v="DASMA"/>
    <s v="pole location issue (02-15-23); +1 POLE TASK 1"/>
    <s v="W/ ISSUE"/>
    <x v="5"/>
    <s v="SCHED"/>
    <x v="2"/>
    <n v="261.88480000000004"/>
    <n v="1071.6500000000001"/>
    <n v="0"/>
    <s v="PCA RELOC"/>
    <n v="1370048.35"/>
    <n v="323549.71999999997"/>
    <m/>
    <n v="0"/>
    <d v="2021-12-01T15:43:00"/>
    <d v="2021-12-03T00:00:00"/>
    <d v="2021-12-03T00:00:00"/>
    <m/>
    <m/>
    <m/>
    <n v="-44531.654861111114"/>
    <n v="-44533"/>
    <n v="0"/>
    <d v="2021-12-28T03:08:25"/>
    <d v="2022-01-07T23:47:12"/>
    <d v="2022-01-20T15:43:00"/>
    <n v="-1133.0832181327162"/>
    <n v="0"/>
    <n v="50"/>
    <n v="36"/>
    <n v="29.475982532751093"/>
    <n v="37.336244541484717"/>
    <n v="26.475982532751093"/>
    <n v="60"/>
    <n v="48"/>
    <n v="43"/>
    <d v="1900-02-16T00:00:00"/>
    <d v="1900-02-11T00:00:00"/>
    <m/>
    <m/>
    <m/>
    <m/>
    <m/>
    <m/>
    <m/>
    <m/>
    <x v="0"/>
  </r>
  <r>
    <s v="R21631238"/>
    <s v="CAVITEX INFRASTRUCTURE CORP."/>
    <s v="N. ARMSTRONG, MOONWALK, PARANAQUE"/>
    <s v="PARAÑAQUE CITY"/>
    <s v="PARAÑAQUE"/>
    <s v="awaiting clearance from CAVITEX on completion of project, task 11 modification"/>
    <s v="W/ ISSUE"/>
    <x v="3"/>
    <s v="SCHED"/>
    <x v="3"/>
    <n v="382.92960000000033"/>
    <n v="992.52"/>
    <n v="0"/>
    <s v="PCA RELOC"/>
    <n v="1414835.62"/>
    <n v="433240.12"/>
    <m/>
    <n v="0"/>
    <d v="2022-03-01T14:24:00"/>
    <d v="2022-03-03T12:33:00"/>
    <d v="2022-03-03T00:00:00"/>
    <m/>
    <m/>
    <m/>
    <n v="-44621.599999999999"/>
    <n v="-44623.522916666669"/>
    <n v="0"/>
    <d v="2022-03-26T10:26:28"/>
    <d v="2022-04-05T20:35:08"/>
    <d v="2022-04-20T14:24:00"/>
    <n v="-1202.3042222222221"/>
    <n v="0"/>
    <n v="40"/>
    <n v="36"/>
    <n v="27.835051546391753"/>
    <n v="35.257731958762882"/>
    <n v="24.835051546391753"/>
    <n v="55"/>
    <n v="44"/>
    <n v="39"/>
    <d v="1900-02-12T00:00:00"/>
    <d v="1900-02-07T00:00:00"/>
    <m/>
    <m/>
    <m/>
    <m/>
    <m/>
    <m/>
    <m/>
    <m/>
    <x v="0"/>
  </r>
  <r>
    <s v="P2107115141"/>
    <s v="MN_MAJOR (WDESIGN), CONGRESSMAN OFFICE STRIKE B. REVILLA, Relocation Request along Bacoor,Cavite"/>
    <s v="MOLINO BLVD., BAYANAN, BACOOR"/>
    <s v="BACOOR CITY"/>
    <s v="DASMA"/>
    <s v="ongoing pole installation - with overlapping to P2111120001; for prioritization; for execution on 5th week of March; for execution for the month of May; job 3 done; job 4 hotline works; job 2 hotline works; job 1 PAI_x000a__x000a_remaining site 1 site 2 and site 4"/>
    <s v="W/O ISSUE"/>
    <x v="5"/>
    <s v="FCOMP"/>
    <x v="2"/>
    <n v="395.85699999999974"/>
    <n v="1208.97"/>
    <n v="0"/>
    <s v="MN MAJOR"/>
    <n v="2185454.33"/>
    <n v="433474.43"/>
    <m/>
    <n v="0"/>
    <d v="2022-04-18T18:57:00"/>
    <d v="2022-05-06T13:44:00"/>
    <d v="2022-05-05T00:00:00"/>
    <m/>
    <d v="2025-04-23T00:00:00"/>
    <m/>
    <n v="1100.2104166666686"/>
    <n v="1082.4277777777752"/>
    <n v="-45770"/>
    <d v="2022-05-15T06:22:25"/>
    <d v="2022-05-26T03:01:12"/>
    <d v="2022-06-07T18:57:00"/>
    <n v="27.994242824074124"/>
    <n v="-762.83333333333337"/>
    <n v="50"/>
    <n v="36"/>
    <n v="29.475982532751093"/>
    <n v="37.336244541484717"/>
    <n v="26.475982532751093"/>
    <n v="60"/>
    <n v="48"/>
    <n v="43"/>
    <d v="2025-06-10T00:00:00"/>
    <d v="2025-06-05T00:00:00"/>
    <m/>
    <m/>
    <m/>
    <m/>
    <m/>
    <m/>
    <m/>
    <m/>
    <x v="1"/>
  </r>
  <r>
    <s v="R21662615"/>
    <s v="FOOD TERMINAL, INC."/>
    <s v="LANGKA, FTI CPD, TAGUIG CITY"/>
    <s v="TAGUIG CITY"/>
    <s v="PARAÑAQUE"/>
    <s v="for completion May 2022"/>
    <s v="W/O ISSUE"/>
    <x v="1"/>
    <s v="DPRG-PCR"/>
    <x v="5"/>
    <n v="102.0535"/>
    <n v="253.43"/>
    <n v="0"/>
    <s v="PCA RELOC"/>
    <n v="160444.01999999999"/>
    <n v="92012.91"/>
    <n v="83552.45"/>
    <n v="0.90805138105076766"/>
    <d v="2022-04-22T07:47:00"/>
    <d v="2022-04-28T00:00:00"/>
    <d v="2022-04-27T00:00:00"/>
    <m/>
    <m/>
    <m/>
    <n v="-44673.324305555558"/>
    <n v="-44679"/>
    <n v="0"/>
    <d v="2022-05-14T04:37:32"/>
    <d v="2022-05-23T19:47:00"/>
    <d v="2022-06-11T07:47:00"/>
    <n v="-1347.2907330246912"/>
    <n v="0"/>
    <n v="28"/>
    <n v="36"/>
    <n v="24.868421052631579"/>
    <n v="31.499999999999996"/>
    <n v="21.868421052631579"/>
    <n v="46"/>
    <n v="36.800000000000004"/>
    <n v="31.800000000000004"/>
    <d v="1900-02-04T19:12:00"/>
    <d v="1900-01-30T19:12:00"/>
    <m/>
    <m/>
    <m/>
    <m/>
    <m/>
    <m/>
    <m/>
    <m/>
    <x v="3"/>
  </r>
  <r>
    <s v="R20609999"/>
    <s v="CAVITEX INFRASTRUCTURE CORP."/>
    <s v="KAINGIN RD., KAINGIN, PARANAQUE"/>
    <s v="PARAÑAQUE CITY"/>
    <s v="PARAÑAQUE"/>
    <s v="PENDING MPTS"/>
    <s v="W/ ISSUE"/>
    <x v="2"/>
    <s v="SCHED"/>
    <x v="2"/>
    <n v="717.71599999999887"/>
    <n v="2086.0500000000002"/>
    <n v="0"/>
    <s v="PCA RELOC"/>
    <n v="1575766.41"/>
    <n v="923509.73"/>
    <m/>
    <n v="0"/>
    <d v="2022-04-26T13:29:00"/>
    <d v="2022-04-29T15:17:00"/>
    <d v="2022-04-29T00:00:00"/>
    <m/>
    <m/>
    <m/>
    <n v="-44677.561805555553"/>
    <n v="-44680.636805555558"/>
    <n v="0"/>
    <d v="2022-05-23T00:54:25"/>
    <d v="2022-06-02T21:33:12"/>
    <d v="2022-06-15T13:29:00"/>
    <n v="-1136.7957392746912"/>
    <n v="0"/>
    <n v="50"/>
    <n v="36"/>
    <n v="29.475982532751093"/>
    <n v="37.336244541484717"/>
    <n v="26.475982532751093"/>
    <n v="60"/>
    <n v="48"/>
    <n v="43"/>
    <d v="1900-02-16T00:00:00"/>
    <d v="1900-02-11T00:00:00"/>
    <m/>
    <m/>
    <m/>
    <m/>
    <m/>
    <m/>
    <m/>
    <m/>
    <x v="0"/>
  </r>
  <r>
    <s v="X22052042329"/>
    <s v="MARIA IMELDA BUYOC SANDWEG"/>
    <s v="JOY, DREAMLAND SUBD, PARANAQUE"/>
    <s v="PARAÑAQUE CITY"/>
    <s v="PARAÑAQUE"/>
    <s v="with issue, 1/11-with cash bond"/>
    <s v="W/ ISSUE"/>
    <x v="1"/>
    <s v="PCAN3"/>
    <x v="4"/>
    <n v="162.57659999999993"/>
    <n v="305.68"/>
    <n v="45"/>
    <s v="MODIFICATION"/>
    <n v="803861.8"/>
    <n v="139773.07999999999"/>
    <m/>
    <n v="0"/>
    <d v="2022-08-23T11:15:00"/>
    <d v="2022-08-31T00:00:00"/>
    <d v="2022-08-31T00:00:00"/>
    <m/>
    <m/>
    <m/>
    <n v="-44796.46875"/>
    <n v="-44804"/>
    <n v="0"/>
    <d v="2022-09-14T22:34:15"/>
    <d v="2022-09-24T17:35:23"/>
    <d v="2022-10-12T11:15:00"/>
    <n v="-1319.0071354166666"/>
    <n v="0"/>
    <n v="30"/>
    <n v="36"/>
    <n v="25.471698113207545"/>
    <n v="32.264150943396224"/>
    <n v="22.471698113207545"/>
    <n v="48"/>
    <n v="38.400000000000006"/>
    <n v="33.400000000000006"/>
    <d v="1900-02-06T09:36:00"/>
    <d v="1900-02-01T09:36:00"/>
    <m/>
    <m/>
    <m/>
    <m/>
    <m/>
    <m/>
    <m/>
    <m/>
    <x v="0"/>
  </r>
  <r>
    <s v="R21631255"/>
    <s v="CAVITEX INFRASTRUCTURE CORP.,"/>
    <s v="E. RODRIGUEZ JR. INT, STO. NINO, PARANAQUE"/>
    <s v="PARAÑAQUE CITY"/>
    <s v="PARAÑAQUE"/>
    <s v="for completion within September; w/ ROW issue w/ SM; pending MPTS"/>
    <s v="W/ ISSUE"/>
    <x v="2"/>
    <s v="FCOMP"/>
    <x v="2"/>
    <n v="79.675600000000017"/>
    <n v="322.48"/>
    <n v="0"/>
    <s v="PCA RELOC"/>
    <n v="412145.24"/>
    <n v="84176.76"/>
    <n v="98865.27"/>
    <n v="1.1744960247935416"/>
    <d v="2022-09-05T15:22:00"/>
    <d v="2022-09-07T00:00:00"/>
    <d v="2022-09-07T00:00:00"/>
    <d v="2025-01-30T00:00:00"/>
    <d v="2025-01-30T00:00:00"/>
    <m/>
    <n v="877.35972222222335"/>
    <n v="876"/>
    <n v="-45687"/>
    <d v="2022-09-28T02:41:15"/>
    <d v="2022-10-07T21:42:23"/>
    <d v="2022-10-25T15:22:00"/>
    <n v="25.833369598765465"/>
    <n v="-951.8125"/>
    <n v="30"/>
    <n v="36"/>
    <n v="25.471698113207545"/>
    <n v="32.264150943396224"/>
    <n v="22.471698113207545"/>
    <n v="48"/>
    <n v="38.400000000000006"/>
    <n v="33.400000000000006"/>
    <d v="2025-03-09T09:36:00"/>
    <d v="2025-03-04T09:36:00"/>
    <m/>
    <m/>
    <m/>
    <m/>
    <m/>
    <m/>
    <m/>
    <m/>
    <x v="1"/>
  </r>
  <r>
    <s v="R21135764"/>
    <s v="CAVITEX INFRASTRUCTURE CORP."/>
    <s v="MULTINATIONAL VILL, MULTINATIONAL VILL, PARANAQUE"/>
    <s v="PARAÑAQUE CITY"/>
    <s v="PARAÑAQUE"/>
    <s v="for completion within October; on going digging, tasks 5 and 7(90 ft), 11; asking for assistance w/ MPTS"/>
    <s v="W/ ISSUE"/>
    <x v="2"/>
    <s v="FCOMP"/>
    <x v="2"/>
    <n v="812.46230000000037"/>
    <n v="1669.08"/>
    <n v="0"/>
    <s v="PCA RELOC"/>
    <n v="2403133.25"/>
    <n v="809631.02"/>
    <n v="175011.86"/>
    <n v="0.21616249337877394"/>
    <d v="2022-09-07T07:53:00"/>
    <d v="2022-09-09T00:00:00"/>
    <d v="2022-09-12T00:00:00"/>
    <d v="2025-04-11T00:00:00"/>
    <d v="2025-04-22T00:00:00"/>
    <m/>
    <n v="957.67152777777665"/>
    <n v="956"/>
    <n v="-45769"/>
    <d v="2022-10-03T19:18:25"/>
    <d v="2022-10-14T15:57:12"/>
    <d v="2022-10-27T07:53:00"/>
    <n v="24.367419984567871"/>
    <n v="-762.81666666666672"/>
    <n v="50"/>
    <n v="36"/>
    <n v="29.475982532751093"/>
    <n v="37.336244541484717"/>
    <n v="26.475982532751093"/>
    <n v="60"/>
    <n v="48"/>
    <n v="43"/>
    <d v="2025-06-09T00:00:00"/>
    <d v="2025-06-04T00:00:00"/>
    <m/>
    <m/>
    <m/>
    <m/>
    <m/>
    <m/>
    <m/>
    <m/>
    <x v="1"/>
  </r>
  <r>
    <s v="X22093866615"/>
    <s v="DULCINEA BALCE SANTOS"/>
    <s v="HAITI, BETTER LIVING SUBD, PARANAQUE"/>
    <s v="PARAÑAQUE CITY"/>
    <s v="PARAÑAQUE"/>
    <s v="joint survey within September 2023/ Pole location issue for Survey "/>
    <s v="W/ ISSUE"/>
    <x v="1"/>
    <s v="SCHED"/>
    <x v="1"/>
    <n v="29.89"/>
    <n v="54.35"/>
    <n v="45"/>
    <s v="MODIFICATION"/>
    <n v="167939.25"/>
    <n v="22082.54"/>
    <m/>
    <n v="0"/>
    <d v="2022-10-11T15:39:00"/>
    <d v="2022-10-14T00:00:00"/>
    <d v="2022-10-13T00:00:00"/>
    <m/>
    <m/>
    <m/>
    <n v="-44845.652083333334"/>
    <n v="-44848"/>
    <n v="0"/>
    <d v="2022-10-31T17:42:07"/>
    <d v="2022-11-09T21:26:57"/>
    <d v="2022-11-30T15:39:00"/>
    <n v="-1456.9420785527373"/>
    <n v="0"/>
    <n v="23"/>
    <n v="36"/>
    <n v="23.085501858736059"/>
    <n v="29.241635687732341"/>
    <n v="20.085501858736059"/>
    <n v="42"/>
    <n v="33.6"/>
    <n v="28.6"/>
    <d v="1900-02-01T14:24:00"/>
    <d v="1900-01-27T14:24:00"/>
    <m/>
    <m/>
    <m/>
    <m/>
    <m/>
    <m/>
    <m/>
    <m/>
    <x v="0"/>
  </r>
  <r>
    <s v="X22031018462"/>
    <s v="GLOBE TELECOM, INC."/>
    <s v="BLOCK 13, BERNABE CPD, LAS PINAS CITY"/>
    <s v="LAS PIÑAS CITY"/>
    <s v="PARAÑAQUE"/>
    <s v="with digging issue; w/ ROW issue (03-16-23); for digging (03-23-23); follow up to BC_x000a_Pole location issue (with drainage) - resolved (with revised plan / new pole location and tapping point - revised last 05/16/2023)_x000a_09192023_x000a_ROW issue - MIDC and GLOBE has on-going negotiation for the neighbor's concent as per CRS TSE_x000a_11242023_x000a_ROW issue - waiting for update from Globe for the neighbor's concent as per TSE"/>
    <s v="W/ ISSUE"/>
    <x v="5"/>
    <s v="CAN"/>
    <x v="2"/>
    <n v="76.258500000000026"/>
    <n v="145.87"/>
    <n v="23"/>
    <s v="MODIFICATION"/>
    <n v="359981.35"/>
    <n v="63350.41"/>
    <m/>
    <n v="0"/>
    <d v="2022-11-16T09:07:03"/>
    <d v="2022-11-21T00:00:00"/>
    <d v="2022-11-18T00:00:00"/>
    <m/>
    <s v="CAN"/>
    <m/>
    <e v="#VALUE!"/>
    <e v="#VALUE!"/>
    <e v="#VALUE!"/>
    <d v="2022-12-07T14:04:59"/>
    <d v="2022-12-17T01:00:26"/>
    <d v="2023-01-05T09:07:03"/>
    <e v="#VALUE!"/>
    <e v="#VALUE!"/>
    <n v="26"/>
    <n v="36"/>
    <n v="24.206896551724139"/>
    <n v="30.662068965517239"/>
    <n v="21.206896551724139"/>
    <n v="44"/>
    <n v="35.200000000000003"/>
    <n v="30.200000000000003"/>
    <e v="#VALUE!"/>
    <e v="#VALUE!"/>
    <m/>
    <m/>
    <m/>
    <m/>
    <m/>
    <m/>
    <m/>
    <m/>
    <x v="0"/>
  </r>
  <r>
    <s v="P2207136641"/>
    <s v="RTA MN_ 415FIL Replacement of Wood Pole on DU1-0017"/>
    <s v="ILAYA ALABANG ALABANG MUNTINLUPA"/>
    <s v="MUNTINLUPA CITY"/>
    <s v="PARAÑAQUE"/>
    <s v="contact person needed from BC; for checking w/ PnS"/>
    <s v="W/O ISSUE"/>
    <x v="5"/>
    <s v="SCHED"/>
    <x v="2"/>
    <n v="111.413"/>
    <n v="156.03"/>
    <n v="0"/>
    <s v="RTA"/>
    <n v="223165.1"/>
    <n v="121601.57999999996"/>
    <m/>
    <n v="0"/>
    <d v="2022-12-02T14:45:00"/>
    <d v="2023-01-11T10:38:00"/>
    <d v="2023-01-13T00:00:00"/>
    <m/>
    <m/>
    <m/>
    <n v="-44897.614583333336"/>
    <n v="-44937.443055555559"/>
    <n v="0"/>
    <d v="2022-12-23T19:42:56"/>
    <d v="2023-01-02T06:38:23"/>
    <d v="2023-01-21T14:45:00"/>
    <n v="-1391.0585714921654"/>
    <n v="0"/>
    <n v="26"/>
    <n v="36"/>
    <n v="24.206896551724139"/>
    <n v="30.662068965517239"/>
    <n v="21.206896551724139"/>
    <n v="44"/>
    <n v="35.200000000000003"/>
    <n v="30.200000000000003"/>
    <d v="1900-02-03T04:48:00"/>
    <d v="1900-01-29T04:48:00"/>
    <m/>
    <m/>
    <m/>
    <m/>
    <m/>
    <m/>
    <m/>
    <m/>
    <x v="0"/>
  </r>
  <r>
    <s v="P2211141348"/>
    <s v="RTA MN - 415FIL - DT1-0065 - Replacement of rotten, hazardous and old standard pole"/>
    <s v="T. MOLINA ALABANG ALABANG MUNTINLUPA"/>
    <s v="MUNTINLUPA CITY"/>
    <s v="PARAÑAQUE"/>
    <s v="for crew survey; for C1 survey"/>
    <s v="W/O ISSUE"/>
    <x v="2"/>
    <s v="SCHED"/>
    <x v="2"/>
    <n v="39.280100000000004"/>
    <n v="25.37"/>
    <n v="0"/>
    <s v="RTA"/>
    <n v="69142.179999999993"/>
    <n v="30610.91"/>
    <m/>
    <n v="0"/>
    <d v="2022-12-04T21:37:00"/>
    <d v="2023-01-11T10:30:00"/>
    <d v="2023-01-14T00:00:00"/>
    <m/>
    <m/>
    <m/>
    <n v="-44899.900694444441"/>
    <n v="-44937.4375"/>
    <n v="0"/>
    <d v="2022-12-23T16:11:50"/>
    <d v="2023-01-01T11:33:08"/>
    <d v="2023-01-23T21:37:00"/>
    <n v="-1546.5521350308641"/>
    <n v="0"/>
    <n v="20"/>
    <n v="36"/>
    <n v="21.774193548387096"/>
    <n v="27.58064516129032"/>
    <n v="18.774193548387096"/>
    <n v="40"/>
    <n v="32"/>
    <n v="27"/>
    <d v="1900-01-31T00:00:00"/>
    <d v="1900-01-26T00:00:00"/>
    <m/>
    <m/>
    <m/>
    <m/>
    <m/>
    <m/>
    <m/>
    <m/>
    <x v="0"/>
  </r>
  <r>
    <s v="P2211141350"/>
    <s v="RTA MN - 415FIL - DU1-0445 - Replacement of rotten, hazardous and old standard pole"/>
    <s v="T. MOLINA ALABANG ALABANG MUNTINLUPA"/>
    <s v="MUNTINLUPA CITY"/>
    <s v="PARAÑAQUE"/>
    <s v="contact person needed from BC; for checking w/ PnS"/>
    <s v="W/O ISSUE"/>
    <x v="5"/>
    <s v="SCHED"/>
    <x v="2"/>
    <n v="40.302400000000006"/>
    <n v="25.37"/>
    <n v="0"/>
    <s v="RTA"/>
    <n v="70118.66"/>
    <n v="31407.589999999997"/>
    <m/>
    <n v="0"/>
    <d v="2022-12-05T10:43:00"/>
    <d v="2023-01-11T10:33:00"/>
    <d v="2023-01-13T00:00:00"/>
    <m/>
    <m/>
    <m/>
    <n v="-44900.446527777778"/>
    <n v="-44937.439583333333"/>
    <n v="0"/>
    <d v="2022-12-24T05:17:50"/>
    <d v="2023-01-02T00:39:08"/>
    <d v="2023-01-24T10:43:00"/>
    <n v="-1546.57093595679"/>
    <n v="0"/>
    <n v="20"/>
    <n v="36"/>
    <n v="21.774193548387096"/>
    <n v="27.58064516129032"/>
    <n v="18.774193548387096"/>
    <n v="40"/>
    <n v="32"/>
    <n v="27"/>
    <d v="1900-01-31T00:00:00"/>
    <d v="1900-01-26T00:00:00"/>
    <m/>
    <m/>
    <m/>
    <m/>
    <m/>
    <m/>
    <m/>
    <m/>
    <x v="0"/>
  </r>
  <r>
    <s v="P2211141356"/>
    <s v="RTA MN - 415FIL - DT1-0057 - Replacement of rotten, hazardous and old standard pole"/>
    <s v="ILAYA PUROK 7 ALABANG MUNTINLUPA"/>
    <s v="MUNTINLUPA CITY"/>
    <s v="PARAÑAQUE"/>
    <s v="for crew survey; for C1 survey"/>
    <s v="W/O ISSUE"/>
    <x v="2"/>
    <s v="SCHED"/>
    <x v="2"/>
    <n v="42.586100000000002"/>
    <n v="25.37"/>
    <n v="0"/>
    <s v="RTA"/>
    <n v="73123.350000000006"/>
    <n v="33187.269999999997"/>
    <m/>
    <n v="0"/>
    <d v="2022-12-06T22:36:00"/>
    <d v="2023-01-11T14:20:00"/>
    <d v="2023-01-14T00:00:00"/>
    <m/>
    <m/>
    <m/>
    <n v="-44901.941666666666"/>
    <n v="-44937.597222222219"/>
    <n v="0"/>
    <d v="2022-12-25T17:10:50"/>
    <d v="2023-01-03T12:32:08"/>
    <d v="2023-01-25T22:36:00"/>
    <n v="-1546.6224351851852"/>
    <n v="0"/>
    <n v="20"/>
    <n v="36"/>
    <n v="21.774193548387096"/>
    <n v="27.58064516129032"/>
    <n v="18.774193548387096"/>
    <n v="40"/>
    <n v="32"/>
    <n v="27"/>
    <d v="1900-01-31T00:00:00"/>
    <d v="1900-01-26T00:00:00"/>
    <m/>
    <m/>
    <m/>
    <m/>
    <m/>
    <m/>
    <m/>
    <m/>
    <x v="0"/>
  </r>
  <r>
    <s v="P2211141357"/>
    <s v="RTA MN - 415FIL - DU1-0003 - Replacement of rotten, hazardous and old standard pole"/>
    <s v="ILAYA ALABANG ALABANG MUNTINLUPA"/>
    <s v="MUNTINLUPA CITY"/>
    <s v="PARAÑAQUE"/>
    <s v="contact person needed from BC; for checking w/ PnS"/>
    <s v="W/O ISSUE"/>
    <x v="5"/>
    <s v="SCHED"/>
    <x v="2"/>
    <n v="51.012500000000003"/>
    <n v="25.37"/>
    <n v="0"/>
    <s v="RTA"/>
    <n v="80899.28"/>
    <n v="39753.950000000004"/>
    <m/>
    <n v="0"/>
    <d v="2022-12-06T22:38:00"/>
    <d v="2023-01-11T14:24:00"/>
    <d v="2023-01-13T00:00:00"/>
    <m/>
    <m/>
    <m/>
    <n v="-44901.943055555559"/>
    <n v="-44937.599999999999"/>
    <n v="0"/>
    <d v="2022-12-25T17:12:50"/>
    <d v="2023-01-03T12:34:08"/>
    <d v="2023-01-25T22:38:00"/>
    <n v="-1546.6224830246913"/>
    <n v="0"/>
    <n v="20"/>
    <n v="36"/>
    <n v="21.774193548387096"/>
    <n v="27.58064516129032"/>
    <n v="18.774193548387096"/>
    <n v="40"/>
    <n v="32"/>
    <n v="27"/>
    <d v="1900-01-31T00:00:00"/>
    <d v="1900-01-26T00:00:00"/>
    <m/>
    <m/>
    <m/>
    <m/>
    <m/>
    <m/>
    <m/>
    <m/>
    <x v="0"/>
  </r>
  <r>
    <s v="P2211141358"/>
    <s v="RTA MN - 415FIL - DV1-0001 - Replacement of rotten, hazardous and old standard pole"/>
    <s v="VINALON PUROK 3 CUPANG MUNTINLUPA"/>
    <s v="MUNTINLUPA CITY"/>
    <s v="PARAÑAQUE"/>
    <s v="contact person needed from BC; for checking w/ PnS"/>
    <s v="W/O ISSUE"/>
    <x v="5"/>
    <s v="SCHED"/>
    <x v="2"/>
    <n v="39.280100000000004"/>
    <n v="25.37"/>
    <n v="0"/>
    <s v="RTA"/>
    <n v="69142.179999999993"/>
    <n v="30610.91"/>
    <m/>
    <n v="0"/>
    <d v="2022-12-06T22:39:00"/>
    <d v="2023-01-11T14:29:00"/>
    <d v="2023-01-13T00:00:00"/>
    <m/>
    <m/>
    <m/>
    <n v="-44901.943749999999"/>
    <n v="-44937.603472222225"/>
    <n v="0"/>
    <d v="2022-12-25T17:13:50"/>
    <d v="2023-01-03T12:35:08"/>
    <d v="2023-01-25T22:39:00"/>
    <n v="-1546.6225069444445"/>
    <n v="0"/>
    <n v="20"/>
    <n v="36"/>
    <n v="21.774193548387096"/>
    <n v="27.58064516129032"/>
    <n v="18.774193548387096"/>
    <n v="40"/>
    <n v="32"/>
    <n v="27"/>
    <d v="1900-01-31T00:00:00"/>
    <d v="1900-01-26T00:00:00"/>
    <m/>
    <m/>
    <m/>
    <m/>
    <m/>
    <m/>
    <m/>
    <m/>
    <x v="0"/>
  </r>
  <r>
    <s v="P2211141362"/>
    <s v="RTA MN - 415FIL - DT1-0050 - Replacement of rotten, hazardous and old standard pole"/>
    <s v="ILAYA PUROK 7 ALABANG MUNTINLUPA"/>
    <s v="MUNTINLUPA CITY"/>
    <s v="PARAÑAQUE"/>
    <s v="for crew survey; for C1 survey"/>
    <s v="W/O ISSUE"/>
    <x v="2"/>
    <s v="SCHED"/>
    <x v="2"/>
    <n v="51.012500000000003"/>
    <n v="25.37"/>
    <n v="0"/>
    <s v="RTA"/>
    <n v="80899.28"/>
    <n v="29912.66"/>
    <m/>
    <n v="0"/>
    <d v="2022-12-06T22:40:00"/>
    <d v="2023-01-11T14:19:00"/>
    <d v="2023-01-14T00:00:00"/>
    <m/>
    <m/>
    <m/>
    <n v="-44901.944444444445"/>
    <n v="-44937.59652777778"/>
    <n v="0"/>
    <d v="2022-12-25T17:14:50"/>
    <d v="2023-01-03T12:36:08"/>
    <d v="2023-01-25T22:40:00"/>
    <n v="-1546.6225308641974"/>
    <n v="0"/>
    <n v="20"/>
    <n v="36"/>
    <n v="21.774193548387096"/>
    <n v="27.58064516129032"/>
    <n v="18.774193548387096"/>
    <n v="40"/>
    <n v="32"/>
    <n v="27"/>
    <d v="1900-01-31T00:00:00"/>
    <d v="1900-01-26T00:00:00"/>
    <m/>
    <m/>
    <m/>
    <m/>
    <m/>
    <m/>
    <m/>
    <m/>
    <x v="0"/>
  </r>
  <r>
    <s v="P2211141366"/>
    <s v="RTA MN - 425FIL - DT1-0140 - Replacement of rotten, hazardous and old standard pole"/>
    <s v="NATIONAL ALABANG ALABANG MUNTINLUPA"/>
    <s v="MUNTINLUPA CITY"/>
    <s v="PARAÑAQUE"/>
    <s v="contact person needed from BC; for checking w/ PnS"/>
    <s v="W/O ISSUE"/>
    <x v="5"/>
    <s v="SCHED"/>
    <x v="2"/>
    <n v="39.280100000000004"/>
    <n v="39.28"/>
    <n v="0"/>
    <s v="RTA"/>
    <n v="69142.179999999993"/>
    <n v="30610.91"/>
    <m/>
    <n v="0"/>
    <d v="2022-12-06T22:41:00"/>
    <d v="2023-01-12T00:00:00"/>
    <d v="2023-01-13T00:00:00"/>
    <m/>
    <m/>
    <m/>
    <n v="-44901.945138888892"/>
    <n v="-44938"/>
    <n v="0"/>
    <d v="2022-12-25T17:15:50"/>
    <d v="2023-01-03T12:37:08"/>
    <d v="2023-01-25T22:41:00"/>
    <n v="-1546.6225547839508"/>
    <n v="0"/>
    <n v="20"/>
    <n v="36"/>
    <n v="21.774193548387096"/>
    <n v="27.58064516129032"/>
    <n v="18.774193548387096"/>
    <n v="40"/>
    <n v="32"/>
    <n v="27"/>
    <d v="1900-01-31T00:00:00"/>
    <d v="1900-01-26T00:00:00"/>
    <m/>
    <m/>
    <m/>
    <m/>
    <m/>
    <m/>
    <m/>
    <m/>
    <x v="0"/>
  </r>
  <r>
    <s v="P2211141368"/>
    <s v="RTA MN - 425FIL - DT1-0264 - Replacement of rotten, hazardous and old standard pole"/>
    <s v="M. DOLLETON PUROK 1 BAYANAN MUNTINLUPA"/>
    <s v="MUNTINLUPA CITY"/>
    <s v="PARAÑAQUE"/>
    <s v="for scheduling, drainage and waterline"/>
    <s v="W/ ISSUE"/>
    <x v="3"/>
    <s v="SCHED"/>
    <x v="3"/>
    <n v="39.280100000000004"/>
    <n v="25.37"/>
    <n v="0"/>
    <s v="RTA"/>
    <n v="69142.179999999993"/>
    <n v="30610.91"/>
    <m/>
    <n v="0"/>
    <d v="2022-12-06T22:46:00"/>
    <d v="2023-01-12T00:00:00"/>
    <d v="2023-01-14T00:00:00"/>
    <m/>
    <m/>
    <m/>
    <n v="-44901.948611111111"/>
    <n v="-44938"/>
    <n v="0"/>
    <d v="2022-12-25T17:20:50"/>
    <d v="2023-01-03T12:42:08"/>
    <d v="2023-01-25T22:46:00"/>
    <n v="-1546.622674382716"/>
    <n v="0"/>
    <n v="20"/>
    <n v="36"/>
    <n v="21.774193548387096"/>
    <n v="27.58064516129032"/>
    <n v="18.774193548387096"/>
    <n v="40"/>
    <n v="32"/>
    <n v="27"/>
    <d v="1900-01-31T00:00:00"/>
    <d v="1900-01-26T00:00:00"/>
    <m/>
    <m/>
    <m/>
    <m/>
    <m/>
    <m/>
    <m/>
    <m/>
    <x v="0"/>
  </r>
  <r>
    <s v="P2211141370"/>
    <s v="RTA MN - 425FIL - ALB1-1897 - Replacement of rotten, hazardous and old standard pole"/>
    <s v="HERRERA JR. PUROK 1 BAYANAN MUNTINLUPA"/>
    <s v="MUNTINLUPA CITY"/>
    <s v="PARAÑAQUE"/>
    <s v="for scheduling, check pole tag"/>
    <s v="W/O ISSUE"/>
    <x v="3"/>
    <s v="SCHED"/>
    <x v="3"/>
    <n v="38.384100000000004"/>
    <n v="25.37"/>
    <n v="0"/>
    <s v="RTA"/>
    <n v="68226.09"/>
    <n v="29912.66"/>
    <m/>
    <n v="0"/>
    <d v="2022-12-06T22:48:00"/>
    <d v="2023-01-12T00:00:00"/>
    <d v="2023-01-14T00:00:00"/>
    <m/>
    <m/>
    <m/>
    <n v="-44901.95"/>
    <n v="-44938"/>
    <n v="0"/>
    <d v="2022-12-25T17:22:50"/>
    <d v="2023-01-03T12:44:08"/>
    <d v="2023-01-25T22:48:00"/>
    <n v="-1546.6227222222219"/>
    <n v="0"/>
    <n v="20"/>
    <n v="36"/>
    <n v="21.774193548387096"/>
    <n v="27.58064516129032"/>
    <n v="18.774193548387096"/>
    <n v="40"/>
    <n v="32"/>
    <n v="27"/>
    <d v="1900-01-31T00:00:00"/>
    <d v="1900-01-26T00:00:00"/>
    <m/>
    <m/>
    <m/>
    <m/>
    <m/>
    <m/>
    <m/>
    <m/>
    <x v="0"/>
  </r>
  <r>
    <s v="P2211141364"/>
    <s v="RTA MN - 425FIL - DS1-0169 - Replacement of rotten, hazardous and old standard pole"/>
    <s v="VIRGO PUROK 1 BAYANAN MUNTINLUPA"/>
    <s v="MUNTINLUPA CITY"/>
    <s v="PARAÑAQUE"/>
    <s v="for scheduling"/>
    <s v="W/O ISSUE"/>
    <x v="3"/>
    <s v="SCHED"/>
    <x v="3"/>
    <n v="39.280100000000004"/>
    <n v="24.02"/>
    <n v="0"/>
    <s v="RTA"/>
    <n v="69095.41"/>
    <n v="30610.91"/>
    <m/>
    <n v="0"/>
    <d v="2022-12-08T23:06:00"/>
    <d v="2023-01-12T00:00:00"/>
    <d v="2023-01-14T00:00:00"/>
    <m/>
    <m/>
    <m/>
    <n v="-44903.962500000001"/>
    <n v="-44938"/>
    <n v="0"/>
    <d v="2022-12-27T17:40:50"/>
    <d v="2023-01-05T13:02:08"/>
    <d v="2023-01-27T23:06:00"/>
    <n v="-1546.6920416666667"/>
    <n v="0"/>
    <n v="20"/>
    <n v="36"/>
    <n v="21.774193548387096"/>
    <n v="27.58064516129032"/>
    <n v="18.774193548387096"/>
    <n v="40"/>
    <n v="32"/>
    <n v="27"/>
    <d v="1900-01-31T00:00:00"/>
    <d v="1900-01-26T00:00:00"/>
    <m/>
    <m/>
    <m/>
    <m/>
    <m/>
    <m/>
    <m/>
    <m/>
    <x v="0"/>
  </r>
  <r>
    <s v="R21956925"/>
    <s v="MACAGGA DANICA RUTH RABENA"/>
    <s v="REYVILLE I SUBD, REYVILLE I SUBD, BACOOR"/>
    <s v="BACOOR CITY"/>
    <s v="DASMA"/>
    <s v="current plan cannot be executed due to the lack of space for installing a down guy; contractor cannot execute; for digging on Feb. 21, 2023; w/ customer issue:_x000a_FOR CANCELLATION"/>
    <s v="W/ ISSUE"/>
    <x v="2"/>
    <s v="PCAN4"/>
    <x v="2"/>
    <n v="13.004099999999999"/>
    <n v="26.07"/>
    <n v="0"/>
    <s v="PCA RELOC"/>
    <n v="37045.870000000003"/>
    <n v="13135.2"/>
    <m/>
    <n v="0"/>
    <d v="2022-12-09T00:00:00"/>
    <d v="2022-12-14T00:00:00"/>
    <d v="2022-12-15T00:00:00"/>
    <m/>
    <m/>
    <m/>
    <n v="-44904"/>
    <n v="-44909"/>
    <n v="0"/>
    <d v="2022-12-27T18:34:50"/>
    <d v="2023-01-05T13:56:08"/>
    <d v="2023-01-28T00:00:00"/>
    <n v="-1546.6933333333332"/>
    <n v="0"/>
    <n v="20"/>
    <n v="36"/>
    <n v="21.774193548387096"/>
    <n v="27.58064516129032"/>
    <n v="18.774193548387096"/>
    <n v="40"/>
    <n v="32"/>
    <n v="27"/>
    <d v="1900-01-31T00:00:00"/>
    <d v="1900-01-26T00:00:00"/>
    <m/>
    <m/>
    <m/>
    <m/>
    <m/>
    <m/>
    <m/>
    <m/>
    <x v="0"/>
  </r>
  <r>
    <s v="P2211141365"/>
    <s v="RTA MN - 425FIL - NPT(NR DT1-5850) - Replacement of rotten, hazardous and old standard pole"/>
    <s v="M. DOLLETON PUROK 1 BAYANAN MUNTINLUPA"/>
    <s v="MUNTINLUPA CITY"/>
    <s v="PARAÑAQUE"/>
    <s v="for scheduling, check if wood pole"/>
    <s v="W/O ISSUE"/>
    <x v="3"/>
    <s v="SCHED"/>
    <x v="3"/>
    <n v="39.280100000000004"/>
    <n v="24.02"/>
    <n v="0"/>
    <s v="RTA"/>
    <n v="69101.47"/>
    <n v="30610.91"/>
    <m/>
    <n v="0"/>
    <d v="2022-12-09T14:12:00"/>
    <d v="2023-01-12T00:00:00"/>
    <d v="2023-01-14T00:00:00"/>
    <m/>
    <m/>
    <m/>
    <n v="-44904.591666666667"/>
    <n v="-44938"/>
    <n v="0"/>
    <d v="2022-12-28T08:46:50"/>
    <d v="2023-01-06T04:08:08"/>
    <d v="2023-01-28T14:12:00"/>
    <n v="-1546.7137129629627"/>
    <n v="0"/>
    <n v="20"/>
    <n v="36"/>
    <n v="21.774193548387096"/>
    <n v="27.58064516129032"/>
    <n v="18.774193548387096"/>
    <n v="40"/>
    <n v="32"/>
    <n v="27"/>
    <d v="1900-01-31T00:00:00"/>
    <d v="1900-01-26T00:00:00"/>
    <m/>
    <m/>
    <m/>
    <m/>
    <m/>
    <m/>
    <m/>
    <m/>
    <x v="0"/>
  </r>
  <r>
    <s v="P2211141360"/>
    <s v="RTA MN - 415FIL - DU1-0119-T - Replacement of rotten, hazardous and old standard pole"/>
    <s v="NATIONAL ALABANG ALABANG MUNTINLUPA"/>
    <s v="MUNTINLUPA CITY"/>
    <s v="PARAÑAQUE"/>
    <s v="for schedule of digging 2/20"/>
    <s v="W/O ISSUE"/>
    <x v="4"/>
    <s v="SCHED"/>
    <x v="1"/>
    <n v="39.280100000000004"/>
    <n v="25.37"/>
    <n v="0"/>
    <s v="RTA"/>
    <n v="69083.289999999994"/>
    <n v="30610.91"/>
    <m/>
    <n v="0"/>
    <d v="2022-12-11T21:57:00"/>
    <d v="2023-01-11T14:27:00"/>
    <d v="2023-01-13T00:00:00"/>
    <m/>
    <m/>
    <m/>
    <n v="-44906.914583333331"/>
    <n v="-44937.602083333331"/>
    <n v="0"/>
    <d v="2022-12-30T16:31:50"/>
    <d v="2023-01-08T11:53:08"/>
    <d v="2023-01-30T21:57:00"/>
    <n v="-1546.7937245370367"/>
    <n v="0"/>
    <n v="20"/>
    <n v="36"/>
    <n v="21.774193548387096"/>
    <n v="27.58064516129032"/>
    <n v="18.774193548387096"/>
    <n v="40"/>
    <n v="32"/>
    <n v="27"/>
    <d v="1900-01-31T00:00:00"/>
    <d v="1900-01-26T00:00:00"/>
    <m/>
    <m/>
    <m/>
    <m/>
    <m/>
    <m/>
    <m/>
    <m/>
    <x v="0"/>
  </r>
  <r>
    <s v="P2211141361"/>
    <s v="RTA MN - 415FIL - DU1-0117-T - Replacement of rotten, hazardous and old standard pole"/>
    <s v="ILAYA ALABANG ALABANG MUNTINLUPA"/>
    <s v="MUNTINLUPA CITY"/>
    <s v="PARAÑAQUE"/>
    <s v="for schedule of digging 2/20"/>
    <s v="W/O ISSUE"/>
    <x v="4"/>
    <s v="SCHED"/>
    <x v="1"/>
    <n v="39.280100000000004"/>
    <n v="24.02"/>
    <n v="0"/>
    <s v="RTA"/>
    <n v="69095.41"/>
    <n v="30610.91"/>
    <m/>
    <n v="0"/>
    <d v="2022-12-11T21:58:00"/>
    <d v="2023-01-11T14:25:00"/>
    <d v="2023-01-13T00:00:00"/>
    <m/>
    <m/>
    <m/>
    <n v="-44906.915277777778"/>
    <n v="-44937.600694444445"/>
    <n v="0"/>
    <d v="2022-12-30T16:32:50"/>
    <d v="2023-01-08T11:54:08"/>
    <d v="2023-01-30T21:58:00"/>
    <n v="-1546.7937484567901"/>
    <n v="0"/>
    <n v="20"/>
    <n v="36"/>
    <n v="21.774193548387096"/>
    <n v="27.58064516129032"/>
    <n v="18.774193548387096"/>
    <n v="40"/>
    <n v="32"/>
    <n v="27"/>
    <d v="1900-01-31T00:00:00"/>
    <d v="1900-01-26T00:00:00"/>
    <m/>
    <m/>
    <m/>
    <m/>
    <m/>
    <m/>
    <m/>
    <m/>
    <x v="0"/>
  </r>
  <r>
    <s v="P2211141332"/>
    <s v="RTA MN - 415FIL - DU1-5951 - Replacement of rotten, hazardous and old standard pole"/>
    <s v="MONTILLANO ALABANG ALABANG MUNTINLUPA"/>
    <s v="MUNTINLUPA CITY"/>
    <s v="PARAÑAQUE"/>
    <s v="for schedule of digging 2/20, pole used as DT pole (tandem with DU1-5950)"/>
    <s v="W/O ISSUE"/>
    <x v="4"/>
    <s v="SCHED"/>
    <x v="1"/>
    <n v="54.862300000000005"/>
    <n v="26.33"/>
    <n v="0"/>
    <s v="RTA"/>
    <n v="95850.85"/>
    <n v="42754.090000000004"/>
    <m/>
    <n v="0"/>
    <d v="2022-12-11T22:22:00"/>
    <d v="2023-01-11T10:35:00"/>
    <d v="2023-01-13T00:00:00"/>
    <m/>
    <m/>
    <m/>
    <n v="-44906.931944444441"/>
    <n v="-44937.440972222219"/>
    <n v="0"/>
    <d v="2022-12-30T16:56:50"/>
    <d v="2023-01-08T12:18:08"/>
    <d v="2023-01-30T22:22:00"/>
    <n v="-1546.7943225308641"/>
    <n v="0"/>
    <n v="20"/>
    <n v="36"/>
    <n v="21.774193548387096"/>
    <n v="27.58064516129032"/>
    <n v="18.774193548387096"/>
    <n v="40"/>
    <n v="32"/>
    <n v="27"/>
    <d v="1900-01-31T00:00:00"/>
    <d v="1900-01-26T00:00:00"/>
    <m/>
    <m/>
    <m/>
    <m/>
    <m/>
    <m/>
    <m/>
    <m/>
    <x v="0"/>
  </r>
  <r>
    <s v="P2211141351"/>
    <s v="RTA MN - 415FIL - DU1-0686 - Replacement of rotten, hazardous and old standard pole"/>
    <s v="PNR CUPANG CUPANG MUNTINLUPA"/>
    <s v="MUNTINLUPA CITY"/>
    <s v="PARAÑAQUE"/>
    <s v="for schedule of digging 2/20"/>
    <s v="W/O ISSUE"/>
    <x v="4"/>
    <s v="SCHED"/>
    <x v="1"/>
    <n v="47.498399999999997"/>
    <n v="25.37"/>
    <n v="0"/>
    <s v="RTA"/>
    <n v="77366.97"/>
    <n v="37015.410000000003"/>
    <m/>
    <n v="0"/>
    <d v="2022-12-11T22:24:00"/>
    <d v="2023-01-11T14:28:00"/>
    <d v="2023-01-13T00:00:00"/>
    <m/>
    <m/>
    <m/>
    <n v="-44906.933333333334"/>
    <n v="-44937.602777777778"/>
    <n v="0"/>
    <d v="2022-12-30T16:58:50"/>
    <d v="2023-01-08T12:20:08"/>
    <d v="2023-01-30T22:24:00"/>
    <n v="-1546.7943703703704"/>
    <n v="0"/>
    <n v="20"/>
    <n v="36"/>
    <n v="21.774193548387096"/>
    <n v="27.58064516129032"/>
    <n v="18.774193548387096"/>
    <n v="40"/>
    <n v="32"/>
    <n v="27"/>
    <d v="1900-01-31T00:00:00"/>
    <d v="1900-01-26T00:00:00"/>
    <m/>
    <m/>
    <m/>
    <m/>
    <m/>
    <m/>
    <m/>
    <m/>
    <x v="0"/>
  </r>
  <r>
    <s v="P2211141353"/>
    <s v="RTA MN - 415FIL - DT1-0061 - Replacement of rotten, hazardous and old standard pole"/>
    <s v="MENDIOLA PUROK 1 ALABANG MUNTINLUPA"/>
    <s v="MUNTINLUPA CITY"/>
    <s v="PARAÑAQUE"/>
    <s v="for crew survey; for C1 survey"/>
    <s v="W/O ISSUE"/>
    <x v="2"/>
    <s v="SCHED"/>
    <x v="2"/>
    <n v="39.280100000000004"/>
    <n v="25.37"/>
    <n v="0"/>
    <s v="RTA"/>
    <n v="69142.179999999993"/>
    <n v="30610.91"/>
    <m/>
    <n v="0"/>
    <d v="2022-12-11T22:24:00"/>
    <d v="2023-01-11T14:21:00"/>
    <d v="2023-01-14T00:00:00"/>
    <m/>
    <m/>
    <m/>
    <n v="-44906.933333333334"/>
    <n v="-44937.597916666666"/>
    <n v="0"/>
    <d v="2022-12-30T16:58:50"/>
    <d v="2023-01-08T12:20:08"/>
    <d v="2023-01-30T22:24:00"/>
    <n v="-1546.7943703703704"/>
    <n v="0"/>
    <n v="20"/>
    <n v="36"/>
    <n v="21.774193548387096"/>
    <n v="27.58064516129032"/>
    <n v="18.774193548387096"/>
    <n v="40"/>
    <n v="32"/>
    <n v="27"/>
    <d v="1900-01-31T00:00:00"/>
    <d v="1900-01-26T00:00:00"/>
    <m/>
    <m/>
    <m/>
    <m/>
    <m/>
    <m/>
    <m/>
    <m/>
    <x v="0"/>
  </r>
  <r>
    <s v="P2211141343"/>
    <s v="RTA MN - 415FIL - ALB1-1353 - Replacement of rotten, hazardous and old standard pole"/>
    <s v="CAPT. IGNACIO MABOLO I MABOLO I BACOOR CAVITE"/>
    <s v="BACOOR CITY"/>
    <s v="DASMA"/>
    <s v="for schedule of digging 2/20"/>
    <s v="W/O ISSUE"/>
    <x v="4"/>
    <s v="SCHED"/>
    <x v="1"/>
    <n v="38.384100000000004"/>
    <n v="25.37"/>
    <n v="0"/>
    <s v="RTA"/>
    <n v="68226.09"/>
    <n v="29912.66"/>
    <m/>
    <n v="0"/>
    <d v="2022-12-11T22:27:00"/>
    <d v="2023-01-11T14:19:00"/>
    <d v="2023-01-13T00:00:00"/>
    <m/>
    <m/>
    <m/>
    <n v="-44906.935416666667"/>
    <n v="-44937.59652777778"/>
    <n v="0"/>
    <d v="2022-12-30T17:01:50"/>
    <d v="2023-01-08T12:23:08"/>
    <d v="2023-01-30T22:27:00"/>
    <n v="-1546.7944421296295"/>
    <n v="0"/>
    <n v="20"/>
    <n v="36"/>
    <n v="21.774193548387096"/>
    <n v="27.58064516129032"/>
    <n v="18.774193548387096"/>
    <n v="40"/>
    <n v="32"/>
    <n v="27"/>
    <d v="1900-01-31T00:00:00"/>
    <d v="1900-01-26T00:00:00"/>
    <m/>
    <m/>
    <m/>
    <m/>
    <m/>
    <m/>
    <m/>
    <m/>
    <x v="0"/>
  </r>
  <r>
    <s v="P2211141342"/>
    <s v="RTA MN - 415FIL - DT2-2199 - Replacement of rotten, hazardous and old standard pole"/>
    <s v="SAN GUILLERMO BAYANAN BAYANAN MUNTINLUPA"/>
    <s v="MUNTINLUPA CITY"/>
    <s v="PARAÑAQUE"/>
    <s v="digging done, schedule only at night"/>
    <s v="W/O ISSUE"/>
    <x v="3"/>
    <s v="INPRG"/>
    <x v="3"/>
    <n v="51.012500000000003"/>
    <n v="25.37"/>
    <n v="0"/>
    <s v="RTA"/>
    <n v="80899.28"/>
    <n v="39753.950000000004"/>
    <m/>
    <n v="0"/>
    <d v="2022-12-11T22:28:00"/>
    <d v="2023-01-11T14:23:00"/>
    <d v="2023-01-14T00:00:00"/>
    <m/>
    <m/>
    <m/>
    <n v="-44906.936111111114"/>
    <n v="-44937.599305555559"/>
    <n v="0"/>
    <d v="2022-12-30T17:02:50"/>
    <d v="2023-01-08T12:24:08"/>
    <d v="2023-01-30T22:28:00"/>
    <n v="-1546.7944660493829"/>
    <n v="0"/>
    <n v="20"/>
    <n v="36"/>
    <n v="21.774193548387096"/>
    <n v="27.58064516129032"/>
    <n v="18.774193548387096"/>
    <n v="40"/>
    <n v="32"/>
    <n v="27"/>
    <d v="1900-01-31T00:00:00"/>
    <d v="1900-01-26T00:00:00"/>
    <m/>
    <m/>
    <m/>
    <m/>
    <m/>
    <m/>
    <m/>
    <m/>
    <x v="0"/>
  </r>
  <r>
    <s v="P2211141340"/>
    <s v="RTA MN - 415FIL - DT1-0301 - Replacement of rotten, hazardous and old standard pole"/>
    <s v="SAN GUILLERMO PUTATAN PUTATAN MUNTINLUPA"/>
    <s v="MUNTINLUPA CITY"/>
    <s v="PARAÑAQUE"/>
    <s v="contact person needed from BC; for checking w/ PnS"/>
    <s v="W/O ISSUE"/>
    <x v="5"/>
    <s v="SCHED"/>
    <x v="2"/>
    <n v="38.384100000000004"/>
    <n v="25.37"/>
    <n v="0"/>
    <s v="RTA"/>
    <n v="68226.09"/>
    <n v="29912.66"/>
    <m/>
    <n v="0"/>
    <d v="2022-12-11T23:10:00"/>
    <d v="2023-01-11T14:22:00"/>
    <d v="2023-01-13T00:00:00"/>
    <m/>
    <m/>
    <m/>
    <n v="-44906.965277777781"/>
    <n v="-44937.598611111112"/>
    <n v="0"/>
    <d v="2022-12-30T17:44:50"/>
    <d v="2023-01-08T13:06:08"/>
    <d v="2023-01-30T23:10:00"/>
    <n v="-1546.7954706790124"/>
    <n v="0"/>
    <n v="20"/>
    <n v="36"/>
    <n v="21.774193548387096"/>
    <n v="27.58064516129032"/>
    <n v="18.774193548387096"/>
    <n v="40"/>
    <n v="32"/>
    <n v="27"/>
    <d v="1900-01-31T00:00:00"/>
    <d v="1900-01-26T00:00:00"/>
    <m/>
    <m/>
    <m/>
    <m/>
    <m/>
    <m/>
    <m/>
    <m/>
    <x v="0"/>
  </r>
  <r>
    <s v="P2211141328"/>
    <s v="RTA MN - 425FIL/415FIL - DS1-5305 - Replacement of rotten, hazardous and old standard pole"/>
    <s v="NATIONAL ALABANG ALABANG MUNTINLUPA"/>
    <s v="MUNTINLUPA CITY"/>
    <s v="PARAÑAQUE"/>
    <s v="for scheduling"/>
    <s v="W/O ISSUE"/>
    <x v="3"/>
    <s v="SCHED"/>
    <x v="3"/>
    <n v="39.280100000000004"/>
    <n v="24.02"/>
    <n v="0"/>
    <s v="RTA"/>
    <n v="67679.289999999994"/>
    <n v="30610.91"/>
    <m/>
    <n v="0"/>
    <d v="2022-12-11T23:20:00"/>
    <d v="2023-01-12T00:00:00"/>
    <d v="2023-01-14T00:00:00"/>
    <m/>
    <m/>
    <m/>
    <n v="-44906.972222222219"/>
    <n v="-44938"/>
    <n v="0"/>
    <d v="2022-12-30T17:54:50"/>
    <d v="2023-01-08T13:16:08"/>
    <d v="2023-01-30T23:20:00"/>
    <n v="-1546.7957098765432"/>
    <n v="0"/>
    <n v="20"/>
    <n v="36"/>
    <n v="21.774193548387096"/>
    <n v="27.58064516129032"/>
    <n v="18.774193548387096"/>
    <n v="40"/>
    <n v="32"/>
    <n v="27"/>
    <d v="1900-01-31T00:00:00"/>
    <d v="1900-01-26T00:00:00"/>
    <m/>
    <m/>
    <m/>
    <m/>
    <m/>
    <m/>
    <m/>
    <m/>
    <x v="0"/>
  </r>
  <r>
    <s v="P2211141377"/>
    <s v="RTA MN 425FIL  - NPT (DR1-0242) Replacement of rotten, hazardous and old standard pole"/>
    <s v="P. DIAZ POBLACION POBLACION MUNTINLUPA"/>
    <s v="MUNTINLUPA CITY"/>
    <s v="PARAÑAQUE"/>
    <s v="contact person needed from BC; for checking w/ PnS"/>
    <s v="W/O ISSUE"/>
    <x v="5"/>
    <s v="SCHED"/>
    <x v="2"/>
    <n v="39.280100000000004"/>
    <n v="24.02"/>
    <n v="0"/>
    <s v="RTA"/>
    <n v="69101.47"/>
    <n v="30610.91"/>
    <m/>
    <n v="0"/>
    <d v="2022-12-11T23:27:00"/>
    <d v="2023-01-12T00:00:00"/>
    <d v="2023-01-13T00:00:00"/>
    <m/>
    <m/>
    <m/>
    <n v="-44906.977083333331"/>
    <n v="-44938"/>
    <n v="0"/>
    <d v="2022-12-30T18:01:50"/>
    <d v="2023-01-08T13:23:08"/>
    <d v="2023-01-30T23:27:00"/>
    <n v="-1546.7958773148148"/>
    <n v="0"/>
    <n v="20"/>
    <n v="36"/>
    <n v="21.774193548387096"/>
    <n v="27.58064516129032"/>
    <n v="18.774193548387096"/>
    <n v="40"/>
    <n v="32"/>
    <n v="27"/>
    <d v="1900-01-31T00:00:00"/>
    <d v="1900-01-26T00:00:00"/>
    <m/>
    <m/>
    <m/>
    <m/>
    <m/>
    <m/>
    <m/>
    <m/>
    <x v="0"/>
  </r>
  <r>
    <s v="X22125127907"/>
    <s v="MEGAWIDE CONSTRUCTION CORPORATION"/>
    <s v="ALABANG-ZAPOTE, PAMPLONA I, LAS PINAS CITY"/>
    <s v="LAS PIÑAS CITY"/>
    <s v="PARAÑAQUE"/>
    <s v="for execution on March 7, 2023; for execution on March 30, 2023; for execution on April 28, 2023"/>
    <s v="W/O ISSUE"/>
    <x v="5"/>
    <s v="PCAN"/>
    <x v="2"/>
    <n v="112.44670000000002"/>
    <n v="214.57"/>
    <n v="0"/>
    <s v="TERMINATION"/>
    <n v="139047.79999999999"/>
    <n v="104815.37"/>
    <m/>
    <n v="0"/>
    <d v="2022-12-21T12:42:00"/>
    <d v="2022-12-29T00:00:00"/>
    <d v="2022-12-27T00:00:00"/>
    <m/>
    <m/>
    <m/>
    <n v="-44916.529166666667"/>
    <n v="-44924"/>
    <n v="0"/>
    <d v="2023-01-12T09:32:32"/>
    <d v="2023-01-22T00:42:00"/>
    <d v="2023-02-09T12:42:00"/>
    <n v="-1354.6254828042329"/>
    <n v="0"/>
    <n v="28"/>
    <n v="36"/>
    <n v="24.868421052631579"/>
    <n v="31.499999999999996"/>
    <n v="21.868421052631579"/>
    <n v="46"/>
    <n v="36.800000000000004"/>
    <n v="31.800000000000004"/>
    <d v="1900-02-04T19:12:00"/>
    <d v="1900-01-30T19:12:00"/>
    <m/>
    <m/>
    <m/>
    <m/>
    <m/>
    <m/>
    <m/>
    <m/>
    <x v="0"/>
  </r>
  <r>
    <s v="P2301143548"/>
    <s v="PQUE 43WU Loadsplit [035817|WA359894|CW9-0271|Install 1-75kVA DT on pole CW9-0211 W/POLE"/>
    <s v="ADELITA CHIOCO BF HOMES BF HOMES PARANAQUE"/>
    <s v="PARAÑAQUE CITY"/>
    <s v="PARAÑAQUE"/>
    <s v="with customer opposition sa bunot tayong poste 0419"/>
    <s v="W/ ISSUE"/>
    <x v="0"/>
    <s v="INPRG"/>
    <x v="0"/>
    <n v="84.023900000000012"/>
    <n v="3.67"/>
    <n v="0"/>
    <s v="OLDT"/>
    <n v="310484.15000000002"/>
    <n v="76106.73000000001"/>
    <m/>
    <n v="0"/>
    <d v="2023-02-01T10:09:00"/>
    <d v="2023-02-15T12:24:00"/>
    <d v="2023-02-03T00:00:00"/>
    <m/>
    <m/>
    <m/>
    <n v="-44958.42291666667"/>
    <n v="-44972.51666666667"/>
    <n v="0"/>
    <d v="2023-02-20T04:43:50"/>
    <d v="2023-03-01T00:05:08"/>
    <d v="2023-03-23T10:09:00"/>
    <n v="-1548.5679004629631"/>
    <n v="0"/>
    <n v="20"/>
    <n v="36"/>
    <n v="21.774193548387096"/>
    <n v="27.58064516129032"/>
    <n v="18.774193548387096"/>
    <n v="40"/>
    <n v="32"/>
    <n v="27"/>
    <d v="1900-01-31T00:00:00"/>
    <d v="1900-01-26T00:00:00"/>
    <m/>
    <m/>
    <m/>
    <m/>
    <m/>
    <m/>
    <m/>
    <m/>
    <x v="0"/>
  </r>
  <r>
    <s v="P2301143554"/>
    <s v="PQUE 415FIL Loadsplit [419127|WA196183|DT2-2061|Install additional 1-50kVA DT on pole DT2-2060"/>
    <s v="3RD L &amp; B CPD 2 ALABANG MUNTINLUPA"/>
    <s v="MUNTINLUPA CITY"/>
    <s v="PARAÑAQUE"/>
    <s v="with execution issue; accessibility; for survey c/o C1"/>
    <s v="W/ ISSUE"/>
    <x v="5"/>
    <s v="FCOMP"/>
    <x v="2"/>
    <n v="11.677800000000001"/>
    <n v="1.6"/>
    <n v="0"/>
    <s v="OLDT"/>
    <n v="161415.96"/>
    <n v="10396.61"/>
    <m/>
    <n v="0"/>
    <d v="2023-02-01T10:11:00"/>
    <d v="2023-02-15T12:25:00"/>
    <d v="2023-02-06T00:00:00"/>
    <m/>
    <d v="2025-01-15T00:00:00"/>
    <m/>
    <n v="713.5756944444438"/>
    <n v="699.48263888889051"/>
    <n v="-45672"/>
    <d v="2023-02-20T04:45:50"/>
    <d v="2023-03-01T00:07:08"/>
    <d v="2023-03-23T10:11:00"/>
    <n v="24.578718364197506"/>
    <n v="-1141.8"/>
    <n v="20"/>
    <n v="36"/>
    <n v="21.774193548387096"/>
    <n v="27.58064516129032"/>
    <n v="18.774193548387096"/>
    <n v="40"/>
    <n v="32"/>
    <n v="27"/>
    <d v="2025-02-16T00:00:00"/>
    <d v="2025-02-11T00:00:00"/>
    <m/>
    <m/>
    <m/>
    <m/>
    <m/>
    <m/>
    <m/>
    <m/>
    <x v="1"/>
  </r>
  <r>
    <s v="R21631694"/>
    <s v="CAVITEX INFRASTRUCTURE CORP.,"/>
    <s v="KAINGIN, STO. NIÑO, PARAÑAQUE"/>
    <s v="PARAÑAQUE CITY"/>
    <s v="PARAÑAQUE"/>
    <s v="ongoing (03-16-23); c/o MPTS"/>
    <s v="W/ ISSUE"/>
    <x v="2"/>
    <s v="INPRG"/>
    <x v="2"/>
    <n v="1059.1652000000006"/>
    <n v="2383.5700000000002"/>
    <n v="0"/>
    <s v="PCA RELOC"/>
    <n v="3525946.4"/>
    <n v="1241706.01"/>
    <m/>
    <n v="0"/>
    <d v="2023-03-07T00:00:00"/>
    <d v="2023-03-08T00:00:00"/>
    <d v="2023-03-14T00:00:00"/>
    <m/>
    <m/>
    <m/>
    <n v="-44992"/>
    <n v="-44993"/>
    <n v="0"/>
    <d v="2023-04-02T11:25:25"/>
    <d v="2023-04-13T08:04:12"/>
    <d v="2023-04-26T00:00:00"/>
    <n v="-1144.7964444444444"/>
    <n v="0"/>
    <n v="50"/>
    <n v="36"/>
    <n v="29.475982532751093"/>
    <n v="37.336244541484717"/>
    <n v="26.475982532751093"/>
    <n v="60"/>
    <n v="48"/>
    <n v="43"/>
    <d v="1900-02-16T00:00:00"/>
    <d v="1900-02-11T00:00:00"/>
    <m/>
    <m/>
    <m/>
    <m/>
    <m/>
    <m/>
    <m/>
    <m/>
    <x v="0"/>
  </r>
  <r>
    <s v="R22344695"/>
    <s v="ALVEO LAND CORPORATION"/>
    <s v="MADRIGAL BUSINESS PARK, ALABANG, MUNTINLUPA"/>
    <s v="MUNTINLUPA CITY"/>
    <s v="PARAÑAQUE"/>
    <s v="for PAI and for schedule after Dapulang Project"/>
    <s v="W/O ISSUE"/>
    <x v="2"/>
    <s v="FCOMP"/>
    <x v="2"/>
    <n v="205.70570000000009"/>
    <n v="1666.42"/>
    <n v="0"/>
    <s v="PCA RELOC"/>
    <n v="4408402.49"/>
    <n v="328357.78999999998"/>
    <m/>
    <n v="0"/>
    <d v="2023-03-27T00:00:00"/>
    <d v="2023-04-04T14:16:00"/>
    <d v="2023-04-12T00:00:00"/>
    <m/>
    <d v="2025-01-28T00:00:00"/>
    <m/>
    <n v="673"/>
    <n v="664.40555555555329"/>
    <n v="-45685"/>
    <d v="2023-04-22T11:25:25"/>
    <d v="2023-05-03T08:04:12"/>
    <d v="2023-05-16T00:00:00"/>
    <n v="17.124111111111109"/>
    <n v="-761.41666666666663"/>
    <n v="50"/>
    <n v="36"/>
    <n v="29.475982532751093"/>
    <n v="37.336244541484717"/>
    <n v="26.475982532751093"/>
    <n v="60"/>
    <n v="48"/>
    <n v="43"/>
    <d v="2025-03-17T00:00:00"/>
    <d v="2025-03-12T00:00:00"/>
    <m/>
    <m/>
    <m/>
    <m/>
    <m/>
    <m/>
    <m/>
    <m/>
    <x v="4"/>
  </r>
  <r>
    <s v="X22104175107"/>
    <s v="MARK KENNETH VITUG FLORES"/>
    <s v="STREET, MAPLE DRIVE, MENLO PARK, PARANAQUE"/>
    <s v="PARAÑAQUE CITY"/>
    <s v="PARAÑAQUE"/>
    <m/>
    <m/>
    <x v="5"/>
    <s v="PCAN3"/>
    <x v="2"/>
    <n v="260.13749999999982"/>
    <n v="506.23"/>
    <n v="48"/>
    <s v="NEW"/>
    <n v="262732.61999999994"/>
    <n v="1235620.51"/>
    <m/>
    <n v="0"/>
    <d v="2023-04-03T17:27:00"/>
    <d v="2023-04-05T14:53:00"/>
    <m/>
    <m/>
    <m/>
    <m/>
    <n v="-45019.727083333331"/>
    <n v="0"/>
    <n v="0"/>
    <d v="2025-04-20T23:18:54"/>
    <d v="2025-04-30T04:43:25"/>
    <d v="2025-05-20T15:02:00"/>
    <n v="-1446.3351234917041"/>
    <n v="0"/>
    <n v="26"/>
    <n v="34"/>
    <n v="23.345070422535212"/>
    <n v="29.570422535211268"/>
    <n v="20.345070422535212"/>
    <n v="44"/>
    <n v="35.200000000000003"/>
    <n v="30.200000000000003"/>
    <d v="1900-02-03T04:48:00"/>
    <d v="1900-01-29T04:48:00"/>
    <m/>
    <m/>
    <m/>
    <m/>
    <m/>
    <m/>
    <m/>
    <m/>
    <x v="0"/>
  </r>
  <r>
    <s v="X22104473949"/>
    <s v="CELEDONIA C. UTANES"/>
    <s v="KYOTO COR JERUSALEM ST., BF HOMES, PARAÑAQUE"/>
    <s v="PARAÑAQUE CITY"/>
    <s v="PARAÑAQUE"/>
    <s v="for change of tapping point 0913"/>
    <s v="W/ ISSUE"/>
    <x v="4"/>
    <s v="SCHED"/>
    <x v="1"/>
    <n v="64.748500000000007"/>
    <n v="134.13"/>
    <n v="80"/>
    <s v="MODIFICATION"/>
    <n v="495372.18"/>
    <n v="67653.48"/>
    <m/>
    <n v="0"/>
    <d v="2023-04-27T00:00:00"/>
    <d v="2023-05-03T00:00:00"/>
    <d v="2023-05-03T00:00:00"/>
    <m/>
    <m/>
    <m/>
    <n v="-45043"/>
    <n v="-45049"/>
    <n v="0"/>
    <d v="2023-05-17T08:16:54"/>
    <d v="2023-05-26T13:41:25"/>
    <d v="2023-06-16T00:00:00"/>
    <n v="-1447.082805429864"/>
    <n v="0"/>
    <n v="26"/>
    <n v="34"/>
    <n v="23.345070422535212"/>
    <n v="29.570422535211268"/>
    <n v="20.345070422535212"/>
    <n v="44"/>
    <n v="35.200000000000003"/>
    <n v="30.200000000000003"/>
    <d v="1900-02-03T04:48:00"/>
    <d v="1900-01-29T04:48:00"/>
    <m/>
    <m/>
    <m/>
    <m/>
    <m/>
    <m/>
    <m/>
    <m/>
    <x v="0"/>
  </r>
  <r>
    <s v="X23072866920"/>
    <s v="GLOBE TELECOM, INC."/>
    <s v="STA. INES, SAN ANTONIO VALLEY 6, PARANAQUE"/>
    <s v="PARAÑAQUE CITY"/>
    <s v="PARAÑAQUE"/>
    <s v="As per contractor, nakausap nila yung HOA, may i-sesettle pa daw si Globe sakanila. Bukod po dito, nakausap din ng contractor yung tapat ng pagtatayuan ng poste, ayaw rin nito pumayag._x000a_3/16/24 - Already installed pole on 3/13/24, installed DT on 3/15/24; Pending energization of Globe due to issue with HOA"/>
    <s v="W/ ISSUE"/>
    <x v="2"/>
    <s v="PCAN"/>
    <x v="2"/>
    <n v="59.1616"/>
    <n v="122.67"/>
    <n v="23"/>
    <s v="MODIFICATION"/>
    <n v="363942.06"/>
    <n v="71262.06"/>
    <m/>
    <n v="0"/>
    <d v="2023-08-10T10:40:00"/>
    <d v="2023-08-15T00:00:00"/>
    <d v="2023-08-12T00:00:00"/>
    <m/>
    <m/>
    <m/>
    <n v="-45148.444444444445"/>
    <n v="-45153"/>
    <n v="0"/>
    <d v="2023-08-31T15:37:56"/>
    <d v="2023-09-10T02:33:23"/>
    <d v="2023-09-29T10:40:00"/>
    <n v="-1398.8300094966762"/>
    <n v="0"/>
    <n v="26"/>
    <n v="36"/>
    <n v="24.206896551724139"/>
    <n v="30.662068965517239"/>
    <n v="21.206896551724139"/>
    <n v="44"/>
    <n v="35.200000000000003"/>
    <n v="30.200000000000003"/>
    <d v="1900-02-03T04:48:00"/>
    <d v="1900-01-29T04:48:00"/>
    <m/>
    <m/>
    <m/>
    <m/>
    <m/>
    <m/>
    <m/>
    <m/>
    <x v="5"/>
  </r>
  <r>
    <s v="R22633190"/>
    <s v="CANDIE CHUA CO."/>
    <s v="BLK 8, PALM COAST MARINA, PARANAQUE"/>
    <s v="PARAÑAQUE CITY"/>
    <s v="PARAÑAQUE"/>
    <s v="For Sched September 26, 2023 survey/digging; pole location issue_x000a_Update as of October 28. Issue on HOA  and Customer not yet conduct meeting to resolve the issue "/>
    <s v="W/ ISSUE"/>
    <x v="2"/>
    <s v="INPRG"/>
    <x v="2"/>
    <n v="85.584400000000002"/>
    <n v="158.80000000000001"/>
    <n v="0"/>
    <s v="PCA RELOC"/>
    <n v="258760.27"/>
    <n v="91241.75"/>
    <m/>
    <n v="0"/>
    <d v="2023-08-31T12:27:00"/>
    <d v="2023-09-05T00:00:00"/>
    <d v="2023-09-05T00:00:00"/>
    <m/>
    <m/>
    <m/>
    <n v="-45169.518750000003"/>
    <n v="-45174"/>
    <n v="0"/>
    <d v="2023-09-21T17:24:56"/>
    <d v="2023-10-01T04:20:23"/>
    <d v="2023-10-20T12:27:00"/>
    <n v="-1399.4829527243589"/>
    <n v="0"/>
    <n v="26"/>
    <n v="36"/>
    <n v="24.206896551724139"/>
    <n v="30.662068965517239"/>
    <n v="21.206896551724139"/>
    <n v="44"/>
    <n v="35.200000000000003"/>
    <n v="30.200000000000003"/>
    <d v="1900-02-03T04:48:00"/>
    <d v="1900-01-29T04:48:00"/>
    <m/>
    <m/>
    <m/>
    <m/>
    <m/>
    <m/>
    <m/>
    <m/>
    <x v="0"/>
  </r>
  <r>
    <s v="P2210140139"/>
    <s v="ECP-SR:, ASEANA ,DEVT OF 115KV-34.5KV GIS SS Station Service"/>
    <s v="BELLE, ASEANA BUSINESS PARK, PARANAQUE"/>
    <s v="PARAÑAQUE CITY"/>
    <s v="PARAÑAQUE"/>
    <s v="pole staking 10/13/2023, _x000a_02/07/2024 _x000a_-With revision and for approval of ASEANA_x000a_3/26/24: Approved design by ABPEA_x000a_-to request for another joint survey and pole staking_x000a_-VJCto secure and pay for permit after the approval of revised plan_x000a_6/6/24 - for payment of permit c/o VJC_x000a_7/11/24 - VJCpaid permit_x000a_7/15/24 - ABPEA released working permit &amp; gate pass permit_x000a__x000a_FOR ENERGIZATION WITH CONJ. WO FROM C2"/>
    <s v="W/O ISSUE"/>
    <x v="1"/>
    <s v="FCOMP"/>
    <x v="1"/>
    <n v="200.22979999999993"/>
    <n v="457.38"/>
    <n v="68"/>
    <s v="ECP"/>
    <n v="1162251.69"/>
    <n v="245180.25"/>
    <m/>
    <n v="0"/>
    <d v="2023-09-12T11:37:00"/>
    <d v="2023-09-26T00:00:00"/>
    <d v="2023-09-25T00:00:00"/>
    <m/>
    <d v="2025-01-18T00:00:00"/>
    <m/>
    <n v="493.51597222222335"/>
    <n v="480"/>
    <n v="-45675"/>
    <d v="2023-10-04T12:21:10"/>
    <d v="2023-10-14T04:32:57"/>
    <d v="2023-11-01T11:37:00"/>
    <n v="14.787335197099708"/>
    <n v="-913.5"/>
    <n v="32"/>
    <n v="34"/>
    <n v="25.030674846625768"/>
    <n v="31.70552147239264"/>
    <n v="22.030674846625768"/>
    <n v="50"/>
    <n v="40"/>
    <n v="35"/>
    <d v="2025-02-27T00:00:00"/>
    <d v="2025-02-22T00:00:00"/>
    <m/>
    <m/>
    <m/>
    <m/>
    <m/>
    <m/>
    <m/>
    <m/>
    <x v="1"/>
  </r>
  <r>
    <s v="X23072873118"/>
    <s v="JOSEPH T. CHUA"/>
    <s v="NARRA, LAKEVIEW HOMES I, MUNTINLUPA"/>
    <s v="MUNTINLUPA CITY"/>
    <s v="PARAÑAQUE"/>
    <s v="HOA claiming that they owned the property not by LGU_x000a_(on-going return of surplus materials)_x000a_FOR CANCELLATION"/>
    <s v="FOR CANCELLATION"/>
    <x v="2"/>
    <s v="PCAN3"/>
    <x v="2"/>
    <n v="262.96329999999989"/>
    <n v="498.18"/>
    <n v="86"/>
    <s v="NEW"/>
    <n v="1509543.73"/>
    <n v="257509.03"/>
    <m/>
    <n v="0"/>
    <d v="2023-09-26T09:10:00"/>
    <d v="2023-09-29T00:00:00"/>
    <d v="2023-09-27T00:00:00"/>
    <m/>
    <m/>
    <m/>
    <n v="-45195.381944444445"/>
    <n v="-45198"/>
    <n v="0"/>
    <d v="2023-10-18T09:54:10"/>
    <d v="2023-10-28T02:05:57"/>
    <d v="2023-11-15T09:10:00"/>
    <n v="-1354.1998634089052"/>
    <n v="0"/>
    <n v="32"/>
    <n v="34"/>
    <n v="25.030674846625768"/>
    <n v="31.70552147239264"/>
    <n v="22.030674846625768"/>
    <n v="50"/>
    <n v="40"/>
    <n v="35"/>
    <d v="1900-02-08T00:00:00"/>
    <d v="1900-02-03T00:00:00"/>
    <m/>
    <m/>
    <m/>
    <m/>
    <m/>
    <m/>
    <m/>
    <m/>
    <x v="0"/>
  </r>
  <r>
    <s v="X22114887149"/>
    <s v="ZENAIDA M. CELESTINO"/>
    <s v="DOÑA INES, ALABANG HILLS SUBD PH 2, MUNTINLUPA"/>
    <s v="MUNTINLUPA CITY"/>
    <s v="PARAÑAQUE"/>
    <s v="pole location issue for referral to BC"/>
    <s v="W/ ISSUE"/>
    <x v="2"/>
    <s v="SCHED"/>
    <x v="2"/>
    <n v="114.90139999999997"/>
    <n v="227.05"/>
    <n v="104"/>
    <s v="MODIFICATION"/>
    <n v="506248.25"/>
    <n v="120772.87"/>
    <m/>
    <n v="0"/>
    <d v="2023-09-27T08:17:00"/>
    <d v="2023-10-02T13:29:00"/>
    <d v="2023-09-29T00:00:00"/>
    <m/>
    <m/>
    <m/>
    <n v="-45196.345138888886"/>
    <n v="-45201.561805555553"/>
    <n v="0"/>
    <d v="2023-10-17T08:36:44"/>
    <d v="2023-10-26T11:53:59"/>
    <d v="2023-11-16T08:17:00"/>
    <n v="-1472.9166049727182"/>
    <n v="0"/>
    <n v="28"/>
    <n v="32"/>
    <n v="23.013698630136989"/>
    <n v="29.150684931506852"/>
    <n v="20.013698630136989"/>
    <n v="46"/>
    <n v="36.800000000000004"/>
    <n v="31.800000000000004"/>
    <d v="1900-02-04T19:12:00"/>
    <d v="1900-01-30T19:12:00"/>
    <m/>
    <m/>
    <m/>
    <m/>
    <m/>
    <m/>
    <m/>
    <m/>
    <x v="0"/>
  </r>
  <r>
    <s v="X23104085941"/>
    <s v="D.L. CERVANTES CONSTRUCTION CORPORATION"/>
    <s v="ARIA, STA. CECILIA VILL, LAS PINAS CITY"/>
    <s v="LAS PIÑAS CITY"/>
    <s v="PARAÑAQUE"/>
    <s v="For Schedule"/>
    <s v="W/O ISSUE"/>
    <x v="5"/>
    <s v="SCHED"/>
    <x v="2"/>
    <n v="8.4700000000000006"/>
    <n v="18.27"/>
    <n v="0"/>
    <s v="TERMINATION"/>
    <n v="24652.39"/>
    <n v="10512.77"/>
    <m/>
    <n v="0"/>
    <d v="2023-10-29T13:00:00"/>
    <d v="2023-11-03T15:26:00"/>
    <d v="2023-11-04T00:00:00"/>
    <m/>
    <m/>
    <m/>
    <n v="-45228.541666666664"/>
    <n v="-45233.643055555556"/>
    <n v="0"/>
    <d v="2023-11-17T07:34:50"/>
    <d v="2023-11-26T02:56:08"/>
    <d v="2023-12-18T13:00:00"/>
    <n v="-1557.8719907407406"/>
    <n v="0"/>
    <n v="20"/>
    <n v="36"/>
    <n v="21.774193548387096"/>
    <n v="27.58064516129032"/>
    <n v="18.774193548387096"/>
    <n v="40"/>
    <n v="32"/>
    <n v="27"/>
    <d v="1900-01-31T00:00:00"/>
    <d v="1900-01-26T00:00:00"/>
    <m/>
    <m/>
    <m/>
    <m/>
    <m/>
    <m/>
    <m/>
    <m/>
    <x v="0"/>
  </r>
  <r>
    <s v="X23031072544"/>
    <s v="MA. FIDES CARLA OASAN TALADUA"/>
    <s v="BLOCK 8, AVIDA SETTINGS CAVITE PH2, BACOOR"/>
    <s v="BACOOR CITY"/>
    <s v="DASMA"/>
    <s v="Hold by Developer  due to need Meralco coordination"/>
    <s v="W/ ISSUE"/>
    <x v="5"/>
    <s v="SCHED"/>
    <x v="2"/>
    <n v="83.91540000000002"/>
    <n v="151.66999999999999"/>
    <n v="40"/>
    <s v="MODIFICATION"/>
    <n v="391985.28"/>
    <n v="87441.34"/>
    <m/>
    <n v="0"/>
    <d v="2023-10-31T08:45:00"/>
    <d v="2023-11-03T15:27:00"/>
    <d v="2023-11-04T00:00:00"/>
    <m/>
    <m/>
    <m/>
    <n v="-45230.364583333336"/>
    <n v="-45233.643750000003"/>
    <n v="0"/>
    <d v="2023-11-21T13:42:56"/>
    <d v="2023-12-01T00:38:23"/>
    <d v="2023-12-20T08:45:00"/>
    <n v="-1401.3681334579771"/>
    <n v="0"/>
    <n v="26"/>
    <n v="36"/>
    <n v="24.206896551724139"/>
    <n v="30.662068965517239"/>
    <n v="21.206896551724139"/>
    <n v="44"/>
    <n v="35.200000000000003"/>
    <n v="30.200000000000003"/>
    <d v="1900-02-03T04:48:00"/>
    <d v="1900-01-29T04:48:00"/>
    <m/>
    <m/>
    <m/>
    <m/>
    <m/>
    <m/>
    <m/>
    <m/>
    <x v="0"/>
  </r>
  <r>
    <s v="X23093558896"/>
    <s v="HELENE ASHLEY RAZO VERA CRUZ"/>
    <s v="CAVITE, ALABANG HILLS SUBD PH 3, MUNTINLUPA"/>
    <s v="MUNTINLUPA CITY"/>
    <s v="PARAÑAQUE"/>
    <s v="for digging"/>
    <s v="W/O ISSUE"/>
    <x v="2"/>
    <s v="SCHED"/>
    <x v="2"/>
    <n v="149.04269999999997"/>
    <n v="257.72000000000003"/>
    <n v="36"/>
    <s v="MODIFICATION"/>
    <n v="563779.23"/>
    <n v="139601.22"/>
    <m/>
    <n v="0"/>
    <d v="2023-11-17T09:44:00"/>
    <d v="2023-11-20T16:22:00"/>
    <d v="2023-11-18T00:00:00"/>
    <m/>
    <m/>
    <m/>
    <n v="-45247.405555555553"/>
    <n v="-45250.681944444441"/>
    <n v="0"/>
    <d v="2023-12-09T06:34:32"/>
    <d v="2023-12-18T21:44:00"/>
    <d v="2024-01-06T09:44:00"/>
    <n v="-1364.6042945326276"/>
    <n v="0"/>
    <n v="28"/>
    <n v="36"/>
    <n v="24.868421052631579"/>
    <n v="31.499999999999996"/>
    <n v="21.868421052631579"/>
    <n v="46"/>
    <n v="36.800000000000004"/>
    <n v="31.800000000000004"/>
    <d v="1900-02-04T19:12:00"/>
    <d v="1900-01-30T19:12:00"/>
    <m/>
    <m/>
    <m/>
    <m/>
    <m/>
    <m/>
    <m/>
    <m/>
    <x v="0"/>
  </r>
  <r>
    <s v="X22114818590"/>
    <s v="NILO F OMILLO"/>
    <s v="TOURMALINE, LAS PINAS RYL EST1, LAS PINAS CITY"/>
    <s v="LAS PIÑAS CITY"/>
    <s v="PARAÑAQUE"/>
    <s v="for digging"/>
    <s v="W/O ISSUE"/>
    <x v="2"/>
    <s v="SCHED"/>
    <x v="2"/>
    <n v="219.0052"/>
    <n v="454.43"/>
    <n v="98.8"/>
    <s v="MODIFICATION"/>
    <n v="1122491.8999999999"/>
    <n v="246798.79"/>
    <m/>
    <n v="0"/>
    <d v="2023-11-22T16:45:00"/>
    <d v="2023-11-28T07:32:00"/>
    <d v="2023-11-23T00:00:00"/>
    <m/>
    <m/>
    <m/>
    <n v="-45252.697916666664"/>
    <n v="-45258.313888888886"/>
    <n v="0"/>
    <d v="2023-12-14T17:29:10"/>
    <d v="2023-12-24T09:40:57"/>
    <d v="2024-01-11T16:45:00"/>
    <n v="-1355.9172353707106"/>
    <n v="0"/>
    <n v="32"/>
    <n v="34"/>
    <n v="25.030674846625768"/>
    <n v="31.70552147239264"/>
    <n v="22.030674846625768"/>
    <n v="50"/>
    <n v="40"/>
    <n v="35"/>
    <d v="1900-02-08T00:00:00"/>
    <d v="1900-02-03T00:00:00"/>
    <m/>
    <m/>
    <m/>
    <m/>
    <m/>
    <m/>
    <m/>
    <m/>
    <x v="0"/>
  </r>
  <r>
    <s v="X23010135604"/>
    <s v="DANILO CASPE SEPTIMO"/>
    <s v="P.D.A., SITIO BAGONG SILANG, PARANAQUE"/>
    <s v="PARAÑAQUE CITY"/>
    <s v="PARAÑAQUE"/>
    <s v="Permit issue_x000a_01/30/2024_x000a_-BC emailed that they had a meeting last time with Muntinlupa LGU &amp; Paranaque LGU that they will secure a work permit first to them before we re-execute the project._x000a_3/27/2024_x000a_ROW team set a joint survey and meeting as requested by Muntinlupa LGU to settle the issue_x000a_4/23/2024_x000a_C1 email BC requesting for update_x000a_07/8/2024_x000a_-still not settle the dispute as per ROW (HOA complain to BC for the completion of loadside by CBM before the start of execution)_x000a_(on-going return of surplus materials)_x000a_FOR CANCELLATION"/>
    <s v="FOR CANCELLATION"/>
    <x v="5"/>
    <s v="PCAN3"/>
    <x v="2"/>
    <n v="233.56597999999988"/>
    <n v="435.23"/>
    <n v="135"/>
    <s v="NEW"/>
    <n v="1402828.43"/>
    <n v="265062.37"/>
    <n v="19989"/>
    <n v="7.5412439721262589E-2"/>
    <d v="2023-11-23T16:24:00"/>
    <d v="2023-11-28T00:00:00"/>
    <d v="2023-11-24T00:00:00"/>
    <m/>
    <m/>
    <m/>
    <n v="-45253.683333333334"/>
    <n v="-45258"/>
    <n v="0"/>
    <d v="2023-12-14T16:24:00"/>
    <d v="2023-12-24T02:00:00"/>
    <d v="2024-01-12T16:24:00"/>
    <n v="-1414.1776041666667"/>
    <n v="0"/>
    <n v="32"/>
    <n v="32"/>
    <n v="24"/>
    <n v="30.4"/>
    <n v="21"/>
    <n v="50"/>
    <n v="40"/>
    <n v="35"/>
    <d v="1900-02-08T00:00:00"/>
    <d v="1900-02-03T00:00:00"/>
    <m/>
    <m/>
    <m/>
    <m/>
    <m/>
    <m/>
    <m/>
    <m/>
    <x v="0"/>
  </r>
  <r>
    <s v="X23010135483"/>
    <s v="ELENA SALAZAR BOÑAGA"/>
    <s v="P.D.A., SITIO BAGONG SILANG, PARANAQUE"/>
    <s v="PARAÑAQUE CITY"/>
    <s v="PARAÑAQUE"/>
    <s v="Permit issue_x000a_01/30/2024_x000a_-BC emailed that they had a meeting last time with Muntinlupa LGU &amp; Paranaque LGU that they will secure a work permit first to them before we re-execute the project._x000a_3/27/2024_x000a_ROW team set a joint survey and meeting as requested by Muntinlupa LGU to settle the issue_x000a_4/23/2024_x000a_C1 email BC requesting for update_x000a_07/8/2024_x000a_-still not settle the dispute as per ROW (HOA complain to BC for the completion of loadside by CBM before the start of execution)_x000a_(on-going return of surplus materials)_x000a_FOR CANCELLATION"/>
    <s v="FOR CANCELLATION"/>
    <x v="5"/>
    <s v="PCAN3"/>
    <x v="2"/>
    <n v="75.631580000000014"/>
    <n v="102.63"/>
    <n v="135"/>
    <s v="NEW"/>
    <n v="580669.84"/>
    <n v="99954.07"/>
    <m/>
    <n v="0"/>
    <d v="2023-11-23T16:26:00"/>
    <d v="2023-11-28T00:00:00"/>
    <d v="2023-11-24T00:00:00"/>
    <m/>
    <m/>
    <m/>
    <n v="-45253.68472222222"/>
    <n v="-45258"/>
    <n v="0"/>
    <d v="2023-12-13T03:08:18"/>
    <d v="2023-12-22T02:47:35"/>
    <d v="2024-01-12T16:26:00"/>
    <n v="-1512.0822539396365"/>
    <n v="0"/>
    <n v="26"/>
    <n v="32"/>
    <n v="22.446043165467625"/>
    <n v="28.431654676258994"/>
    <n v="19.446043165467625"/>
    <n v="44"/>
    <n v="35.200000000000003"/>
    <n v="30.200000000000003"/>
    <d v="1900-02-03T04:48:00"/>
    <d v="1900-01-29T04:48:00"/>
    <m/>
    <m/>
    <m/>
    <m/>
    <m/>
    <m/>
    <m/>
    <m/>
    <x v="0"/>
  </r>
  <r>
    <s v="X22114994258"/>
    <s v="MAYNILAD WATER SERVICES, INC."/>
    <s v="SAN GUILLERMO, BAYANAN, MUNTINLUPA"/>
    <s v="MUNTINLUPA CITY"/>
    <s v="PARAÑAQUE"/>
    <s v="superseded by 2024 work order _x000a_(on-going return of surplus materials)_x000a_FOR CANCELLATION"/>
    <s v="FOR CANCELLATION"/>
    <x v="2"/>
    <s v="PCAN3"/>
    <x v="2"/>
    <n v="165.01009999999994"/>
    <n v="481.8"/>
    <n v="105"/>
    <s v="NEW"/>
    <n v="1535683.94"/>
    <n v="293927.24"/>
    <m/>
    <n v="0"/>
    <d v="2023-11-29T16:05:00"/>
    <d v="2023-12-01T00:00:00"/>
    <d v="2023-11-30T00:00:00"/>
    <m/>
    <m/>
    <m/>
    <n v="-45259.670138888891"/>
    <n v="-45261"/>
    <n v="0"/>
    <d v="2023-12-20T16:05:00"/>
    <d v="2023-12-30T01:41:00"/>
    <d v="2024-01-18T16:05:00"/>
    <n v="-1414.3646918402778"/>
    <n v="0"/>
    <n v="32"/>
    <n v="32"/>
    <n v="24"/>
    <n v="30.4"/>
    <n v="21"/>
    <n v="50"/>
    <n v="40"/>
    <n v="35"/>
    <d v="1900-02-08T00:00:00"/>
    <d v="1900-02-03T00:00:00"/>
    <m/>
    <m/>
    <m/>
    <m/>
    <m/>
    <m/>
    <m/>
    <m/>
    <x v="0"/>
  </r>
  <r>
    <s v="X24010236211"/>
    <s v="INTERNATIONAL CONTAINER TERMINAL SERVICES, INC."/>
    <s v="ROAD 4, PAGCOR ENTERTAINMENT CITY, PARANAQUE"/>
    <s v="PARAÑAQUE CITY"/>
    <s v="PARAÑAQUE"/>
    <s v="On going Retirement "/>
    <s v="W/O ISSUE"/>
    <x v="5"/>
    <s v="FCOMP"/>
    <x v="2"/>
    <n v="446.51729999999998"/>
    <n v="1059.8"/>
    <n v="0"/>
    <s v="TERMINATION"/>
    <n v="759683.83"/>
    <n v="347971.02"/>
    <m/>
    <n v="0"/>
    <d v="2024-02-02T14:21:00"/>
    <d v="2024-02-05T09:24:00"/>
    <d v="2024-02-06T00:00:00"/>
    <m/>
    <d v="2025-04-02T00:00:00"/>
    <m/>
    <n v="424.4020833333343"/>
    <n v="421.60833333332994"/>
    <n v="-45749"/>
    <d v="2024-02-29T01:46:25"/>
    <d v="2024-03-10T22:25:12"/>
    <d v="2024-03-23T14:21:00"/>
    <n v="10.798675231481505"/>
    <n v="-762.48333333333335"/>
    <n v="50"/>
    <n v="36"/>
    <n v="29.475982532751093"/>
    <n v="37.336244541484717"/>
    <n v="26.475982532751093"/>
    <n v="60"/>
    <n v="48"/>
    <n v="43"/>
    <d v="2025-05-20T00:00:00"/>
    <d v="2025-05-15T00:00:00"/>
    <m/>
    <m/>
    <m/>
    <m/>
    <m/>
    <m/>
    <m/>
    <m/>
    <x v="1"/>
  </r>
  <r>
    <s v="R22927252"/>
    <s v="CARPIO, SEVILLA FESTEJO, HMB"/>
    <s v="STA. MARTA, SAN ANTONIO VALLEY 14, PARANAQUE"/>
    <s v="PARAÑAQUE CITY"/>
    <s v="PARAÑAQUE"/>
    <s v="For sched of PAI"/>
    <s v="W/O ISSUE"/>
    <x v="1"/>
    <s v="FCOMP"/>
    <x v="1"/>
    <n v="135.64559999999997"/>
    <n v="125.48"/>
    <n v="0"/>
    <s v="PCA RELOC"/>
    <n v="265042.15999999997"/>
    <n v="96238.57"/>
    <m/>
    <n v="0"/>
    <d v="2024-02-28T16:01:00"/>
    <d v="2024-03-06T12:27:00"/>
    <d v="2024-03-05T00:00:00"/>
    <m/>
    <d v="2025-04-16T00:00:00"/>
    <m/>
    <n v="412.33263888888905"/>
    <n v="405.48124999999709"/>
    <n v="-45763"/>
    <d v="2024-03-20T20:58:56"/>
    <d v="2024-03-30T07:54:23"/>
    <d v="2024-04-18T16:01:00"/>
    <n v="12.775263384377972"/>
    <n v="-1040.0681818181818"/>
    <n v="26"/>
    <n v="36"/>
    <n v="24.206896551724139"/>
    <n v="30.662068965517239"/>
    <n v="21.206896551724139"/>
    <n v="44"/>
    <n v="35.200000000000003"/>
    <n v="30.200000000000003"/>
    <d v="2025-05-21T04:48:00"/>
    <d v="2025-05-16T04:48:00"/>
    <m/>
    <m/>
    <m/>
    <m/>
    <m/>
    <m/>
    <m/>
    <m/>
    <x v="1"/>
  </r>
  <r>
    <s v="X24020456466"/>
    <s v="CHRISTIAN ARTABAN M. PALINES"/>
    <s v="DON P. REYES, VICTORIA HOMES-RUBY PARK SUBD, MUNTINLUPA"/>
    <s v="MUNTINLUPA CITY"/>
    <s v="PARAÑAQUE"/>
    <m/>
    <s v="W/O ISSUE"/>
    <x v="2"/>
    <s v="SCHED"/>
    <x v="2"/>
    <n v="2.58"/>
    <n v="8.1199999999999992"/>
    <n v="32"/>
    <s v="MODIFICATION"/>
    <n v="25334.32"/>
    <n v="4621.16"/>
    <m/>
    <n v="0"/>
    <d v="2024-03-07T09:46:00"/>
    <d v="2024-03-12T08:19:57"/>
    <d v="2024-03-13T00:00:00"/>
    <m/>
    <m/>
    <m/>
    <n v="-45358.406944444447"/>
    <n v="-45363.347187500003"/>
    <n v="0"/>
    <d v="2024-03-26T04:20:50"/>
    <d v="2024-04-03T23:42:08"/>
    <d v="2024-04-26T09:46:00"/>
    <n v="-1562.3451280864199"/>
    <n v="0"/>
    <n v="20"/>
    <n v="36"/>
    <n v="21.774193548387096"/>
    <n v="27.58064516129032"/>
    <n v="18.774193548387096"/>
    <n v="40"/>
    <n v="32"/>
    <n v="27"/>
    <d v="1900-01-31T00:00:00"/>
    <d v="1900-01-26T00:00:00"/>
    <m/>
    <m/>
    <m/>
    <m/>
    <m/>
    <m/>
    <m/>
    <m/>
    <x v="0"/>
  </r>
  <r>
    <s v="X23093634405"/>
    <s v="JESUS, THE GOOD SHEPHERD CHURCH OF MUNTINLUPA, INC"/>
    <s v="NATIONAL, TUNASAN, MUNTINLUPA"/>
    <s v="MUNTINLUPA CITY"/>
    <s v="PARAÑAQUE"/>
    <s v="For cancellation, superseded by X24041439619"/>
    <s v="W/ ISSUE"/>
    <x v="3"/>
    <s v="CAN"/>
    <x v="4"/>
    <n v="32.152799999999999"/>
    <n v="113.35"/>
    <n v="276"/>
    <s v="NEW"/>
    <n v="816333.08"/>
    <n v="64325.349999999991"/>
    <m/>
    <n v="0"/>
    <d v="2024-03-08T09:36:00"/>
    <d v="2024-03-14T13:50:00"/>
    <d v="2024-03-13T00:00:00"/>
    <m/>
    <s v="CAN"/>
    <m/>
    <e v="#VALUE!"/>
    <e v="#VALUE!"/>
    <e v="#VALUE!"/>
    <d v="2024-03-26T21:46:35"/>
    <d v="2024-04-04T15:25:25"/>
    <d v="2024-04-27T09:36:00"/>
    <e v="#VALUE!"/>
    <e v="#VALUE!"/>
    <n v="26"/>
    <n v="30"/>
    <n v="21.507352941176471"/>
    <n v="27.242647058823529"/>
    <n v="18.507352941176471"/>
    <n v="44"/>
    <n v="35.200000000000003"/>
    <n v="30.200000000000003"/>
    <e v="#VALUE!"/>
    <e v="#VALUE!"/>
    <m/>
    <m/>
    <m/>
    <m/>
    <m/>
    <m/>
    <m/>
    <m/>
    <x v="0"/>
  </r>
  <r>
    <s v="X24010064526"/>
    <s v="ARLEEN MARIA Z BORROMEO"/>
    <s v="ZARATOGA LOOP, ALABANG 400 VILLAGE, MUNTINLUPA"/>
    <s v="MUNTINLUPA CITY"/>
    <s v="PARAÑAQUE"/>
    <s v="9/19/24_x000a_Issue on Water Pipes_x000a_9/30/24_x000a_Joint Survey with BC Vendor and Customer _x000a_"/>
    <s v="W/ ISSUE"/>
    <x v="2"/>
    <s v="FCOMP"/>
    <x v="2"/>
    <n v="138.44569999999993"/>
    <n v="276.33"/>
    <n v="44"/>
    <s v="MODIFICATION"/>
    <n v="803564.77"/>
    <n v="149134.15999999997"/>
    <n v="32572.240000000002"/>
    <n v="0.2184089815505717"/>
    <d v="2024-03-11T15:28:00"/>
    <d v="2024-03-14T14:54:00"/>
    <d v="2024-03-13T00:00:00"/>
    <d v="2025-02-15T00:00:00"/>
    <d v="2025-02-15T00:00:00"/>
    <m/>
    <n v="340.35555555555766"/>
    <n v="337.3791666666657"/>
    <n v="-45703"/>
    <d v="2024-04-02T12:18:32"/>
    <d v="2024-04-12T03:28:00"/>
    <d v="2024-04-30T15:28:00"/>
    <n v="10.264691358024754"/>
    <n v="-993.54347826086962"/>
    <n v="28"/>
    <n v="36"/>
    <n v="24.868421052631579"/>
    <n v="31.499999999999996"/>
    <n v="21.868421052631579"/>
    <n v="46"/>
    <n v="36.800000000000004"/>
    <n v="31.800000000000004"/>
    <d v="2025-03-23T19:12:00"/>
    <d v="2025-03-18T19:12:00"/>
    <m/>
    <m/>
    <m/>
    <m/>
    <m/>
    <m/>
    <m/>
    <m/>
    <x v="4"/>
  </r>
  <r>
    <s v="X23030848776"/>
    <s v="GRACE ZAPATA CRUZ"/>
    <s v="BELMONT, ALABANG 400 VILLAGE, MUNTINLUPA"/>
    <s v="MUNTINLUPA CITY"/>
    <s v="PARAÑAQUE"/>
    <m/>
    <s v="W/O ISSUE"/>
    <x v="5"/>
    <s v="SCHED"/>
    <x v="2"/>
    <n v="37.29"/>
    <n v="58.57"/>
    <n v="50.5"/>
    <s v="MODIFICATION"/>
    <n v="315523.45"/>
    <n v="29058.46"/>
    <m/>
    <n v="0"/>
    <d v="2024-03-15T08:38:00"/>
    <d v="2024-03-21T15:02:00"/>
    <d v="2024-03-19T00:00:00"/>
    <m/>
    <m/>
    <m/>
    <n v="-45366.359722222223"/>
    <n v="-45372.626388888886"/>
    <n v="0"/>
    <d v="2024-04-04T10:41:07"/>
    <d v="2024-04-13T14:25:57"/>
    <d v="2024-05-04T08:38:00"/>
    <n v="-1473.8587880770265"/>
    <n v="0"/>
    <n v="23"/>
    <n v="36"/>
    <n v="23.085501858736059"/>
    <n v="29.241635687732341"/>
    <n v="20.085501858736059"/>
    <n v="42"/>
    <n v="33.6"/>
    <n v="28.6"/>
    <d v="1900-02-01T14:24:00"/>
    <d v="1900-01-27T14:24:00"/>
    <m/>
    <m/>
    <m/>
    <m/>
    <m/>
    <m/>
    <m/>
    <m/>
    <x v="0"/>
  </r>
  <r>
    <s v="R23110243"/>
    <s v="FILINVEST LAND INC.,"/>
    <s v="EAST SERVICE, ALABANG, MUNTINLUPA"/>
    <s v="MUNTINLUPA CITY"/>
    <s v="PARAÑAQUE"/>
    <s v="9/24/24_x000a_Hold by Security  for request of Permit _x000a_10/19/24 _x000a_Pole Erection Completed "/>
    <s v="W/O ISSUE"/>
    <x v="2"/>
    <s v="FCOMP"/>
    <x v="2"/>
    <n v="212.6"/>
    <n v="444.17"/>
    <n v="0"/>
    <s v="PCA RELOC"/>
    <n v="809307.31"/>
    <n v="165680.53"/>
    <n v="101375.61"/>
    <n v="0.611874008370205"/>
    <d v="2024-03-27T12:49:00"/>
    <d v="2024-04-01T10:03:00"/>
    <d v="2024-04-04T00:00:00"/>
    <m/>
    <d v="2025-04-16T08:35:00"/>
    <m/>
    <n v="384.82361111111095"/>
    <n v="379.93888888889342"/>
    <n v="-45763.357638888891"/>
    <d v="2024-04-19T13:23:42"/>
    <d v="2024-04-29T11:56:57"/>
    <d v="2024-05-16T12:49:00"/>
    <n v="11.090402681327156"/>
    <n v="-915.26715277777782"/>
    <n v="32"/>
    <n v="36"/>
    <n v="26.024096385542165"/>
    <n v="32.963855421686745"/>
    <n v="23.024096385542165"/>
    <n v="50"/>
    <n v="40"/>
    <n v="35"/>
    <d v="2025-05-26T08:35:00"/>
    <d v="2025-05-21T08:35:00"/>
    <m/>
    <m/>
    <m/>
    <m/>
    <m/>
    <m/>
    <m/>
    <m/>
    <x v="1"/>
  </r>
  <r>
    <s v="P2403166300"/>
    <s v="C1 414ARS  2024 PLANNED Replacement of bare primary conductor (undersized) A8-0103- A8-5058"/>
    <s v="CUCUMBER FTI CPD WESTERN BICUTAN TAGUIG CITY"/>
    <s v="TAGUIG CITY"/>
    <s v="PARAÑAQUE"/>
    <s v="For schedule of PAI"/>
    <s v="W/O ISSUE"/>
    <x v="1"/>
    <s v="SCHED"/>
    <x v="1"/>
    <n v="10.832100000000004"/>
    <n v="4.2699999999999996"/>
    <n v="0"/>
    <s v="SUPPLEMENTAL MN FOR PCA"/>
    <n v="68971.820000000007"/>
    <n v="30909.429999999986"/>
    <m/>
    <n v="0"/>
    <d v="2024-03-30T23:01:00"/>
    <d v="2024-04-02T10:48:00"/>
    <d v="2024-04-04T00:00:00"/>
    <m/>
    <m/>
    <m/>
    <n v="-45381.959027777775"/>
    <n v="-45384.45"/>
    <n v="0"/>
    <d v="2024-04-18T17:35:50"/>
    <d v="2024-04-27T12:57:08"/>
    <d v="2024-05-19T23:01:00"/>
    <n v="-1563.1563665123454"/>
    <n v="0"/>
    <n v="20"/>
    <n v="36"/>
    <n v="21.774193548387096"/>
    <n v="27.58064516129032"/>
    <n v="18.774193548387096"/>
    <n v="40"/>
    <n v="32"/>
    <n v="27"/>
    <d v="1900-01-31T00:00:00"/>
    <d v="1900-01-26T00:00:00"/>
    <m/>
    <m/>
    <m/>
    <m/>
    <m/>
    <m/>
    <m/>
    <m/>
    <x v="0"/>
  </r>
  <r>
    <s v="X24010230692"/>
    <s v="RONALDO RICARDO RAYMUNDO BENITEZ"/>
    <s v="SUSANA HTS, SUSANA HTS SUBD VILL 1, MUNTINLUPA"/>
    <s v="MUNTINLUPA CITY"/>
    <s v="PARAÑAQUE"/>
    <s v=" Hindi pdn po kasi mafcomp gawa ng wala po location tag yung DT"/>
    <s v="W/O ISSUE"/>
    <x v="2"/>
    <s v="INPRG"/>
    <x v="2"/>
    <n v="14.0928"/>
    <n v="56.32"/>
    <n v="80"/>
    <s v="MODIFICATION"/>
    <n v="240093.51"/>
    <n v="32138.44"/>
    <m/>
    <n v="0"/>
    <d v="2024-04-06T10:19:00"/>
    <d v="2024-04-11T14:47:00"/>
    <d v="2024-04-06T00:00:00"/>
    <m/>
    <m/>
    <m/>
    <n v="-45388.429861111108"/>
    <n v="-45393.615972222222"/>
    <n v="0"/>
    <d v="2024-04-25T17:31:33"/>
    <d v="2024-05-04T16:14:54"/>
    <d v="2024-05-26T10:19:00"/>
    <n v="-1526.4906717995168"/>
    <n v="0"/>
    <n v="23"/>
    <n v="34"/>
    <n v="22.300380228136884"/>
    <n v="28.247148288973385"/>
    <n v="19.300380228136884"/>
    <n v="42"/>
    <n v="33.6"/>
    <n v="28.6"/>
    <d v="1900-02-01T14:24:00"/>
    <d v="1900-01-27T14:24:00"/>
    <m/>
    <m/>
    <m/>
    <m/>
    <m/>
    <m/>
    <m/>
    <m/>
    <x v="0"/>
  </r>
  <r>
    <s v="X23093808497"/>
    <s v="CITY GOVERNMENT OF PARAÑAQUE"/>
    <s v="COL. E. DE LEON, STO. NINO, PARANAQUE"/>
    <s v="PARAÑAQUE CITY"/>
    <s v="PARAÑAQUE"/>
    <s v="For Request of Brgy Permit; waiting for conj. WO (?)"/>
    <s v="W/O ISSUE"/>
    <x v="1"/>
    <s v="SCHED"/>
    <x v="1"/>
    <n v="110.20660000000002"/>
    <n v="268.37"/>
    <n v="105"/>
    <s v="MODIFICATION"/>
    <n v="857138.67"/>
    <n v="132136.12999999998"/>
    <m/>
    <n v="0"/>
    <d v="2024-04-11T16:50:00"/>
    <d v="2024-04-17T14:01:00"/>
    <d v="2024-04-16T00:00:00"/>
    <m/>
    <m/>
    <m/>
    <n v="-45393.701388888891"/>
    <n v="-45399.584027777775"/>
    <n v="0"/>
    <d v="2024-05-01T17:09:44"/>
    <d v="2024-05-10T20:26:59"/>
    <d v="2024-05-31T16:50:00"/>
    <n v="-1479.3483041914683"/>
    <n v="0"/>
    <n v="28"/>
    <n v="32"/>
    <n v="23.013698630136989"/>
    <n v="29.150684931506852"/>
    <n v="20.013698630136989"/>
    <n v="46"/>
    <n v="36.800000000000004"/>
    <n v="31.800000000000004"/>
    <d v="1900-02-04T19:12:00"/>
    <d v="1900-01-30T19:12:00"/>
    <m/>
    <m/>
    <m/>
    <m/>
    <m/>
    <m/>
    <m/>
    <m/>
    <x v="0"/>
  </r>
  <r>
    <s v="R22608679"/>
    <s v="ODIAMAR FRANCES DE CASTRO"/>
    <s v="MADRID, TOWN AND COUNTRY WEST SUBD, BACOOR"/>
    <s v="BACOOR CITY"/>
    <s v="DASMA"/>
    <m/>
    <s v="W/O ISSUE"/>
    <x v="5"/>
    <s v="FCOMP"/>
    <x v="2"/>
    <n v="37.03"/>
    <n v="65.319999999999993"/>
    <n v="0"/>
    <s v="PCA RELOC"/>
    <n v="164134.21"/>
    <n v="28855.37"/>
    <m/>
    <n v="0"/>
    <d v="2024-04-15T15:47:00"/>
    <d v="2024-04-22T12:21:00"/>
    <d v="2024-04-17T00:00:00"/>
    <m/>
    <d v="2025-01-10T00:00:00"/>
    <m/>
    <n v="269.34236111111386"/>
    <n v="262.48541666667006"/>
    <n v="-45667"/>
    <d v="2024-05-05T17:50:07"/>
    <d v="2024-05-14T21:34:57"/>
    <d v="2024-06-04T15:47:00"/>
    <n v="8.750373809044639"/>
    <n v="-1087.3095238095239"/>
    <n v="23"/>
    <n v="36"/>
    <n v="23.085501858736059"/>
    <n v="29.241635687732341"/>
    <n v="20.085501858736059"/>
    <n v="42"/>
    <n v="33.6"/>
    <n v="28.6"/>
    <d v="2025-02-12T14:24:00"/>
    <d v="2025-02-07T14:24:00"/>
    <m/>
    <m/>
    <m/>
    <m/>
    <m/>
    <m/>
    <m/>
    <m/>
    <x v="4"/>
  </r>
  <r>
    <s v="X24020411401"/>
    <s v="JOLLIBEE FOODS CORPORATION"/>
    <s v="AGUIRRE, BF HOMES, PARANAQUE"/>
    <s v="PARAÑAQUE CITY"/>
    <s v="PARAÑAQUE"/>
    <s v="5/18/24_x000a_Cancelllation of Execution  as per Customer Request _x000a_6/11/24_x000a_Actual Cancellation was on site dun Affected Customer Hold its Execution "/>
    <s v="W/O ISSUE"/>
    <x v="5"/>
    <s v="FCOMP"/>
    <x v="2"/>
    <n v="139.94999999999999"/>
    <n v="191.62"/>
    <n v="0"/>
    <s v="MODIFICATION"/>
    <n v="248790.03"/>
    <n v="109086.2"/>
    <m/>
    <n v="0"/>
    <d v="2024-04-16T08:54:00"/>
    <d v="2024-04-22T10:39:00"/>
    <d v="2024-04-17T00:00:00"/>
    <m/>
    <d v="2024-12-13T00:00:00"/>
    <m/>
    <n v="240.6291666666657"/>
    <n v="234.55625000000146"/>
    <n v="-45639"/>
    <d v="2024-05-07T13:51:56"/>
    <d v="2024-05-17T00:47:23"/>
    <d v="2024-06-05T08:54:00"/>
    <n v="7.4553908475783182"/>
    <n v="-1037.25"/>
    <n v="26"/>
    <n v="36"/>
    <n v="24.206896551724139"/>
    <n v="30.662068965517239"/>
    <n v="21.206896551724139"/>
    <n v="44"/>
    <n v="35.200000000000003"/>
    <n v="30.200000000000003"/>
    <d v="2025-01-17T04:48:00"/>
    <d v="2025-01-12T04:48:00"/>
    <m/>
    <m/>
    <m/>
    <m/>
    <m/>
    <m/>
    <m/>
    <m/>
    <x v="4"/>
  </r>
  <r>
    <s v="X23114600974"/>
    <s v="BP WATERWORKS, INC."/>
    <s v="PASONG BUAYA II, PASONG BUAYA II, IMUS"/>
    <s v="IMUS CITY"/>
    <s v="DASMA"/>
    <s v="related to X23114600949_x000a_PAI Aug 22 night_x000a_for cancellation_x000a_all materials and activity transferred to mother wo"/>
    <s v="W/O ISSUE"/>
    <x v="5"/>
    <s v="PCAN3"/>
    <x v="2"/>
    <n v="48.4283"/>
    <n v="66.2"/>
    <n v="61"/>
    <s v="NEW"/>
    <n v="381605.65"/>
    <n v="38620.57"/>
    <m/>
    <n v="0"/>
    <d v="2024-05-09T15:24:00"/>
    <d v="2024-05-10T16:07:00"/>
    <d v="2024-05-13T00:00:00"/>
    <m/>
    <m/>
    <m/>
    <n v="-45421.64166666667"/>
    <n v="-45422.671527777777"/>
    <n v="0"/>
    <d v="2024-05-28T22:36:33"/>
    <d v="2024-06-06T21:19:54"/>
    <d v="2024-06-28T15:24:00"/>
    <n v="-1527.6076417306053"/>
    <n v="0"/>
    <n v="23"/>
    <n v="34"/>
    <n v="22.300380228136884"/>
    <n v="28.247148288973385"/>
    <n v="19.300380228136884"/>
    <n v="42"/>
    <n v="33.6"/>
    <n v="28.6"/>
    <d v="1900-02-01T14:24:00"/>
    <d v="1900-01-27T14:24:00"/>
    <m/>
    <m/>
    <m/>
    <m/>
    <m/>
    <m/>
    <m/>
    <m/>
    <x v="0"/>
  </r>
  <r>
    <s v="R23109971"/>
    <s v="DOMINGO ALVIN LUY"/>
    <s v="COUNTRY, COUNTRY HOMES, MUNTINLUPA"/>
    <s v="MUNTINLUPA CITY"/>
    <s v="PARAÑAQUE"/>
    <m/>
    <s v="W/O ISSUE"/>
    <x v="2"/>
    <s v="SCHED"/>
    <x v="2"/>
    <n v="34.906149999999997"/>
    <n v="48.05"/>
    <n v="0"/>
    <s v="PCA RELOC"/>
    <n v="72927.67"/>
    <n v="28109.38"/>
    <m/>
    <n v="0"/>
    <d v="2024-05-14T15:01:00"/>
    <d v="2024-05-17T14:08:00"/>
    <d v="2024-05-20T00:00:00"/>
    <m/>
    <m/>
    <m/>
    <n v="-45426.625694444447"/>
    <n v="-45429.588888888888"/>
    <n v="0"/>
    <d v="2024-06-02T09:35:50"/>
    <d v="2024-06-11T04:57:08"/>
    <d v="2024-07-03T15:01:00"/>
    <n v="-1564.694885030864"/>
    <n v="0"/>
    <n v="20"/>
    <n v="36"/>
    <n v="21.774193548387096"/>
    <n v="27.58064516129032"/>
    <n v="18.774193548387096"/>
    <n v="40"/>
    <n v="32"/>
    <n v="27"/>
    <d v="1900-01-31T00:00:00"/>
    <d v="1900-01-26T00:00:00"/>
    <m/>
    <m/>
    <m/>
    <m/>
    <m/>
    <m/>
    <m/>
    <m/>
    <x v="0"/>
  </r>
  <r>
    <s v="X24030775968"/>
    <s v="JOEBETH R DE CASTRO"/>
    <s v="SUNFLOWER, PILAR VILL, LAS PINAS CITY"/>
    <s v="LAS PIÑAS CITY"/>
    <s v="PARAÑAQUE"/>
    <s v="Actual Completion on Site  (11/13/24)"/>
    <s v="W/O ISSUE"/>
    <x v="5"/>
    <s v="SCHED"/>
    <x v="2"/>
    <n v="117.57640000000001"/>
    <n v="143.87"/>
    <n v="52"/>
    <s v="MODIFICATION"/>
    <n v="366253.75"/>
    <n v="86522.71"/>
    <m/>
    <n v="0"/>
    <d v="2024-05-21T12:56:00"/>
    <d v="2024-05-24T09:26:00"/>
    <d v="2024-05-24T00:00:00"/>
    <m/>
    <m/>
    <m/>
    <n v="-45433.538888888892"/>
    <n v="-45436.393055555556"/>
    <n v="0"/>
    <d v="2024-06-10T21:12:54"/>
    <d v="2024-06-20T02:37:25"/>
    <d v="2024-07-10T12:56:00"/>
    <n v="-1459.6295299145299"/>
    <n v="0"/>
    <n v="26"/>
    <n v="34"/>
    <n v="23.345070422535212"/>
    <n v="29.570422535211268"/>
    <n v="20.345070422535212"/>
    <n v="44"/>
    <n v="35.200000000000003"/>
    <n v="30.200000000000003"/>
    <d v="1900-02-03T04:48:00"/>
    <d v="1900-01-29T04:48:00"/>
    <m/>
    <m/>
    <m/>
    <m/>
    <m/>
    <m/>
    <m/>
    <m/>
    <x v="0"/>
  </r>
  <r>
    <s v="R23158337"/>
    <s v="CROWN ASIA PROPERTIES, INC.,"/>
    <s v="BLOCK 10, PONTICELLI GARDENS 2, BACOOR"/>
    <s v="BACOOR CITY"/>
    <s v="DASMA"/>
    <s v="waiting sched"/>
    <s v="W/O ISSUE"/>
    <x v="3"/>
    <s v="FCOMP"/>
    <x v="3"/>
    <n v="16.600000000000001"/>
    <n v="22.67"/>
    <n v="0"/>
    <s v="PCA RELOC"/>
    <n v="27199.3"/>
    <n v="13366.58"/>
    <m/>
    <n v="0"/>
    <d v="2024-05-22T17:15:00"/>
    <d v="2024-05-24T12:40:00"/>
    <d v="2024-06-10T00:00:00"/>
    <m/>
    <d v="2025-03-27T08:34:00"/>
    <m/>
    <n v="308.6381944444438"/>
    <n v="306.82916666666279"/>
    <n v="-45743.356944444444"/>
    <d v="2024-06-10T11:49:50"/>
    <d v="2024-06-19T07:11:08"/>
    <d v="2024-07-11T17:15:00"/>
    <n v="10.630871141975287"/>
    <n v="-1143.583923611111"/>
    <n v="20"/>
    <n v="36"/>
    <n v="21.774193548387096"/>
    <n v="27.58064516129032"/>
    <n v="18.774193548387096"/>
    <n v="40"/>
    <n v="32"/>
    <n v="27"/>
    <d v="2025-04-28T08:34:00"/>
    <d v="2025-04-23T08:34:00"/>
    <m/>
    <m/>
    <m/>
    <m/>
    <m/>
    <m/>
    <m/>
    <m/>
    <x v="4"/>
  </r>
  <r>
    <s v="X24010242749"/>
    <s v="JUDD MARQUEZ TE SEE"/>
    <s v="CUENCA, AYALA-ALABANG VILL, MUNTINLUPA"/>
    <s v="MUNTINLUPA CITY"/>
    <s v="PARAÑAQUE"/>
    <m/>
    <s v="W/O ISSUE"/>
    <x v="5"/>
    <s v="FCOMP"/>
    <x v="2"/>
    <n v="71.452600000000004"/>
    <n v="127.4"/>
    <n v="80"/>
    <s v="MODIFICATION"/>
    <n v="440474.35"/>
    <n v="72754.820000000022"/>
    <m/>
    <n v="0"/>
    <d v="2024-05-28T10:33:00"/>
    <d v="2024-06-04T13:51:00"/>
    <d v="2024-05-30T00:00:00"/>
    <m/>
    <d v="2024-12-13T00:00:00"/>
    <m/>
    <n v="198.56041666666715"/>
    <n v="191.42291666667006"/>
    <n v="-45639"/>
    <d v="2024-06-17T18:49:54"/>
    <d v="2024-06-27T00:14:25"/>
    <d v="2024-07-17T10:33:00"/>
    <n v="6.3790903092006186"/>
    <n v="-1037.25"/>
    <n v="26"/>
    <n v="34"/>
    <n v="23.345070422535212"/>
    <n v="29.570422535211268"/>
    <n v="20.345070422535212"/>
    <n v="44"/>
    <n v="35.200000000000003"/>
    <n v="30.200000000000003"/>
    <d v="2025-01-17T04:48:00"/>
    <d v="2025-01-12T04:48:00"/>
    <m/>
    <m/>
    <m/>
    <m/>
    <m/>
    <m/>
    <m/>
    <m/>
    <x v="1"/>
  </r>
  <r>
    <s v="R23165909"/>
    <s v="OREZA EDGARDO CHUA"/>
    <s v="V.P. CRUZ, PUROK 5, TAGUIG CITY"/>
    <s v="TAGUIG CITY"/>
    <s v="PARAÑAQUE"/>
    <s v="For coordination with metering"/>
    <s v="W/O ISSUE"/>
    <x v="1"/>
    <s v="SCHED"/>
    <x v="1"/>
    <n v="20.126499999999997"/>
    <n v="42.53"/>
    <n v="0"/>
    <s v="PCA RELOC"/>
    <n v="42896.3"/>
    <n v="24179.61"/>
    <m/>
    <n v="0"/>
    <d v="2024-05-29T14:13:00"/>
    <d v="2024-06-04T08:34:00"/>
    <d v="2024-05-31T00:00:00"/>
    <m/>
    <m/>
    <m/>
    <n v="-45441.592361111114"/>
    <n v="-45447.356944444444"/>
    <n v="0"/>
    <d v="2024-06-17T08:47:50"/>
    <d v="2024-06-26T04:09:08"/>
    <d v="2024-07-18T14:13:00"/>
    <n v="-1565.2104035493828"/>
    <n v="0"/>
    <n v="20"/>
    <n v="36"/>
    <n v="21.774193548387096"/>
    <n v="27.58064516129032"/>
    <n v="18.774193548387096"/>
    <n v="40"/>
    <n v="32"/>
    <n v="27"/>
    <d v="1900-01-31T00:00:00"/>
    <d v="1900-01-26T00:00:00"/>
    <m/>
    <m/>
    <m/>
    <m/>
    <m/>
    <m/>
    <m/>
    <m/>
    <x v="0"/>
  </r>
  <r>
    <s v="X24051549285"/>
    <s v="DITO TELECOMMUNITY CORPORATION"/>
    <s v="BLOCK 1, AGUAHAN VILLAGE, TAGUIG CITY"/>
    <s v="TAGUIG CITY"/>
    <s v="PARAÑAQUE"/>
    <s v="6/17/2024_x000a_Encountered problem on pole location during digging (with waterline)_x000a_Customer to re-route the line up to June 29, 2024 (customer reported that completed last July 6, 2024)_x000a_07/10/2024_x000a_Schedule of pole digging on July 11, 2024_x000a_07/15/2024_x000a_Digging completed_x000a_Power interruption on July 17, 2024_x000a_07/16/2024_x000a_Cancelled PAI - hold by HOA, DITO to seek clearance and approval from HOA_x000a_08/01/2024_x000a_With on-going negotiation c/o DITO as per CRS_x000a_09/18/2024_x000a_CRS email that there will be a meeting with DITO and TBICAI on Sept 20, 2024 to secure work permit_x000a_10/01/2024_x000a_TBICAI approved schedule of pole digging on Oct 5 and 6, interruption on Oct 11, 2024_x000a_10/30/24_x000a_Request by Miguel  De Guzma of CBG to cancel WO and Recreate ane WO "/>
    <s v="W/ ISSUE"/>
    <x v="2"/>
    <s v="PCAN3"/>
    <x v="2"/>
    <n v="60.348100000000002"/>
    <n v="146.18"/>
    <n v="31"/>
    <s v="NEW"/>
    <n v="1083160.6200000001"/>
    <n v="74063.42"/>
    <m/>
    <n v="0"/>
    <d v="2024-05-30T09:53:00"/>
    <d v="2024-06-05T13:46:00"/>
    <d v="2024-05-30T00:00:00"/>
    <m/>
    <m/>
    <m/>
    <n v="-45442.411805555559"/>
    <n v="-45448.573611111111"/>
    <n v="0"/>
    <d v="2024-06-20T14:50:56"/>
    <d v="2024-06-30T01:46:23"/>
    <d v="2024-07-19T09:53:00"/>
    <n v="-1407.9379726080247"/>
    <n v="0"/>
    <n v="26"/>
    <n v="36"/>
    <n v="24.206896551724139"/>
    <n v="30.662068965517239"/>
    <n v="21.206896551724139"/>
    <n v="44"/>
    <n v="35.200000000000003"/>
    <n v="30.200000000000003"/>
    <d v="1900-02-03T04:48:00"/>
    <d v="1900-01-29T04:48:00"/>
    <m/>
    <m/>
    <m/>
    <m/>
    <m/>
    <m/>
    <m/>
    <m/>
    <x v="0"/>
  </r>
  <r>
    <s v="R22573760"/>
    <s v="KANE INDUSTRIAL CORP,"/>
    <s v="NIOG III, NIOG III, BACOOR"/>
    <s v="BACOOR CITY"/>
    <s v="DASMA"/>
    <m/>
    <s v="W/O ISSUE"/>
    <x v="5"/>
    <s v="FCOMP"/>
    <x v="2"/>
    <n v="178.42439999999999"/>
    <n v="273.22000000000003"/>
    <n v="0"/>
    <s v="PCA RELOC"/>
    <n v="514955.42"/>
    <n v="143681.57"/>
    <m/>
    <n v="0"/>
    <d v="2024-05-31T16:43:00"/>
    <d v="2024-06-06T08:50:00"/>
    <d v="2024-06-03T00:00:00"/>
    <d v="2025-04-03T00:00:00"/>
    <d v="2025-04-04T00:00:00"/>
    <m/>
    <n v="307.3034722222219"/>
    <n v="301.63194444444525"/>
    <n v="-45751"/>
    <d v="2024-06-22T13:33:32"/>
    <d v="2024-07-02T04:43:00"/>
    <d v="2024-07-20T16:43:00"/>
    <n v="9.2678824955908183"/>
    <n v="-994.58695652173913"/>
    <n v="28"/>
    <n v="36"/>
    <n v="24.868421052631579"/>
    <n v="31.499999999999996"/>
    <n v="21.868421052631579"/>
    <n v="46"/>
    <n v="36.800000000000004"/>
    <n v="31.800000000000004"/>
    <d v="2025-05-10T19:12:00"/>
    <d v="2025-05-05T19:12:00"/>
    <m/>
    <m/>
    <m/>
    <m/>
    <m/>
    <m/>
    <m/>
    <m/>
    <x v="1"/>
  </r>
  <r>
    <s v="X24010310203"/>
    <s v="HSL - BRAILLE COLLEGE, INC.,"/>
    <s v="DURIAN, ZONE 1, TAGUIG CITY"/>
    <s v="TAGUIG CITY"/>
    <s v="PARAÑAQUE"/>
    <s v="7/11/24 - Joint Survey; resolved pole location but need additional phase/leg; only one phase is existing - pending release of conjunctive project"/>
    <s v="(R) W/O ISSUE"/>
    <x v="3"/>
    <s v="FCOMP"/>
    <x v="3"/>
    <n v="193.1311"/>
    <n v="298.10000000000002"/>
    <n v="136"/>
    <s v="MODIFICATION"/>
    <n v="846143.09"/>
    <n v="155556.72"/>
    <m/>
    <n v="0"/>
    <d v="2024-06-03T17:23:00"/>
    <d v="2024-06-07T09:31:00"/>
    <d v="2024-06-04T00:00:00"/>
    <m/>
    <d v="2025-03-31T10:02:00"/>
    <m/>
    <n v="300.69374999999854"/>
    <n v="297.02152777778247"/>
    <n v="-45747.418055555558"/>
    <d v="2024-06-23T17:42:44"/>
    <d v="2024-07-02T20:59:59"/>
    <d v="2024-07-23T17:23:00"/>
    <n v="9.799394531249952"/>
    <n v="-994.50908816425124"/>
    <n v="28"/>
    <n v="32"/>
    <n v="23.013698630136989"/>
    <n v="29.150684931506852"/>
    <n v="20.013698630136989"/>
    <n v="46"/>
    <n v="36.800000000000004"/>
    <n v="31.800000000000004"/>
    <d v="2025-05-07T05:14:00"/>
    <d v="2025-05-02T05:14:00"/>
    <m/>
    <m/>
    <m/>
    <m/>
    <m/>
    <m/>
    <m/>
    <m/>
    <x v="4"/>
  </r>
  <r>
    <s v="X24052001012"/>
    <s v="VILLA LIGHT NEIGHBORHOOD ASSOCIATION INC."/>
    <s v="BLOCK 10, VILLA LIGHT SUBD, TAGUIG CITY"/>
    <s v="TAGUIG CITY"/>
    <s v="PARAÑAQUE"/>
    <s v="Cancel/create new WO_x000a_extension of facilities (18spans)_x000a_-for joint survey_x000a_target aug2024_x000a__x000a_For creation of new WO; design not applicable) re-survey on 9/17/2024"/>
    <s v="W/ ISSUE"/>
    <x v="1"/>
    <s v="CLOSED-CAN"/>
    <x v="1"/>
    <n v="736.35919999999999"/>
    <n v="1566.12"/>
    <n v="225"/>
    <s v="NEW"/>
    <n v="4930562.97"/>
    <n v="592973.37"/>
    <m/>
    <n v="0"/>
    <d v="2024-06-20T22:04:00"/>
    <d v="2024-06-27T09:12:00"/>
    <d v="2024-06-26T00:00:00"/>
    <m/>
    <s v="CLOSED-CAN"/>
    <m/>
    <e v="#VALUE!"/>
    <e v="#VALUE!"/>
    <e v="#VALUE!"/>
    <d v="2024-07-13T11:42:11"/>
    <d v="2024-07-23T07:20:22"/>
    <d v="2024-08-09T22:04:00"/>
    <e v="#VALUE!"/>
    <e v="#VALUE!"/>
    <n v="50"/>
    <n v="30"/>
    <n v="25.56818181818182"/>
    <n v="32.38636363636364"/>
    <n v="22.56818181818182"/>
    <n v="60"/>
    <n v="48"/>
    <n v="43"/>
    <e v="#VALUE!"/>
    <e v="#VALUE!"/>
    <m/>
    <m/>
    <m/>
    <m/>
    <m/>
    <m/>
    <m/>
    <m/>
    <x v="0"/>
  </r>
  <r>
    <s v="X24051821503"/>
    <s v="CITY GOVERNMENT OF TAGUIG"/>
    <s v="SOUTH DAANG HARI, PUROK 10, TAGUIG CITY"/>
    <s v="TAGUIG CITY"/>
    <s v="PARAÑAQUE"/>
    <m/>
    <s v="W/O ISSUE"/>
    <x v="2"/>
    <s v="SCHED"/>
    <x v="2"/>
    <n v="61.697299999999998"/>
    <n v="97.58"/>
    <n v="20"/>
    <s v="MODIFICATION"/>
    <n v="369106.47"/>
    <n v="49683.3"/>
    <m/>
    <n v="0"/>
    <d v="2024-06-25T10:18:00"/>
    <d v="2024-06-28T14:13:00"/>
    <d v="2024-06-27T00:00:00"/>
    <m/>
    <m/>
    <m/>
    <n v="-45468.429166666669"/>
    <n v="-45471.592361111114"/>
    <n v="0"/>
    <d v="2024-07-15T12:21:07"/>
    <d v="2024-07-24T16:05:57"/>
    <d v="2024-08-14T10:18:00"/>
    <n v="-1477.1748122987119"/>
    <n v="0"/>
    <n v="23"/>
    <n v="36"/>
    <n v="23.085501858736059"/>
    <n v="29.241635687732341"/>
    <n v="20.085501858736059"/>
    <n v="42"/>
    <n v="33.6"/>
    <n v="28.6"/>
    <d v="1900-02-01T14:24:00"/>
    <d v="1900-01-27T14:24:00"/>
    <m/>
    <m/>
    <m/>
    <m/>
    <m/>
    <m/>
    <m/>
    <m/>
    <x v="0"/>
  </r>
  <r>
    <s v="X24030740806"/>
    <s v="REGIDOR HOOD OFRIN"/>
    <s v="MAIN, MERVILLE SUBD, PARANAQUE"/>
    <s v="PARAÑAQUE CITY"/>
    <s v="PARAÑAQUE"/>
    <s v="walang mahukayan para sa poste"/>
    <s v="W/ ISSUE"/>
    <x v="4"/>
    <s v="SCHED"/>
    <x v="1"/>
    <n v="68.463499999999996"/>
    <n v="103.97"/>
    <n v="45"/>
    <s v="MODIFICATION"/>
    <n v="389891.68"/>
    <n v="55131.92"/>
    <m/>
    <n v="0"/>
    <d v="2024-07-10T16:33:00"/>
    <d v="2024-07-12T12:37:00"/>
    <d v="2024-07-12T00:00:00"/>
    <m/>
    <m/>
    <m/>
    <n v="-45483.689583333333"/>
    <n v="-45485.525694444441"/>
    <n v="0"/>
    <d v="2024-07-31T21:30:56"/>
    <d v="2024-08-10T08:26:23"/>
    <d v="2024-08-29T16:33:00"/>
    <n v="-1409.2168781160967"/>
    <n v="0"/>
    <n v="26"/>
    <n v="36"/>
    <n v="24.206896551724139"/>
    <n v="30.662068965517239"/>
    <n v="21.206896551724139"/>
    <n v="44"/>
    <n v="35.200000000000003"/>
    <n v="30.200000000000003"/>
    <d v="1900-02-03T04:48:00"/>
    <d v="1900-01-29T04:48:00"/>
    <m/>
    <m/>
    <m/>
    <m/>
    <m/>
    <m/>
    <m/>
    <m/>
    <x v="0"/>
  </r>
  <r>
    <s v="X24062342140"/>
    <s v="JOAN ANTONIO QUIMPO"/>
    <s v="BLOCK 19, ENLISTED PERSONNEL VIL 2, TAGUIG CITY"/>
    <s v="TAGUIG CITY"/>
    <s v="PARAÑAQUE"/>
    <s v="drainge issue; for creation of new WO due to major deisgn modif"/>
    <s v="W/ ISSUE"/>
    <x v="3"/>
    <s v="CAN"/>
    <x v="4"/>
    <n v="356.41320000000002"/>
    <n v="524.67999999999995"/>
    <n v="28"/>
    <s v="NEW"/>
    <n v="1426938.62"/>
    <n v="287011.09000000003"/>
    <m/>
    <n v="0"/>
    <d v="2024-07-11T08:38:00"/>
    <d v="2024-07-15T14:45:00"/>
    <d v="2024-07-12T00:00:00"/>
    <m/>
    <s v="CAN"/>
    <m/>
    <e v="#VALUE!"/>
    <e v="#VALUE!"/>
    <e v="#VALUE!"/>
    <d v="2024-08-05T04:40:28"/>
    <d v="2024-08-15T14:49:08"/>
    <d v="2024-08-30T08:38:00"/>
    <e v="#VALUE!"/>
    <e v="#VALUE!"/>
    <n v="40"/>
    <n v="36"/>
    <n v="27.835051546391753"/>
    <n v="35.257731958762882"/>
    <n v="24.835051546391753"/>
    <n v="55"/>
    <n v="44"/>
    <n v="39"/>
    <e v="#VALUE!"/>
    <e v="#VALUE!"/>
    <m/>
    <m/>
    <m/>
    <m/>
    <m/>
    <m/>
    <m/>
    <m/>
    <x v="0"/>
  </r>
  <r>
    <s v="X24062236601"/>
    <s v="LEIGH ANGELI ADARNA ANCHETA"/>
    <s v="MA. LOURDES ATIENZA, BF RESORT VILL, LAS PINAS CITY"/>
    <s v="LAS PIÑAS CITY"/>
    <s v="PARAÑAQUE"/>
    <s v="On Going  10/14/24"/>
    <s v="W/ ISSUE"/>
    <x v="2"/>
    <s v="FCOMP"/>
    <x v="2"/>
    <n v="358.34300000000002"/>
    <n v="519.75"/>
    <n v="41.5"/>
    <s v="MODIFICATION"/>
    <n v="1396868.56"/>
    <n v="288566.21000000002"/>
    <n v="50215.24"/>
    <n v="0.17401635486012029"/>
    <d v="2024-07-11T14:52:00"/>
    <d v="2024-07-15T14:44:00"/>
    <d v="2024-07-12T00:00:00"/>
    <m/>
    <d v="2025-01-30T00:00:00"/>
    <m/>
    <n v="202.38055555555911"/>
    <n v="198.38611111111095"/>
    <n v="-45687"/>
    <d v="2024-08-05T10:54:28"/>
    <d v="2024-08-15T21:03:08"/>
    <d v="2024-08-30T14:52:00"/>
    <n v="5.4530316358025646"/>
    <n v="-830.67272727272723"/>
    <n v="40"/>
    <n v="36"/>
    <n v="27.835051546391753"/>
    <n v="35.257731958762882"/>
    <n v="24.835051546391753"/>
    <n v="55"/>
    <n v="44"/>
    <n v="39"/>
    <d v="2025-03-15T00:00:00"/>
    <d v="2025-03-10T00:00:00"/>
    <m/>
    <m/>
    <m/>
    <m/>
    <m/>
    <m/>
    <m/>
    <m/>
    <x v="4"/>
  </r>
  <r>
    <s v="X24051926078"/>
    <s v="DITO TELECOMMUNITY CORPORATION"/>
    <s v="CHAMPACA, STO. NINO, TAGUIG CITY"/>
    <s v="TAGUIG CITY"/>
    <s v="PARAÑAQUE"/>
    <s v="SSP and meter (08/16/2024) - cancelled due to refusal on digging of pole location_x000a_8/15/24 - For public consultation/consent of residents c/o DITO (Option 1 - As designed), For redesign (Option 2)_x000a_8/22/24 - For revision of design (Option 2)"/>
    <s v="W/ ISSUE"/>
    <x v="1"/>
    <s v="CLOSED-CAN"/>
    <x v="1"/>
    <n v="112.0971"/>
    <n v="228.78"/>
    <n v="31"/>
    <s v="NEW"/>
    <n v="650720.06000000006"/>
    <n v="90269.18"/>
    <m/>
    <n v="0"/>
    <d v="2024-07-23T15:44:00"/>
    <d v="2024-07-26T13:13:00"/>
    <d v="2024-07-26T00:00:00"/>
    <m/>
    <s v="CLOSED-CAN"/>
    <m/>
    <e v="#VALUE!"/>
    <e v="#VALUE!"/>
    <e v="#VALUE!"/>
    <d v="2024-08-14T12:34:32"/>
    <d v="2024-08-24T03:44:00"/>
    <d v="2024-09-11T15:44:00"/>
    <e v="#VALUE!"/>
    <e v="#VALUE!"/>
    <n v="28"/>
    <n v="36"/>
    <n v="24.868421052631579"/>
    <n v="31.499999999999996"/>
    <n v="21.868421052631579"/>
    <n v="46"/>
    <n v="36.800000000000004"/>
    <n v="31.800000000000004"/>
    <e v="#VALUE!"/>
    <e v="#VALUE!"/>
    <m/>
    <m/>
    <m/>
    <m/>
    <m/>
    <m/>
    <m/>
    <m/>
    <x v="0"/>
  </r>
  <r>
    <s v="X24041183168"/>
    <s v="ZENAIDA IGNACIO REYES"/>
    <s v="DIMASALANG, HAGONOY, TAGUIG CITY"/>
    <s v="TAGUIG CITY"/>
    <s v="PARAÑAQUE"/>
    <s v="pole location issue; coordinated with DJJ"/>
    <s v="W/O ISSUE"/>
    <x v="1"/>
    <s v="FCOMP"/>
    <x v="1"/>
    <n v="85.990499999999997"/>
    <n v="126.03"/>
    <n v="2"/>
    <s v="MODIFICATION"/>
    <n v="199611.03"/>
    <n v="69245.759999999995"/>
    <m/>
    <n v="0"/>
    <d v="2024-07-24T14:44:00"/>
    <d v="2024-07-30T14:28:00"/>
    <d v="2024-07-26T00:00:00"/>
    <m/>
    <d v="2025-03-17T00:00:00"/>
    <m/>
    <n v="235.38611111111095"/>
    <n v="229.3972222222219"/>
    <n v="-45733"/>
    <d v="2024-08-14T19:41:56"/>
    <d v="2024-08-24T06:37:23"/>
    <d v="2024-09-12T14:44:00"/>
    <n v="7.2929457502374113"/>
    <n v="-1039.3863636363637"/>
    <n v="26"/>
    <n v="36"/>
    <n v="24.206896551724139"/>
    <n v="30.662068965517239"/>
    <n v="21.206896551724139"/>
    <n v="44"/>
    <n v="35.200000000000003"/>
    <n v="30.200000000000003"/>
    <d v="2025-04-21T04:48:00"/>
    <d v="2025-04-16T04:48:00"/>
    <m/>
    <m/>
    <m/>
    <m/>
    <m/>
    <m/>
    <m/>
    <m/>
    <x v="6"/>
  </r>
  <r>
    <s v="X24051525654"/>
    <s v="FERHN RUBIA BALATUCAN"/>
    <s v="GARNET, PARANAQUE GREEN HEIGHTS, PARANAQUE"/>
    <s v="PARAÑAQUE CITY"/>
    <s v="PARAÑAQUE"/>
    <s v="For scheduling"/>
    <s v="W/ ISSUE"/>
    <x v="3"/>
    <s v="SCHED"/>
    <x v="3"/>
    <n v="187.8665"/>
    <n v="159.72"/>
    <n v="42"/>
    <s v="MODIFICATION"/>
    <n v="564043.26"/>
    <n v="119793.67"/>
    <m/>
    <n v="0"/>
    <d v="2024-07-28T00:31:00"/>
    <d v="2024-08-01T14:26:00"/>
    <d v="2024-07-30T00:00:00"/>
    <m/>
    <m/>
    <m/>
    <n v="-45501.021527777775"/>
    <n v="-45505.601388888892"/>
    <n v="0"/>
    <d v="2024-08-18T05:28:56"/>
    <d v="2024-08-27T16:24:23"/>
    <d v="2024-09-16T00:31:00"/>
    <n v="-1409.75387212132"/>
    <n v="0"/>
    <n v="26"/>
    <n v="36"/>
    <n v="24.206896551724139"/>
    <n v="30.662068965517239"/>
    <n v="21.206896551724139"/>
    <n v="44"/>
    <n v="35.200000000000003"/>
    <n v="30.200000000000003"/>
    <d v="1900-02-03T04:48:00"/>
    <d v="1900-01-29T04:48:00"/>
    <m/>
    <m/>
    <m/>
    <m/>
    <m/>
    <m/>
    <m/>
    <m/>
    <x v="0"/>
  </r>
  <r>
    <s v="X24072779669"/>
    <s v="MA FATIMA FESTIN PERDIDO"/>
    <s v="TALIM, TIERRA NUEVA SUBD, MUNTINLUPA"/>
    <s v="MUNTINLUPA CITY"/>
    <s v="PARAÑAQUE"/>
    <s v="For Update "/>
    <m/>
    <x v="5"/>
    <s v="SCHED"/>
    <x v="2"/>
    <n v="53.587000000000003"/>
    <n v="84.28"/>
    <n v="130.19999999999999"/>
    <s v="MODIFICATION"/>
    <n v="406130.01"/>
    <n v="42774.69"/>
    <m/>
    <n v="0"/>
    <d v="2024-08-01T14:27:00"/>
    <d v="2024-08-05T14:40:00"/>
    <d v="2024-08-07T00:00:00"/>
    <m/>
    <m/>
    <m/>
    <n v="-45505.602083333331"/>
    <n v="-45509.611111111109"/>
    <n v="0"/>
    <d v="2024-08-20T01:56:11"/>
    <d v="2024-08-28T19:23:58"/>
    <d v="2024-09-20T14:27:00"/>
    <n v="-1588.9863770946556"/>
    <n v="0"/>
    <n v="23"/>
    <n v="32"/>
    <n v="21.478599221789885"/>
    <n v="27.206225680933851"/>
    <n v="18.478599221789885"/>
    <n v="42"/>
    <n v="33.6"/>
    <n v="28.6"/>
    <d v="1900-02-01T14:24:00"/>
    <d v="1900-01-27T14:24:00"/>
    <m/>
    <m/>
    <m/>
    <m/>
    <m/>
    <m/>
    <m/>
    <m/>
    <x v="0"/>
  </r>
  <r>
    <s v="X24073004063"/>
    <s v="RODOLFO C ADRIAS"/>
    <s v="MOLINO BLVD, MOLINO II, BACOOR"/>
    <s v="BACOOR CITY"/>
    <s v="DASMA"/>
    <s v="For Update "/>
    <m/>
    <x v="5"/>
    <s v="FCOMP"/>
    <x v="2"/>
    <n v="16.38"/>
    <n v="22.23"/>
    <n v="0"/>
    <s v="TERMINATION"/>
    <n v="24865.03"/>
    <n v="13198.45"/>
    <m/>
    <n v="0"/>
    <d v="2024-08-01T15:29:00"/>
    <d v="2024-08-03T09:45:00"/>
    <d v="2024-08-03T00:00:00"/>
    <m/>
    <d v="2024-12-13T00:00:00"/>
    <m/>
    <n v="133.35486111111095"/>
    <n v="131.59375"/>
    <n v="-45639"/>
    <d v="2024-08-20T10:03:50"/>
    <d v="2024-08-29T05:25:08"/>
    <d v="2024-09-20T15:29:00"/>
    <n v="4.5933341049382657"/>
    <n v="-1140.9749999999999"/>
    <n v="20"/>
    <n v="36"/>
    <n v="21.774193548387096"/>
    <n v="27.58064516129032"/>
    <n v="18.774193548387096"/>
    <n v="40"/>
    <n v="32"/>
    <n v="27"/>
    <d v="2025-01-14T00:00:00"/>
    <d v="2025-01-09T00:00:00"/>
    <m/>
    <m/>
    <m/>
    <m/>
    <m/>
    <m/>
    <m/>
    <m/>
    <x v="1"/>
  </r>
  <r>
    <s v="X24062436826"/>
    <s v="DIANE VALERIE ZIGA GARCIA"/>
    <s v="MA. CRISTINA, AYALA-ALABANG VILL, MUNTINLUPA"/>
    <s v="MUNTINLUPA CITY"/>
    <s v="PARAÑAQUE"/>
    <s v="For Update "/>
    <m/>
    <x v="5"/>
    <s v="SCHED"/>
    <x v="2"/>
    <n v="335.66180000000003"/>
    <n v="490.15"/>
    <n v="82.4"/>
    <s v="MODIFICATION"/>
    <n v="1355923.61"/>
    <n v="269947.83"/>
    <m/>
    <n v="0"/>
    <d v="2024-08-05T13:26:00"/>
    <d v="2024-08-08T09:46:00"/>
    <d v="2024-08-08T00:00:00"/>
    <m/>
    <m/>
    <m/>
    <n v="-45509.55972222222"/>
    <n v="-45512.406944444447"/>
    <n v="0"/>
    <d v="2024-08-27T14:10:10"/>
    <d v="2024-09-06T06:21:57"/>
    <d v="2024-09-24T13:26:00"/>
    <n v="-1363.6136460886437"/>
    <n v="0"/>
    <n v="32"/>
    <n v="34"/>
    <n v="25.030674846625768"/>
    <n v="31.70552147239264"/>
    <n v="22.030674846625768"/>
    <n v="50"/>
    <n v="40"/>
    <n v="35"/>
    <d v="1900-02-08T00:00:00"/>
    <d v="1900-02-03T00:00:00"/>
    <m/>
    <m/>
    <m/>
    <m/>
    <m/>
    <m/>
    <m/>
    <m/>
    <x v="0"/>
  </r>
  <r>
    <s v="X24051525908"/>
    <s v="SUZIE CHEN TAN"/>
    <s v="HEMLOCK, MGV PHASE 1, PARANAQUE"/>
    <s v="PARAÑAQUE CITY"/>
    <s v="PARAÑAQUE"/>
    <s v="WAITING FOR SCHED OF PAI (waiting to release conj. Planned MN WO_x000a_follow up approval of endorsement letter to HOA pres thru BC"/>
    <s v="W/O ISSUE"/>
    <x v="1"/>
    <s v="FCOMP"/>
    <x v="1"/>
    <n v="66.609899999999996"/>
    <n v="134.5"/>
    <n v="68"/>
    <s v="MODIFICATION"/>
    <n v="319649.19"/>
    <n v="53639.199999999997"/>
    <m/>
    <n v="0"/>
    <d v="2024-08-05T15:55:00"/>
    <d v="2024-08-08T09:58:00"/>
    <d v="2024-08-08T00:00:00"/>
    <m/>
    <d v="2025-04-16T00:00:00"/>
    <m/>
    <n v="253.33680555555475"/>
    <n v="250.5847222222219"/>
    <n v="-45763"/>
    <d v="2024-08-26T00:11:54"/>
    <d v="2024-09-04T05:36:25"/>
    <d v="2024-09-24T15:55:00"/>
    <n v="8.1388747486173685"/>
    <n v="-1040.0681818181818"/>
    <n v="26"/>
    <n v="34"/>
    <n v="23.345070422535212"/>
    <n v="29.570422535211268"/>
    <n v="20.345070422535212"/>
    <n v="44"/>
    <n v="35.200000000000003"/>
    <n v="30.200000000000003"/>
    <d v="2025-05-21T04:48:00"/>
    <d v="2025-05-16T04:48:00"/>
    <m/>
    <m/>
    <m/>
    <m/>
    <m/>
    <m/>
    <m/>
    <m/>
    <x v="1"/>
  </r>
  <r>
    <s v="X24072565971"/>
    <s v="DITO TELECOMMUNITY CORPORATION"/>
    <s v="DOÑA SOLEDAD, BETTER LIVING SUBD, PARANAQUE"/>
    <s v="PARAÑAQUE CITY"/>
    <s v="PARAÑAQUE"/>
    <s v="for cancellation due to third party refusal, pending surplus return of materials"/>
    <s v="W/ ISSUE"/>
    <x v="1"/>
    <s v="CLOSED-CAN"/>
    <x v="1"/>
    <n v="96.643299999999996"/>
    <n v="156.80000000000001"/>
    <n v="22"/>
    <s v="NEW"/>
    <n v="632652.96"/>
    <n v="77832.37"/>
    <m/>
    <n v="0"/>
    <d v="2024-08-07T09:01:00"/>
    <d v="2024-08-12T07:32:00"/>
    <d v="2024-08-16T00:00:00"/>
    <m/>
    <s v="CLOSED-CAN"/>
    <m/>
    <e v="#VALUE!"/>
    <e v="#VALUE!"/>
    <e v="#VALUE!"/>
    <d v="2024-08-28T13:58:56"/>
    <d v="2024-09-07T00:54:23"/>
    <d v="2024-09-26T09:01:00"/>
    <e v="#VALUE!"/>
    <e v="#VALUE!"/>
    <n v="26"/>
    <n v="36"/>
    <n v="24.206896551724139"/>
    <n v="30.662068965517239"/>
    <n v="21.206896551724139"/>
    <n v="44"/>
    <n v="35.200000000000003"/>
    <n v="30.200000000000003"/>
    <e v="#VALUE!"/>
    <e v="#VALUE!"/>
    <s v="Applicant-related compliance"/>
    <s v="Y"/>
    <s v="N"/>
    <m/>
    <s v="Y"/>
    <d v="2024-09-11T00:00:00"/>
    <m/>
    <m/>
    <x v="0"/>
  </r>
  <r>
    <s v="X23114603408"/>
    <s v="GILBERT CLAIRE O REALICA"/>
    <s v="APO, AYALA-ALABANG VILL, MUNTINLUPA"/>
    <s v="MUNTINLUPA CITY"/>
    <s v="PARAÑAQUE"/>
    <m/>
    <m/>
    <x v="2"/>
    <s v="FCOMP"/>
    <x v="2"/>
    <n v="92.761799999999994"/>
    <n v="132.85"/>
    <n v="100"/>
    <s v="MODIFICATION"/>
    <n v="448826.37"/>
    <n v="74723.06"/>
    <n v="56897.91"/>
    <n v="0.76145048128382331"/>
    <d v="2024-08-08T13:08:00"/>
    <d v="2024-08-13T07:44:00"/>
    <d v="2024-08-14T00:00:00"/>
    <d v="2025-02-11T00:00:00"/>
    <d v="2025-02-11T00:00:00"/>
    <m/>
    <n v="186.45277777777665"/>
    <n v="181.67777777777519"/>
    <n v="-45699"/>
    <d v="2024-08-28T21:24:54"/>
    <d v="2024-09-07T02:49:25"/>
    <d v="2024-09-27T13:08:00"/>
    <n v="5.9901118652588874"/>
    <n v="-1038.6136363636363"/>
    <n v="26"/>
    <n v="34"/>
    <n v="23.345070422535212"/>
    <n v="29.570422535211268"/>
    <n v="20.345070422535212"/>
    <n v="44"/>
    <n v="35.200000000000003"/>
    <n v="30.200000000000003"/>
    <d v="2025-03-18T04:48:00"/>
    <d v="2025-03-13T04:48:00"/>
    <m/>
    <m/>
    <m/>
    <m/>
    <m/>
    <m/>
    <m/>
    <m/>
    <x v="1"/>
  </r>
  <r>
    <s v="X24051519918"/>
    <s v="STO. CRISTO PROPERTIES &amp; HOLDINGS CORP."/>
    <s v="PASCUAL, PARANAQUE GREEN HEIGHTS, PARANAQUE"/>
    <s v="PARAÑAQUE CITY"/>
    <s v="PARAÑAQUE"/>
    <s v="With customer opposition on DT pole; _x000a_With new released work order X24093771340; to transfer all materials and SI to X24093771340_x000a_for cancellation"/>
    <s v="FOR CANCELLATION"/>
    <x v="3"/>
    <s v="PCAN3"/>
    <x v="3"/>
    <n v="58.3675"/>
    <n v="89.53"/>
    <n v="114"/>
    <s v="NEW"/>
    <n v="434654.9"/>
    <n v="47026.09"/>
    <m/>
    <n v="0"/>
    <d v="2024-08-08T16:55:00"/>
    <d v="2024-08-13T09:16:00"/>
    <d v="2024-08-12T00:00:00"/>
    <m/>
    <m/>
    <m/>
    <n v="-45512.704861111109"/>
    <n v="-45517.386111111111"/>
    <n v="0"/>
    <d v="2024-08-27T04:24:11"/>
    <d v="2024-09-04T21:51:58"/>
    <d v="2024-09-27T16:55:00"/>
    <n v="-1589.2343952860808"/>
    <n v="0"/>
    <n v="23"/>
    <n v="32"/>
    <n v="21.478599221789885"/>
    <n v="27.206225680933851"/>
    <n v="18.478599221789885"/>
    <n v="42"/>
    <n v="33.6"/>
    <n v="28.6"/>
    <d v="1900-02-01T14:24:00"/>
    <d v="1900-01-27T14:24:00"/>
    <m/>
    <m/>
    <m/>
    <m/>
    <m/>
    <m/>
    <m/>
    <m/>
    <x v="0"/>
  </r>
  <r>
    <s v="X23114429361"/>
    <s v="GOLDSERVE HOLDING COMPANY INC."/>
    <s v="MIA, TAMBO, PARANAQUE"/>
    <s v="PARAÑAQUE CITY"/>
    <s v="PARAÑAQUE"/>
    <s v="conjunct to UG wo X23114429217; for sched of digging"/>
    <s v="W/ ISSUE"/>
    <x v="1"/>
    <s v="FCOMP"/>
    <x v="1"/>
    <n v="11.8408"/>
    <n v="16.2"/>
    <n v="16"/>
    <s v="NEW"/>
    <n v="132843.69"/>
    <n v="9535.1"/>
    <m/>
    <n v="0"/>
    <d v="2024-08-08T17:05:00"/>
    <d v="2024-08-13T07:33:00"/>
    <d v="2024-08-16T00:00:00"/>
    <m/>
    <d v="2025-03-05T00:00:00"/>
    <m/>
    <n v="208.28819444444525"/>
    <n v="203.68541666666715"/>
    <n v="-45721"/>
    <d v="2024-08-27T11:39:50"/>
    <d v="2024-09-05T07:01:08"/>
    <d v="2024-09-27T17:05:00"/>
    <n v="7.1743711419753362"/>
    <n v="-1143.0250000000001"/>
    <n v="20"/>
    <n v="36"/>
    <n v="21.774193548387096"/>
    <n v="27.58064516129032"/>
    <n v="18.774193548387096"/>
    <n v="40"/>
    <n v="32"/>
    <n v="27"/>
    <d v="2025-04-06T00:00:00"/>
    <d v="2025-04-01T00:00:00"/>
    <m/>
    <m/>
    <m/>
    <m/>
    <m/>
    <m/>
    <m/>
    <m/>
    <x v="4"/>
  </r>
  <r>
    <s v="R23075417"/>
    <s v="CONGBALAY, SIMPLICIO C, "/>
    <s v="N. LOPEZ, LOPEZ VILL, PARANAQUE"/>
    <s v="PARAÑAQUE CITY"/>
    <s v="PARAÑAQUE"/>
    <s v="Completed"/>
    <s v="W/O ISSUE"/>
    <x v="5"/>
    <s v="FCOMP"/>
    <x v="2"/>
    <n v="81.420100000000005"/>
    <n v="140.12"/>
    <n v="0"/>
    <s v="PCA RELOC"/>
    <n v="237016.01"/>
    <n v="65565.56"/>
    <m/>
    <n v="0"/>
    <d v="2024-08-12T14:52:00"/>
    <d v="2024-08-15T13:43:00"/>
    <d v="2024-08-14T00:00:00"/>
    <m/>
    <d v="2025-04-07T00:00:00"/>
    <m/>
    <n v="237.38055555555911"/>
    <n v="234.4284722222219"/>
    <n v="-45754"/>
    <d v="2024-09-02T19:49:56"/>
    <d v="2024-09-12T06:45:23"/>
    <d v="2024-10-01T14:52:00"/>
    <n v="7.354739434947879"/>
    <n v="-1039.8636363636363"/>
    <n v="26"/>
    <n v="36"/>
    <n v="24.206896551724139"/>
    <n v="30.662068965517239"/>
    <n v="21.206896551724139"/>
    <n v="44"/>
    <n v="35.200000000000003"/>
    <n v="30.200000000000003"/>
    <d v="2025-05-12T04:48:00"/>
    <d v="2025-05-07T04:48:00"/>
    <m/>
    <m/>
    <m/>
    <m/>
    <m/>
    <m/>
    <m/>
    <m/>
    <x v="1"/>
  </r>
  <r>
    <s v="R23354122"/>
    <s v="MANAHAN, MELANIE V.,"/>
    <s v="SAPLUNGAN, MEADOWOOD EXEC. VILLAGE PHASE 3B, BACOOR"/>
    <s v="BACOOR CITY"/>
    <s v="DASMA"/>
    <s v="Hold Execution as per BC Mam Grace Alarcon  due wrong polcaation as per developer "/>
    <s v="W/ ISSUE"/>
    <x v="5"/>
    <s v="SCHED"/>
    <x v="2"/>
    <n v="21.84"/>
    <n v="33.950000000000003"/>
    <n v="0"/>
    <s v="PCA RELOC"/>
    <n v="114511.06"/>
    <n v="17587.5"/>
    <m/>
    <n v="0"/>
    <d v="2024-08-14T09:32:00"/>
    <d v="2024-08-20T08:32:00"/>
    <d v="2024-08-20T00:00:00"/>
    <m/>
    <m/>
    <m/>
    <n v="-45518.397222222222"/>
    <n v="-45524.355555555558"/>
    <n v="0"/>
    <d v="2024-09-02T04:06:50"/>
    <d v="2024-09-10T23:28:08"/>
    <d v="2024-10-03T09:32:00"/>
    <n v="-1567.8559043209875"/>
    <n v="0"/>
    <n v="20"/>
    <n v="36"/>
    <n v="21.774193548387096"/>
    <n v="27.58064516129032"/>
    <n v="18.774193548387096"/>
    <n v="40"/>
    <n v="32"/>
    <n v="27"/>
    <d v="1900-01-31T00:00:00"/>
    <d v="1900-01-26T00:00:00"/>
    <m/>
    <m/>
    <m/>
    <m/>
    <m/>
    <m/>
    <m/>
    <m/>
    <x v="0"/>
  </r>
  <r>
    <s v="R23208322"/>
    <s v="SM DEVELOPMENT CORPORATION"/>
    <s v="BLDG 10, FIELD RESIDENCES, PARANAQUE"/>
    <s v="PARAÑAQUE CITY"/>
    <s v="PARAÑAQUE"/>
    <s v="For resched of PAI (initially sched last 9/17/2024) due to customer's request to relocate involved pole to another location"/>
    <s v="W/ ISSUE"/>
    <x v="1"/>
    <s v="FCOMP"/>
    <x v="1"/>
    <n v="142.47499999999999"/>
    <n v="204.13"/>
    <n v="0"/>
    <s v="PCA RELOC"/>
    <n v="371967.81"/>
    <n v="114354.6"/>
    <m/>
    <n v="0"/>
    <d v="2024-08-19T16:42:00"/>
    <d v="2024-08-22T13:21:00"/>
    <d v="2024-08-22T00:00:00"/>
    <m/>
    <d v="2025-02-22T00:00:00"/>
    <m/>
    <n v="186.30416666666861"/>
    <n v="183.44374999999854"/>
    <n v="-45710"/>
    <d v="2024-09-10T13:32:32"/>
    <d v="2024-09-20T04:42:00"/>
    <d v="2024-10-08T16:42:00"/>
    <n v="5.6186970899471484"/>
    <n v="-993.695652173913"/>
    <n v="28"/>
    <n v="36"/>
    <n v="24.868421052631579"/>
    <n v="31.499999999999996"/>
    <n v="21.868421052631579"/>
    <n v="46"/>
    <n v="36.800000000000004"/>
    <n v="31.800000000000004"/>
    <d v="2025-03-30T19:12:00"/>
    <d v="2025-03-25T19:12:00"/>
    <m/>
    <m/>
    <m/>
    <m/>
    <m/>
    <m/>
    <m/>
    <m/>
    <x v="1"/>
  </r>
  <r>
    <s v="X24072536492"/>
    <s v="CITY GOV'T OF LAS PIÑAS"/>
    <s v="BF CARNIBAL PARK, BF RESORT VILL, LAS PINAS CITY"/>
    <s v="LAS PIÑAS CITY"/>
    <s v="PARAÑAQUE"/>
    <m/>
    <m/>
    <x v="4"/>
    <s v="FCOMP"/>
    <x v="1"/>
    <n v="14.8103"/>
    <n v="20.12"/>
    <n v="32"/>
    <s v="MODIFICATION"/>
    <n v="143928.54"/>
    <n v="11926.44"/>
    <m/>
    <n v="0"/>
    <d v="2024-08-20T13:46:00"/>
    <d v="2024-08-22T14:06:00"/>
    <d v="2024-08-24T00:00:00"/>
    <m/>
    <d v="2025-01-06T00:00:00"/>
    <m/>
    <n v="138.42638888888905"/>
    <n v="136.41249999999854"/>
    <n v="-45663"/>
    <d v="2024-09-08T08:20:50"/>
    <d v="2024-09-17T03:42:08"/>
    <d v="2024-10-09T13:46:00"/>
    <n v="4.7680200617284001"/>
    <n v="-1141.575"/>
    <n v="20"/>
    <n v="36"/>
    <n v="21.774193548387096"/>
    <n v="27.58064516129032"/>
    <n v="18.774193548387096"/>
    <n v="40"/>
    <n v="32"/>
    <n v="27"/>
    <d v="2025-02-07T00:00:00"/>
    <d v="2025-02-02T00:00:00"/>
    <m/>
    <m/>
    <m/>
    <m/>
    <m/>
    <m/>
    <m/>
    <m/>
    <x v="1"/>
  </r>
  <r>
    <s v="X24051932778"/>
    <s v="KEN VANN JOSPEH K REYES"/>
    <s v="ALABANG-ZAPOTE, TALON I, LAS PINAS CITY"/>
    <s v="LAS PIÑAS CITY"/>
    <s v="PARAÑAQUE"/>
    <m/>
    <s v="W/O ISSUE"/>
    <x v="2"/>
    <s v="FCOMP"/>
    <x v="2"/>
    <n v="49.271599999999999"/>
    <n v="95.18"/>
    <n v="68"/>
    <s v="NEW"/>
    <n v="401921.51"/>
    <n v="39677.160000000003"/>
    <n v="33772.879999999997"/>
    <n v="0.85119197039304206"/>
    <d v="2024-08-21T15:11:00"/>
    <d v="2024-08-27T10:45:00"/>
    <d v="2024-08-28T00:00:00"/>
    <d v="2025-03-08T00:00:00"/>
    <d v="2025-03-08T00:00:00"/>
    <m/>
    <n v="198.36736111110804"/>
    <n v="192.55208333333576"/>
    <n v="-45724"/>
    <d v="2024-09-09T22:23:33"/>
    <d v="2024-09-18T21:06:54"/>
    <d v="2024-10-10T15:11:00"/>
    <n v="6.6714342675474949"/>
    <n v="-1088.6666666666667"/>
    <n v="23"/>
    <n v="34"/>
    <n v="22.300380228136884"/>
    <n v="28.247148288973385"/>
    <n v="19.300380228136884"/>
    <n v="42"/>
    <n v="33.6"/>
    <n v="28.6"/>
    <d v="2025-04-10T14:24:00"/>
    <d v="2025-04-05T14:24:00"/>
    <m/>
    <m/>
    <m/>
    <m/>
    <m/>
    <m/>
    <m/>
    <m/>
    <x v="1"/>
  </r>
  <r>
    <s v="R23165916"/>
    <s v="POKAAN ALIREZA LUMBAYA"/>
    <s v="JOLO, MAHARLIKA VILL, TAGUIG CITY"/>
    <s v="TAGUIG CITY"/>
    <s v="PARAÑAQUE"/>
    <s v="for sched of pole erection"/>
    <s v="W/O ISSUE"/>
    <x v="1"/>
    <s v="FCOMP"/>
    <x v="1"/>
    <n v="27.2133"/>
    <n v="44.25"/>
    <n v="0"/>
    <s v="PCA RELOC"/>
    <n v="137707.32"/>
    <n v="21914.3"/>
    <m/>
    <n v="0"/>
    <d v="2024-08-22T14:43:00"/>
    <d v="2024-08-30T13:30:00"/>
    <d v="2024-08-27T00:00:00"/>
    <m/>
    <d v="2025-03-17T00:00:00"/>
    <m/>
    <n v="206.38680555555766"/>
    <n v="198.4375"/>
    <n v="-45733"/>
    <d v="2024-09-10T09:17:50"/>
    <d v="2024-09-19T04:39:08"/>
    <d v="2024-10-11T14:43:00"/>
    <n v="7.108878858024763"/>
    <n v="-1143.325"/>
    <n v="20"/>
    <n v="36"/>
    <n v="21.774193548387096"/>
    <n v="27.58064516129032"/>
    <n v="18.774193548387096"/>
    <n v="40"/>
    <n v="32"/>
    <n v="27"/>
    <d v="2025-04-18T00:00:00"/>
    <d v="2025-04-13T00:00:00"/>
    <m/>
    <m/>
    <m/>
    <m/>
    <m/>
    <m/>
    <m/>
    <m/>
    <x v="1"/>
  </r>
  <r>
    <s v="R22419641"/>
    <s v="ONOFRE, CORAZON VILLA,"/>
    <s v="GLORIA DIAZ, BF RESORT VILL, LAS PINAS CITY"/>
    <s v="LAS PIÑAS CITY"/>
    <s v="PARAÑAQUE"/>
    <m/>
    <m/>
    <x v="2"/>
    <s v="SCHED"/>
    <x v="2"/>
    <n v="153.46879999999999"/>
    <n v="220.37"/>
    <n v="0"/>
    <s v="PCA RELOC"/>
    <n v="418004.67"/>
    <n v="123585.18"/>
    <m/>
    <n v="0"/>
    <d v="2024-08-22T14:49:00"/>
    <d v="2024-08-30T13:25:00"/>
    <d v="2024-08-28T00:00:00"/>
    <m/>
    <m/>
    <m/>
    <n v="-45526.617361111108"/>
    <n v="-45534.559027777781"/>
    <n v="0"/>
    <d v="2024-09-13T11:39:32"/>
    <d v="2024-09-23T02:49:00"/>
    <d v="2024-10-11T14:49:00"/>
    <n v="-1373.0249680335096"/>
    <n v="0"/>
    <n v="28"/>
    <n v="36"/>
    <n v="24.868421052631579"/>
    <n v="31.499999999999996"/>
    <n v="21.868421052631579"/>
    <n v="46"/>
    <n v="36.800000000000004"/>
    <n v="31.800000000000004"/>
    <d v="1900-02-04T19:12:00"/>
    <d v="1900-01-30T19:12:00"/>
    <m/>
    <m/>
    <m/>
    <m/>
    <m/>
    <m/>
    <m/>
    <m/>
    <x v="0"/>
  </r>
  <r>
    <s v="P2407173485"/>
    <s v="RELOCATION OF POLE AFFECTED BY ROAD WIDENING PROJECT IN TRAMO, ALIMA, BACOOR"/>
    <s v="ALIMA I ALIMA I ALIMA I BACOOR CAVITE"/>
    <s v="BACOOR CITY"/>
    <s v="DASMA"/>
    <s v="Actual Completion on Site  (10/29/24)"/>
    <s v="W/O ISSUE"/>
    <x v="5"/>
    <s v="FCOMP"/>
    <x v="2"/>
    <n v="2347.62914"/>
    <n v="1321.23"/>
    <n v="0"/>
    <s v="PCA RELOC"/>
    <n v="3380199.52"/>
    <n v="1302517.3899999999"/>
    <m/>
    <n v="0"/>
    <d v="2024-08-28T07:59:00"/>
    <d v="2024-09-03T06:44:00"/>
    <d v="2024-09-04T00:00:00"/>
    <m/>
    <d v="2024-12-13T00:00:00"/>
    <m/>
    <n v="106.66736111111095"/>
    <n v="100.71944444444671"/>
    <n v="-45639"/>
    <d v="2024-09-23T19:24:25"/>
    <d v="2024-10-04T16:03:12"/>
    <d v="2024-10-17T07:59:00"/>
    <n v="2.7140917438271561"/>
    <n v="-760.65"/>
    <n v="50"/>
    <n v="36"/>
    <n v="29.475982532751093"/>
    <n v="37.336244541484717"/>
    <n v="26.475982532751093"/>
    <n v="60"/>
    <n v="48"/>
    <n v="43"/>
    <d v="2025-01-30T00:00:00"/>
    <d v="2025-01-25T00:00:00"/>
    <m/>
    <m/>
    <m/>
    <m/>
    <m/>
    <m/>
    <m/>
    <m/>
    <x v="1"/>
  </r>
  <r>
    <s v="X23104092125"/>
    <s v="PHILIP SIGFRID ALFARO FORTUN"/>
    <s v="SAN AGUSTIN, SUSANA HTS SUBD VILL 6, MUNTINLUPA"/>
    <s v="MUNTINLUPA CITY"/>
    <s v="PARAÑAQUE"/>
    <s v="Pole location issue"/>
    <s v="W/  ISSUE"/>
    <x v="2"/>
    <s v="PCAN3"/>
    <x v="2"/>
    <n v="96.317499999999995"/>
    <n v="126.9"/>
    <n v="80"/>
    <s v="NEW"/>
    <n v="402375.37"/>
    <n v="77586.83"/>
    <m/>
    <n v="0"/>
    <d v="2024-08-30T14:29:00"/>
    <d v="2024-09-06T12:53:00"/>
    <d v="2024-09-04T00:00:00"/>
    <m/>
    <m/>
    <m/>
    <n v="-45534.603472222225"/>
    <n v="-45541.536805555559"/>
    <n v="0"/>
    <d v="2024-09-19T22:45:54"/>
    <d v="2024-09-29T04:10:25"/>
    <d v="2024-10-19T14:29:00"/>
    <n v="-1462.8764011437909"/>
    <n v="0"/>
    <n v="26"/>
    <n v="34"/>
    <n v="23.345070422535212"/>
    <n v="29.570422535211268"/>
    <n v="20.345070422535212"/>
    <n v="44"/>
    <n v="35.200000000000003"/>
    <n v="30.200000000000003"/>
    <d v="1900-02-03T04:48:00"/>
    <d v="1900-01-29T04:48:00"/>
    <m/>
    <m/>
    <m/>
    <m/>
    <m/>
    <m/>
    <m/>
    <m/>
    <x v="0"/>
  </r>
  <r>
    <s v="X24052000319"/>
    <s v="CITY GOVERNMENT OF TAGUIG"/>
    <s v="MAULENG CREEK , LOWER BICUTAN , TAGUIG"/>
    <s v="TAGUIG CITY"/>
    <s v="PARAÑAQUE"/>
    <s v="On Going Digging"/>
    <s v="W/O ISSUE"/>
    <x v="2"/>
    <s v="FCOMP"/>
    <x v="2"/>
    <n v="713.32849999999996"/>
    <n v="1120.8800000000001"/>
    <n v="45"/>
    <s v="NEW"/>
    <n v="2734702.55"/>
    <n v="572539.79"/>
    <n v="92159.039999999994"/>
    <n v="0.16096530164305259"/>
    <d v="2024-08-30T15:54:00"/>
    <d v="2024-09-06T12:30:00"/>
    <d v="2025-01-20T00:00:00"/>
    <d v="2025-03-10T00:00:00"/>
    <d v="2025-03-05T00:00:00"/>
    <m/>
    <n v="186.33750000000146"/>
    <n v="179.47916666666424"/>
    <n v="-45721"/>
    <d v="2024-09-26T03:19:25"/>
    <d v="2024-10-06T23:58:12"/>
    <d v="2024-10-19T15:54:00"/>
    <n v="4.7412541666667032"/>
    <n v="-762.01666666666665"/>
    <n v="50"/>
    <n v="36"/>
    <n v="29.475982532751093"/>
    <n v="37.336244541484717"/>
    <n v="26.475982532751093"/>
    <n v="60"/>
    <n v="48"/>
    <n v="43"/>
    <d v="2025-04-22T00:00:00"/>
    <d v="2025-04-17T00:00:00"/>
    <m/>
    <m/>
    <m/>
    <m/>
    <m/>
    <m/>
    <m/>
    <m/>
    <x v="4"/>
  </r>
  <r>
    <s v="X24052000269"/>
    <s v="CITY GOVERNMENT OF TAGUIG"/>
    <s v="MAULING CREEK, PUROK 6D, TAGUIG CITY"/>
    <s v="TAGUIG CITY"/>
    <s v="PARAÑAQUE"/>
    <s v="On Going Execution "/>
    <s v="W/O ISSUE"/>
    <x v="5"/>
    <s v="FCOMP"/>
    <x v="2"/>
    <n v="831.79750000000001"/>
    <n v="1345.47"/>
    <n v="45"/>
    <s v="NEW"/>
    <n v="3487719.57"/>
    <n v="668695.04000000004"/>
    <m/>
    <n v="0"/>
    <d v="2024-08-30T16:13:00"/>
    <d v="2024-09-06T12:33:00"/>
    <d v="2024-09-04T00:00:00"/>
    <m/>
    <d v="2025-05-09T00:00:00"/>
    <m/>
    <n v="251.32430555555766"/>
    <n v="244.47708333333139"/>
    <n v="-45786"/>
    <d v="2024-09-26T03:38:25"/>
    <d v="2024-10-07T00:17:12"/>
    <d v="2024-10-19T16:13:00"/>
    <n v="6.3948073302469668"/>
    <n v="-763.1"/>
    <n v="50"/>
    <n v="36"/>
    <n v="29.475982532751093"/>
    <n v="37.336244541484717"/>
    <n v="26.475982532751093"/>
    <n v="60"/>
    <n v="48"/>
    <n v="43"/>
    <d v="2025-06-26T00:00:00"/>
    <d v="2025-06-21T00:00:00"/>
    <m/>
    <m/>
    <m/>
    <m/>
    <m/>
    <m/>
    <m/>
    <m/>
    <x v="1"/>
  </r>
  <r>
    <s v="X24041115574"/>
    <s v="DITO TELECOMMUNITY CORPORATION"/>
    <s v="GULAMAN, STO. NINO, TAGUIG CITY"/>
    <s v="PARAÑAQUE CITY"/>
    <s v="PARAÑAQUE"/>
    <s v="3rd party refusal; for survey on 10/29 with design, PROW, and BC"/>
    <s v="W/ ISSUE"/>
    <x v="1"/>
    <s v="CLOSED-CAN"/>
    <x v="1"/>
    <n v="106.5369"/>
    <n v="159.12"/>
    <n v="20"/>
    <s v="NEW"/>
    <n v="364183.84"/>
    <n v="85791.63"/>
    <m/>
    <n v="0"/>
    <d v="2024-09-02T10:05:00"/>
    <d v="2024-09-09T13:15:00"/>
    <d v="2024-09-07T00:00:00"/>
    <m/>
    <s v="CLOSED-CAN"/>
    <m/>
    <e v="#VALUE!"/>
    <e v="#VALUE!"/>
    <e v="#VALUE!"/>
    <d v="2024-09-23T15:02:56"/>
    <d v="2024-10-03T01:58:23"/>
    <d v="2024-10-22T10:05:00"/>
    <e v="#VALUE!"/>
    <e v="#VALUE!"/>
    <n v="26"/>
    <n v="36"/>
    <n v="24.206896551724139"/>
    <n v="30.662068965517239"/>
    <n v="21.206896551724139"/>
    <n v="44"/>
    <n v="35.200000000000003"/>
    <n v="30.200000000000003"/>
    <e v="#VALUE!"/>
    <e v="#VALUE!"/>
    <m/>
    <m/>
    <m/>
    <m/>
    <m/>
    <m/>
    <m/>
    <m/>
    <x v="0"/>
  </r>
  <r>
    <s v="R23301679"/>
    <s v="JAVIER, ROSALINA"/>
    <s v="GENESIS, VILLANUEVA SUBD, BACOOR"/>
    <s v="BACOOR CITY"/>
    <s v="DASMA"/>
    <m/>
    <m/>
    <x v="4"/>
    <s v="SCHED"/>
    <x v="2"/>
    <n v="16.934100000000001"/>
    <n v="23.33"/>
    <n v="0"/>
    <s v="PCA RELOC"/>
    <n v="30613.7"/>
    <n v="13636.79"/>
    <m/>
    <n v="0"/>
    <d v="2024-09-03T09:42:00"/>
    <d v="2024-09-09T13:24:00"/>
    <d v="2024-09-07T00:00:00"/>
    <m/>
    <m/>
    <m/>
    <n v="-45538.404166666667"/>
    <n v="-45544.558333333334"/>
    <n v="0"/>
    <d v="2024-09-22T04:16:50"/>
    <d v="2024-09-30T23:38:08"/>
    <d v="2024-10-23T09:42:00"/>
    <n v="-1568.5450324074072"/>
    <n v="0"/>
    <n v="20"/>
    <n v="36"/>
    <n v="21.774193548387096"/>
    <n v="27.58064516129032"/>
    <n v="18.774193548387096"/>
    <n v="40"/>
    <n v="32"/>
    <n v="27"/>
    <d v="1900-01-31T00:00:00"/>
    <d v="1900-01-26T00:00:00"/>
    <m/>
    <m/>
    <m/>
    <m/>
    <m/>
    <m/>
    <m/>
    <m/>
    <x v="0"/>
  </r>
  <r>
    <s v="X24062117779"/>
    <s v="CITY GOVERNMENT OF PARAÑAQUE"/>
    <s v="BENIGNO AQUINO SR., BF HOMES, PARANAQUE"/>
    <s v="MUNTINLUPA CITY"/>
    <s v="PARAÑAQUE"/>
    <s v="For scheduling"/>
    <s v="W/ ISSUE"/>
    <x v="3"/>
    <s v="FCOMP"/>
    <x v="3"/>
    <n v="64.684200000000004"/>
    <n v="99.77"/>
    <n v="44"/>
    <s v="MODIFICATION"/>
    <n v="375766.47"/>
    <n v="52088.52"/>
    <m/>
    <n v="0"/>
    <d v="2024-09-06T06:45:00"/>
    <d v="2024-09-12T15:04:00"/>
    <d v="2024-09-07T00:00:00"/>
    <m/>
    <d v="2025-04-04T00:00:00"/>
    <m/>
    <n v="209.71875"/>
    <n v="203.37222222222044"/>
    <n v="-45751"/>
    <d v="2024-09-26T08:48:07"/>
    <d v="2024-10-05T12:32:57"/>
    <d v="2024-10-26T06:45:00"/>
    <n v="6.8133265398550718"/>
    <n v="-1089.3095238095239"/>
    <n v="23"/>
    <n v="36"/>
    <n v="23.085501858736059"/>
    <n v="29.241635687732341"/>
    <n v="20.085501858736059"/>
    <n v="42"/>
    <n v="33.6"/>
    <n v="28.6"/>
    <d v="2025-05-07T14:24:00"/>
    <d v="2025-05-02T14:24:00"/>
    <m/>
    <m/>
    <m/>
    <m/>
    <m/>
    <m/>
    <m/>
    <m/>
    <x v="4"/>
  </r>
  <r>
    <s v="R23563800"/>
    <s v="WOODRIDGE PROPERTIES, INC.,"/>
    <s v="BLOCK 4, DANAROSE RESIDENCES, BACOOR"/>
    <s v="LAS PIÑAS CITY"/>
    <s v="PARAÑAQUE"/>
    <m/>
    <m/>
    <x v="2"/>
    <s v="FCOMP"/>
    <x v="2"/>
    <n v="16.93"/>
    <n v="30.08"/>
    <n v="0"/>
    <s v="PCA RELOC"/>
    <n v="117785.94"/>
    <n v="13633.28"/>
    <m/>
    <n v="0"/>
    <d v="2024-09-06T14:38:59"/>
    <d v="2024-09-12T15:08:00"/>
    <d v="2024-09-12T00:00:00"/>
    <m/>
    <d v="2025-04-30T00:00:00"/>
    <m/>
    <n v="235.38959490740672"/>
    <n v="229.36944444444089"/>
    <n v="-45777"/>
    <d v="2024-09-25T09:13:49"/>
    <d v="2024-10-04T04:35:07"/>
    <d v="2024-10-26T14:38:59"/>
    <n v="8.1078638245884544"/>
    <n v="-1144.425"/>
    <n v="20"/>
    <n v="36"/>
    <n v="21.774193548387096"/>
    <n v="27.58064516129032"/>
    <n v="18.774193548387096"/>
    <n v="40"/>
    <n v="32"/>
    <n v="27"/>
    <d v="2025-06-01T00:00:00"/>
    <d v="2025-05-27T00:00:00"/>
    <m/>
    <m/>
    <m/>
    <m/>
    <m/>
    <m/>
    <m/>
    <m/>
    <x v="1"/>
  </r>
  <r>
    <s v="X24072759958"/>
    <s v="CITY GOVERNMENT OF TAGUIG"/>
    <s v="PRES. QUIRINO EXT, ZONE 6, TAGUIG CITY"/>
    <s v="TAGUIG CITY"/>
    <s v="PARAÑAQUE"/>
    <s v="for sched of digging /  request for drainage diversion"/>
    <s v="W/ ISSUE"/>
    <x v="1"/>
    <s v="SCHED"/>
    <x v="1"/>
    <n v="534.45119999999997"/>
    <n v="780.57"/>
    <n v="23"/>
    <s v="NEW"/>
    <n v="2000088.16"/>
    <n v="429627.22"/>
    <m/>
    <n v="0"/>
    <d v="2024-09-10T09:29:49"/>
    <d v="2024-09-13T13:54:00"/>
    <d v="2024-09-11T00:00:00"/>
    <m/>
    <m/>
    <m/>
    <n v="-45545.39570601852"/>
    <n v="-45548.57916666667"/>
    <n v="0"/>
    <d v="2024-10-05T05:32:17"/>
    <d v="2024-10-15T15:40:57"/>
    <d v="2024-10-30T09:29:49"/>
    <n v="-1227.1953843010544"/>
    <n v="0"/>
    <n v="40"/>
    <n v="36"/>
    <n v="27.835051546391753"/>
    <n v="35.257731958762882"/>
    <n v="24.835051546391753"/>
    <n v="55"/>
    <n v="44"/>
    <n v="39"/>
    <d v="1900-02-12T00:00:00"/>
    <d v="1900-02-07T00:00:00"/>
    <m/>
    <m/>
    <m/>
    <m/>
    <m/>
    <m/>
    <m/>
    <m/>
    <x v="0"/>
  </r>
  <r>
    <s v="X24072692499"/>
    <s v="HSL - BRAILLE COLLEGE, INC.,"/>
    <s v="DURIAN, ZONE 1, TAGUIG CITY"/>
    <s v="TAGUIG CITY"/>
    <s v="PARAÑAQUE"/>
    <s v="pole location / with existing drainage"/>
    <s v="W/ ISSUE"/>
    <x v="3"/>
    <s v="FCOMP"/>
    <x v="3"/>
    <n v="550.21709999999996"/>
    <n v="937.92"/>
    <n v="136"/>
    <s v="MODIFICATION"/>
    <n v="2501537.66"/>
    <n v="443077.47"/>
    <m/>
    <n v="0"/>
    <d v="2024-09-11T10:49:46"/>
    <d v="2024-09-16T14:35:00"/>
    <d v="2024-09-13T00:00:00"/>
    <m/>
    <d v="2025-03-31T10:12:00"/>
    <m/>
    <n v="200.97377314815094"/>
    <n v="195.8173611111124"/>
    <n v="-45747.425000000003"/>
    <d v="2024-10-03T23:35:43"/>
    <d v="2024-10-13T18:59:59"/>
    <d v="2024-10-31T10:49:46"/>
    <n v="5.9036045862269333"/>
    <n v="-831.77136363636373"/>
    <n v="40"/>
    <n v="32"/>
    <n v="25.531914893617024"/>
    <n v="32.340425531914896"/>
    <n v="22.531914893617024"/>
    <n v="55"/>
    <n v="44"/>
    <n v="39"/>
    <d v="2025-05-14T10:12:00"/>
    <d v="2025-05-09T10:12:00"/>
    <m/>
    <m/>
    <m/>
    <m/>
    <m/>
    <m/>
    <m/>
    <m/>
    <x v="4"/>
  </r>
  <r>
    <s v="X24030736106"/>
    <s v="ALFRED REYES FRANCIA"/>
    <s v="BLOCK 29, SOLVIENTO VILLAS PH 3, BACOOR"/>
    <s v="BACOOR CITY"/>
    <s v="DASMA"/>
    <s v="On Going Execution _x000a_SOLVIENTO VILLAS Projects  "/>
    <s v="W/O ISSUE"/>
    <x v="5"/>
    <s v="FCOMP"/>
    <x v="2"/>
    <n v="262.64100000000002"/>
    <n v="383.72"/>
    <n v="4.5"/>
    <s v="NEW"/>
    <n v="840479.63"/>
    <n v="211499.83"/>
    <m/>
    <n v="0"/>
    <d v="2024-09-11T16:54:41"/>
    <d v="2024-09-16T14:18:00"/>
    <d v="2024-09-13T00:00:00"/>
    <m/>
    <d v="2025-01-10T00:00:00"/>
    <m/>
    <n v="120.29535879629839"/>
    <n v="115.40416666666715"/>
    <n v="-45667"/>
    <d v="2024-10-04T04:13:56"/>
    <d v="2024-10-13T23:15:04"/>
    <d v="2024-10-31T16:54:41"/>
    <n v="3.5420300090021186"/>
    <n v="-951.39583333333337"/>
    <n v="30"/>
    <n v="36"/>
    <n v="25.471698113207545"/>
    <n v="32.264150943396224"/>
    <n v="22.471698113207545"/>
    <n v="48"/>
    <n v="38.400000000000006"/>
    <n v="33.400000000000006"/>
    <d v="2025-02-17T09:36:00"/>
    <d v="2025-02-12T09:36:00"/>
    <m/>
    <m/>
    <m/>
    <m/>
    <m/>
    <m/>
    <m/>
    <m/>
    <x v="1"/>
  </r>
  <r>
    <s v="X24030736254"/>
    <s v="NEW PACIFIC RESOURCES MANAGEME"/>
    <s v="BLOCK 36, SOLVIENTO VILLAS PH 3, BACOOR"/>
    <s v="BACOOR CITY"/>
    <s v="DASMA"/>
    <s v="On Going Execution _x000a_SOLVIENTO VILLAS Projects  "/>
    <s v="W/O ISSUE"/>
    <x v="5"/>
    <s v="FCOMP"/>
    <x v="2"/>
    <n v="954.85059999999999"/>
    <n v="1401.45"/>
    <n v="295.5"/>
    <s v="NEW"/>
    <n v="3368500.83"/>
    <n v="768924.13"/>
    <m/>
    <n v="0"/>
    <d v="2024-09-11T22:24:43"/>
    <d v="2024-09-16T14:27:00"/>
    <d v="2024-09-13T00:00:00"/>
    <m/>
    <d v="2025-01-10T00:00:00"/>
    <m/>
    <n v="120.06616898148059"/>
    <n v="115.39791666666861"/>
    <n v="-45667"/>
    <d v="2024-10-04T12:02:54"/>
    <d v="2024-10-14T07:41:05"/>
    <d v="2024-10-31T22:24:43"/>
    <n v="3.5219409567900968"/>
    <n v="-761.11666666666667"/>
    <n v="50"/>
    <n v="30"/>
    <n v="25.56818181818182"/>
    <n v="32.38636363636364"/>
    <n v="22.56818181818182"/>
    <n v="60"/>
    <n v="48"/>
    <n v="43"/>
    <d v="2025-02-27T00:00:00"/>
    <d v="2025-02-22T00:00:00"/>
    <m/>
    <m/>
    <m/>
    <m/>
    <m/>
    <m/>
    <m/>
    <m/>
    <x v="4"/>
  </r>
  <r>
    <s v="X24072590693"/>
    <s v="HARD DISCOUNT PHILIPPINES, INC."/>
    <s v="HOLY FAMILY AVE, HOLY FAMILY VILL, TAGUIG CITY"/>
    <s v="TAGUIG CITY"/>
    <s v="PARAÑAQUE"/>
    <s v="waiting for schedule, crew diverted to NAIA"/>
    <s v="W/O ISSUE"/>
    <x v="3"/>
    <s v="FCOMP"/>
    <x v="3"/>
    <n v="34.987000000000002"/>
    <n v="55.3"/>
    <n v="19"/>
    <s v="NEW"/>
    <n v="278461.53999999998"/>
    <n v="28174.13"/>
    <m/>
    <n v="0"/>
    <d v="2024-09-12T14:51:00"/>
    <d v="2024-09-17T14:44:00"/>
    <d v="2024-09-17T00:00:00"/>
    <m/>
    <d v="2025-01-24T00:00:00"/>
    <m/>
    <n v="133.38124999999854"/>
    <n v="128.38611111111095"/>
    <n v="-45681"/>
    <d v="2024-10-02T16:54:07"/>
    <d v="2024-10-11T20:38:57"/>
    <d v="2024-11-01T14:51:00"/>
    <n v="4.3332797403381171"/>
    <n v="-1087.6428571428571"/>
    <n v="23"/>
    <n v="36"/>
    <n v="23.085501858736059"/>
    <n v="29.241635687732341"/>
    <n v="20.085501858736059"/>
    <n v="42"/>
    <n v="33.6"/>
    <n v="28.6"/>
    <d v="2025-02-26T14:24:00"/>
    <d v="2025-02-21T14:24:00"/>
    <m/>
    <m/>
    <m/>
    <m/>
    <m/>
    <m/>
    <m/>
    <m/>
    <x v="4"/>
  </r>
  <r>
    <s v="X24030695765"/>
    <s v="MITHCAH BIBLE BAPTIST CHURCH INC."/>
    <s v="ST. CECILLE, FATIMA SUBD, LAS PINAS CITY"/>
    <s v="LAS PIÑAS CITY"/>
    <s v="PARAÑAQUE"/>
    <s v="pole location issue"/>
    <s v="W/ ISSUE"/>
    <x v="2"/>
    <s v="FCOMP"/>
    <x v="2"/>
    <n v="66.983099999999993"/>
    <n v="98.05"/>
    <n v="30"/>
    <s v="NEW"/>
    <n v="390162.58"/>
    <n v="53940.12"/>
    <n v="18124.07"/>
    <n v="0.33600351649199145"/>
    <d v="2024-09-16T17:12:55"/>
    <d v="2024-09-20T14:20:00"/>
    <d v="2024-09-20T00:00:00"/>
    <m/>
    <d v="2025-01-24T00:00:00"/>
    <m/>
    <n v="129.28269675926276"/>
    <n v="125.40277777778101"/>
    <n v="-45681"/>
    <d v="2024-10-06T19:16:02"/>
    <d v="2024-10-15T23:00:52"/>
    <d v="2024-11-05T17:12:55"/>
    <n v="4.2001262594494788"/>
    <n v="-1087.6428571428571"/>
    <n v="23"/>
    <n v="36"/>
    <n v="23.085501858736059"/>
    <n v="29.241635687732341"/>
    <n v="20.085501858736059"/>
    <n v="42"/>
    <n v="33.6"/>
    <n v="28.6"/>
    <d v="2025-02-26T14:24:00"/>
    <d v="2025-02-21T14:24:00"/>
    <m/>
    <m/>
    <m/>
    <m/>
    <m/>
    <m/>
    <m/>
    <m/>
    <x v="4"/>
  </r>
  <r>
    <s v="R23158435"/>
    <s v="CROWN ASIA PROPERTIES, INC., HMB"/>
    <s v="BLOCK 4, PONTICELLI, BACOOR"/>
    <s v="BACOOR CITY"/>
    <s v="DASMA"/>
    <s v="For Update _x000a_Truss Guy Ony"/>
    <m/>
    <x v="5"/>
    <s v="SCHED"/>
    <x v="2"/>
    <n v="18.309999999999999"/>
    <n v="25.27"/>
    <n v="0"/>
    <s v="PCA RELOC"/>
    <n v="41797.83"/>
    <n v="14748.76"/>
    <m/>
    <n v="0"/>
    <d v="2024-09-18T15:29:22"/>
    <d v="2024-09-24T12:53:00"/>
    <d v="2024-09-19T00:00:00"/>
    <m/>
    <m/>
    <m/>
    <n v="-45553.64539351852"/>
    <n v="-45559.536805555559"/>
    <n v="0"/>
    <d v="2024-10-07T10:04:12"/>
    <d v="2024-10-16T05:25:30"/>
    <d v="2024-11-07T15:29:22"/>
    <n v="-1569.0700079989711"/>
    <n v="0"/>
    <n v="20"/>
    <n v="36"/>
    <n v="21.774193548387096"/>
    <n v="27.58064516129032"/>
    <n v="18.774193548387096"/>
    <n v="40"/>
    <n v="32"/>
    <n v="27"/>
    <d v="1900-01-31T00:00:00"/>
    <d v="1900-01-26T00:00:00"/>
    <m/>
    <m/>
    <m/>
    <m/>
    <m/>
    <m/>
    <m/>
    <m/>
    <x v="0"/>
  </r>
  <r>
    <s v="X24093584870"/>
    <s v="ZENAIDA IGNACIO REYES"/>
    <s v="DIMASALANG, HAGONOY, TAGUIG CITY"/>
    <s v="TAGUIG CITY"/>
    <s v="PARAÑAQUE"/>
    <s v="EMC frame only - for sched"/>
    <s v="W/O ISSUE"/>
    <x v="1"/>
    <s v="FCOMP"/>
    <x v="1"/>
    <n v="15.46"/>
    <n v="21.17"/>
    <n v="0"/>
    <s v="MODIFICATION"/>
    <n v="45965.21"/>
    <n v="12449.52"/>
    <m/>
    <n v="0"/>
    <d v="2024-09-18T15:29:56"/>
    <d v="2024-09-20T14:09:00"/>
    <d v="2024-09-19T00:00:00"/>
    <m/>
    <d v="2025-03-17T00:00:00"/>
    <m/>
    <n v="179.35421296296408"/>
    <n v="177.4104166666657"/>
    <n v="-45733"/>
    <d v="2024-10-07T10:04:46"/>
    <d v="2024-10-16T05:26:04"/>
    <d v="2024-11-07T15:29:56"/>
    <n v="6.1777562242798734"/>
    <n v="-1143.325"/>
    <n v="20"/>
    <n v="36"/>
    <n v="21.774193548387096"/>
    <n v="27.58064516129032"/>
    <n v="18.774193548387096"/>
    <n v="40"/>
    <n v="32"/>
    <n v="27"/>
    <d v="2025-04-18T00:00:00"/>
    <d v="2025-04-13T00:00:00"/>
    <m/>
    <m/>
    <m/>
    <m/>
    <m/>
    <m/>
    <m/>
    <m/>
    <x v="6"/>
  </r>
  <r>
    <s v="X24020641632"/>
    <s v="HENRY LAO LIM"/>
    <s v="BUKIDNON, MARINA SUBD, PARANAQUE"/>
    <s v="PARAÑAQUE CITY"/>
    <s v="PARAÑAQUE"/>
    <s v="FOLLOW UP FROM ATTY KIM HENARES"/>
    <s v="W/O ISSUE"/>
    <x v="4"/>
    <s v="FCOMP"/>
    <x v="1"/>
    <n v="224.01419999999999"/>
    <n v="298.38"/>
    <n v="169"/>
    <s v="NEW"/>
    <n v="1042085.27"/>
    <n v="180394.18"/>
    <m/>
    <n v="0"/>
    <d v="2024-09-18T16:37:32"/>
    <d v="2024-09-24T14:23:00"/>
    <d v="2024-09-20T00:00:00"/>
    <m/>
    <d v="2025-01-20T00:00:00"/>
    <m/>
    <n v="123.30726851851796"/>
    <n v="117.40069444444089"/>
    <n v="-45677"/>
    <d v="2024-10-08T16:57:16"/>
    <d v="2024-10-17T20:14:31"/>
    <d v="2024-11-07T16:37:32"/>
    <n v="4.01849580439813"/>
    <n v="-992.97826086956525"/>
    <n v="28"/>
    <n v="32"/>
    <n v="23.013698630136989"/>
    <n v="29.150684931506852"/>
    <n v="20.013698630136989"/>
    <n v="46"/>
    <n v="36.800000000000004"/>
    <n v="31.800000000000004"/>
    <d v="2025-02-25T19:12:00"/>
    <d v="2025-02-20T19:12:00"/>
    <m/>
    <m/>
    <m/>
    <m/>
    <m/>
    <m/>
    <m/>
    <m/>
    <x v="1"/>
  </r>
  <r>
    <s v="R23563727"/>
    <s v="RICHFIELD PROPERTIES, INC.,"/>
    <s v="BLOCK 15, LOTUS VILLAGE, BACOOR"/>
    <s v="BACOOR CITY"/>
    <s v="DASMA"/>
    <m/>
    <m/>
    <x v="4"/>
    <s v="FCOMP"/>
    <x v="1"/>
    <n v="56.42"/>
    <n v="91.23"/>
    <n v="0"/>
    <s v="PCA RELOC"/>
    <n v="258338.31"/>
    <n v="45433.69"/>
    <m/>
    <n v="0"/>
    <d v="2024-09-24T16:04:59"/>
    <d v="2024-09-30T13:11:00"/>
    <d v="2024-09-28T00:00:00"/>
    <m/>
    <d v="2025-03-19T00:00:00"/>
    <m/>
    <n v="175.32987268518627"/>
    <n v="169.4506944444438"/>
    <n v="-45735"/>
    <d v="2024-10-14T18:08:06"/>
    <d v="2024-10-23T21:52:56"/>
    <d v="2024-11-13T16:04:59"/>
    <n v="5.6961033517288779"/>
    <n v="-1088.9285714285713"/>
    <n v="23"/>
    <n v="36"/>
    <n v="23.085501858736059"/>
    <n v="29.241635687732341"/>
    <n v="20.085501858736059"/>
    <n v="42"/>
    <n v="33.6"/>
    <n v="28.6"/>
    <d v="2025-04-21T14:24:00"/>
    <d v="2025-04-16T14:24:00"/>
    <m/>
    <m/>
    <m/>
    <m/>
    <m/>
    <m/>
    <m/>
    <m/>
    <x v="1"/>
  </r>
  <r>
    <s v="X24010101554"/>
    <s v="TOBIE INTERNATIONAL INC."/>
    <s v="EXODUS, BF HOMES MARTINVILLE SUBD, LAS PINAS CITY"/>
    <s v="LAS PIÑAS CITY"/>
    <s v="PARAÑAQUE"/>
    <m/>
    <m/>
    <x v="2"/>
    <s v="FCOMP"/>
    <x v="2"/>
    <n v="45.448"/>
    <n v="61.97"/>
    <n v="75"/>
    <s v="MODIFICATION"/>
    <n v="367791.66"/>
    <n v="36606.230000000003"/>
    <m/>
    <n v="0"/>
    <d v="2024-09-24T19:44:26"/>
    <d v="2024-09-30T13:02:00"/>
    <d v="2024-10-01T00:00:00"/>
    <m/>
    <d v="2025-04-26T00:00:00"/>
    <m/>
    <n v="213.17747685185168"/>
    <n v="207.45694444444234"/>
    <n v="-45773"/>
    <d v="2024-10-14T02:56:59"/>
    <d v="2024-10-23T01:40:20"/>
    <d v="2024-11-13T19:44:26"/>
    <n v="7.1695238378563921"/>
    <n v="-1089.8333333333333"/>
    <n v="23"/>
    <n v="34"/>
    <n v="22.300380228136884"/>
    <n v="28.247148288973385"/>
    <n v="19.300380228136884"/>
    <n v="42"/>
    <n v="33.6"/>
    <n v="28.6"/>
    <d v="2025-05-29T14:24:00"/>
    <d v="2025-05-24T14:24:00"/>
    <m/>
    <m/>
    <m/>
    <m/>
    <m/>
    <m/>
    <m/>
    <m/>
    <x v="1"/>
  </r>
  <r>
    <s v="X24083108742"/>
    <s v="GLENDA G ADEFUIN"/>
    <s v="BLOCK 2, PATIO HOMES SUBD, MUNTINLUPA"/>
    <s v="MUNTINLUPA CITY"/>
    <s v="PARAÑAQUE"/>
    <s v="with 3rd party opposition from Posadas HOA"/>
    <s v="W/ ISSUE"/>
    <x v="3"/>
    <s v="FCOMP"/>
    <x v="3"/>
    <n v="76.916899999999998"/>
    <n v="110.25"/>
    <n v="54"/>
    <s v="NEW"/>
    <n v="407351.66"/>
    <n v="61939.519999999997"/>
    <m/>
    <n v="0"/>
    <d v="2024-09-25T12:11:37"/>
    <d v="2024-09-30T13:21:00"/>
    <d v="2024-09-27T00:00:00"/>
    <m/>
    <d v="2025-02-15T00:00:00"/>
    <m/>
    <n v="142.49193287036906"/>
    <n v="137.44374999999854"/>
    <n v="-45703"/>
    <d v="2024-10-15T20:28:31"/>
    <d v="2024-10-25T01:53:02"/>
    <d v="2024-11-14T12:11:37"/>
    <n v="4.5777951284145715"/>
    <n v="-1038.7045454545455"/>
    <n v="26"/>
    <n v="34"/>
    <n v="23.345070422535212"/>
    <n v="29.570422535211268"/>
    <n v="20.345070422535212"/>
    <n v="44"/>
    <n v="35.200000000000003"/>
    <n v="30.200000000000003"/>
    <d v="2025-03-22T04:48:00"/>
    <d v="2025-03-17T04:48:00"/>
    <m/>
    <m/>
    <m/>
    <m/>
    <m/>
    <m/>
    <m/>
    <m/>
    <x v="4"/>
  </r>
  <r>
    <s v="X24083130651"/>
    <s v="CLS GRILL AND RESTAURANTS, INC."/>
    <s v="AGUIRRE, BF HOMES, PARANAQUE"/>
    <s v="PARAÑAQUE CITY"/>
    <s v="PARAÑAQUE"/>
    <m/>
    <s v="W/O ISSUE"/>
    <x v="6"/>
    <s v="SCHED"/>
    <x v="6"/>
    <n v="84.107699999999994"/>
    <n v="121.42"/>
    <n v="45"/>
    <s v="NEW"/>
    <n v="377002.44"/>
    <n v="67729.740000000005"/>
    <m/>
    <n v="0"/>
    <d v="2024-09-25T15:33:08"/>
    <d v="2024-09-30T13:18:00"/>
    <d v="2024-10-01T00:00:00"/>
    <m/>
    <m/>
    <m/>
    <n v="-45560.648009259261"/>
    <n v="-45565.554166666669"/>
    <n v="0"/>
    <d v="2024-10-16T20:31:04"/>
    <d v="2024-10-26T07:26:31"/>
    <d v="2024-11-14T15:33:08"/>
    <n v="-1411.6012737911522"/>
    <n v="0"/>
    <n v="26"/>
    <n v="36"/>
    <n v="24.206896551724139"/>
    <n v="30.662068965517239"/>
    <n v="21.206896551724139"/>
    <n v="44"/>
    <n v="35.200000000000003"/>
    <n v="30.200000000000003"/>
    <d v="1900-02-03T04:48:00"/>
    <d v="1900-01-29T04:48:00"/>
    <m/>
    <m/>
    <m/>
    <m/>
    <m/>
    <m/>
    <m/>
    <m/>
    <x v="0"/>
  </r>
  <r>
    <s v="X22125062389"/>
    <s v="SONNY L LAGON"/>
    <s v="ACACIA, MULTINATIONAL VILL, PARANAQUE"/>
    <s v="PARAÑAQUE CITY"/>
    <s v="PARAÑAQUE"/>
    <s v="for completion 2nd week of Nov"/>
    <s v="W/O ISSUE"/>
    <x v="1"/>
    <s v="FCOMP"/>
    <x v="1"/>
    <n v="428.8492"/>
    <n v="644.53"/>
    <n v="200"/>
    <s v="NEW"/>
    <n v="1862458.44"/>
    <n v="345375.27"/>
    <m/>
    <n v="0"/>
    <d v="2024-09-26T11:26:00"/>
    <d v="2024-10-01T09:31:00"/>
    <d v="2024-09-28T00:00:00"/>
    <m/>
    <d v="2025-01-10T00:00:00"/>
    <m/>
    <n v="105.52361111110804"/>
    <n v="100.60347222222481"/>
    <n v="-45667"/>
    <d v="2024-10-19T00:11:57"/>
    <d v="2024-10-28T19:36:13"/>
    <d v="2024-11-15T11:26:00"/>
    <n v="3.0997560763887981"/>
    <n v="-830.30909090909086"/>
    <n v="40"/>
    <n v="32"/>
    <n v="25.531914893617024"/>
    <n v="32.340425531914896"/>
    <n v="22.531914893617024"/>
    <n v="55"/>
    <n v="44"/>
    <n v="39"/>
    <d v="2025-02-23T00:00:00"/>
    <d v="2025-02-18T00:00:00"/>
    <m/>
    <m/>
    <m/>
    <m/>
    <m/>
    <m/>
    <m/>
    <m/>
    <x v="1"/>
  </r>
  <r>
    <s v="R23563729"/>
    <s v="RICHFIELD PROPERTIES, INC., HMB"/>
    <s v="BLOCK 9, LOTUS VILLAGE, BACOOR"/>
    <s v="BACOOR CITY"/>
    <s v="DASMA"/>
    <s v="For Update _x000a_Truss Guy Ony"/>
    <m/>
    <x v="5"/>
    <s v="FCOMP"/>
    <x v="2"/>
    <n v="19.142050000000001"/>
    <n v="26.43"/>
    <n v="0"/>
    <s v="PCA RELOC"/>
    <n v="42050.26"/>
    <n v="15414.9"/>
    <m/>
    <n v="0"/>
    <d v="2024-09-27T08:34:39"/>
    <d v="2024-10-03T10:58:00"/>
    <d v="2024-09-28T00:00:00"/>
    <m/>
    <d v="2024-12-13T00:00:00"/>
    <m/>
    <n v="76.642604166663659"/>
    <n v="70.543055555557657"/>
    <n v="-45639"/>
    <d v="2024-10-16T03:09:29"/>
    <d v="2024-10-24T22:30:47"/>
    <d v="2024-11-16T08:34:39"/>
    <n v="2.6399119212961928"/>
    <n v="-1140.9749999999999"/>
    <n v="20"/>
    <n v="36"/>
    <n v="21.774193548387096"/>
    <n v="27.58064516129032"/>
    <n v="18.774193548387096"/>
    <n v="40"/>
    <n v="32"/>
    <n v="27"/>
    <d v="2025-01-14T00:00:00"/>
    <d v="2025-01-09T00:00:00"/>
    <m/>
    <m/>
    <m/>
    <m/>
    <m/>
    <m/>
    <m/>
    <m/>
    <x v="1"/>
  </r>
  <r>
    <s v="X24062428692"/>
    <s v="GREENLAND NEW LOWER BICUTAN NEIGHBORHOOD ASSOCIATI"/>
    <s v="RANGER, PUROK 1A, TAGUIG CITY"/>
    <s v="TAGUIG CITY"/>
    <s v="PARAÑAQUE"/>
    <s v=" drainage diversion before pole erection"/>
    <s v="W/ ISSUE"/>
    <x v="1"/>
    <s v="CLOSED-CAN"/>
    <x v="1"/>
    <n v="125.6533"/>
    <n v="191.77"/>
    <n v="60"/>
    <s v="NEW"/>
    <n v="656201.56000000006"/>
    <n v="101185.84"/>
    <m/>
    <n v="0"/>
    <d v="2024-09-30T14:58:00"/>
    <d v="2024-10-04T12:24:00"/>
    <d v="2024-10-02T00:00:00"/>
    <m/>
    <s v="CLOSED-CAN"/>
    <m/>
    <e v="#VALUE!"/>
    <e v="#VALUE!"/>
    <e v="#VALUE!"/>
    <d v="2024-10-20T23:14:54"/>
    <d v="2024-10-30T04:39:25"/>
    <d v="2024-11-19T14:58:00"/>
    <e v="#VALUE!"/>
    <e v="#VALUE!"/>
    <n v="26"/>
    <n v="34"/>
    <n v="23.345070422535212"/>
    <n v="29.570422535211268"/>
    <n v="20.345070422535212"/>
    <n v="44"/>
    <n v="35.200000000000003"/>
    <n v="30.200000000000003"/>
    <e v="#VALUE!"/>
    <e v="#VALUE!"/>
    <m/>
    <m/>
    <m/>
    <m/>
    <m/>
    <m/>
    <m/>
    <m/>
    <x v="0"/>
  </r>
  <r>
    <s v="X24083439704"/>
    <s v="DITO TELECOMMUNITY CORPORATION"/>
    <s v="CHAMPACA, STO. NINO, TAGUIG CITY"/>
    <s v="TAGUIG CITY"/>
    <s v="PARAÑAQUE"/>
    <s v="3rd party refusal; for survey on 10/29 with design, PROW, and BC"/>
    <s v="W/ ISSUE"/>
    <x v="1"/>
    <s v="CLOSED-CAN"/>
    <x v="1"/>
    <n v="82.501800000000003"/>
    <n v="117.3"/>
    <n v="31"/>
    <s v="NEW"/>
    <n v="346178.09"/>
    <n v="66436.77"/>
    <m/>
    <n v="0"/>
    <d v="2024-10-02T07:46:00"/>
    <d v="2024-10-04T14:18:00"/>
    <d v="2024-10-05T00:00:00"/>
    <m/>
    <s v="CLOSED-CAN"/>
    <m/>
    <e v="#VALUE!"/>
    <e v="#VALUE!"/>
    <e v="#VALUE!"/>
    <d v="2024-10-23T12:43:56"/>
    <d v="2024-11-01T23:39:23"/>
    <d v="2024-11-21T07:46:00"/>
    <e v="#VALUE!"/>
    <e v="#VALUE!"/>
    <n v="26"/>
    <n v="36"/>
    <n v="24.206896551724139"/>
    <n v="30.662068965517239"/>
    <n v="21.206896551724139"/>
    <n v="44"/>
    <n v="35.200000000000003"/>
    <n v="30.200000000000003"/>
    <e v="#VALUE!"/>
    <e v="#VALUE!"/>
    <m/>
    <m/>
    <m/>
    <m/>
    <m/>
    <m/>
    <m/>
    <m/>
    <x v="0"/>
  </r>
  <r>
    <s v="X24051828444"/>
    <s v="DITO TELECOMMUNITY CORPORATION"/>
    <s v="STA. MONICA, DON GALO, PARANAQUE"/>
    <s v="PARAÑAQUE CITY"/>
    <s v="PARAÑAQUE"/>
    <s v="Problem with R/Way . Not feasible due to large culvert on the location of transformer pole (task 4)"/>
    <s v="W/ ISSUE"/>
    <x v="2"/>
    <s v="PCAN3"/>
    <x v="2"/>
    <n v="127.3669"/>
    <n v="222.48"/>
    <n v="31"/>
    <s v="NEW"/>
    <n v="1895538.6"/>
    <n v="102565.86"/>
    <m/>
    <n v="0"/>
    <d v="2024-10-02T08:35:00"/>
    <d v="2024-10-04T14:16:00"/>
    <d v="2024-10-05T00:00:00"/>
    <m/>
    <m/>
    <m/>
    <n v="-45567.357638888891"/>
    <n v="-45569.594444444447"/>
    <n v="0"/>
    <d v="2024-10-24T05:25:32"/>
    <d v="2024-11-02T20:35:00"/>
    <d v="2024-11-21T08:35:00"/>
    <n v="-1374.2536430776015"/>
    <n v="0"/>
    <n v="28"/>
    <n v="36"/>
    <n v="24.868421052631579"/>
    <n v="31.499999999999996"/>
    <n v="21.868421052631579"/>
    <n v="46"/>
    <n v="36.800000000000004"/>
    <n v="31.800000000000004"/>
    <d v="1900-02-04T19:12:00"/>
    <d v="1900-01-30T19:12:00"/>
    <m/>
    <m/>
    <m/>
    <m/>
    <m/>
    <m/>
    <m/>
    <m/>
    <x v="0"/>
  </r>
  <r>
    <s v="X24072733160"/>
    <s v="BRGY. MARCELO GREEN"/>
    <s v="MARCELO, MARCELO GREEN VILL, PARANAQUE"/>
    <s v="PARAÑAQUE CITY"/>
    <s v="PARAÑAQUE"/>
    <s v="For Update "/>
    <s v="W/O ISSUE"/>
    <x v="5"/>
    <s v="SCHED"/>
    <x v="2"/>
    <n v="13.71"/>
    <n v="18.78"/>
    <n v="35"/>
    <s v="MODIFICATION"/>
    <n v="47460.27"/>
    <n v="11040.3"/>
    <m/>
    <n v="0"/>
    <d v="2024-10-02T16:59:00"/>
    <d v="2024-10-04T14:20:00"/>
    <d v="2024-10-05T00:00:00"/>
    <m/>
    <m/>
    <m/>
    <n v="-45567.707638888889"/>
    <n v="-45569.597222222219"/>
    <n v="0"/>
    <d v="2024-10-21T11:33:50"/>
    <d v="2024-10-30T06:55:08"/>
    <d v="2024-11-21T16:59:00"/>
    <n v="-1569.5543742283949"/>
    <n v="0"/>
    <n v="20"/>
    <n v="36"/>
    <n v="21.774193548387096"/>
    <n v="27.58064516129032"/>
    <n v="18.774193548387096"/>
    <n v="40"/>
    <n v="32"/>
    <n v="27"/>
    <d v="1900-01-31T00:00:00"/>
    <d v="1900-01-26T00:00:00"/>
    <m/>
    <m/>
    <m/>
    <m/>
    <m/>
    <m/>
    <m/>
    <m/>
    <x v="0"/>
  </r>
  <r>
    <s v="X24072577420"/>
    <s v="HERMENEGILDO DENAGA SARANILLO"/>
    <s v="SUMAKWEL, BARANGAY VILL, PARANAQUE"/>
    <s v="PARAÑAQUE CITY"/>
    <s v="PARAÑAQUE"/>
    <m/>
    <m/>
    <x v="2"/>
    <s v="SCHED"/>
    <x v="2"/>
    <n v="55.999499999999998"/>
    <n v="80.78"/>
    <n v="93.715000000000003"/>
    <s v="MODIFICATION"/>
    <n v="407370.66"/>
    <n v="45119.54"/>
    <m/>
    <n v="0"/>
    <d v="2024-10-02T16:59:00"/>
    <d v="2024-10-07T10:34:00"/>
    <d v="2024-10-05T00:00:00"/>
    <m/>
    <m/>
    <m/>
    <n v="-45567.707638888889"/>
    <n v="-45572.44027777778"/>
    <n v="0"/>
    <d v="2024-10-22T00:11:33"/>
    <d v="2024-10-30T22:54:54"/>
    <d v="2024-11-21T16:59:00"/>
    <n v="-1532.5200906685136"/>
    <n v="0"/>
    <n v="23"/>
    <n v="34"/>
    <n v="22.300380228136884"/>
    <n v="28.247148288973385"/>
    <n v="19.300380228136884"/>
    <n v="42"/>
    <n v="33.6"/>
    <n v="28.6"/>
    <d v="1900-02-01T14:24:00"/>
    <d v="1900-01-27T14:24:00"/>
    <m/>
    <m/>
    <m/>
    <m/>
    <m/>
    <m/>
    <m/>
    <m/>
    <x v="0"/>
  </r>
  <r>
    <s v="X24083159101"/>
    <s v="CHONA RODRIGUEZ GAN"/>
    <s v="DOÑA AURORA, TAHANAN VILL, PARANAQUE"/>
    <s v="PARAÑAQUE CITY"/>
    <s v="PARAÑAQUE"/>
    <s v="Customer refuse location of digging"/>
    <s v="W/ ISSUE"/>
    <x v="3"/>
    <s v="SCHED"/>
    <x v="3"/>
    <n v="91.226200000000006"/>
    <n v="128.53"/>
    <n v="42"/>
    <s v="MODIFICATION"/>
    <n v="426527.55"/>
    <n v="73462.539999999994"/>
    <m/>
    <n v="0"/>
    <d v="2024-10-03T16:53:22"/>
    <d v="2024-10-08T12:45:00"/>
    <d v="2024-10-05T00:00:00"/>
    <m/>
    <m/>
    <m/>
    <n v="-45568.703726851854"/>
    <n v="-45573.53125"/>
    <n v="0"/>
    <d v="2024-10-24T21:51:18"/>
    <d v="2024-11-03T08:46:45"/>
    <d v="2024-11-22T16:53:22"/>
    <n v="-1411.8508633319484"/>
    <n v="0"/>
    <n v="26"/>
    <n v="36"/>
    <n v="24.206896551724139"/>
    <n v="30.662068965517239"/>
    <n v="21.206896551724139"/>
    <n v="44"/>
    <n v="35.200000000000003"/>
    <n v="30.200000000000003"/>
    <d v="1900-02-03T04:48:00"/>
    <d v="1900-01-29T04:48:00"/>
    <m/>
    <m/>
    <m/>
    <m/>
    <m/>
    <m/>
    <m/>
    <m/>
    <x v="0"/>
  </r>
  <r>
    <s v="X24093584209"/>
    <s v="BRILLO DEL ESTE DEVELOPMENT CORP."/>
    <s v="PRES. M. ROXAS, TAMBO, PARANAQUE"/>
    <s v="PARAÑAQUE CITY"/>
    <s v="PARAÑAQUE"/>
    <m/>
    <m/>
    <x v="4"/>
    <s v="FCOMP"/>
    <x v="1"/>
    <n v="53.13"/>
    <n v="72.53"/>
    <n v="0"/>
    <s v="TERMINATION"/>
    <n v="45790.87"/>
    <n v="42792.34"/>
    <m/>
    <n v="0"/>
    <d v="2024-10-07T16:15:00"/>
    <d v="2024-10-14T09:11:00"/>
    <d v="2024-10-09T00:00:00"/>
    <m/>
    <d v="2025-04-03T00:00:00"/>
    <m/>
    <n v="177.32291666666424"/>
    <n v="170.61736111110804"/>
    <n v="-45750"/>
    <d v="2024-10-27T18:18:07"/>
    <d v="2024-11-05T22:02:57"/>
    <d v="2024-11-26T16:15:00"/>
    <n v="5.7608532105474257"/>
    <n v="-1089.2857142857142"/>
    <n v="23"/>
    <n v="36"/>
    <n v="23.085501858736059"/>
    <n v="29.241635687732341"/>
    <n v="20.085501858736059"/>
    <n v="42"/>
    <n v="33.6"/>
    <n v="28.6"/>
    <d v="2025-05-06T14:24:00"/>
    <d v="2025-05-01T14:24:00"/>
    <m/>
    <m/>
    <m/>
    <m/>
    <m/>
    <m/>
    <m/>
    <m/>
    <x v="1"/>
  </r>
  <r>
    <s v="X23072646097"/>
    <s v="CATHERINE C DIAMANTE"/>
    <s v="BUSUANGA, TIERRA NUEVA SUBD, MUNTINLUPA"/>
    <s v="MUNTINLUPA CITY"/>
    <s v="PARAÑAQUE"/>
    <m/>
    <m/>
    <x v="2"/>
    <s v="SCHED"/>
    <x v="2"/>
    <n v="55.649000000000001"/>
    <n v="83.02"/>
    <n v="102.5"/>
    <s v="MODIFICATION"/>
    <n v="380806.27"/>
    <n v="44837.23"/>
    <m/>
    <n v="0"/>
    <d v="2024-10-08T17:56:10"/>
    <d v="2024-10-14T09:29:00"/>
    <d v="2024-10-11T00:00:00"/>
    <m/>
    <m/>
    <m/>
    <n v="-45573.747337962966"/>
    <n v="-45579.395138888889"/>
    <n v="0"/>
    <d v="2024-10-27T05:25:21"/>
    <d v="2024-11-04T22:53:08"/>
    <d v="2024-11-27T17:56:10"/>
    <n v="-1591.365905687022"/>
    <n v="0"/>
    <n v="23"/>
    <n v="32"/>
    <n v="21.478599221789885"/>
    <n v="27.206225680933851"/>
    <n v="18.478599221789885"/>
    <n v="42"/>
    <n v="33.6"/>
    <n v="28.6"/>
    <d v="1900-02-01T14:24:00"/>
    <d v="1900-01-27T14:24:00"/>
    <m/>
    <m/>
    <m/>
    <m/>
    <m/>
    <m/>
    <m/>
    <m/>
    <x v="0"/>
  </r>
  <r>
    <s v="X24020411873"/>
    <s v="IGLESIA NI CRISTO"/>
    <s v="P. BURGOS, SAN DIONISIO, PARANAQUE"/>
    <s v="PARAÑAQUE CITY"/>
    <s v="PARAÑAQUE"/>
    <s v="pole location issue"/>
    <s v="W/ ISSUE"/>
    <x v="5"/>
    <s v="FCOMP"/>
    <x v="2"/>
    <n v="80.56"/>
    <n v="124.73"/>
    <n v="14"/>
    <s v="MODIFICATION"/>
    <n v="478556.27"/>
    <n v="64873.27"/>
    <m/>
    <n v="0"/>
    <d v="2024-10-09T15:40:00"/>
    <d v="2024-10-14T09:57:00"/>
    <d v="2024-10-11T00:00:00"/>
    <m/>
    <d v="2025-04-02T00:00:00"/>
    <m/>
    <n v="174.34722222221899"/>
    <n v="169.58541666666861"/>
    <n v="-45749"/>
    <d v="2024-10-30T20:37:56"/>
    <d v="2024-11-09T07:33:23"/>
    <d v="2024-11-28T15:40:00"/>
    <n v="5.4017835944918282"/>
    <n v="-1039.75"/>
    <n v="26"/>
    <n v="36"/>
    <n v="24.206896551724139"/>
    <n v="30.662068965517239"/>
    <n v="21.206896551724139"/>
    <n v="44"/>
    <n v="35.200000000000003"/>
    <n v="30.200000000000003"/>
    <d v="2025-05-07T04:48:00"/>
    <d v="2025-05-02T04:48:00"/>
    <m/>
    <m/>
    <m/>
    <m/>
    <m/>
    <m/>
    <m/>
    <m/>
    <x v="1"/>
  </r>
  <r>
    <s v="X24093725127"/>
    <s v="LIGHT RAIL MANILA CORPORATION"/>
    <s v="NINOY AQUINO, STO. NINO, PARANAQUE"/>
    <s v="PARAÑAQUE CITY"/>
    <s v="PARAÑAQUE"/>
    <s v="ongoing coordination of SLEM &amp; design team re location of RCLR; with email"/>
    <s v="W/O ISSUE"/>
    <x v="1"/>
    <s v="FCOMP"/>
    <x v="1"/>
    <n v="74.3279"/>
    <n v="502.37"/>
    <n v="4999"/>
    <s v="NEW"/>
    <n v="900581.01"/>
    <n v="59854.94"/>
    <m/>
    <n v="0"/>
    <d v="2024-10-09T16:02:00"/>
    <d v="2024-10-14T13:32:00"/>
    <d v="2024-10-11T00:00:00"/>
    <m/>
    <d v="2025-03-17T00:00:00"/>
    <m/>
    <n v="158.33194444444234"/>
    <n v="153.43611111111386"/>
    <n v="-45733"/>
    <d v="2024-10-24T07:33:46"/>
    <d v="2024-11-01T00:30:14"/>
    <d v="2024-11-28T16:02:00"/>
    <n v="6.7291076388887996"/>
    <n v="-831.5090909090909"/>
    <n v="40"/>
    <n v="20"/>
    <n v="17.647058823529413"/>
    <n v="22.352941176470591"/>
    <n v="14.647058823529413"/>
    <n v="55"/>
    <n v="44"/>
    <n v="39"/>
    <d v="2025-04-30T00:00:00"/>
    <d v="2025-04-25T00:00:00"/>
    <m/>
    <m/>
    <m/>
    <m/>
    <m/>
    <m/>
    <m/>
    <m/>
    <x v="1"/>
  </r>
  <r>
    <s v="X24072854711"/>
    <s v="ROBERTO BALASBAS DIMAYUGA"/>
    <s v="SAN NICOLAS, SAN MARTIN VILL-4TH ESTATE, PARANAQUE"/>
    <s v="PARAÑAQUE CITY"/>
    <s v="PARAÑAQUE"/>
    <m/>
    <s v="W/O ISSUE"/>
    <x v="6"/>
    <s v="SCHED"/>
    <x v="6"/>
    <n v="176.43559999999999"/>
    <n v="253.62"/>
    <n v="69"/>
    <s v="NEW"/>
    <n v="789203.25"/>
    <n v="142079.60999999999"/>
    <m/>
    <n v="0"/>
    <d v="2024-10-10T09:45:38"/>
    <d v="2024-10-17T12:30:00"/>
    <d v="2024-10-16T00:00:00"/>
    <m/>
    <m/>
    <m/>
    <n v="-45575.406689814816"/>
    <n v="-45582.520833333336"/>
    <n v="0"/>
    <d v="2024-10-31T08:47:39"/>
    <d v="2024-11-09T18:08:11"/>
    <d v="2024-11-29T09:45:38"/>
    <n v="-1426.6251253744554"/>
    <n v="0"/>
    <n v="28"/>
    <n v="34"/>
    <n v="23.959731543624162"/>
    <n v="30.348993288590602"/>
    <n v="20.959731543624162"/>
    <n v="46"/>
    <n v="36.800000000000004"/>
    <n v="31.800000000000004"/>
    <d v="1900-02-04T19:12:00"/>
    <d v="1900-01-30T19:12:00"/>
    <m/>
    <m/>
    <m/>
    <m/>
    <m/>
    <m/>
    <m/>
    <m/>
    <x v="0"/>
  </r>
  <r>
    <s v="X24083444242"/>
    <s v="JEIKA PROPERTIES CORPORATION"/>
    <s v="BLOCK 6, KATHLEEN PLACE 5 SUBD, BACOOR"/>
    <s v="BACOOR CITY"/>
    <s v="DASMA"/>
    <s v="for scheduling"/>
    <s v="W/O ISSUE"/>
    <x v="3"/>
    <s v="FCOMP"/>
    <x v="3"/>
    <n v="1773.3821"/>
    <n v="2637.35"/>
    <n v="348"/>
    <s v="NEW"/>
    <n v="8506182.5099999998"/>
    <n v="1428065.65"/>
    <m/>
    <n v="0"/>
    <d v="2024-10-10T10:11:00"/>
    <d v="2024-10-17T12:32:00"/>
    <d v="2024-10-16T00:00:00"/>
    <m/>
    <d v="2025-02-06T00:00:00"/>
    <m/>
    <n v="118.5756944444438"/>
    <n v="111.4777777777781"/>
    <n v="-45694"/>
    <d v="2024-10-31T14:49:43"/>
    <d v="2024-11-10T01:40:02"/>
    <d v="2024-11-29T10:11:00"/>
    <n v="3.6758465277777579"/>
    <n v="-761.56666666666672"/>
    <n v="50"/>
    <n v="28"/>
    <n v="24.193548387096776"/>
    <n v="30.64516129032258"/>
    <n v="21.193548387096776"/>
    <n v="60"/>
    <n v="48"/>
    <n v="43"/>
    <d v="2025-03-26T00:00:00"/>
    <d v="2025-03-21T00:00:00"/>
    <m/>
    <m/>
    <m/>
    <m/>
    <m/>
    <m/>
    <m/>
    <m/>
    <x v="4"/>
  </r>
  <r>
    <s v="R23445427"/>
    <s v="ARCEO, ELIZABETH"/>
    <s v="BLOCK 1, LA CHARINA SUBD, MUNTINLUPA"/>
    <s v="MUNTINLUPA CITY"/>
    <s v="PARAÑAQUE"/>
    <m/>
    <m/>
    <x v="4"/>
    <s v="SCHED"/>
    <x v="1"/>
    <n v="35.965200000000003"/>
    <n v="57.58"/>
    <n v="0"/>
    <s v="PCA RELOC"/>
    <n v="155380.98000000001"/>
    <n v="28961.94"/>
    <m/>
    <n v="0"/>
    <d v="2024-10-11T15:15:25"/>
    <d v="2024-10-17T12:59:00"/>
    <d v="2024-10-16T00:00:00"/>
    <m/>
    <m/>
    <m/>
    <n v="-45576.635706018518"/>
    <n v="-45582.540972222225"/>
    <n v="0"/>
    <d v="2024-10-31T17:18:32"/>
    <d v="2024-11-09T21:03:22"/>
    <d v="2024-11-30T15:15:25"/>
    <n v="-1480.6902179853842"/>
    <n v="0"/>
    <n v="23"/>
    <n v="36"/>
    <n v="23.085501858736059"/>
    <n v="29.241635687732341"/>
    <n v="20.085501858736059"/>
    <n v="42"/>
    <n v="33.6"/>
    <n v="28.6"/>
    <d v="1900-02-01T14:24:00"/>
    <d v="1900-01-27T14:24:00"/>
    <m/>
    <m/>
    <m/>
    <m/>
    <m/>
    <m/>
    <m/>
    <m/>
    <x v="0"/>
  </r>
  <r>
    <s v="X24072928092"/>
    <s v="GAY ANNETTE LIM ANG"/>
    <s v="ORMOC, ALABANG HILLS SUBD PH 2, MUNTINLUPA"/>
    <s v="MUNTINLUPA CITY"/>
    <s v="PARAÑAQUE"/>
    <m/>
    <m/>
    <x v="5"/>
    <s v="FCOMP"/>
    <x v="2"/>
    <n v="10.35"/>
    <n v="14.18"/>
    <n v="54"/>
    <s v="MODIFICATION"/>
    <n v="37965.19"/>
    <n v="8334.57"/>
    <m/>
    <n v="0"/>
    <d v="2024-10-11T15:40:22"/>
    <d v="2024-10-17T13:00:00"/>
    <d v="2024-10-16T00:00:00"/>
    <m/>
    <d v="2025-01-14T00:00:00"/>
    <m/>
    <n v="94.34696759259532"/>
    <n v="88.458333333335759"/>
    <n v="-45671"/>
    <d v="2024-10-29T17:27:28"/>
    <d v="2024-11-07T08:20:02"/>
    <d v="2024-11-30T15:40:22"/>
    <n v="3.3576420819717745"/>
    <n v="-1141.7750000000001"/>
    <n v="20"/>
    <n v="34"/>
    <n v="21.074380165289259"/>
    <n v="26.694214876033058"/>
    <n v="18.074380165289259"/>
    <n v="40"/>
    <n v="32"/>
    <n v="27"/>
    <d v="2025-02-15T00:00:00"/>
    <d v="2025-02-10T00:00:00"/>
    <m/>
    <m/>
    <m/>
    <m/>
    <m/>
    <m/>
    <m/>
    <m/>
    <x v="1"/>
  </r>
  <r>
    <s v="X24062492521"/>
    <s v="DOMINIC CONSTRUCTION, INC."/>
    <s v="DR. A. SANTOS, SN ANTONIO, PARANAQUE"/>
    <s v="PARAÑAQUE CITY"/>
    <s v="PARAÑAQUE"/>
    <s v="For scheduling"/>
    <s v="W/O ISSUE"/>
    <x v="3"/>
    <s v="SCHED"/>
    <x v="3"/>
    <n v="8.93"/>
    <n v="12.03"/>
    <n v="0"/>
    <s v="TERMINATION"/>
    <n v="18594.84"/>
    <n v="7191.18"/>
    <m/>
    <n v="0"/>
    <d v="2024-10-11T15:43:46"/>
    <d v="2024-10-17T12:52:00"/>
    <d v="2024-10-16T00:00:00"/>
    <m/>
    <m/>
    <m/>
    <n v="-45576.655393518522"/>
    <n v="-45582.536111111112"/>
    <n v="0"/>
    <d v="2024-10-30T10:18:36"/>
    <d v="2024-11-08T05:39:54"/>
    <d v="2024-11-30T15:43:46"/>
    <n v="-1569.862574665638"/>
    <n v="0"/>
    <n v="20"/>
    <n v="36"/>
    <n v="21.774193548387096"/>
    <n v="27.58064516129032"/>
    <n v="18.774193548387096"/>
    <n v="40"/>
    <n v="32"/>
    <n v="27"/>
    <d v="1900-01-31T00:00:00"/>
    <d v="1900-01-26T00:00:00"/>
    <m/>
    <m/>
    <m/>
    <m/>
    <m/>
    <m/>
    <m/>
    <m/>
    <x v="0"/>
  </r>
  <r>
    <s v="X24093698934"/>
    <s v="BLOOMINGDALE ENTERPRISES INC"/>
    <s v="ALABANG-ZAPOTE, TALON I, LAS PINAS CITY"/>
    <s v="LAS PIÑAS CITY"/>
    <s v="PARAÑAQUE"/>
    <m/>
    <m/>
    <x v="4"/>
    <s v="FCOMP"/>
    <x v="1"/>
    <n v="2.1979500000000001"/>
    <n v="2.98"/>
    <n v="0"/>
    <s v="TERMINATION"/>
    <n v="16595.27"/>
    <n v="1769.95"/>
    <m/>
    <n v="0"/>
    <d v="2024-10-14T13:43:40"/>
    <d v="2024-10-18T14:53:00"/>
    <d v="2024-10-21T00:00:00"/>
    <m/>
    <d v="2025-02-28T00:00:00"/>
    <m/>
    <n v="136.42800925925985"/>
    <n v="132.3798611111124"/>
    <n v="-45716"/>
    <d v="2024-11-02T08:18:30"/>
    <d v="2024-11-11T03:39:48"/>
    <d v="2024-12-03T13:43:40"/>
    <n v="4.6991869855967279"/>
    <n v="-1142.9000000000001"/>
    <n v="20"/>
    <n v="36"/>
    <n v="21.774193548387096"/>
    <n v="27.58064516129032"/>
    <n v="18.774193548387096"/>
    <n v="40"/>
    <n v="32"/>
    <n v="27"/>
    <d v="2025-04-01T00:00:00"/>
    <d v="2025-03-27T00:00:00"/>
    <m/>
    <m/>
    <m/>
    <m/>
    <m/>
    <m/>
    <m/>
    <m/>
    <x v="4"/>
  </r>
  <r>
    <s v="X24093787030"/>
    <s v="CONVERGE INFORMATION AND COMMUNICATIONS TECHNOLOGY"/>
    <s v="LAPU-LAPU, PUROK 5, TAGUIG CITY"/>
    <s v="TAGUIG CITY"/>
    <s v="PARAÑAQUE"/>
    <s v="with ROW concern; near mosque / brgy. Refusal_x000a_-FOR CREATION OF NEW WORK ORDER"/>
    <s v="W/ ISSUE"/>
    <x v="1"/>
    <s v="CLOSED-CAN"/>
    <x v="1"/>
    <n v="47.532699999999998"/>
    <n v="158.77000000000001"/>
    <n v="11"/>
    <s v="NEW"/>
    <n v="806019.23"/>
    <n v="38276.89"/>
    <m/>
    <n v="0"/>
    <d v="2024-10-15T15:03:26"/>
    <d v="2024-10-18T14:55:00"/>
    <d v="2024-10-21T00:00:00"/>
    <m/>
    <s v="CLOSED-CAN"/>
    <m/>
    <e v="#VALUE!"/>
    <e v="#VALUE!"/>
    <e v="#VALUE!"/>
    <d v="2024-11-05T20:01:22"/>
    <d v="2024-11-15T06:56:49"/>
    <d v="2024-12-04T15:03:26"/>
    <e v="#VALUE!"/>
    <e v="#VALUE!"/>
    <n v="26"/>
    <n v="36"/>
    <n v="24.206896551724139"/>
    <n v="30.662068965517239"/>
    <n v="21.206896551724139"/>
    <n v="44"/>
    <n v="35.200000000000003"/>
    <n v="30.200000000000003"/>
    <e v="#VALUE!"/>
    <e v="#VALUE!"/>
    <m/>
    <m/>
    <m/>
    <m/>
    <m/>
    <m/>
    <m/>
    <m/>
    <x v="0"/>
  </r>
  <r>
    <s v="X24103888835"/>
    <s v="MAKATI DEVELOPMENT CORPORATION"/>
    <s v="EAST UNION, ARCA SOUTH, TAGUIG CITY"/>
    <s v="TAGUIG CITY"/>
    <s v="PARAÑAQUE"/>
    <s v="remaining terminal pole for retirement due to exisiting spun cable (with coordination to UG team)"/>
    <s v="W/O ISSUE"/>
    <x v="1"/>
    <s v="FCOMP"/>
    <x v="1"/>
    <n v="116.3974"/>
    <n v="344.73"/>
    <n v="0"/>
    <s v="TERMINATION"/>
    <n v="248970.42"/>
    <n v="93739.94"/>
    <n v="75757.59"/>
    <n v="0.8081676817800395"/>
    <d v="2024-10-16T16:46:03"/>
    <d v="2024-10-21T15:12:00"/>
    <d v="2024-10-21T00:00:00"/>
    <m/>
    <d v="2025-01-31T00:00:00"/>
    <m/>
    <n v="106.30135416666599"/>
    <n v="101.36666666666861"/>
    <n v="-45688"/>
    <d v="2024-11-08T04:05:18"/>
    <d v="2024-11-17T23:06:26"/>
    <d v="2024-12-05T16:46:03"/>
    <n v="3.12998431712961"/>
    <n v="-951.83333333333337"/>
    <n v="30"/>
    <n v="36"/>
    <n v="25.471698113207545"/>
    <n v="32.264150943396224"/>
    <n v="22.471698113207545"/>
    <n v="48"/>
    <n v="38.400000000000006"/>
    <n v="33.400000000000006"/>
    <d v="2025-03-10T09:36:00"/>
    <d v="2025-03-05T09:36:00"/>
    <m/>
    <m/>
    <m/>
    <m/>
    <m/>
    <m/>
    <m/>
    <m/>
    <x v="4"/>
  </r>
  <r>
    <s v="X24093549347"/>
    <s v="CROWN OF KING SOLOMON ACADEMY INC."/>
    <s v="6TH, SALINAS I, BACOOR"/>
    <s v="BACOOR CITY"/>
    <s v="DASMA"/>
    <m/>
    <s v="W/O ISSUE"/>
    <x v="4"/>
    <s v="FCOMP"/>
    <x v="1"/>
    <n v="384.3897"/>
    <n v="606.78"/>
    <n v="38"/>
    <s v="NEW"/>
    <n v="1792274.22"/>
    <n v="309541.14"/>
    <m/>
    <n v="0"/>
    <d v="2024-10-18T14:46:00"/>
    <d v="2024-10-23T10:16:00"/>
    <d v="2024-10-23T00:00:00"/>
    <m/>
    <d v="2025-02-14T00:00:00"/>
    <m/>
    <n v="118.38472222222481"/>
    <n v="113.57222222222481"/>
    <n v="-45702"/>
    <d v="2024-11-12T10:48:28"/>
    <d v="2024-11-22T20:57:08"/>
    <d v="2024-12-07T14:46:00"/>
    <n v="3.1898105709877242"/>
    <n v="-830.9454545454546"/>
    <n v="40"/>
    <n v="36"/>
    <n v="27.835051546391753"/>
    <n v="35.257731958762882"/>
    <n v="24.835051546391753"/>
    <n v="55"/>
    <n v="44"/>
    <n v="39"/>
    <d v="2025-03-30T00:00:00"/>
    <d v="2025-03-25T00:00:00"/>
    <m/>
    <m/>
    <m/>
    <m/>
    <m/>
    <m/>
    <m/>
    <m/>
    <x v="1"/>
  </r>
  <r>
    <s v="X24062101038"/>
    <s v="GLOBE TELECOM, INC."/>
    <s v="TIMBANG, MAMBOG III, BACOOR"/>
    <s v="BACOOR CITY"/>
    <s v="DASMA"/>
    <s v="Digging completed_x000a_Cancel energization scheduled 11/27/2024 due to ROW/HOA concerns._x000a_On-going negotiation with customer and CRS."/>
    <s v="W/ ISSUE"/>
    <x v="5"/>
    <s v="FCOMP"/>
    <x v="2"/>
    <n v="100.9782"/>
    <n v="136.08000000000001"/>
    <n v="20"/>
    <s v="NEW"/>
    <n v="353455.45"/>
    <n v="81315.740000000005"/>
    <m/>
    <n v="0"/>
    <d v="2024-10-18T15:32:00"/>
    <d v="2024-10-23T10:20:00"/>
    <d v="2024-10-24T00:00:00"/>
    <m/>
    <d v="2025-03-24T00:00:00"/>
    <m/>
    <n v="156.3527777777781"/>
    <n v="151.56944444444525"/>
    <n v="-45740"/>
    <d v="2024-11-08T20:29:56"/>
    <d v="2024-11-18T07:25:23"/>
    <d v="2024-12-07T15:32:00"/>
    <n v="4.8442634140550904"/>
    <n v="-1039.5454545454545"/>
    <n v="26"/>
    <n v="36"/>
    <n v="24.206896551724139"/>
    <n v="30.662068965517239"/>
    <n v="21.206896551724139"/>
    <n v="44"/>
    <n v="35.200000000000003"/>
    <n v="30.200000000000003"/>
    <d v="2025-04-28T04:48:00"/>
    <d v="2025-04-23T04:48:00"/>
    <m/>
    <m/>
    <m/>
    <m/>
    <m/>
    <m/>
    <m/>
    <m/>
    <x v="4"/>
  </r>
  <r>
    <s v="X24072868110"/>
    <s v="DITO TELECOMMUNITY CORPORATION"/>
    <s v="3RD AVE, HEN HEADQUARTER SUPPRT GRP, TAGUIG CITY"/>
    <s v="TAGUIG CITY"/>
    <s v="PARAÑAQUE"/>
    <s v="pole erection on Feb. 3rd week (3rd shift)"/>
    <s v="W/O ISSUE"/>
    <x v="1"/>
    <s v="FCOMP"/>
    <x v="1"/>
    <n v="133.7749"/>
    <n v="381.7"/>
    <n v="22"/>
    <s v="NEW"/>
    <n v="1544526.93"/>
    <n v="107725.88"/>
    <m/>
    <n v="0"/>
    <d v="2024-10-21T14:09:00"/>
    <d v="2024-10-28T14:49:00"/>
    <d v="2024-10-29T00:00:00"/>
    <m/>
    <d v="2025-03-23T00:00:00"/>
    <m/>
    <n v="152.4104166666657"/>
    <n v="145.38263888889196"/>
    <n v="-45739"/>
    <d v="2024-11-13T01:28:15"/>
    <d v="2024-11-22T20:29:23"/>
    <d v="2024-12-10T14:09:00"/>
    <n v="4.4876400462962671"/>
    <n v="-952.89583333333337"/>
    <n v="30"/>
    <n v="36"/>
    <n v="25.471698113207545"/>
    <n v="32.264150943396224"/>
    <n v="22.471698113207545"/>
    <n v="48"/>
    <n v="38.400000000000006"/>
    <n v="33.400000000000006"/>
    <d v="2025-04-30T09:36:00"/>
    <d v="2025-04-25T09:36:00"/>
    <s v="With ROW problem"/>
    <s v="Y"/>
    <s v="Y"/>
    <m/>
    <s v="Y"/>
    <d v="2024-11-04T00:00:00"/>
    <n v="29"/>
    <d v="2024-12-03T00:00:00"/>
    <x v="1"/>
  </r>
  <r>
    <s v="X24051688503"/>
    <s v="ALEXANDER EVAN O. UY"/>
    <s v="JOHN, MULTINATIONAL VILL, PARANAQUE"/>
    <s v="PARAÑAQUE CITY"/>
    <s v="PARAÑAQUE"/>
    <m/>
    <m/>
    <x v="2"/>
    <s v="SCHED"/>
    <x v="2"/>
    <n v="107.8165"/>
    <n v="150.55000000000001"/>
    <n v="80"/>
    <s v="MODIFICATION"/>
    <n v="494977.65"/>
    <n v="86091.88"/>
    <m/>
    <n v="0"/>
    <d v="2024-10-21T15:53:00"/>
    <d v="2024-10-28T14:51:00"/>
    <d v="2024-10-29T00:00:00"/>
    <m/>
    <m/>
    <m/>
    <n v="-45586.661805555559"/>
    <n v="-45593.618750000001"/>
    <n v="0"/>
    <d v="2024-11-11T00:09:54"/>
    <d v="2024-11-20T05:34:25"/>
    <d v="2024-12-10T15:53:00"/>
    <n v="-1464.5488634364001"/>
    <n v="0"/>
    <n v="26"/>
    <n v="34"/>
    <n v="23.345070422535212"/>
    <n v="29.570422535211268"/>
    <n v="20.345070422535212"/>
    <n v="44"/>
    <n v="35.200000000000003"/>
    <n v="30.200000000000003"/>
    <d v="1900-02-03T04:48:00"/>
    <d v="1900-01-29T04:48:00"/>
    <m/>
    <m/>
    <m/>
    <m/>
    <m/>
    <m/>
    <m/>
    <m/>
    <x v="0"/>
  </r>
  <r>
    <s v="X24051728852"/>
    <s v="JENNY ROMANO BRAMBILLA"/>
    <s v="STAFFORD, MOONWALK, PARANAQUE"/>
    <s v="PARAÑAQUE CITY"/>
    <s v="PARAÑAQUE"/>
    <m/>
    <m/>
    <x v="2"/>
    <s v="SCHED"/>
    <x v="2"/>
    <n v="53.195999999999998"/>
    <n v="80.13"/>
    <n v="40"/>
    <s v="MODIFICATION"/>
    <n v="308653.92"/>
    <n v="42837.37"/>
    <m/>
    <n v="0"/>
    <d v="2024-10-21T15:55:00"/>
    <d v="2024-10-28T14:56:00"/>
    <d v="2024-10-29T00:00:00"/>
    <m/>
    <m/>
    <m/>
    <n v="-45586.663194444445"/>
    <n v="-45593.62222222222"/>
    <n v="0"/>
    <d v="2024-11-10T17:58:07"/>
    <d v="2024-11-19T21:42:57"/>
    <d v="2024-12-10T15:55:00"/>
    <n v="-1481.0159902542941"/>
    <n v="0"/>
    <n v="23"/>
    <n v="36"/>
    <n v="23.085501858736059"/>
    <n v="29.241635687732341"/>
    <n v="20.085501858736059"/>
    <n v="42"/>
    <n v="33.6"/>
    <n v="28.6"/>
    <d v="1900-02-01T14:24:00"/>
    <d v="1900-01-27T14:24:00"/>
    <m/>
    <m/>
    <m/>
    <m/>
    <m/>
    <m/>
    <m/>
    <m/>
    <x v="0"/>
  </r>
  <r>
    <s v="X24051726352"/>
    <s v="ELIZA BLANCHE SANTOS ALAY-AY"/>
    <s v="JOHN GLEN JR., MOONWALK, PARANAQUE"/>
    <s v="PARAÑAQUE CITY"/>
    <s v="PARAÑAQUE"/>
    <m/>
    <m/>
    <x v="2"/>
    <s v="SCHED"/>
    <x v="2"/>
    <n v="147.12569999999999"/>
    <n v="98.87"/>
    <n v="42"/>
    <s v="MODIFICATION"/>
    <n v="357616.2"/>
    <n v="86985.66"/>
    <m/>
    <n v="0"/>
    <d v="2024-10-21T15:58:00"/>
    <d v="2024-11-06T09:31:00"/>
    <d v="2024-10-29T00:00:00"/>
    <m/>
    <m/>
    <m/>
    <n v="-45586.665277777778"/>
    <n v="-45602.396527777775"/>
    <n v="0"/>
    <d v="2024-11-10T18:01:07"/>
    <d v="2024-11-19T21:45:57"/>
    <d v="2024-12-10T15:58:00"/>
    <n v="-1481.0160579374665"/>
    <n v="0"/>
    <n v="23"/>
    <n v="36"/>
    <n v="23.085501858736059"/>
    <n v="29.241635687732341"/>
    <n v="20.085501858736059"/>
    <n v="42"/>
    <n v="33.6"/>
    <n v="28.6"/>
    <d v="1900-02-01T14:24:00"/>
    <d v="1900-01-27T14:24:00"/>
    <m/>
    <m/>
    <m/>
    <m/>
    <m/>
    <m/>
    <m/>
    <m/>
    <x v="0"/>
  </r>
  <r>
    <s v="X24073033797"/>
    <s v="CELSO T DIMARUCUT"/>
    <s v="DOÑA CONCHA CRUZ, BF HOMES, PARANAQUE"/>
    <s v="PARAÑAQUE CITY"/>
    <s v="PARAÑAQUE"/>
    <s v="VIP, PRESIDENT &amp; CEO OF ROXAS HOLDING. MVP GROUP"/>
    <m/>
    <x v="4"/>
    <s v="FCOMP"/>
    <x v="1"/>
    <n v="47.435499999999998"/>
    <n v="72.53"/>
    <n v="80"/>
    <s v="MODIFICATION"/>
    <n v="392547.56"/>
    <n v="38222.75"/>
    <m/>
    <n v="0"/>
    <d v="2024-10-22T17:03:00"/>
    <d v="2024-10-28T15:06:00"/>
    <d v="2024-10-28T00:00:00"/>
    <m/>
    <d v="2025-01-11T00:00:00"/>
    <m/>
    <n v="80.289583333331393"/>
    <n v="74.370833333334303"/>
    <n v="-45668"/>
    <d v="2024-11-11T00:15:33"/>
    <d v="2024-11-19T22:58:54"/>
    <d v="2024-12-11T17:03:00"/>
    <n v="2.7002762681158767"/>
    <n v="-1087.3333333333333"/>
    <n v="23"/>
    <n v="34"/>
    <n v="22.300380228136884"/>
    <n v="28.247148288973385"/>
    <n v="19.300380228136884"/>
    <n v="42"/>
    <n v="33.6"/>
    <n v="28.6"/>
    <d v="2025-02-13T14:24:00"/>
    <d v="2025-02-08T14:24:00"/>
    <m/>
    <m/>
    <m/>
    <m/>
    <m/>
    <m/>
    <m/>
    <m/>
    <x v="1"/>
  </r>
  <r>
    <s v="X24041458580"/>
    <s v="PATIO ALGADA EVENTS PLACE AND LEISURE INC."/>
    <s v="DE CASTRO, DE CASTRO I SUBD, BACOOR"/>
    <s v="BACOOR CITY"/>
    <s v="DASMA"/>
    <m/>
    <s v="W/O ISSUE"/>
    <x v="4"/>
    <s v="FCOMP"/>
    <x v="1"/>
    <n v="48.755000000000003"/>
    <n v="79.42"/>
    <n v="52"/>
    <s v="NEW"/>
    <n v="392158.12"/>
    <n v="39261.15"/>
    <m/>
    <n v="0"/>
    <d v="2024-10-22T17:09:00"/>
    <d v="2024-10-28T15:03:00"/>
    <d v="2024-10-28T00:00:00"/>
    <m/>
    <d v="2025-02-18T00:00:00"/>
    <m/>
    <n v="118.2854166666657"/>
    <n v="112.37291666666715"/>
    <n v="-45706"/>
    <d v="2024-11-11T00:21:33"/>
    <d v="2024-11-19T23:04:54"/>
    <d v="2024-12-11T17:09:00"/>
    <n v="3.9781412510656109"/>
    <n v="-1088.2380952380952"/>
    <n v="23"/>
    <n v="34"/>
    <n v="22.300380228136884"/>
    <n v="28.247148288973385"/>
    <n v="19.300380228136884"/>
    <n v="42"/>
    <n v="33.6"/>
    <n v="28.6"/>
    <d v="2025-03-23T14:24:00"/>
    <d v="2025-03-18T14:24:00"/>
    <m/>
    <m/>
    <m/>
    <m/>
    <m/>
    <m/>
    <m/>
    <m/>
    <x v="1"/>
  </r>
  <r>
    <s v="X24083434936"/>
    <s v="MAXIPRINTS INC."/>
    <s v="1ST, TAGUIG BAGUMBAYAN INDL ASS INC, TAGUIG CITY"/>
    <s v="TAGUIG CITY"/>
    <s v="PARAÑAQUE"/>
    <s v="verify if need TBCAI permit"/>
    <s v="W/O ISSUE"/>
    <x v="1"/>
    <s v="FCOMP"/>
    <x v="1"/>
    <n v="183.2653"/>
    <n v="249.83"/>
    <n v="220"/>
    <s v="MODIFICATION"/>
    <n v="980297.45"/>
    <n v="147707.78"/>
    <n v="79636.22"/>
    <n v="0.53914709164270158"/>
    <d v="2024-10-22T17:14:00"/>
    <d v="2024-10-28T15:09:00"/>
    <d v="2024-10-29T00:00:00"/>
    <d v="2024-11-10T00:00:00"/>
    <d v="2025-02-22T00:00:00"/>
    <m/>
    <n v="122.28194444444671"/>
    <n v="116.36875000000146"/>
    <n v="-45710"/>
    <d v="2024-11-10T17:54:17"/>
    <d v="2024-11-19T14:53:01"/>
    <d v="2024-12-11T17:14:00"/>
    <n v="4.1634090608466376"/>
    <n v="-993.695652173913"/>
    <n v="28"/>
    <n v="30"/>
    <n v="22.027972027972027"/>
    <n v="27.9020979020979"/>
    <n v="19.027972027972027"/>
    <n v="46"/>
    <n v="36.800000000000004"/>
    <n v="31.800000000000004"/>
    <d v="2025-03-30T19:12:00"/>
    <d v="2025-03-25T19:12:00"/>
    <m/>
    <m/>
    <m/>
    <m/>
    <m/>
    <m/>
    <m/>
    <m/>
    <x v="7"/>
  </r>
  <r>
    <s v="X24083317606"/>
    <s v="HARD DISCOUNT PHILIPPINES, INC."/>
    <s v="M.L. QUEZON, PUROK 2, TAGUIG CITY"/>
    <s v="TAGUIG CITY"/>
    <s v="PARAÑAQUE"/>
    <s v="ongoing digging 11/4/2024"/>
    <s v="W/O ISSUE"/>
    <x v="1"/>
    <s v="FCOMP"/>
    <x v="1"/>
    <n v="36.277000000000001"/>
    <n v="57.07"/>
    <n v="19"/>
    <s v="NEW"/>
    <n v="279802.61"/>
    <n v="29212.9"/>
    <m/>
    <n v="0"/>
    <d v="2024-10-22T17:23:00"/>
    <d v="2024-10-28T15:08:00"/>
    <d v="2024-10-29T00:00:00"/>
    <d v="2025-03-23T00:00:00"/>
    <d v="2025-03-23T00:00:00"/>
    <m/>
    <n v="151.27569444444089"/>
    <n v="145.36944444444089"/>
    <n v="-45739"/>
    <d v="2024-11-11T19:26:07"/>
    <d v="2024-11-20T23:10:57"/>
    <d v="2024-12-11T17:23:00"/>
    <n v="4.9146330683036954"/>
    <n v="-1089.0238095238096"/>
    <n v="23"/>
    <n v="36"/>
    <n v="23.085501858736059"/>
    <n v="29.241635687732341"/>
    <n v="20.085501858736059"/>
    <n v="42"/>
    <n v="33.6"/>
    <n v="28.6"/>
    <d v="2025-04-25T14:24:00"/>
    <d v="2025-04-20T14:24:00"/>
    <m/>
    <m/>
    <m/>
    <m/>
    <m/>
    <m/>
    <m/>
    <m/>
    <x v="4"/>
  </r>
  <r>
    <s v="X23083229143"/>
    <s v="JUSTIN PHILIP POLISTICO SARABIA"/>
    <s v="ALITAGTAG, AYALA-ALABANG VILL, MUNTINLUPA"/>
    <s v="MUNTINLUPA CITY"/>
    <s v="PARAÑAQUE"/>
    <m/>
    <m/>
    <x v="5"/>
    <s v="SCHED"/>
    <x v="2"/>
    <n v="95.946200000000005"/>
    <n v="136.55000000000001"/>
    <n v="126"/>
    <s v="MODIFICATION"/>
    <n v="476184.66"/>
    <n v="76910.28"/>
    <m/>
    <n v="0"/>
    <d v="2024-10-23T14:57:00"/>
    <d v="2024-10-30T14:54:00"/>
    <d v="2024-10-29T00:00:00"/>
    <m/>
    <m/>
    <m/>
    <n v="-45588.622916666667"/>
    <n v="-45595.620833333334"/>
    <n v="0"/>
    <d v="2024-11-12T01:39:18"/>
    <d v="2024-11-21T01:18:35"/>
    <d v="2024-12-12T14:57:00"/>
    <n v="-1523.273698417468"/>
    <n v="0"/>
    <n v="26"/>
    <n v="32"/>
    <n v="22.446043165467625"/>
    <n v="28.431654676258994"/>
    <n v="19.446043165467625"/>
    <n v="44"/>
    <n v="35.200000000000003"/>
    <n v="30.200000000000003"/>
    <d v="1900-02-03T04:48:00"/>
    <d v="1900-01-29T04:48:00"/>
    <m/>
    <m/>
    <m/>
    <m/>
    <m/>
    <m/>
    <m/>
    <m/>
    <x v="0"/>
  </r>
  <r>
    <s v="X24093485934"/>
    <s v="MARLON WILLIAMS MARCELINO CASTILLO"/>
    <s v="ORMOC, ALABANG HILLS SUBD PH 2, MUNTINLUPA"/>
    <s v="MUNTINLUPA CITY"/>
    <s v="PARAÑAQUE"/>
    <m/>
    <m/>
    <x v="4"/>
    <s v="FCOMP"/>
    <x v="1"/>
    <n v="47.976999999999997"/>
    <n v="76.55"/>
    <n v="80"/>
    <s v="MODIFICATION"/>
    <n v="330669.53999999998"/>
    <n v="38658.800000000003"/>
    <m/>
    <n v="0"/>
    <d v="2024-10-28T14:01:30"/>
    <d v="2024-11-05T14:33:00"/>
    <d v="2024-11-05T00:00:00"/>
    <m/>
    <d v="2025-04-30T00:00:00"/>
    <m/>
    <n v="183.41562500000146"/>
    <n v="175.39375000000291"/>
    <n v="-45777"/>
    <d v="2024-11-16T21:14:03"/>
    <d v="2024-11-25T19:57:24"/>
    <d v="2024-12-17T14:01:30"/>
    <n v="6.1685817615089995"/>
    <n v="-1089.9285714285713"/>
    <n v="23"/>
    <n v="34"/>
    <n v="22.300380228136884"/>
    <n v="28.247148288973385"/>
    <n v="19.300380228136884"/>
    <n v="42"/>
    <n v="33.6"/>
    <n v="28.6"/>
    <d v="2025-06-02T14:24:00"/>
    <d v="2025-05-28T14:24:00"/>
    <m/>
    <m/>
    <m/>
    <m/>
    <m/>
    <m/>
    <m/>
    <m/>
    <x v="1"/>
  </r>
  <r>
    <s v="X24093762742"/>
    <s v="ALSTOM TRANSPORT CONSTRUCTION PHILIPPINES, INC."/>
    <s v="NINOY AQUINO, STO. NINO, PARANAQUE"/>
    <s v="PARAÑAQUE CITY"/>
    <s v="PARAÑAQUE"/>
    <m/>
    <m/>
    <x v="1"/>
    <s v="FCOMP"/>
    <x v="1"/>
    <n v="35.543399999999998"/>
    <n v="57.28"/>
    <n v="0"/>
    <s v="TERMINATION"/>
    <n v="44003.21"/>
    <n v="28630.27"/>
    <m/>
    <n v="0"/>
    <d v="2024-10-28T16:06:52"/>
    <d v="2024-11-05T12:24:00"/>
    <d v="2024-11-05T00:00:00"/>
    <m/>
    <d v="2025-02-01T00:00:00"/>
    <m/>
    <n v="95.328564814815763"/>
    <n v="87.483333333329938"/>
    <n v="-45689"/>
    <d v="2024-11-17T18:09:59"/>
    <d v="2024-11-26T21:54:49"/>
    <d v="2024-12-17T16:06:52"/>
    <n v="3.0970270453122515"/>
    <n v="-1087.8333333333333"/>
    <n v="23"/>
    <n v="36"/>
    <n v="23.085501858736059"/>
    <n v="29.241635687732341"/>
    <n v="20.085501858736059"/>
    <n v="42"/>
    <n v="33.6"/>
    <n v="28.6"/>
    <d v="2025-03-06T14:24:00"/>
    <d v="2025-03-01T14:24:00"/>
    <m/>
    <m/>
    <m/>
    <m/>
    <m/>
    <m/>
    <m/>
    <m/>
    <x v="1"/>
  </r>
  <r>
    <s v="X24093763605"/>
    <s v="ALSTOM TRANSPORT CONSTRUCTION PHILIPPINES, INC."/>
    <s v="DR. A SANTOS, SAN DIONISIO, PARANAQUE"/>
    <s v="PARAÑAQUE CITY"/>
    <s v="PARAÑAQUE"/>
    <m/>
    <m/>
    <x v="2"/>
    <s v="SCHED"/>
    <x v="2"/>
    <n v="18.05"/>
    <n v="24.53"/>
    <n v="0"/>
    <s v="TERMINATION"/>
    <n v="23857.72"/>
    <n v="14543.28"/>
    <m/>
    <n v="0"/>
    <d v="2024-10-28T16:06:58"/>
    <d v="2024-11-05T12:23:00"/>
    <d v="2024-11-05T00:00:00"/>
    <m/>
    <m/>
    <m/>
    <n v="-45593.67150462963"/>
    <n v="-45601.515972222223"/>
    <n v="0"/>
    <d v="2024-11-16T10:41:48"/>
    <d v="2024-11-25T06:03:06"/>
    <d v="2024-12-17T16:06:58"/>
    <n v="-1570.4486851594652"/>
    <n v="0"/>
    <n v="20"/>
    <n v="36"/>
    <n v="21.774193548387096"/>
    <n v="27.58064516129032"/>
    <n v="18.774193548387096"/>
    <n v="40"/>
    <n v="32"/>
    <n v="27"/>
    <d v="1900-01-31T00:00:00"/>
    <d v="1900-01-26T00:00:00"/>
    <m/>
    <m/>
    <m/>
    <m/>
    <m/>
    <m/>
    <m/>
    <m/>
    <x v="0"/>
  </r>
  <r>
    <s v="X24062104789"/>
    <s v="GLOBE TELECOM, INC."/>
    <s v="DON P. REYES, TUNASAN, MUNTINLUPA"/>
    <s v="MUNTINLUPA CITY"/>
    <s v="PARAÑAQUE"/>
    <s v="for completion on Nov 27. 2024"/>
    <s v="W/O ISSUE"/>
    <x v="4"/>
    <s v="FCOMP"/>
    <x v="1"/>
    <n v="90.897499999999994"/>
    <n v="121.72"/>
    <n v="23"/>
    <s v="NEW"/>
    <n v="356034.6"/>
    <n v="72820.36"/>
    <m/>
    <n v="0"/>
    <d v="2024-10-29T10:30:32"/>
    <d v="2024-11-05T12:32:00"/>
    <d v="2024-11-05T00:00:00"/>
    <m/>
    <d v="2025-01-31T00:00:00"/>
    <m/>
    <n v="93.562129629630363"/>
    <n v="86.477777777778101"/>
    <n v="-45688"/>
    <d v="2024-11-19T15:28:28"/>
    <d v="2024-11-29T02:23:55"/>
    <d v="2024-12-18T10:30:32"/>
    <n v="2.8988266658752995"/>
    <n v="-1038.3636363636363"/>
    <n v="26"/>
    <n v="36"/>
    <n v="24.206896551724139"/>
    <n v="30.662068965517239"/>
    <n v="21.206896551724139"/>
    <n v="44"/>
    <n v="35.200000000000003"/>
    <n v="30.200000000000003"/>
    <d v="2025-03-07T04:48:00"/>
    <d v="2025-03-02T04:48:00"/>
    <m/>
    <m/>
    <m/>
    <m/>
    <m/>
    <m/>
    <m/>
    <m/>
    <x v="1"/>
  </r>
  <r>
    <s v="X24051588113"/>
    <s v="ASEANA BUSINESS PARK ESTATE ASSOCIATION, INC."/>
    <s v="ASEANA, ASEANA BUSINESS PARK, PARANAQUE"/>
    <s v="PARAÑAQUE CITY"/>
    <s v="PARAÑAQUE"/>
    <m/>
    <m/>
    <x v="1"/>
    <s v="SCHED"/>
    <x v="1"/>
    <n v="32.880299999999998"/>
    <n v="44.93"/>
    <n v="28"/>
    <s v="MODIFICATION"/>
    <n v="212227.5"/>
    <n v="26100.1"/>
    <m/>
    <n v="0"/>
    <d v="2024-10-31T15:41:00"/>
    <d v="2024-11-05T12:27:00"/>
    <d v="2024-11-05T00:00:00"/>
    <m/>
    <m/>
    <m/>
    <n v="-45596.65347222222"/>
    <n v="-45601.518750000003"/>
    <n v="0"/>
    <d v="2024-11-19T10:15:50"/>
    <d v="2024-11-28T05:37:08"/>
    <d v="2024-12-20T15:41:00"/>
    <n v="-1570.551397376543"/>
    <n v="0"/>
    <n v="20"/>
    <n v="36"/>
    <n v="21.774193548387096"/>
    <n v="27.58064516129032"/>
    <n v="18.774193548387096"/>
    <n v="40"/>
    <n v="32"/>
    <n v="27"/>
    <d v="1900-01-31T00:00:00"/>
    <d v="1900-01-26T00:00:00"/>
    <m/>
    <m/>
    <m/>
    <m/>
    <m/>
    <m/>
    <m/>
    <m/>
    <x v="0"/>
  </r>
  <r>
    <s v="X24072577424"/>
    <s v="ARTHUR NOLASCO IRASUSTA"/>
    <s v="R. MAGSAYSAY, FILINVEST SUBD, PARANAQUE"/>
    <s v="PARAÑAQUE CITY"/>
    <s v="PARAÑAQUE"/>
    <m/>
    <m/>
    <x v="4"/>
    <s v="FCOMP"/>
    <x v="1"/>
    <n v="21.55"/>
    <n v="29.53"/>
    <n v="48"/>
    <s v="MODIFICATION"/>
    <n v="61552.23"/>
    <n v="17353.63"/>
    <m/>
    <n v="0"/>
    <d v="2024-10-31T16:17:00"/>
    <d v="2024-11-05T13:10:00"/>
    <d v="2024-11-05T00:00:00"/>
    <m/>
    <d v="2025-03-18T00:00:00"/>
    <m/>
    <n v="137.3215277777781"/>
    <n v="132.45138888889051"/>
    <n v="-45734"/>
    <d v="2024-11-19T10:51:50"/>
    <d v="2024-11-28T06:13:08"/>
    <d v="2024-12-20T16:17:00"/>
    <n v="4.729963734567912"/>
    <n v="-1143.3499999999999"/>
    <n v="20"/>
    <n v="36"/>
    <n v="21.774193548387096"/>
    <n v="27.58064516129032"/>
    <n v="18.774193548387096"/>
    <n v="40"/>
    <n v="32"/>
    <n v="27"/>
    <d v="2025-04-19T00:00:00"/>
    <d v="2025-04-14T00:00:00"/>
    <m/>
    <m/>
    <m/>
    <m/>
    <m/>
    <m/>
    <m/>
    <m/>
    <x v="4"/>
  </r>
  <r>
    <s v="X24072732976"/>
    <s v="LUCKY ROCKY CHUA SY"/>
    <s v="STA. MARIA, SAN ANTONIO VALLEY 1, PARANAQUE"/>
    <s v="PARAÑAQUE CITY"/>
    <s v="PARAÑAQUE"/>
    <m/>
    <s v="W/ ISSUE"/>
    <x v="2"/>
    <s v="FCOMP"/>
    <x v="2"/>
    <n v="109.02404"/>
    <n v="159.47999999999999"/>
    <n v="44"/>
    <s v="NEW"/>
    <n v="364950.15"/>
    <n v="87791.66"/>
    <n v="41380.28"/>
    <n v="0.47134636706949151"/>
    <d v="2024-10-31T16:19:00"/>
    <d v="2024-11-05T13:12:00"/>
    <d v="2024-11-05T00:00:00"/>
    <m/>
    <d v="2025-01-08T00:00:00"/>
    <m/>
    <n v="68.320138888891961"/>
    <n v="63.44999999999709"/>
    <n v="-45665"/>
    <d v="2024-11-21T21:16:56"/>
    <d v="2024-12-01T08:12:23"/>
    <d v="2024-12-20T16:19:00"/>
    <n v="2.1167564399336181"/>
    <n v="-1037.840909090909"/>
    <n v="26"/>
    <n v="36"/>
    <n v="24.206896551724139"/>
    <n v="30.662068965517239"/>
    <n v="21.206896551724139"/>
    <n v="44"/>
    <n v="35.200000000000003"/>
    <n v="30.200000000000003"/>
    <d v="2025-02-12T04:48:00"/>
    <d v="2025-02-07T04:48:00"/>
    <m/>
    <m/>
    <m/>
    <m/>
    <m/>
    <m/>
    <m/>
    <m/>
    <x v="7"/>
  </r>
  <r>
    <s v="X24041323481"/>
    <s v="ASEANA BUSINESS PARK ESTATE ASSOCIATION, INC."/>
    <s v="PRES. DIOSDADO MACAPAGAL, ASEANA BUSINESS PARK, PARANAQUE"/>
    <s v="PARAÑAQUE CITY"/>
    <s v="PARAÑAQUE"/>
    <m/>
    <m/>
    <x v="1"/>
    <s v="SCHED"/>
    <x v="1"/>
    <n v="70.017300000000006"/>
    <n v="95.78"/>
    <n v="17"/>
    <s v="MODIFICATION"/>
    <n v="464521.19"/>
    <n v="56399.27"/>
    <m/>
    <n v="0"/>
    <d v="2024-10-31T16:19:00"/>
    <d v="2024-11-05T12:26:00"/>
    <d v="2024-11-05T00:00:00"/>
    <m/>
    <m/>
    <m/>
    <n v="-45596.679861111108"/>
    <n v="-45601.518055555556"/>
    <n v="0"/>
    <d v="2024-11-20T18:22:07"/>
    <d v="2024-11-29T22:06:57"/>
    <d v="2024-12-20T16:19:00"/>
    <n v="-1481.3414109467255"/>
    <n v="0"/>
    <n v="23"/>
    <n v="36"/>
    <n v="23.085501858736059"/>
    <n v="29.241635687732341"/>
    <n v="20.085501858736059"/>
    <n v="42"/>
    <n v="33.6"/>
    <n v="28.6"/>
    <d v="1900-02-01T14:24:00"/>
    <d v="1900-01-27T14:24:00"/>
    <m/>
    <m/>
    <m/>
    <m/>
    <m/>
    <m/>
    <m/>
    <m/>
    <x v="0"/>
  </r>
  <r>
    <s v="X24083323243"/>
    <s v="NICOLE TRINIDAD LOTILLA"/>
    <s v="DAFFODIL, PILAR VILL, LAS PINAS CITY"/>
    <s v="LAS PIÑAS CITY"/>
    <s v="PARAÑAQUE"/>
    <s v="with follow up from Raul Reyes of Corp Com"/>
    <m/>
    <x v="5"/>
    <s v="FCOMP"/>
    <x v="2"/>
    <n v="196.56030000000001"/>
    <n v="290.43"/>
    <n v="42.36"/>
    <s v="MODIFICATION"/>
    <n v="807326.91"/>
    <n v="158286.09"/>
    <m/>
    <n v="0"/>
    <d v="2024-11-04T15:21:00"/>
    <d v="2024-11-11T14:56:00"/>
    <d v="2024-11-06T00:00:00"/>
    <d v="2025-03-03T00:00:00"/>
    <d v="2025-03-05T00:00:00"/>
    <m/>
    <n v="120.36041666667006"/>
    <n v="113.37777777777956"/>
    <n v="-45721"/>
    <d v="2024-11-26T12:11:32"/>
    <d v="2024-12-06T03:21:00"/>
    <d v="2024-12-24T15:21:00"/>
    <n v="3.6299173280424304"/>
    <n v="-993.93478260869563"/>
    <n v="28"/>
    <n v="36"/>
    <n v="24.868421052631579"/>
    <n v="31.499999999999996"/>
    <n v="21.868421052631579"/>
    <n v="46"/>
    <n v="36.800000000000004"/>
    <n v="31.800000000000004"/>
    <d v="2025-04-10T19:12:00"/>
    <d v="2025-04-05T19:12:00"/>
    <m/>
    <m/>
    <m/>
    <m/>
    <m/>
    <m/>
    <m/>
    <m/>
    <x v="1"/>
  </r>
  <r>
    <s v="X24104022999"/>
    <s v="DAHN BERGER PHILS. CONSTRUCTION CORPORATION"/>
    <s v="DOÑA SOLEDAD, BETTER LIVING SUBD, PARANAQUE"/>
    <s v="PARAÑAQUE CITY"/>
    <s v="PARAÑAQUE"/>
    <s v="re-assigned fromPH"/>
    <m/>
    <x v="1"/>
    <s v="COMP"/>
    <x v="1"/>
    <n v="176.77010000000001"/>
    <n v="250.75"/>
    <n v="0"/>
    <s v="TERMINATION"/>
    <n v="140893"/>
    <n v="142356.57"/>
    <m/>
    <n v="0"/>
    <d v="2024-11-05T17:04:00"/>
    <d v="2024-11-11T14:25:00"/>
    <d v="2024-11-06T00:00:00"/>
    <d v="2025-01-31T00:00:00"/>
    <d v="2025-01-31T00:00:00"/>
    <d v="2025-05-12T14:09:00"/>
    <n v="86.288888888891961"/>
    <n v="80.399305555554747"/>
    <n v="101.5895833333343"/>
    <d v="2024-11-27T13:54:32"/>
    <d v="2024-12-07T05:04:00"/>
    <d v="2024-12-25T17:04:00"/>
    <n v="2.6023633156967416"/>
    <n v="2.2084692028985717"/>
    <n v="28"/>
    <n v="36"/>
    <n v="24.868421052631579"/>
    <n v="31.499999999999996"/>
    <n v="21.868421052631579"/>
    <n v="46"/>
    <n v="36.800000000000004"/>
    <n v="31.800000000000004"/>
    <d v="2025-03-08T19:12:00"/>
    <d v="2025-03-03T19:12:00"/>
    <m/>
    <m/>
    <m/>
    <m/>
    <m/>
    <m/>
    <m/>
    <m/>
    <x v="8"/>
  </r>
  <r>
    <s v="X24072831387"/>
    <s v="IRMA S AQUINO"/>
    <s v="ARTHUR, HAPAY CPD, TAGUIG CITY"/>
    <s v="TAGUIG CITY"/>
    <s v="PARAÑAQUE"/>
    <m/>
    <s v="W/O ISSUE"/>
    <x v="2"/>
    <s v="SCHED"/>
    <x v="2"/>
    <n v="525.73869999999999"/>
    <n v="849.4"/>
    <n v="75"/>
    <s v="NEW"/>
    <n v="2473616.36"/>
    <n v="423365.47"/>
    <m/>
    <n v="0"/>
    <d v="2024-11-06T07:24:00"/>
    <d v="2024-11-11T14:45:00"/>
    <d v="2024-11-06T00:00:00"/>
    <m/>
    <m/>
    <m/>
    <n v="-45602.308333333334"/>
    <n v="-45607.614583333336"/>
    <n v="0"/>
    <d v="2024-11-30T00:14:16"/>
    <d v="2024-12-10T03:07:40"/>
    <d v="2024-12-26T07:24:00"/>
    <n v="-1280.8883664215684"/>
    <n v="0"/>
    <n v="40"/>
    <n v="34"/>
    <n v="26.701570680628272"/>
    <n v="33.821989528795811"/>
    <n v="23.701570680628272"/>
    <n v="55"/>
    <n v="44"/>
    <n v="39"/>
    <d v="1900-02-12T00:00:00"/>
    <d v="1900-02-07T00:00:00"/>
    <m/>
    <m/>
    <m/>
    <m/>
    <m/>
    <m/>
    <m/>
    <m/>
    <x v="0"/>
  </r>
  <r>
    <s v="X24051821123"/>
    <s v="CITY GOVERNMENT OF TAGUIG"/>
    <s v="C-5, WESTERN BICUTAN, TAGUIG CITY"/>
    <s v="TAGUIG CITY"/>
    <s v="PARAÑAQUE"/>
    <s v="for sched of digging  "/>
    <s v="W/O ISSUE"/>
    <x v="6"/>
    <s v="SCHED"/>
    <x v="6"/>
    <n v="130.09209999999999"/>
    <n v="181.4"/>
    <n v="27"/>
    <s v="NEW"/>
    <n v="584047.02"/>
    <n v="104760.12"/>
    <m/>
    <n v="0"/>
    <d v="2024-11-06T08:25:00"/>
    <d v="2024-11-11T14:34:00"/>
    <d v="2024-11-06T00:00:00"/>
    <m/>
    <m/>
    <m/>
    <n v="-45602.350694444445"/>
    <n v="-45607.606944444444"/>
    <n v="0"/>
    <d v="2024-11-27T13:22:56"/>
    <d v="2024-12-07T00:18:23"/>
    <d v="2024-12-26T08:25:00"/>
    <n v="-1412.8933441654794"/>
    <n v="0"/>
    <n v="26"/>
    <n v="36"/>
    <n v="24.206896551724139"/>
    <n v="30.662068965517239"/>
    <n v="21.206896551724139"/>
    <n v="44"/>
    <n v="35.200000000000003"/>
    <n v="30.200000000000003"/>
    <d v="1900-02-03T04:48:00"/>
    <d v="1900-01-29T04:48:00"/>
    <m/>
    <m/>
    <m/>
    <m/>
    <m/>
    <m/>
    <m/>
    <m/>
    <x v="9"/>
  </r>
  <r>
    <s v="X24072635271"/>
    <s v="JOIE MEDINA GAWARAN"/>
    <s v="LOURDES CPD, LOURDES CPD, BACOOR"/>
    <s v="BACOOR CITY"/>
    <s v="DASMA"/>
    <m/>
    <s v="W/O ISSUE"/>
    <x v="4"/>
    <s v="FCOMP"/>
    <x v="1"/>
    <n v="91.2898"/>
    <n v="136.25"/>
    <n v="28"/>
    <s v="NEW"/>
    <n v="428865.23"/>
    <n v="73513.490000000005"/>
    <m/>
    <n v="0"/>
    <d v="2024-11-07T14:20:22"/>
    <d v="2024-11-13T14:45:00"/>
    <d v="2024-11-12T00:00:00"/>
    <m/>
    <d v="2025-02-07T00:00:00"/>
    <m/>
    <n v="91.402523148150067"/>
    <n v="85.385416666664241"/>
    <n v="-45695"/>
    <d v="2024-11-28T19:18:18"/>
    <d v="2024-12-08T06:13:45"/>
    <d v="2024-12-27T14:20:22"/>
    <n v="2.831915781299521"/>
    <n v="-1038.5227272727273"/>
    <n v="26"/>
    <n v="36"/>
    <n v="24.206896551724139"/>
    <n v="30.662068965517239"/>
    <n v="21.206896551724139"/>
    <n v="44"/>
    <n v="35.200000000000003"/>
    <n v="30.200000000000003"/>
    <d v="2025-03-14T04:48:00"/>
    <d v="2025-03-09T04:48:00"/>
    <m/>
    <m/>
    <m/>
    <m/>
    <m/>
    <m/>
    <m/>
    <m/>
    <x v="1"/>
  </r>
  <r>
    <s v="X23030972347"/>
    <s v="DITO TELECOMMUNITY CORPORATION"/>
    <s v="ADELFA, SAN DIONISIO, PARANAQUE"/>
    <s v="PARAÑAQUE CITY"/>
    <s v="PARAÑAQUE"/>
    <s v=" emailed UAM for sabayan operation on pole replacement"/>
    <s v="W/O ISSUE"/>
    <x v="4"/>
    <s v="SCHED"/>
    <x v="1"/>
    <n v="57.028300000000002"/>
    <n v="113.92"/>
    <n v="31"/>
    <s v="NEW"/>
    <n v="1048692.28"/>
    <n v="45923.59"/>
    <m/>
    <n v="0"/>
    <d v="2024-11-08T12:23:08"/>
    <d v="2024-11-13T14:50:00"/>
    <d v="2024-11-12T00:00:00"/>
    <m/>
    <m/>
    <m/>
    <n v="-45604.516064814816"/>
    <n v="-45609.618055555555"/>
    <n v="0"/>
    <d v="2024-11-29T17:21:04"/>
    <d v="2024-12-09T04:16:31"/>
    <d v="2024-12-28T12:23:08"/>
    <n v="-1412.9604336320829"/>
    <n v="0"/>
    <n v="26"/>
    <n v="36"/>
    <n v="24.206896551724139"/>
    <n v="30.662068965517239"/>
    <n v="21.206896551724139"/>
    <n v="44"/>
    <n v="35.200000000000003"/>
    <n v="30.200000000000003"/>
    <d v="1900-02-03T04:48:00"/>
    <d v="1900-01-29T04:48:00"/>
    <m/>
    <m/>
    <m/>
    <m/>
    <m/>
    <m/>
    <m/>
    <m/>
    <x v="0"/>
  </r>
  <r>
    <s v="X24010234099"/>
    <s v="LORENZO ENRIQUEZ GUERRERO"/>
    <s v="LIPA, AYALA-ALABANG VILL, MUNTINLUPA"/>
    <s v="MUNTINLUPA CITY"/>
    <s v="PARAÑAQUE"/>
    <s v="For scheduling"/>
    <s v="W/O ISSUE"/>
    <x v="3"/>
    <s v="FCOMP"/>
    <x v="3"/>
    <n v="43.890300000000003"/>
    <n v="60.05"/>
    <n v="90"/>
    <s v="MODIFICATION"/>
    <n v="272805.40999999997"/>
    <n v="35367.83"/>
    <m/>
    <n v="0"/>
    <d v="2024-11-08T12:25:13"/>
    <d v="2024-11-13T14:59:00"/>
    <d v="2024-11-13T00:00:00"/>
    <m/>
    <d v="2025-03-27T08:33:00"/>
    <m/>
    <n v="138.83873842592584"/>
    <n v="133.7319444444438"/>
    <n v="-45743.356249999997"/>
    <d v="2024-11-27T19:37:46"/>
    <d v="2024-12-06T18:21:07"/>
    <d v="2024-12-28T12:25:13"/>
    <n v="4.6693846810765338"/>
    <n v="-1089.1275297619047"/>
    <n v="23"/>
    <n v="34"/>
    <n v="22.300380228136884"/>
    <n v="28.247148288973385"/>
    <n v="19.300380228136884"/>
    <n v="42"/>
    <n v="33.6"/>
    <n v="28.6"/>
    <d v="2025-04-29T22:57:00"/>
    <d v="2025-04-24T22:57:00"/>
    <m/>
    <m/>
    <m/>
    <m/>
    <m/>
    <m/>
    <m/>
    <m/>
    <x v="4"/>
  </r>
  <r>
    <s v="X24083277607"/>
    <s v="JONATHAN KEE AGABIN"/>
    <s v="SAMAR, MARINA SUBD, PARANAQUE"/>
    <s v="PARAÑAQUE CITY"/>
    <s v="PARAÑAQUE"/>
    <s v="FOLLOW UP FROM ATTY KIM HENARES"/>
    <s v="W/O ISSUE"/>
    <x v="1"/>
    <s v="FCOMP"/>
    <x v="1"/>
    <n v="81.7376"/>
    <n v="116.17"/>
    <n v="80"/>
    <s v="NEW"/>
    <n v="454689.41"/>
    <n v="65090.91"/>
    <m/>
    <n v="0"/>
    <d v="2024-11-08T16:13:24"/>
    <d v="2024-11-13T14:55:00"/>
    <d v="2024-11-12T00:00:00"/>
    <m/>
    <d v="2025-01-14T00:00:00"/>
    <m/>
    <n v="66.324027777780429"/>
    <n v="61.378472222218988"/>
    <n v="-45671"/>
    <d v="2024-11-29T00:30:18"/>
    <d v="2024-12-08T05:54:49"/>
    <d v="2024-12-28T16:13:24"/>
    <n v="2.1307719331323125"/>
    <n v="-1037.9772727272727"/>
    <n v="26"/>
    <n v="34"/>
    <n v="23.345070422535212"/>
    <n v="29.570422535211268"/>
    <n v="20.345070422535212"/>
    <n v="44"/>
    <n v="35.200000000000003"/>
    <n v="30.200000000000003"/>
    <d v="2025-02-18T04:48:00"/>
    <d v="2025-02-13T04:48:00"/>
    <m/>
    <m/>
    <m/>
    <m/>
    <m/>
    <m/>
    <m/>
    <m/>
    <x v="1"/>
  </r>
  <r>
    <s v="X24072802372"/>
    <s v="JOSE MARTIN GRUBA NOEL"/>
    <s v="QUINTIN PAREDES, BF HOMES, PARANAQUE"/>
    <s v="PARAÑAQUE CITY"/>
    <s v="PARAÑAQUE"/>
    <s v="VIP, OWNER IS RET. GENERAL MANNY IDQUIVAL"/>
    <s v="For Schedule of Digging  1/8/2024"/>
    <x v="2"/>
    <s v="FCOMP"/>
    <x v="2"/>
    <n v="119.9787"/>
    <n v="176.65"/>
    <n v="86"/>
    <s v="MODIFICATION"/>
    <n v="588535.37"/>
    <n v="96616.31"/>
    <n v="26531.14"/>
    <n v="0.27460311825198042"/>
    <d v="2024-11-08T16:13:56"/>
    <d v="2024-11-13T14:53:00"/>
    <d v="2024-11-21T00:00:00"/>
    <d v="2025-01-10T00:00:00"/>
    <d v="2025-01-11T00:00:00"/>
    <m/>
    <n v="63.323657407410792"/>
    <n v="58.379861111112405"/>
    <n v="-45668"/>
    <d v="2024-11-29T00:30:50"/>
    <d v="2024-12-08T05:55:21"/>
    <d v="2024-12-28T16:13:56"/>
    <n v="2.0343799438579939"/>
    <n v="-1037.909090909091"/>
    <n v="26"/>
    <n v="34"/>
    <n v="23.345070422535212"/>
    <n v="29.570422535211268"/>
    <n v="20.345070422535212"/>
    <n v="44"/>
    <n v="35.200000000000003"/>
    <n v="30.200000000000003"/>
    <d v="2025-02-15T04:48:00"/>
    <d v="2025-02-10T04:48:00"/>
    <m/>
    <m/>
    <m/>
    <m/>
    <m/>
    <m/>
    <m/>
    <m/>
    <x v="7"/>
  </r>
  <r>
    <s v="X24093693382"/>
    <s v="ASIA STRUCTURAL DEVELOPER CORP,"/>
    <s v="PACIFIC, MARINA SUBD, PARANAQUE"/>
    <s v="PARAÑAQUE CITY"/>
    <s v="PARAÑAQUE"/>
    <m/>
    <m/>
    <x v="2"/>
    <s v="FCOMP"/>
    <x v="2"/>
    <n v="144.97669999999999"/>
    <n v="198.33"/>
    <n v="0"/>
    <s v="TERMINATION"/>
    <n v="118408.73"/>
    <n v="116746.06"/>
    <n v="93645.38"/>
    <n v="0.80212882558948895"/>
    <d v="2024-11-08T16:21:18"/>
    <d v="2024-11-13T14:51:00"/>
    <d v="2024-11-21T00:00:00"/>
    <m/>
    <d v="2025-01-20T00:00:00"/>
    <m/>
    <n v="72.318541666667443"/>
    <n v="67.381249999998545"/>
    <n v="-45677"/>
    <d v="2024-11-29T21:19:14"/>
    <d v="2024-12-09T08:14:41"/>
    <d v="2024-12-28T16:21:18"/>
    <n v="2.2406385772792263"/>
    <n v="-1038.1136363636363"/>
    <n v="26"/>
    <n v="36"/>
    <n v="24.206896551724139"/>
    <n v="30.662068965517239"/>
    <n v="21.206896551724139"/>
    <n v="44"/>
    <n v="35.200000000000003"/>
    <n v="30.200000000000003"/>
    <d v="2025-02-24T04:48:00"/>
    <d v="2025-02-19T04:48:00"/>
    <m/>
    <m/>
    <m/>
    <m/>
    <m/>
    <m/>
    <m/>
    <m/>
    <x v="1"/>
  </r>
  <r>
    <s v="X24103897542"/>
    <s v="RAICON DEVELOPMENT CORPORATION"/>
    <s v="QUIRINO, PULANGLUPA I, LAS PINAS CITY"/>
    <s v="LAS PIÑAS CITY"/>
    <s v="PARAÑAQUE"/>
    <m/>
    <m/>
    <x v="4"/>
    <s v="FCOMP"/>
    <x v="1"/>
    <n v="48.0167"/>
    <n v="64.28"/>
    <n v="0"/>
    <s v="TERMINATION"/>
    <n v="58204.17"/>
    <n v="38674.730000000003"/>
    <m/>
    <n v="0"/>
    <d v="2024-11-08T16:51:12"/>
    <d v="2024-11-13T14:43:00"/>
    <d v="2024-11-12T00:00:00"/>
    <m/>
    <d v="2025-04-22T00:00:00"/>
    <m/>
    <n v="164.29777777777781"/>
    <n v="159.38680555555766"/>
    <n v="-45769"/>
    <d v="2024-11-28T18:54:19"/>
    <d v="2024-12-07T22:39:09"/>
    <d v="2024-12-28T16:51:12"/>
    <n v="5.3376935050993026"/>
    <n v="-1089.7380952380952"/>
    <n v="23"/>
    <n v="36"/>
    <n v="23.085501858736059"/>
    <n v="29.241635687732341"/>
    <n v="20.085501858736059"/>
    <n v="42"/>
    <n v="33.6"/>
    <n v="28.6"/>
    <d v="2025-05-25T14:24:00"/>
    <d v="2025-05-20T14:24:00"/>
    <m/>
    <m/>
    <m/>
    <m/>
    <m/>
    <m/>
    <m/>
    <m/>
    <x v="1"/>
  </r>
  <r>
    <s v="X24051787930"/>
    <s v="DITO TELECOMMUNITY CORPORATION"/>
    <s v="BLOCK 46, PINAGSAMA PH 2 VILL, TAGUIG CITY"/>
    <s v="TAGUIG CITY"/>
    <s v="PARAÑAQUE"/>
    <m/>
    <s v="W/O ISSUE"/>
    <x v="3"/>
    <s v="FCOMP"/>
    <x v="3"/>
    <n v="96.658500000000004"/>
    <n v="161.43"/>
    <n v="22"/>
    <s v="NEW"/>
    <n v="1090877.69"/>
    <n v="77836.89"/>
    <m/>
    <n v="0"/>
    <d v="2024-11-11T15:11:00"/>
    <d v="2024-11-17T18:14:00"/>
    <d v="2024-11-15T00:00:00"/>
    <m/>
    <d v="2025-05-06T14:31:00"/>
    <m/>
    <n v="175.97222222221899"/>
    <n v="169.84513888888614"/>
    <n v="-45783.604861111111"/>
    <d v="2024-12-02T20:08:56"/>
    <d v="2024-12-12T07:04:23"/>
    <d v="2024-12-31T15:11:00"/>
    <n v="5.4521308167140496"/>
    <n v="-1040.5364741161616"/>
    <n v="26"/>
    <n v="36"/>
    <n v="24.206896551724139"/>
    <n v="30.662068965517239"/>
    <n v="21.206896551724139"/>
    <n v="44"/>
    <n v="35.200000000000003"/>
    <n v="30.200000000000003"/>
    <d v="2025-06-10T19:19:00"/>
    <d v="2025-06-05T19:19:00"/>
    <m/>
    <m/>
    <m/>
    <m/>
    <m/>
    <m/>
    <m/>
    <m/>
    <x v="1"/>
  </r>
  <r>
    <s v="X24072841870"/>
    <s v="DITO TELECOMMUNITY CORPORATION"/>
    <s v="KALANTAS, PUROK 7, TAGUIG CITY"/>
    <s v="TAGUIG CITY"/>
    <s v="PARAÑAQUE"/>
    <s v="Digging locations with drainage. For drainage diversion"/>
    <s v="W/ ISSUE"/>
    <x v="3"/>
    <s v="SCHED"/>
    <x v="3"/>
    <n v="338.404"/>
    <n v="734.43"/>
    <n v="31"/>
    <s v="NEW"/>
    <n v="2161081.48"/>
    <n v="272131.34999999998"/>
    <m/>
    <n v="0"/>
    <d v="2024-11-11T15:18:00"/>
    <d v="2024-11-17T18:18:00"/>
    <d v="2025-01-23T00:00:00"/>
    <m/>
    <m/>
    <m/>
    <n v="-45607.637499999997"/>
    <n v="-45613.762499999997"/>
    <n v="0"/>
    <d v="2024-12-06T11:20:28"/>
    <d v="2024-12-16T21:29:08"/>
    <d v="2024-12-31T15:18:00"/>
    <n v="-1228.872454861111"/>
    <n v="0"/>
    <n v="40"/>
    <n v="36"/>
    <n v="27.835051546391753"/>
    <n v="35.257731958762882"/>
    <n v="24.835051546391753"/>
    <n v="55"/>
    <n v="44"/>
    <n v="39"/>
    <d v="1900-02-12T00:00:00"/>
    <d v="1900-02-07T00:00:00"/>
    <m/>
    <m/>
    <m/>
    <m/>
    <m/>
    <m/>
    <m/>
    <m/>
    <x v="0"/>
  </r>
  <r>
    <s v="X24083444240"/>
    <s v="WOODRIDGE PROPERTIES INC."/>
    <s v="BLOCK 5, DANAROSE RESIDENCES, BACOOR"/>
    <s v="BACOOR CITY"/>
    <s v="DASMA"/>
    <m/>
    <s v="W/O ISSUE"/>
    <x v="6"/>
    <s v="SCHED"/>
    <x v="6"/>
    <n v="269.6164"/>
    <n v="399.67"/>
    <n v="32"/>
    <s v="NEW"/>
    <n v="1088892.82"/>
    <n v="217116.56"/>
    <m/>
    <n v="0"/>
    <d v="2024-11-11T16:04:00"/>
    <d v="2024-11-17T18:11:00"/>
    <d v="2024-11-14T00:00:00"/>
    <m/>
    <m/>
    <m/>
    <n v="-45607.669444444444"/>
    <n v="-45613.757638888892"/>
    <n v="0"/>
    <d v="2024-12-04T03:23:15"/>
    <d v="2024-12-13T22:24:23"/>
    <d v="2024-12-31T16:04:00"/>
    <n v="-1342.8924891975307"/>
    <n v="0"/>
    <n v="30"/>
    <n v="36"/>
    <n v="25.471698113207545"/>
    <n v="32.264150943396224"/>
    <n v="22.471698113207545"/>
    <n v="48"/>
    <n v="38.400000000000006"/>
    <n v="33.400000000000006"/>
    <d v="1900-02-06T09:36:00"/>
    <d v="1900-02-01T09:36:00"/>
    <m/>
    <m/>
    <m/>
    <m/>
    <m/>
    <m/>
    <m/>
    <m/>
    <x v="10"/>
  </r>
  <r>
    <s v="X24114362991"/>
    <s v="MAKATI DEVELOPMENT CORPORATION,"/>
    <s v="RAMBUTAN, FTI CPD, TAGUIG CITY"/>
    <s v="TAGUIG CITY"/>
    <s v="PARAÑAQUE"/>
    <m/>
    <m/>
    <x v="1"/>
    <s v="FCOMP"/>
    <x v="1"/>
    <n v="165.60740000000001"/>
    <n v="224.03"/>
    <n v="0"/>
    <s v="TERMINATION"/>
    <n v="135321.43"/>
    <n v="133359.74"/>
    <m/>
    <n v="0"/>
    <d v="2024-11-11T16:12:00"/>
    <d v="2024-11-17T18:16:00"/>
    <d v="2024-11-15T00:00:00"/>
    <m/>
    <d v="2025-01-31T00:00:00"/>
    <m/>
    <n v="80.32499999999709"/>
    <n v="74.238888888889051"/>
    <n v="-45688"/>
    <d v="2024-12-03T13:02:32"/>
    <d v="2024-12-13T04:12:00"/>
    <d v="2024-12-31T16:12:00"/>
    <n v="2.4224999999999124"/>
    <n v="-993.21739130434787"/>
    <n v="28"/>
    <n v="36"/>
    <n v="24.868421052631579"/>
    <n v="31.499999999999996"/>
    <n v="21.868421052631579"/>
    <n v="46"/>
    <n v="36.800000000000004"/>
    <n v="31.800000000000004"/>
    <d v="2025-03-08T19:12:00"/>
    <d v="2025-03-03T19:12:00"/>
    <m/>
    <m/>
    <m/>
    <m/>
    <m/>
    <m/>
    <m/>
    <m/>
    <x v="7"/>
  </r>
  <r>
    <s v="X24062084382"/>
    <s v="AMAIA LAND CORP."/>
    <s v="ISABELA, AMAIA STEPS SUCAT, PARANAQUE"/>
    <s v="PARAÑAQUE CITY"/>
    <s v="PARAÑAQUE"/>
    <s v="customer holds execution; incorrect location of project"/>
    <s v="W/ ISSUE"/>
    <x v="5"/>
    <s v="FCOMP"/>
    <x v="2"/>
    <n v="264.79059999999998"/>
    <n v="397.28"/>
    <n v="97"/>
    <s v="NEW"/>
    <n v="2640728.35"/>
    <n v="213253.55"/>
    <m/>
    <n v="0"/>
    <d v="2024-11-12T14:26:00"/>
    <d v="2024-11-20T09:27:00"/>
    <d v="2024-11-14T00:00:00"/>
    <m/>
    <d v="2025-01-31T00:00:00"/>
    <m/>
    <n v="79.398611111108039"/>
    <n v="71.60624999999709"/>
    <n v="-45688"/>
    <d v="2024-12-04T02:53:42"/>
    <d v="2024-12-13T15:49:05"/>
    <d v="2025-01-01T14:26:00"/>
    <n v="2.428663398692716"/>
    <n v="-951.83333333333337"/>
    <n v="30"/>
    <n v="34"/>
    <n v="24.51923076923077"/>
    <n v="31.057692307692307"/>
    <n v="21.51923076923077"/>
    <n v="48"/>
    <n v="38.400000000000006"/>
    <n v="33.400000000000006"/>
    <d v="2025-03-10T09:36:00"/>
    <d v="2025-03-05T09:36:00"/>
    <m/>
    <m/>
    <m/>
    <m/>
    <m/>
    <m/>
    <m/>
    <m/>
    <x v="4"/>
  </r>
  <r>
    <s v="R23605089"/>
    <s v="CHAN JULIE TANG,"/>
    <s v="NORTH LUZON, PHILAMLIFE VILL, LAS PINAS CITY"/>
    <s v="LAS PIÑAS CITY"/>
    <s v="PARAÑAQUE"/>
    <m/>
    <m/>
    <x v="2"/>
    <s v="SCHED"/>
    <x v="2"/>
    <n v="144.1848"/>
    <n v="198.43"/>
    <n v="0"/>
    <s v="PCA RELOC"/>
    <n v="345112.37"/>
    <n v="116117.1"/>
    <m/>
    <n v="0"/>
    <d v="2024-11-12T16:32:00"/>
    <d v="2024-11-20T09:31:00"/>
    <d v="2024-11-21T00:00:00"/>
    <m/>
    <m/>
    <m/>
    <n v="-45608.688888888886"/>
    <n v="-45616.396527777775"/>
    <n v="0"/>
    <d v="2024-12-03T21:29:56"/>
    <d v="2024-12-13T08:25:23"/>
    <d v="2025-01-01T16:32:00"/>
    <n v="-1413.0897198480529"/>
    <n v="0"/>
    <n v="26"/>
    <n v="36"/>
    <n v="24.206896551724139"/>
    <n v="30.662068965517239"/>
    <n v="21.206896551724139"/>
    <n v="44"/>
    <n v="35.200000000000003"/>
    <n v="30.200000000000003"/>
    <d v="1900-02-03T04:48:00"/>
    <d v="1900-01-29T04:48:00"/>
    <m/>
    <m/>
    <m/>
    <m/>
    <m/>
    <m/>
    <m/>
    <m/>
    <x v="0"/>
  </r>
  <r>
    <s v="R19938231"/>
    <s v="DEPARTMENT OF TRANSPORTATION"/>
    <s v="LAGUERTA, TUNASAN, MUNTINLUPA"/>
    <s v="MUNTINLUPA CITY"/>
    <s v="PARAÑAQUE"/>
    <m/>
    <m/>
    <x v="4"/>
    <s v="SCHED"/>
    <x v="1"/>
    <n v="123.4648"/>
    <n v="162.44999999999999"/>
    <n v="0"/>
    <s v="PCA RELOC"/>
    <n v="248190.54"/>
    <n v="99425.59"/>
    <m/>
    <n v="0"/>
    <d v="2024-11-12T17:08:00"/>
    <d v="2024-11-20T09:57:00"/>
    <d v="2024-11-15T00:00:00"/>
    <m/>
    <m/>
    <m/>
    <n v="-45608.713888888888"/>
    <n v="-45616.414583333331"/>
    <n v="0"/>
    <d v="2024-12-03T22:05:56"/>
    <d v="2024-12-13T09:01:23"/>
    <d v="2025-01-01T17:08:00"/>
    <n v="-1413.0904944207027"/>
    <n v="0"/>
    <n v="26"/>
    <n v="36"/>
    <n v="24.206896551724139"/>
    <n v="30.662068965517239"/>
    <n v="21.206896551724139"/>
    <n v="44"/>
    <n v="35.200000000000003"/>
    <n v="30.200000000000003"/>
    <d v="1900-02-03T04:48:00"/>
    <d v="1900-01-29T04:48:00"/>
    <m/>
    <m/>
    <m/>
    <m/>
    <m/>
    <m/>
    <m/>
    <m/>
    <x v="0"/>
  </r>
  <r>
    <s v="X24051847714"/>
    <s v="DITO TELECOMMUNITY CORPORATION"/>
    <s v="BLOCK 5, ENLISTED PERSONNEL VIL 2, TAGUIG CITY"/>
    <s v="TAGUIG CITY"/>
    <s v="PARAÑAQUE"/>
    <s v="with pole location issue; request for joint survey"/>
    <s v="W/O ISSUE"/>
    <x v="1"/>
    <s v="DCOMP"/>
    <x v="1"/>
    <n v="143.62180000000001"/>
    <n v="279.7"/>
    <n v="31"/>
    <s v="NEW"/>
    <n v="754908.68"/>
    <n v="115655.3"/>
    <m/>
    <n v="0"/>
    <d v="2024-11-14T14:38:25"/>
    <d v="2024-11-20T06:49:00"/>
    <d v="2024-11-21T00:00:00"/>
    <m/>
    <m/>
    <m/>
    <n v="-45610.610011574077"/>
    <n v="-45616.28402777778"/>
    <n v="0"/>
    <d v="2024-12-06T11:28:57"/>
    <d v="2024-12-16T02:38:25"/>
    <d v="2025-01-03T14:38:25"/>
    <n v="-1375.5580797141388"/>
    <n v="0"/>
    <n v="28"/>
    <n v="36"/>
    <n v="24.868421052631579"/>
    <n v="31.499999999999996"/>
    <n v="21.868421052631579"/>
    <n v="46"/>
    <n v="36.800000000000004"/>
    <n v="31.800000000000004"/>
    <d v="1900-02-04T19:12:00"/>
    <d v="1900-01-30T19:12:00"/>
    <m/>
    <m/>
    <m/>
    <m/>
    <m/>
    <m/>
    <m/>
    <m/>
    <x v="0"/>
  </r>
  <r>
    <s v="R23611939"/>
    <s v="DPWH DEO LAS PINAS-MUNTI,"/>
    <s v="MARCOS ALVAREZ, TALON V, LAS PINAS CITY"/>
    <s v="LAS PIÑAS CITY"/>
    <s v="PARAÑAQUE"/>
    <m/>
    <m/>
    <x v="4"/>
    <s v="SCHED"/>
    <x v="1"/>
    <n v="80.494100000000003"/>
    <n v="137.02000000000001"/>
    <n v="0"/>
    <s v="PCA RELOC"/>
    <n v="246953.97"/>
    <n v="64820.26"/>
    <m/>
    <n v="0"/>
    <d v="2024-11-14T16:09:45"/>
    <d v="2024-11-20T10:02:00"/>
    <d v="2024-11-20T00:00:00"/>
    <m/>
    <m/>
    <m/>
    <n v="-45610.673437500001"/>
    <n v="-45616.418055555558"/>
    <n v="0"/>
    <d v="2024-12-05T21:07:41"/>
    <d v="2024-12-15T08:03:08"/>
    <d v="2025-01-03T16:09:45"/>
    <n v="-1413.1512069310897"/>
    <n v="0"/>
    <n v="26"/>
    <n v="36"/>
    <n v="24.206896551724139"/>
    <n v="30.662068965517239"/>
    <n v="21.206896551724139"/>
    <n v="44"/>
    <n v="35.200000000000003"/>
    <n v="30.200000000000003"/>
    <d v="1900-02-03T04:48:00"/>
    <d v="1900-01-29T04:48:00"/>
    <m/>
    <m/>
    <m/>
    <m/>
    <m/>
    <m/>
    <m/>
    <m/>
    <x v="0"/>
  </r>
  <r>
    <s v="X23020656225"/>
    <s v="JENNIFER AUSTRIA BARZAGA"/>
    <s v="LAUAN, AYALA-ALABANG VILL, MUNTINLUPA"/>
    <s v="MUNTINLUPA CITY"/>
    <s v="PARAÑAQUE"/>
    <s v="SSP Dec 26"/>
    <s v="W/O ISSUE"/>
    <x v="3"/>
    <s v="FCOMP"/>
    <x v="4"/>
    <n v="421.59"/>
    <n v="599.82000000000005"/>
    <n v="127.5"/>
    <s v="NEW"/>
    <n v="1822047.68"/>
    <n v="338008.24"/>
    <m/>
    <n v="0"/>
    <d v="2024-11-15T00:00:00"/>
    <d v="2024-11-25T00:00:00"/>
    <d v="2024-12-05T00:00:00"/>
    <m/>
    <d v="2025-01-02T00:00:00"/>
    <m/>
    <n v="48"/>
    <n v="38"/>
    <n v="-45659"/>
    <d v="2024-12-08T00:00:00"/>
    <d v="2024-12-18T00:00:00"/>
    <d v="2025-01-04T00:00:00"/>
    <n v="1.4099999999999997"/>
    <n v="-830.17"/>
    <n v="40"/>
    <n v="32"/>
    <n v="26"/>
    <n v="32"/>
    <n v="23"/>
    <n v="55"/>
    <n v="44"/>
    <n v="39"/>
    <d v="2025-02-15T00:00:00"/>
    <d v="2025-02-10T00:00:00"/>
    <m/>
    <m/>
    <m/>
    <m/>
    <m/>
    <m/>
    <m/>
    <m/>
    <x v="4"/>
  </r>
  <r>
    <s v="X24093771340"/>
    <s v="STO. CRISTO PROPERTIES &amp; HOLDINGS CORP."/>
    <s v="PASCUAL, PARANAQUE GREEN HEIGHTS, PARANAQUE"/>
    <s v="PARAÑAQUE CITY"/>
    <s v="PARAÑAQUE"/>
    <s v="TO TRANSFER ALL ISSUED MATERIALS FROM X24051519918 and transfer all SI"/>
    <s v="W/O ISSUE"/>
    <x v="3"/>
    <s v="FCOMP"/>
    <x v="3"/>
    <n v="18.878"/>
    <n v="21.7"/>
    <n v="114"/>
    <s v="NEW"/>
    <n v="42608.01"/>
    <n v="15202.2"/>
    <m/>
    <n v="0"/>
    <d v="2024-11-15T15:37:30"/>
    <d v="2024-11-25T15:05:00"/>
    <d v="2024-11-21T00:00:00"/>
    <m/>
    <d v="2025-02-05T00:00:00"/>
    <m/>
    <n v="81.348958333335759"/>
    <n v="71.371527777781012"/>
    <n v="-45693"/>
    <d v="2024-12-02T23:45:38"/>
    <d v="2024-12-11T09:55:48"/>
    <d v="2025-01-04T15:37:30"/>
    <n v="2.9997428385417559"/>
    <n v="-1142.325"/>
    <n v="20"/>
    <n v="32"/>
    <n v="20.33898305084746"/>
    <n v="25.762711864406779"/>
    <n v="17.33898305084746"/>
    <n v="40"/>
    <n v="32"/>
    <n v="27"/>
    <d v="2025-03-09T00:00:00"/>
    <d v="2025-03-04T00:00:00"/>
    <m/>
    <m/>
    <m/>
    <m/>
    <m/>
    <m/>
    <m/>
    <m/>
    <x v="4"/>
  </r>
  <r>
    <s v="X24093681665"/>
    <s v="DANIELA MARIE ORCINE NAPILI"/>
    <s v="BLOCK 2, BAMBOO BREEZE RESIDENCES, BACOOR"/>
    <s v="BACOOR CITY"/>
    <s v="DASMA"/>
    <m/>
    <s v="W/O ISSUE"/>
    <x v="5"/>
    <s v="FCOMP"/>
    <x v="2"/>
    <n v="10.98"/>
    <n v="19.23"/>
    <n v="1.5"/>
    <s v="NEW"/>
    <n v="31712.560000000001"/>
    <n v="8842.15"/>
    <m/>
    <n v="0"/>
    <d v="2024-11-18T11:01:02"/>
    <d v="2024-11-26T10:54:00"/>
    <d v="2024-11-20T00:00:00"/>
    <m/>
    <d v="2025-03-20T00:00:00"/>
    <m/>
    <n v="121.54094907407125"/>
    <n v="113.54583333332994"/>
    <n v="-45736"/>
    <d v="2024-12-07T05:35:52"/>
    <d v="2024-12-16T00:57:10"/>
    <d v="2025-01-07T11:01:02"/>
    <n v="4.1864104681068985"/>
    <n v="-1143.4000000000001"/>
    <n v="20"/>
    <n v="36"/>
    <n v="21.774193548387096"/>
    <n v="27.58064516129032"/>
    <n v="18.774193548387096"/>
    <n v="40"/>
    <n v="32"/>
    <n v="27"/>
    <d v="2025-04-21T00:00:00"/>
    <d v="2025-04-16T00:00:00"/>
    <m/>
    <m/>
    <m/>
    <m/>
    <m/>
    <m/>
    <m/>
    <m/>
    <x v="1"/>
  </r>
  <r>
    <s v="X24072541358"/>
    <s v="WILHOME DEVELOPMENT INC."/>
    <s v="MOLINO ROAD, MOLINO III, BACOOR"/>
    <s v="BACOOR CITY"/>
    <s v="DASMA"/>
    <m/>
    <s v="W/O ISSUE"/>
    <x v="4"/>
    <s v="FCOMP"/>
    <x v="1"/>
    <n v="93.061999999999998"/>
    <n v="144.6"/>
    <n v="120"/>
    <s v="NEW"/>
    <n v="833293.59"/>
    <n v="74940.47"/>
    <n v="38502.81"/>
    <n v="0.51377860320331592"/>
    <d v="2024-11-18T14:11:42"/>
    <d v="2024-11-26T10:55:00"/>
    <d v="2024-11-20T00:00:00"/>
    <m/>
    <d v="2025-01-09T00:00:00"/>
    <m/>
    <n v="51.40854166666395"/>
    <n v="43.545138888890506"/>
    <n v="-45666"/>
    <d v="2024-12-08T00:54:00"/>
    <d v="2024-12-17T00:33:17"/>
    <d v="2025-01-07T14:11:42"/>
    <n v="1.7177373297274734"/>
    <n v="-1037.8636363636363"/>
    <n v="26"/>
    <n v="32"/>
    <n v="22.446043165467625"/>
    <n v="28.431654676258994"/>
    <n v="19.446043165467625"/>
    <n v="44"/>
    <n v="35.200000000000003"/>
    <n v="30.200000000000003"/>
    <d v="2025-02-13T04:48:00"/>
    <d v="2025-02-08T04:48:00"/>
    <m/>
    <m/>
    <m/>
    <m/>
    <m/>
    <m/>
    <m/>
    <m/>
    <x v="7"/>
  </r>
  <r>
    <s v="X24093502622"/>
    <s v="GINA BAGASIN ECLIPSE"/>
    <s v="KALAYAAN VILL/BALAGBAG, KALAYAAN VILL/BALAGBAG, PASAY CITY"/>
    <s v="PASAY CITY"/>
    <s v="PARAÑAQUE"/>
    <m/>
    <m/>
    <x v="1"/>
    <s v="FCOMP"/>
    <x v="1"/>
    <n v="3.4"/>
    <n v="4.67"/>
    <n v="1.5"/>
    <s v="RECONTRACT OF SERVICE"/>
    <n v="25036.83"/>
    <n v="2739.2"/>
    <m/>
    <n v="0"/>
    <d v="2024-11-19T09:52:27"/>
    <d v="2024-11-28T07:57:00"/>
    <d v="2024-11-27T00:00:00"/>
    <m/>
    <d v="2025-02-11T00:00:00"/>
    <m/>
    <n v="83.588576388887304"/>
    <n v="74.66874999999709"/>
    <n v="-45699"/>
    <d v="2024-12-08T04:27:17"/>
    <d v="2024-12-16T23:48:35"/>
    <d v="2025-01-08T09:52:27"/>
    <n v="2.8791620756172294"/>
    <n v="-1142.4749999999999"/>
    <n v="20"/>
    <n v="36"/>
    <n v="21.774193548387096"/>
    <n v="27.58064516129032"/>
    <n v="18.774193548387096"/>
    <n v="40"/>
    <n v="32"/>
    <n v="27"/>
    <d v="2025-03-15T00:00:00"/>
    <d v="2025-03-10T00:00:00"/>
    <m/>
    <m/>
    <m/>
    <m/>
    <m/>
    <m/>
    <m/>
    <m/>
    <x v="4"/>
  </r>
  <r>
    <s v="X24103919469"/>
    <s v="NOR BARQUILLA CUBERO"/>
    <s v="GARNET, SEVERINA DIAMOND SUBD, PARANAQUE"/>
    <s v="PARAÑAQUE CITY"/>
    <s v="PARAÑAQUE"/>
    <m/>
    <m/>
    <x v="4"/>
    <s v="FCOMP"/>
    <x v="1"/>
    <n v="83.165199999999999"/>
    <n v="120.12"/>
    <n v="66"/>
    <s v="NEW"/>
    <n v="372611.01"/>
    <n v="66970.92"/>
    <m/>
    <n v="0"/>
    <d v="2024-11-19T17:57:45"/>
    <d v="2024-11-27T10:01:00"/>
    <d v="2024-11-27T00:00:00"/>
    <m/>
    <d v="2025-01-27T00:00:00"/>
    <m/>
    <n v="68.251562500001455"/>
    <n v="60.582638888889051"/>
    <n v="-45684"/>
    <d v="2024-12-10T02:14:39"/>
    <d v="2024-12-19T07:39:10"/>
    <d v="2025-01-08T17:57:45"/>
    <n v="2.192697256787377"/>
    <n v="-1038.2727272727273"/>
    <n v="26"/>
    <n v="34"/>
    <n v="23.345070422535212"/>
    <n v="29.570422535211268"/>
    <n v="20.345070422535212"/>
    <n v="44"/>
    <n v="35.200000000000003"/>
    <n v="30.200000000000003"/>
    <d v="2025-03-03T04:48:00"/>
    <d v="2025-02-26T04:48:00"/>
    <m/>
    <m/>
    <m/>
    <m/>
    <m/>
    <m/>
    <m/>
    <m/>
    <x v="1"/>
  </r>
  <r>
    <s v="X24103880983"/>
    <s v="GLOBE TELECOM, INC."/>
    <s v="BUHAY NA TUBIG, MOLINO III, BACOOR"/>
    <s v="BACOOR CITY"/>
    <s v="DASMA"/>
    <s v="SSP Feb 1, 2025"/>
    <s v="W/O ISSUE"/>
    <x v="5"/>
    <s v="FCOMP"/>
    <x v="2"/>
    <n v="26.1465"/>
    <n v="35.799999999999997"/>
    <n v="23"/>
    <s v="NEW"/>
    <n v="206737.88"/>
    <n v="21055.08"/>
    <m/>
    <n v="0"/>
    <d v="2024-11-20T10:01:47"/>
    <d v="2024-11-28T08:10:00"/>
    <d v="2024-11-28T00:00:00"/>
    <m/>
    <d v="2025-01-31T00:00:00"/>
    <m/>
    <n v="71.582094907404098"/>
    <n v="63.659722222218988"/>
    <n v="-45688"/>
    <d v="2024-12-09T04:36:37"/>
    <d v="2024-12-17T23:57:55"/>
    <d v="2025-01-09T10:01:47"/>
    <n v="2.4656054912550296"/>
    <n v="-1142.2"/>
    <n v="20"/>
    <n v="36"/>
    <n v="21.774193548387096"/>
    <n v="27.58064516129032"/>
    <n v="18.774193548387096"/>
    <n v="40"/>
    <n v="32"/>
    <n v="27"/>
    <d v="2025-03-04T00:00:00"/>
    <d v="2025-02-27T00:00:00"/>
    <m/>
    <m/>
    <m/>
    <m/>
    <m/>
    <m/>
    <m/>
    <m/>
    <x v="1"/>
  </r>
  <r>
    <s v="X23093531555"/>
    <s v="EDOTCO TOWERS, INC."/>
    <s v="PROGRESSIVE, PROGRESSIVE VILLAGE 15, BACOOR"/>
    <s v="BACOOR CITY"/>
    <s v="DASMA"/>
    <m/>
    <m/>
    <x v="5"/>
    <s v="FCOMP"/>
    <x v="2"/>
    <n v="36.013800000000003"/>
    <n v="49.15"/>
    <n v="23"/>
    <s v="MODIFICATION"/>
    <n v="219117.43"/>
    <n v="29025.16"/>
    <m/>
    <n v="0"/>
    <d v="2024-11-20T10:11:26"/>
    <d v="2024-11-28T08:08:00"/>
    <d v="2024-11-28T00:00:00"/>
    <m/>
    <d v="2025-01-30T00:00:00"/>
    <m/>
    <n v="70.575393518520286"/>
    <n v="62.661111111112405"/>
    <n v="-45687"/>
    <d v="2024-12-09T04:46:16"/>
    <d v="2024-12-18T00:07:34"/>
    <d v="2025-01-09T10:11:26"/>
    <n v="2.430930221193476"/>
    <n v="-1142.175"/>
    <n v="20"/>
    <n v="36"/>
    <n v="21.774193548387096"/>
    <n v="27.58064516129032"/>
    <n v="18.774193548387096"/>
    <n v="40"/>
    <n v="32"/>
    <n v="27"/>
    <d v="2025-03-03T00:00:00"/>
    <d v="2025-02-26T00:00:00"/>
    <m/>
    <m/>
    <m/>
    <m/>
    <m/>
    <m/>
    <m/>
    <m/>
    <x v="1"/>
  </r>
  <r>
    <s v="X24104029330"/>
    <s v="NOEMI A SUMINISTRADO"/>
    <s v="MILLARES, PUROK 4B, TAGUIG CITY"/>
    <s v="TAGUIG CITY"/>
    <s v="PARAÑAQUE"/>
    <s v="SSP 1/10"/>
    <m/>
    <x v="1"/>
    <s v="CLOSED-CAN"/>
    <x v="1"/>
    <n v="19.560300000000002"/>
    <n v="26.72"/>
    <n v="15"/>
    <s v="NEW"/>
    <n v="187691.5"/>
    <n v="15751.46"/>
    <m/>
    <n v="0"/>
    <d v="2024-11-20T10:37:53"/>
    <d v="2024-11-28T07:59:00"/>
    <d v="2024-11-27T00:00:00"/>
    <m/>
    <s v="CLOSED-CAN"/>
    <m/>
    <e v="#VALUE!"/>
    <e v="#VALUE!"/>
    <e v="#VALUE!"/>
    <d v="2024-12-09T05:12:43"/>
    <d v="2024-12-18T00:34:01"/>
    <d v="2025-01-09T10:37:53"/>
    <e v="#VALUE!"/>
    <e v="#VALUE!"/>
    <n v="20"/>
    <n v="36"/>
    <n v="21.774193548387096"/>
    <n v="27.58064516129032"/>
    <n v="18.774193548387096"/>
    <n v="40"/>
    <n v="32"/>
    <n v="27"/>
    <e v="#VALUE!"/>
    <e v="#VALUE!"/>
    <m/>
    <m/>
    <m/>
    <m/>
    <m/>
    <m/>
    <m/>
    <m/>
    <x v="0"/>
  </r>
  <r>
    <s v="X24104113256"/>
    <s v="MA. VICTORIA DE LUNA DUQUE"/>
    <s v="OSORIO COMPOUND, SITIO DE ASIS, PARANAQUE"/>
    <s v="PARAÑAQUE CITY"/>
    <s v="PARAÑAQUE"/>
    <m/>
    <m/>
    <x v="4"/>
    <s v="FCOMP"/>
    <x v="1"/>
    <n v="61.139499999999998"/>
    <n v="88.93"/>
    <n v="31.5"/>
    <s v="NEW"/>
    <n v="318987.77"/>
    <n v="49234.13"/>
    <m/>
    <n v="0"/>
    <d v="2024-11-20T16:48:31"/>
    <d v="2024-11-28T08:01:00"/>
    <d v="2024-11-27T00:00:00"/>
    <m/>
    <d v="2025-01-09T00:00:00"/>
    <m/>
    <n v="49.299641203702777"/>
    <n v="41.665972222224809"/>
    <n v="-45666"/>
    <d v="2024-12-10T18:51:38"/>
    <d v="2024-12-19T22:36:28"/>
    <d v="2025-01-09T16:48:31"/>
    <n v="1.6016429328256094"/>
    <n v="-1087.2857142857142"/>
    <n v="23"/>
    <n v="36"/>
    <n v="23.085501858736059"/>
    <n v="29.241635687732341"/>
    <n v="20.085501858736059"/>
    <n v="42"/>
    <n v="33.6"/>
    <n v="28.6"/>
    <d v="2025-02-11T14:24:00"/>
    <d v="2025-02-06T14:24:00"/>
    <m/>
    <m/>
    <m/>
    <m/>
    <m/>
    <m/>
    <m/>
    <m/>
    <x v="1"/>
  </r>
  <r>
    <s v="X24114479034"/>
    <s v="MAKATI DEVELOPMENT CORPORATION"/>
    <s v="NEXUS, ARCA SOUTH, TAGUIG CITY"/>
    <s v="TAGUIG CITY"/>
    <s v="PARAÑAQUE"/>
    <m/>
    <m/>
    <x v="1"/>
    <s v="FCOMP"/>
    <x v="1"/>
    <n v="196.50659999999999"/>
    <n v="267.02999999999997"/>
    <n v="0"/>
    <s v="TERMINATION"/>
    <n v="157531.82999999999"/>
    <n v="158282.26"/>
    <m/>
    <n v="0"/>
    <d v="2024-11-21T09:07:48"/>
    <d v="2024-11-27T14:21:00"/>
    <d v="2024-11-27T00:00:00"/>
    <m/>
    <d v="2025-02-01T00:00:00"/>
    <m/>
    <n v="71.619583333333139"/>
    <n v="65.402083333334303"/>
    <n v="-45689"/>
    <d v="2024-12-13T05:58:20"/>
    <d v="2024-12-22T21:07:48"/>
    <d v="2025-01-10T09:07:48"/>
    <n v="2.1599556878306818"/>
    <n v="-993.23913043478262"/>
    <n v="28"/>
    <n v="36"/>
    <n v="24.868421052631579"/>
    <n v="31.499999999999996"/>
    <n v="21.868421052631579"/>
    <n v="46"/>
    <n v="36.800000000000004"/>
    <n v="31.800000000000004"/>
    <d v="2025-03-09T19:12:00"/>
    <d v="2025-03-04T19:12:00"/>
    <m/>
    <m/>
    <m/>
    <m/>
    <m/>
    <m/>
    <m/>
    <m/>
    <x v="1"/>
  </r>
  <r>
    <s v="X24093707345"/>
    <s v="CITY GOVERNMENT OF TAGUIG"/>
    <s v="MAGSAYSAY, ZONE 6, TAGUIG CITY"/>
    <s v="TAGUIG CITY"/>
    <s v="PARAÑAQUE"/>
    <s v="need to complete conjunct ECProject"/>
    <s v="W/ ISSUE"/>
    <x v="1"/>
    <s v="TECO"/>
    <x v="1"/>
    <n v="83.854299999999995"/>
    <n v="114.4"/>
    <n v="157"/>
    <s v="NEW"/>
    <n v="715296.24"/>
    <n v="67525.75"/>
    <n v="72249.91"/>
    <n v="1.0699608667804505"/>
    <d v="2024-11-21T12:51:09"/>
    <d v="2024-11-28T08:13:00"/>
    <d v="2024-11-27T00:00:00"/>
    <m/>
    <d v="2025-01-26T00:00:00"/>
    <m/>
    <n v="65.464479166665114"/>
    <n v="58.65763888888614"/>
    <n v="-45683"/>
    <d v="2024-12-10T23:33:27"/>
    <d v="2024-12-19T23:12:44"/>
    <d v="2025-01-10T12:51:09"/>
    <n v="2.1873948567707813"/>
    <n v="-1038.25"/>
    <n v="26"/>
    <n v="32"/>
    <n v="22.446043165467625"/>
    <n v="28.431654676258994"/>
    <n v="19.446043165467625"/>
    <n v="44"/>
    <n v="35.200000000000003"/>
    <n v="30.200000000000003"/>
    <d v="2025-03-02T04:48:00"/>
    <d v="2025-02-25T04:48:00"/>
    <m/>
    <m/>
    <m/>
    <m/>
    <m/>
    <m/>
    <m/>
    <m/>
    <x v="7"/>
  </r>
  <r>
    <s v="X24083141279"/>
    <s v="VILLA FER-FLOR STA. TERESA NEIGHBORHOOD ASSN. INC"/>
    <s v="BLOCK 2, VILLA FER FLOR SUBDIVISION, TAGUIG CITY"/>
    <s v="TAGUIG CITY"/>
    <s v="PARAÑAQUE"/>
    <m/>
    <m/>
    <x v="6"/>
    <s v="SCHED"/>
    <x v="6"/>
    <n v="226.0445"/>
    <n v="352.87"/>
    <n v="30"/>
    <s v="NEW"/>
    <n v="1063185.5900000001"/>
    <n v="182029.11"/>
    <m/>
    <n v="0"/>
    <d v="2024-11-21T13:51:31"/>
    <d v="2024-11-28T08:15:00"/>
    <d v="2024-11-28T00:00:00"/>
    <m/>
    <m/>
    <m/>
    <n v="-45617.57744212963"/>
    <n v="-45624.34375"/>
    <n v="0"/>
    <d v="2024-12-14T01:10:46"/>
    <d v="2024-12-23T20:11:54"/>
    <d v="2025-01-10T13:51:31"/>
    <n v="-1343.184224684928"/>
    <n v="0"/>
    <n v="30"/>
    <n v="36"/>
    <n v="25.471698113207545"/>
    <n v="32.264150943396224"/>
    <n v="22.471698113207545"/>
    <n v="48"/>
    <n v="38.400000000000006"/>
    <n v="33.400000000000006"/>
    <d v="1900-02-06T09:36:00"/>
    <d v="1900-02-01T09:36:00"/>
    <m/>
    <m/>
    <m/>
    <m/>
    <m/>
    <m/>
    <m/>
    <m/>
    <x v="0"/>
  </r>
  <r>
    <s v="X24093488253"/>
    <s v="VILLA FER-FLOR STA. TERESA NEIGHBORHOOD ASSN. INC"/>
    <s v="BLOCK 1, VILLA FER FLOR SUBDIVISION, TAGUIG CITY"/>
    <s v="TAGUIG CITY"/>
    <s v="PARAÑAQUE"/>
    <m/>
    <m/>
    <x v="6"/>
    <s v="SCHED"/>
    <x v="6"/>
    <n v="225.35890000000001"/>
    <n v="356.77"/>
    <n v="22.5"/>
    <s v="NEW"/>
    <n v="1106973.1000000001"/>
    <n v="181099.46"/>
    <m/>
    <n v="0"/>
    <d v="2024-11-21T13:53:00"/>
    <d v="2024-11-28T08:17:00"/>
    <d v="2024-11-28T00:00:00"/>
    <m/>
    <m/>
    <m/>
    <n v="-45617.578472222223"/>
    <n v="-45624.345138888886"/>
    <n v="0"/>
    <d v="2024-12-14T01:12:15"/>
    <d v="2024-12-23T20:13:23"/>
    <d v="2025-01-10T13:53:00"/>
    <n v="-1343.184255015432"/>
    <n v="0"/>
    <n v="30"/>
    <n v="36"/>
    <n v="25.471698113207545"/>
    <n v="32.264150943396224"/>
    <n v="22.471698113207545"/>
    <n v="48"/>
    <n v="38.400000000000006"/>
    <n v="33.400000000000006"/>
    <d v="1900-02-06T09:36:00"/>
    <d v="1900-02-01T09:36:00"/>
    <m/>
    <m/>
    <m/>
    <m/>
    <m/>
    <m/>
    <m/>
    <m/>
    <x v="0"/>
  </r>
  <r>
    <s v="X24083140896"/>
    <s v="VILLA FER-FLOR STA. TERESA NEIGHBORHOOD ASSN. INC"/>
    <s v="BLOCK 1, VILLA FER FLOR SUBDIVISION, TAGUIG CITY"/>
    <s v="TAGUIG CITY"/>
    <s v="PARAÑAQUE"/>
    <m/>
    <m/>
    <x v="6"/>
    <s v="SCHED"/>
    <x v="6"/>
    <n v="498.16230000000002"/>
    <n v="779"/>
    <n v="22.5"/>
    <s v="NEW"/>
    <n v="2213932.19"/>
    <n v="401159.44"/>
    <m/>
    <n v="0"/>
    <d v="2024-11-22T10:44:57"/>
    <d v="2024-11-28T08:21:00"/>
    <d v="2024-11-28T00:00:00"/>
    <m/>
    <m/>
    <m/>
    <n v="-45618.447881944441"/>
    <n v="-45624.347916666666"/>
    <n v="0"/>
    <d v="2024-12-17T06:47:25"/>
    <d v="2024-12-27T16:56:05"/>
    <d v="2025-01-11T10:44:57"/>
    <n v="-1229.1637345968363"/>
    <n v="0"/>
    <n v="40"/>
    <n v="36"/>
    <n v="27.835051546391753"/>
    <n v="35.257731958762882"/>
    <n v="24.835051546391753"/>
    <n v="55"/>
    <n v="44"/>
    <n v="39"/>
    <d v="1900-02-12T00:00:00"/>
    <d v="1900-02-07T00:00:00"/>
    <m/>
    <m/>
    <m/>
    <m/>
    <m/>
    <m/>
    <m/>
    <m/>
    <x v="0"/>
  </r>
  <r>
    <s v="X24073004630"/>
    <s v="PHILIPPINE SEVEN CORPORATION"/>
    <s v="UMALI, POBLACION, MUNTINLUPA"/>
    <s v="MUNTINLUPA CITY"/>
    <s v="PARAÑAQUE"/>
    <m/>
    <m/>
    <x v="4"/>
    <s v="FCOMP"/>
    <x v="1"/>
    <n v="45.667000000000002"/>
    <n v="73.42"/>
    <n v="44"/>
    <s v="NEW"/>
    <n v="381529.43"/>
    <n v="36774.449999999997"/>
    <n v="18714.580000000002"/>
    <n v="0.50890169669430818"/>
    <d v="2024-11-22T10:57:32"/>
    <d v="2024-11-27T10:06:00"/>
    <d v="2024-11-27T00:00:00"/>
    <m/>
    <d v="2025-01-06T00:00:00"/>
    <m/>
    <n v="44.543379629627452"/>
    <n v="39.579166666670062"/>
    <n v="-45663"/>
    <d v="2024-12-12T13:00:39"/>
    <d v="2024-12-21T16:45:29"/>
    <d v="2025-01-11T10:57:32"/>
    <n v="1.447121874440795"/>
    <n v="-1087.2142857142858"/>
    <n v="23"/>
    <n v="36"/>
    <n v="23.085501858736059"/>
    <n v="29.241635687732341"/>
    <n v="20.085501858736059"/>
    <n v="42"/>
    <n v="33.6"/>
    <n v="28.6"/>
    <d v="2025-02-08T14:24:00"/>
    <d v="2025-02-03T14:24:00"/>
    <m/>
    <m/>
    <m/>
    <m/>
    <m/>
    <m/>
    <m/>
    <m/>
    <x v="1"/>
  </r>
  <r>
    <s v="X24104049812"/>
    <s v="RACHEL RIVERA BACALLA"/>
    <s v="ILANG-ILANG, DON JUAN BAYVIEW SUBD, MUNTINLUPA"/>
    <s v="MUNTINLUPA CITY"/>
    <s v="PARAÑAQUE"/>
    <m/>
    <m/>
    <x v="4"/>
    <s v="FCOMP"/>
    <x v="1"/>
    <n v="50.061700000000002"/>
    <n v="74.819999999999993"/>
    <n v="70"/>
    <s v="NEW"/>
    <n v="363185.56"/>
    <n v="40313.42"/>
    <m/>
    <n v="0"/>
    <d v="2024-11-22T12:54:13"/>
    <d v="2024-11-28T08:33:00"/>
    <d v="2024-11-27T00:00:00"/>
    <m/>
    <d v="2025-02-07T00:00:00"/>
    <m/>
    <n v="76.462349537039699"/>
    <n v="70.64375000000291"/>
    <n v="-45695"/>
    <d v="2024-12-11T20:06:46"/>
    <d v="2024-12-20T18:50:07"/>
    <d v="2025-01-11T12:54:13"/>
    <n v="2.5715598373710282"/>
    <n v="-1087.9761904761904"/>
    <n v="23"/>
    <n v="34"/>
    <n v="22.300380228136884"/>
    <n v="28.247148288973385"/>
    <n v="19.300380228136884"/>
    <n v="42"/>
    <n v="33.6"/>
    <n v="28.6"/>
    <d v="2025-03-12T14:24:00"/>
    <d v="2025-03-07T14:24:00"/>
    <m/>
    <m/>
    <m/>
    <m/>
    <m/>
    <m/>
    <m/>
    <m/>
    <x v="1"/>
  </r>
  <r>
    <s v="X24020649090"/>
    <s v="MICHAEL CHRISTIAN R. PICHEL"/>
    <s v="M.L. QUEZON, PUROK 3, TAGUIG CITY"/>
    <s v="TAGUIG CITY"/>
    <s v="PARAÑAQUE"/>
    <s v="Completed, for re-trigger of PO and route to FCOMP"/>
    <m/>
    <x v="1"/>
    <s v="FCOMP"/>
    <x v="1"/>
    <n v="68.040499999999994"/>
    <n v="115.65"/>
    <n v="49"/>
    <s v="NEW"/>
    <n v="525931.28"/>
    <n v="54791.3"/>
    <m/>
    <n v="0"/>
    <d v="2024-11-22T15:21:42"/>
    <d v="2024-11-28T08:28:00"/>
    <d v="2024-11-27T00:00:00"/>
    <d v="2025-01-12T00:00:00"/>
    <d v="2025-01-12T00:00:00"/>
    <m/>
    <n v="50.359930555554456"/>
    <n v="44.647222222221899"/>
    <n v="-45669"/>
    <d v="2024-12-13T20:19:38"/>
    <d v="2024-12-23T07:15:05"/>
    <d v="2025-01-11T15:21:42"/>
    <n v="1.5602969937084179"/>
    <n v="-1037.9318181818182"/>
    <n v="26"/>
    <n v="36"/>
    <n v="24.206896551724139"/>
    <n v="30.662068965517239"/>
    <n v="21.206896551724139"/>
    <n v="44"/>
    <n v="35.200000000000003"/>
    <n v="30.200000000000003"/>
    <d v="2025-02-16T04:48:00"/>
    <d v="2025-02-11T04:48:00"/>
    <m/>
    <m/>
    <m/>
    <m/>
    <m/>
    <m/>
    <m/>
    <m/>
    <x v="4"/>
  </r>
  <r>
    <s v="X24062171822"/>
    <s v="M.H. BURTON REPAIR SERVICES, INC."/>
    <s v="BLOCK 5, MAGDIWANG SUBD, BACOOR"/>
    <s v="BACOOR CITY"/>
    <s v="DASMA"/>
    <m/>
    <m/>
    <x v="4"/>
    <s v="FCOMP"/>
    <x v="1"/>
    <n v="240.51830000000001"/>
    <n v="347.48"/>
    <n v="120"/>
    <s v="NEW"/>
    <n v="1126618.3500000001"/>
    <n v="193724.47"/>
    <m/>
    <n v="0"/>
    <d v="2024-11-22T15:23:47"/>
    <d v="2024-11-28T08:31:00"/>
    <d v="2024-11-27T00:00:00"/>
    <m/>
    <d v="2025-03-26T00:00:00"/>
    <m/>
    <n v="123.35848379629897"/>
    <n v="117.64513888888905"/>
    <n v="-45742"/>
    <d v="2024-12-13T04:06:08"/>
    <d v="2024-12-22T10:41:26"/>
    <d v="2025-01-11T15:23:47"/>
    <n v="3.932051671007029"/>
    <n v="-952.95833333333337"/>
    <n v="30"/>
    <n v="32"/>
    <n v="23.52941176470588"/>
    <n v="29.803921568627448"/>
    <n v="20.52941176470588"/>
    <n v="48"/>
    <n v="38.400000000000006"/>
    <n v="33.400000000000006"/>
    <d v="2025-05-03T09:36:00"/>
    <d v="2025-04-28T09:36:00"/>
    <m/>
    <m/>
    <m/>
    <m/>
    <m/>
    <m/>
    <m/>
    <m/>
    <x v="1"/>
  </r>
  <r>
    <s v="X24114483448"/>
    <s v="MILLENIUM ERECTORS CORPORATION"/>
    <s v="ALABANG-ZAPOTE, ALMANZA I, LAS PINAS CITY"/>
    <s v="LAS PIÑAS CITY"/>
    <s v="PARAÑAQUE"/>
    <m/>
    <m/>
    <x v="4"/>
    <s v="FCOMP"/>
    <x v="1"/>
    <n v="35.07"/>
    <n v="47.82"/>
    <n v="0"/>
    <s v="TERMINATION"/>
    <n v="36680.51"/>
    <n v="28249.06"/>
    <m/>
    <n v="0"/>
    <d v="2024-11-22T15:37:55"/>
    <d v="2024-11-27T10:08:00"/>
    <d v="2024-11-27T00:00:00"/>
    <m/>
    <d v="2025-03-19T00:00:00"/>
    <m/>
    <n v="116.34866898148175"/>
    <n v="111.57777777777665"/>
    <n v="-45735"/>
    <d v="2024-12-11T10:12:45"/>
    <d v="2024-12-20T05:34:03"/>
    <d v="2025-01-11T15:37:55"/>
    <n v="4.0075652649177043"/>
    <n v="-1143.375"/>
    <n v="20"/>
    <n v="36"/>
    <n v="21.774193548387096"/>
    <n v="27.58064516129032"/>
    <n v="18.774193548387096"/>
    <n v="40"/>
    <n v="32"/>
    <n v="27"/>
    <d v="2025-04-20T00:00:00"/>
    <d v="2025-04-15T00:00:00"/>
    <m/>
    <m/>
    <m/>
    <m/>
    <m/>
    <m/>
    <m/>
    <m/>
    <x v="1"/>
  </r>
  <r>
    <s v="X24072816217"/>
    <s v="JERICK MARTIN C. FELIZARDO"/>
    <s v="PALO-ALTO SUBD, PALO-ALTO SUBD, BACOOR"/>
    <s v="BACOOR CITY"/>
    <s v="DASMA"/>
    <m/>
    <m/>
    <x v="5"/>
    <s v="FCOMP"/>
    <x v="2"/>
    <n v="73.384399999999999"/>
    <n v="116.82"/>
    <n v="16.5"/>
    <s v="NEW"/>
    <n v="409734.62"/>
    <n v="58717.23"/>
    <m/>
    <n v="0"/>
    <d v="2024-11-22T18:56:21"/>
    <d v="2024-11-28T08:35:00"/>
    <d v="2024-11-28T00:00:00"/>
    <m/>
    <d v="2025-04-14T00:00:00"/>
    <m/>
    <n v="142.21086805555387"/>
    <n v="136.64236111110949"/>
    <n v="-45761"/>
    <d v="2024-12-13T23:54:17"/>
    <d v="2024-12-23T10:49:44"/>
    <d v="2025-01-11T18:56:21"/>
    <n v="4.4061059547126735"/>
    <n v="-1040.0227272727273"/>
    <n v="26"/>
    <n v="36"/>
    <n v="24.206896551724139"/>
    <n v="30.662068965517239"/>
    <n v="21.206896551724139"/>
    <n v="44"/>
    <n v="35.200000000000003"/>
    <n v="30.200000000000003"/>
    <d v="2025-05-19T04:48:00"/>
    <d v="2025-05-14T04:48:00"/>
    <m/>
    <m/>
    <m/>
    <m/>
    <m/>
    <m/>
    <m/>
    <m/>
    <x v="1"/>
  </r>
  <r>
    <s v="X24051781334"/>
    <s v="MARIA NATALIA ORIG PALMA"/>
    <s v="BELMONT, ALABANG 400 VILLAGE, MUNTINLUPA"/>
    <s v="MUNTINLUPA CITY"/>
    <s v="PARAÑAQUE"/>
    <m/>
    <m/>
    <x v="4"/>
    <s v="SCHED"/>
    <x v="1"/>
    <n v="56.18"/>
    <n v="86.17"/>
    <n v="106"/>
    <s v="MODIFICATION"/>
    <n v="386016.72"/>
    <n v="45264.51"/>
    <m/>
    <n v="0"/>
    <d v="2024-11-25T08:37:38"/>
    <d v="2024-11-29T12:45:00"/>
    <d v="2024-11-27T00:00:00"/>
    <m/>
    <m/>
    <m/>
    <n v="-45621.359467592592"/>
    <n v="-45625.53125"/>
    <n v="0"/>
    <d v="2024-12-13T20:06:49"/>
    <d v="2024-12-22T13:34:36"/>
    <d v="2025-01-14T08:37:38"/>
    <n v="-1593.0284488004477"/>
    <n v="0"/>
    <n v="23"/>
    <n v="32"/>
    <n v="21.478599221789885"/>
    <n v="27.206225680933851"/>
    <n v="18.478599221789885"/>
    <n v="42"/>
    <n v="33.6"/>
    <n v="28.6"/>
    <d v="1900-02-01T14:24:00"/>
    <d v="1900-01-27T14:24:00"/>
    <m/>
    <m/>
    <m/>
    <m/>
    <m/>
    <m/>
    <m/>
    <m/>
    <x v="0"/>
  </r>
  <r>
    <s v="R23701790"/>
    <s v="DAGUMANPAN, CORNELIA A."/>
    <s v="STA. MARIA, SAN ANTONIO VALLEY 1, PARANAQUE"/>
    <s v="PARAÑAQUE CITY"/>
    <s v="PARAÑAQUE"/>
    <m/>
    <m/>
    <x v="2"/>
    <s v="FCOMP"/>
    <x v="2"/>
    <n v="9.1265000000000001"/>
    <n v="13.9"/>
    <n v="0"/>
    <s v="PCA RELOC"/>
    <n v="20018.21"/>
    <n v="7349.37"/>
    <m/>
    <n v="0"/>
    <d v="2024-11-25T16:26:26"/>
    <d v="2024-11-29T12:41:00"/>
    <d v="2024-11-29T00:00:00"/>
    <m/>
    <d v="2024-12-20T00:00:00"/>
    <m/>
    <n v="24.314976851848769"/>
    <n v="20.471527777779556"/>
    <n v="-45646"/>
    <d v="2024-12-14T11:01:16"/>
    <d v="2024-12-23T06:22:34"/>
    <d v="2025-01-14T16:26:26"/>
    <n v="0.8375158693414575"/>
    <n v="-1141.1500000000001"/>
    <n v="20"/>
    <n v="36"/>
    <n v="21.774193548387096"/>
    <n v="27.58064516129032"/>
    <n v="18.774193548387096"/>
    <n v="40"/>
    <n v="32"/>
    <n v="27"/>
    <d v="2025-01-21T00:00:00"/>
    <d v="2025-01-16T00:00:00"/>
    <m/>
    <m/>
    <m/>
    <m/>
    <m/>
    <m/>
    <m/>
    <m/>
    <x v="1"/>
  </r>
  <r>
    <s v="X24072851053"/>
    <s v="DIOSA BELLE SANTILLANOSA CRUCERO"/>
    <s v=" BLOCK 27, PUROK 3, TAGUIG CITY"/>
    <s v="TAGUIG CITY"/>
    <s v="PARAÑAQUE"/>
    <m/>
    <m/>
    <x v="1"/>
    <s v="FCOMP"/>
    <x v="1"/>
    <n v="9.8994999999999997"/>
    <n v="13.55"/>
    <n v="1.5"/>
    <s v="NEW"/>
    <n v="28231.84"/>
    <n v="7971.81"/>
    <m/>
    <n v="0"/>
    <d v="2024-11-25T17:24:39"/>
    <d v="2024-11-29T12:51:00"/>
    <d v="2024-11-27T00:00:00"/>
    <m/>
    <d v="2025-03-08T00:00:00"/>
    <m/>
    <n v="102.27454861110891"/>
    <n v="98.464583333334303"/>
    <n v="-45724"/>
    <d v="2024-12-14T11:59:29"/>
    <d v="2024-12-23T07:20:47"/>
    <d v="2025-01-14T17:24:39"/>
    <n v="3.5227900077159733"/>
    <n v="-1143.0999999999999"/>
    <n v="20"/>
    <n v="36"/>
    <n v="21.774193548387096"/>
    <n v="27.58064516129032"/>
    <n v="18.774193548387096"/>
    <n v="40"/>
    <n v="32"/>
    <n v="27"/>
    <d v="2025-04-09T00:00:00"/>
    <d v="2025-04-04T00:00:00"/>
    <m/>
    <m/>
    <m/>
    <m/>
    <m/>
    <m/>
    <m/>
    <m/>
    <x v="1"/>
  </r>
  <r>
    <s v="X24114538494"/>
    <s v="JOHN PAULE RODRIGUEZ"/>
    <s v="TINDALO, UNITED PQUE PH 2 SUBD, PARANAQUE"/>
    <s v="PARAÑAQUE CITY"/>
    <s v="PARAÑAQUE"/>
    <m/>
    <m/>
    <x v="5"/>
    <s v="SCHED"/>
    <x v="2"/>
    <n v="99.131"/>
    <n v="165.67"/>
    <n v="85"/>
    <s v="MODIFICATION"/>
    <n v="232274.33"/>
    <n v="79450.899999999994"/>
    <m/>
    <n v="0"/>
    <d v="2024-11-26T17:07:09"/>
    <d v="2024-11-29T12:55:00"/>
    <d v="2024-11-29T00:00:00"/>
    <m/>
    <m/>
    <m/>
    <n v="-45622.71329861111"/>
    <n v="-45625.538194444445"/>
    <n v="0"/>
    <d v="2024-12-17T01:24:03"/>
    <d v="2024-12-26T06:48:34"/>
    <d v="2025-01-15T17:07:09"/>
    <n v="-1465.7070788241576"/>
    <n v="0"/>
    <n v="26"/>
    <n v="34"/>
    <n v="23.345070422535212"/>
    <n v="29.570422535211268"/>
    <n v="20.345070422535212"/>
    <n v="44"/>
    <n v="35.200000000000003"/>
    <n v="30.200000000000003"/>
    <d v="1900-02-03T04:48:00"/>
    <d v="1900-01-29T04:48:00"/>
    <m/>
    <m/>
    <m/>
    <m/>
    <m/>
    <m/>
    <m/>
    <m/>
    <x v="0"/>
  </r>
  <r>
    <s v="X24093766777"/>
    <s v="ESMAIL FAIDAH BARODI"/>
    <s v="DON PEDRO, GARCIA HEIGHTS, PARANAQUE"/>
    <s v="PARAÑAQUE CITY"/>
    <s v="PARAÑAQUE"/>
    <m/>
    <m/>
    <x v="1"/>
    <s v="INPRG"/>
    <x v="1"/>
    <n v="168.62549999999999"/>
    <n v="258.2"/>
    <n v="51"/>
    <s v="MODIFICATION"/>
    <n v="881252.87"/>
    <n v="135412.87"/>
    <m/>
    <n v="0"/>
    <d v="2024-11-26T17:07:35"/>
    <d v="2024-11-29T13:05:00"/>
    <d v="2024-12-03T00:00:00"/>
    <m/>
    <m/>
    <m/>
    <n v="-45622.713599537034"/>
    <n v="-45625.545138888891"/>
    <n v="0"/>
    <d v="2024-12-17T16:09:36"/>
    <d v="2024-12-27T01:30:08"/>
    <d v="2025-01-15T17:07:35"/>
    <n v="-1428.1059509098777"/>
    <n v="0"/>
    <n v="28"/>
    <n v="34"/>
    <n v="23.959731543624162"/>
    <n v="30.348993288590602"/>
    <n v="20.959731543624162"/>
    <n v="46"/>
    <n v="36.800000000000004"/>
    <n v="31.800000000000004"/>
    <d v="1900-02-04T19:12:00"/>
    <d v="1900-01-30T19:12:00"/>
    <m/>
    <m/>
    <m/>
    <m/>
    <m/>
    <m/>
    <m/>
    <m/>
    <x v="0"/>
  </r>
  <r>
    <s v="X24072854687"/>
    <s v="MALILIN O. RICSENIA"/>
    <s v="BLOCK 12, BETTER LIVING ANX31 SUBD, PARANAQUE"/>
    <s v="PARAÑAQUE CITY"/>
    <s v="PARAÑAQUE"/>
    <m/>
    <m/>
    <x v="1"/>
    <s v="FCOMP"/>
    <x v="1"/>
    <n v="47.780700000000003"/>
    <n v="72.53"/>
    <n v="4.5999999999999996"/>
    <s v="NEW"/>
    <n v="176013.59"/>
    <n v="38476.959999999999"/>
    <n v="24449.62"/>
    <n v="0.63543533584773848"/>
    <d v="2024-11-26T17:08:20"/>
    <d v="2024-11-29T12:57:00"/>
    <d v="2024-12-03T00:00:00"/>
    <m/>
    <d v="2025-02-14T00:00:00"/>
    <m/>
    <n v="79.285879629627743"/>
    <n v="76.460416666668607"/>
    <n v="-45702"/>
    <d v="2024-12-16T19:11:27"/>
    <d v="2024-12-25T22:56:17"/>
    <d v="2025-01-15T17:08:20"/>
    <n v="2.5758335290301764"/>
    <n v="-1088.1428571428571"/>
    <n v="23"/>
    <n v="36"/>
    <n v="23.085501858736059"/>
    <n v="29.241635687732341"/>
    <n v="20.085501858736059"/>
    <n v="42"/>
    <n v="33.6"/>
    <n v="28.6"/>
    <d v="2025-03-19T14:24:00"/>
    <d v="2025-03-14T14:24:00"/>
    <m/>
    <m/>
    <m/>
    <m/>
    <m/>
    <m/>
    <m/>
    <m/>
    <x v="11"/>
  </r>
  <r>
    <s v="X24104023531"/>
    <s v="LOWELL L. YU"/>
    <s v="NARRA, AYALA-ALABANG VILL, MUNTINLUPA"/>
    <s v="MUNTINLUPA CITY"/>
    <s v="PARAÑAQUE"/>
    <m/>
    <m/>
    <x v="5"/>
    <s v="FCOMP"/>
    <x v="2"/>
    <n v="88.4315"/>
    <n v="116.48"/>
    <n v="156"/>
    <s v="MODIFICATION"/>
    <n v="528318.36"/>
    <n v="71228.03"/>
    <m/>
    <n v="0"/>
    <d v="2024-11-27T10:23:24"/>
    <d v="2024-12-04T09:17:00"/>
    <d v="2024-11-29T00:00:00"/>
    <m/>
    <d v="2025-02-08T00:00:00"/>
    <m/>
    <n v="72.567083333335177"/>
    <n v="65.613194444442343"/>
    <n v="-45696"/>
    <d v="2024-12-16T21:05:42"/>
    <d v="2024-12-25T20:44:59"/>
    <d v="2025-01-16T10:23:24"/>
    <n v="2.4247174479167284"/>
    <n v="-1038.5454545454545"/>
    <n v="26"/>
    <n v="32"/>
    <n v="22.446043165467625"/>
    <n v="28.431654676258994"/>
    <n v="19.446043165467625"/>
    <n v="44"/>
    <n v="35.200000000000003"/>
    <n v="30.200000000000003"/>
    <d v="2025-03-15T04:48:00"/>
    <d v="2025-03-10T04:48:00"/>
    <m/>
    <m/>
    <m/>
    <m/>
    <m/>
    <m/>
    <m/>
    <m/>
    <x v="1"/>
  </r>
  <r>
    <s v="X24104037169"/>
    <s v="CHRISTIAN BIBLE BAPTIST CHURCH AND MINISTRIES OF S"/>
    <s v="IMPEX CPD, IMPEX CPD, LAS PINAS CITY"/>
    <s v="LAS PIÑAS CITY"/>
    <s v="PARAÑAQUE"/>
    <m/>
    <m/>
    <x v="5"/>
    <s v="FCOMP"/>
    <x v="2"/>
    <n v="14.340299999999999"/>
    <n v="19.45"/>
    <n v="21"/>
    <s v="MODIFICATION"/>
    <n v="144365.54999999999"/>
    <n v="11170.37"/>
    <m/>
    <n v="0"/>
    <d v="2024-11-27T13:57:39"/>
    <d v="2024-12-04T09:38:00"/>
    <d v="2024-11-29T00:00:00"/>
    <m/>
    <d v="2025-04-28T00:00:00"/>
    <m/>
    <n v="151.41829861111182"/>
    <n v="144.5986111111124"/>
    <n v="-45775"/>
    <d v="2024-12-16T08:32:29"/>
    <d v="2024-12-25T03:53:47"/>
    <d v="2025-01-16T13:57:39"/>
    <n v="5.2155191743827398"/>
    <n v="-1144.375"/>
    <n v="20"/>
    <n v="36"/>
    <n v="21.774193548387096"/>
    <n v="27.58064516129032"/>
    <n v="18.774193548387096"/>
    <n v="40"/>
    <n v="32"/>
    <n v="27"/>
    <d v="2025-05-30T00:00:00"/>
    <d v="2025-05-25T00:00:00"/>
    <m/>
    <m/>
    <m/>
    <m/>
    <m/>
    <m/>
    <m/>
    <m/>
    <x v="1"/>
  </r>
  <r>
    <s v="X24114393200"/>
    <s v="MACRO GOLDEN STAR CORP,"/>
    <s v="ALABANG-ZAPOTE, PAMPLONA II, LAS PINAS CITY"/>
    <s v="LAS PIÑAS CITY"/>
    <s v="PARAÑAQUE"/>
    <m/>
    <m/>
    <x v="5"/>
    <s v="FCOMP"/>
    <x v="2"/>
    <n v="21.440300000000001"/>
    <n v="29.2"/>
    <n v="4.9000000000000004"/>
    <s v="RECONTRACT OF SERVICE"/>
    <n v="142345.35999999999"/>
    <n v="17273.419999999998"/>
    <m/>
    <n v="0"/>
    <d v="2024-11-27T13:59:32"/>
    <d v="2024-12-04T09:22:00"/>
    <d v="2024-11-29T00:00:00"/>
    <m/>
    <d v="2025-02-08T00:00:00"/>
    <m/>
    <n v="72.416990740741312"/>
    <n v="65.609722222223354"/>
    <n v="-45696"/>
    <d v="2024-12-16T08:34:22"/>
    <d v="2024-12-25T03:55:40"/>
    <d v="2025-01-16T13:59:32"/>
    <n v="2.4943630144033113"/>
    <n v="-1142.4000000000001"/>
    <n v="20"/>
    <n v="36"/>
    <n v="21.774193548387096"/>
    <n v="27.58064516129032"/>
    <n v="18.774193548387096"/>
    <n v="40"/>
    <n v="32"/>
    <n v="27"/>
    <d v="2025-03-12T00:00:00"/>
    <d v="2025-03-07T00:00:00"/>
    <m/>
    <m/>
    <m/>
    <m/>
    <m/>
    <m/>
    <m/>
    <m/>
    <x v="1"/>
  </r>
  <r>
    <s v="X24030891625"/>
    <s v="DITO TELECOMMUNITY CORPORATION"/>
    <s v="AMPARO, POBLACION, MUNTINLUPA"/>
    <s v="MUNTINLUPA CITY"/>
    <s v="PARAÑAQUE"/>
    <s v="For completion Jan 31, 2025"/>
    <s v="W/O ISSUE"/>
    <x v="5"/>
    <s v="FCOMP"/>
    <x v="2"/>
    <n v="110.9425"/>
    <n v="179.12"/>
    <n v="20"/>
    <s v="NEW"/>
    <n v="1144190.6200000001"/>
    <n v="89339.7"/>
    <m/>
    <n v="0"/>
    <d v="2024-11-27T18:15:29"/>
    <d v="2024-12-04T09:14:00"/>
    <d v="2024-11-29T00:00:00"/>
    <m/>
    <d v="2025-01-31T00:00:00"/>
    <m/>
    <n v="64.239247685181908"/>
    <n v="57.615277777775191"/>
    <n v="-45688"/>
    <d v="2024-12-18T23:13:25"/>
    <d v="2024-12-28T10:08:52"/>
    <d v="2025-01-16T18:15:29"/>
    <n v="1.9903185714426019"/>
    <n v="-1038.3636363636363"/>
    <n v="26"/>
    <n v="36"/>
    <n v="24.206896551724139"/>
    <n v="30.662068965517239"/>
    <n v="21.206896551724139"/>
    <n v="44"/>
    <n v="35.200000000000003"/>
    <n v="30.200000000000003"/>
    <d v="2025-03-07T04:48:00"/>
    <d v="2025-03-02T04:48:00"/>
    <m/>
    <m/>
    <m/>
    <m/>
    <m/>
    <m/>
    <m/>
    <m/>
    <x v="1"/>
  </r>
  <r>
    <s v="X24051731952"/>
    <s v="TARASH B. BERMUDEZ"/>
    <s v="MONIQUE, VILLA CRISTINA SUBD, LAS PINAS CITY"/>
    <s v="LAS PIÑAS CITY"/>
    <s v="PARAÑAQUE"/>
    <m/>
    <m/>
    <x v="4"/>
    <s v="FCOMP"/>
    <x v="1"/>
    <n v="70.423779999999994"/>
    <n v="63.68"/>
    <n v="3"/>
    <s v="NEW"/>
    <n v="324422.71000000002"/>
    <n v="42905.86"/>
    <m/>
    <n v="0"/>
    <d v="2024-11-29T09:37:00"/>
    <d v="2024-12-05T10:08:00"/>
    <d v="2024-12-04T00:00:00"/>
    <m/>
    <d v="2025-05-02T00:00:00"/>
    <m/>
    <n v="153.59930555555911"/>
    <n v="147.57777777777665"/>
    <n v="-45779"/>
    <d v="2024-12-19T11:40:07"/>
    <d v="2024-12-28T15:24:57"/>
    <d v="2025-01-18T09:37:00"/>
    <n v="4.9901223664789125"/>
    <n v="-1089.9761904761904"/>
    <n v="23"/>
    <n v="36"/>
    <n v="23.085501858736059"/>
    <n v="29.241635687732341"/>
    <n v="20.085501858736059"/>
    <n v="42"/>
    <n v="33.6"/>
    <n v="28.6"/>
    <d v="2025-06-04T14:24:00"/>
    <d v="2025-05-30T14:24:00"/>
    <m/>
    <m/>
    <m/>
    <m/>
    <m/>
    <m/>
    <m/>
    <m/>
    <x v="1"/>
  </r>
  <r>
    <s v="X24093863040"/>
    <s v="AIRA NAVARRO JUBILADO"/>
    <s v="A. MABINI, TUAZON SUBD, LAS PINAS CITY"/>
    <s v="LAS PIÑAS CITY"/>
    <s v="PARAÑAQUE"/>
    <m/>
    <m/>
    <x v="5"/>
    <s v="SCHED"/>
    <x v="2"/>
    <n v="113.706"/>
    <n v="173.8"/>
    <n v="20"/>
    <s v="NEW"/>
    <n v="622295.41"/>
    <n v="91565.09"/>
    <m/>
    <n v="0"/>
    <d v="2024-11-29T09:41:00"/>
    <d v="2024-12-04T09:44:00"/>
    <d v="2024-12-03T00:00:00"/>
    <m/>
    <m/>
    <m/>
    <n v="-45625.40347222222"/>
    <n v="-45630.405555555553"/>
    <n v="0"/>
    <d v="2024-12-20T14:38:56"/>
    <d v="2024-12-30T01:34:23"/>
    <d v="2025-01-18T09:41:00"/>
    <n v="-1413.6075862120131"/>
    <n v="0"/>
    <n v="26"/>
    <n v="36"/>
    <n v="24.206896551724139"/>
    <n v="30.662068965517239"/>
    <n v="21.206896551724139"/>
    <n v="44"/>
    <n v="35.200000000000003"/>
    <n v="30.200000000000003"/>
    <d v="1900-02-03T04:48:00"/>
    <d v="1900-01-29T04:48:00"/>
    <m/>
    <m/>
    <m/>
    <m/>
    <m/>
    <m/>
    <m/>
    <m/>
    <x v="0"/>
  </r>
  <r>
    <s v="X24114645553"/>
    <s v="BGST PRIME DEVELOPMENT CORP."/>
    <s v="COASTAL RD, SAN DIONISIO, PARANAQUE"/>
    <s v="PARAÑAQUE CITY"/>
    <s v="PARAÑAQUE"/>
    <m/>
    <m/>
    <x v="5"/>
    <s v="FCOMP"/>
    <x v="2"/>
    <n v="599.09320000000002"/>
    <n v="890.08"/>
    <n v="1528"/>
    <s v="NEW"/>
    <n v="1597363.95"/>
    <n v="482059.02"/>
    <m/>
    <n v="0"/>
    <d v="2024-11-29T14:03:04"/>
    <d v="2024-12-06T14:40:00"/>
    <d v="2024-12-13T00:00:00"/>
    <m/>
    <d v="2025-01-30T00:00:00"/>
    <m/>
    <n v="61.414537037038826"/>
    <n v="54.388888888890506"/>
    <n v="-45687"/>
    <d v="2024-12-14T05:34:50"/>
    <d v="2024-12-21T22:31:18"/>
    <d v="2025-01-18T14:03:04"/>
    <n v="2.6101178240741501"/>
    <n v="-830.67272727272723"/>
    <n v="40"/>
    <n v="20"/>
    <n v="17.647058823529413"/>
    <n v="22.352941176470591"/>
    <n v="14.647058823529413"/>
    <n v="55"/>
    <n v="44"/>
    <n v="39"/>
    <d v="2025-03-15T00:00:00"/>
    <d v="2025-03-10T00:00:00"/>
    <m/>
    <m/>
    <m/>
    <m/>
    <m/>
    <m/>
    <m/>
    <m/>
    <x v="4"/>
  </r>
  <r>
    <s v="X24093852320"/>
    <s v="ALEXANDRA MARIE PAMINTUAN CRUZ"/>
    <s v="ST. BERNADETTE, SAN JOSE SUBD, MUNTINLUPA"/>
    <s v="MUNTINLUPA CITY"/>
    <s v="PARAÑAQUE"/>
    <m/>
    <m/>
    <x v="6"/>
    <s v="SCHED"/>
    <x v="6"/>
    <n v="222.76070000000001"/>
    <n v="326.33"/>
    <n v="80"/>
    <s v="NEW"/>
    <n v="899400.28"/>
    <n v="178653.51"/>
    <m/>
    <n v="0"/>
    <d v="2024-12-02T08:42:40"/>
    <d v="2024-12-09T15:26:00"/>
    <d v="2024-12-17T00:00:00"/>
    <m/>
    <m/>
    <m/>
    <n v="-45628.362962962965"/>
    <n v="-45635.643055555556"/>
    <n v="0"/>
    <d v="2024-12-23T21:10:22"/>
    <d v="2025-01-02T10:05:45"/>
    <d v="2025-01-21T08:42:40"/>
    <n v="-1395.691102396514"/>
    <n v="0"/>
    <n v="30"/>
    <n v="34"/>
    <n v="24.51923076923077"/>
    <n v="31.057692307692307"/>
    <n v="21.51923076923077"/>
    <n v="48"/>
    <n v="38.400000000000006"/>
    <n v="33.400000000000006"/>
    <d v="1900-02-06T09:36:00"/>
    <d v="1900-02-01T09:36:00"/>
    <m/>
    <m/>
    <m/>
    <m/>
    <m/>
    <m/>
    <m/>
    <m/>
    <x v="0"/>
  </r>
  <r>
    <s v="X24114645437"/>
    <s v="SM DEVELOPMENT CORPORATION,"/>
    <s v="DR. A SANTOS, SAN DIONISIO, PARANAQUE"/>
    <s v="PARAÑAQUE CITY"/>
    <s v="PARAÑAQUE"/>
    <s v="conj. to reloc WO R23208322"/>
    <m/>
    <x v="1"/>
    <s v="CLOSED-CAN"/>
    <x v="1"/>
    <n v="32.566699999999997"/>
    <n v="52.2"/>
    <n v="0"/>
    <s v="NEW"/>
    <n v="144072.26"/>
    <n v="26225.13"/>
    <m/>
    <n v="0"/>
    <d v="2024-12-02T15:31:00"/>
    <d v="2024-12-04T10:15:06"/>
    <d v="2024-12-17T00:00:00"/>
    <m/>
    <s v="CLOSED-CAN"/>
    <m/>
    <e v="#VALUE!"/>
    <e v="#VALUE!"/>
    <e v="#VALUE!"/>
    <d v="2024-12-22T17:34:07"/>
    <d v="2024-12-31T21:18:57"/>
    <d v="2025-01-21T15:31:00"/>
    <e v="#VALUE!"/>
    <e v="#VALUE!"/>
    <n v="23"/>
    <n v="36"/>
    <n v="23.085501858736059"/>
    <n v="29.241635687732341"/>
    <n v="20.085501858736059"/>
    <n v="42"/>
    <n v="33.6"/>
    <n v="28.6"/>
    <e v="#VALUE!"/>
    <e v="#VALUE!"/>
    <m/>
    <m/>
    <m/>
    <m/>
    <m/>
    <m/>
    <m/>
    <m/>
    <x v="0"/>
  </r>
  <r>
    <s v="X23124692592"/>
    <s v="BGST PRIME DEVELOPMENT CORP."/>
    <s v="COASTAL RD, SAN DIONISIO, PARANAQUE"/>
    <s v="PARAÑAQUE CITY"/>
    <s v="PARAÑAQUE"/>
    <m/>
    <m/>
    <x v="5"/>
    <s v="FCOMP"/>
    <x v="2"/>
    <n v="49.339100000000002"/>
    <n v="218.5"/>
    <n v="1528"/>
    <s v="NEW"/>
    <n v="760153.47"/>
    <n v="38066.29"/>
    <m/>
    <n v="0"/>
    <d v="2024-12-02T15:32:04"/>
    <d v="2024-12-06T14:42:00"/>
    <d v="2024-12-13T00:00:00"/>
    <m/>
    <d v="2025-01-30T00:00:00"/>
    <m/>
    <n v="58.352731481478259"/>
    <n v="54.38749999999709"/>
    <n v="-45687"/>
    <d v="2024-12-16T01:17:04"/>
    <d v="2024-12-23T10:17:04"/>
    <d v="2025-01-21T15:32:04"/>
    <n v="2.6675534391532914"/>
    <n v="-993.195652173913"/>
    <n v="28"/>
    <n v="20"/>
    <n v="16.406250000000004"/>
    <n v="20.781250000000004"/>
    <n v="13.406250000000004"/>
    <n v="46"/>
    <n v="36.800000000000004"/>
    <n v="31.800000000000004"/>
    <d v="2025-03-07T19:12:00"/>
    <d v="2025-03-02T19:12:00"/>
    <m/>
    <m/>
    <m/>
    <m/>
    <m/>
    <m/>
    <m/>
    <m/>
    <x v="1"/>
  </r>
  <r>
    <s v="X24041187690"/>
    <s v="CITY GOV'T OF LAS PINAS"/>
    <s v="S. TOLENTINO, GATCHALIAN SUBD, LAS PINAS CITY"/>
    <s v="LAS PIÑAS CITY"/>
    <s v="PARAÑAQUE"/>
    <m/>
    <m/>
    <x v="4"/>
    <s v="FCOMP"/>
    <x v="1"/>
    <n v="38.702399999999997"/>
    <n v="64.03"/>
    <n v="47"/>
    <s v="MODIFICATION"/>
    <n v="202593.53"/>
    <n v="31166.05"/>
    <m/>
    <n v="0"/>
    <d v="2024-12-02T16:19:47"/>
    <d v="2024-12-09T15:30:00"/>
    <d v="2024-12-11T00:00:00"/>
    <m/>
    <d v="2025-04-22T00:00:00"/>
    <m/>
    <n v="140.31959490740701"/>
    <n v="133.35416666666424"/>
    <n v="-45769"/>
    <d v="2024-12-22T18:22:54"/>
    <d v="2024-12-31T22:07:44"/>
    <d v="2025-01-21T16:19:47"/>
    <n v="4.558692153392812"/>
    <n v="-1089.7380952380952"/>
    <n v="23"/>
    <n v="36"/>
    <n v="23.085501858736059"/>
    <n v="29.241635687732341"/>
    <n v="20.085501858736059"/>
    <n v="42"/>
    <n v="33.6"/>
    <n v="28.6"/>
    <d v="2025-05-25T14:24:00"/>
    <d v="2025-05-20T14:24:00"/>
    <m/>
    <m/>
    <m/>
    <m/>
    <m/>
    <m/>
    <m/>
    <m/>
    <x v="1"/>
  </r>
  <r>
    <s v="X24114420508"/>
    <s v="HERMINIO VALERIO"/>
    <s v="BANABA, CAMELLA SPV CENTRAL PH 2, BACOOR"/>
    <s v="BACOOR CITY"/>
    <s v="DASMA"/>
    <m/>
    <m/>
    <x v="5"/>
    <s v="SCHED"/>
    <x v="2"/>
    <n v="47.653300000000002"/>
    <n v="65.23"/>
    <n v="4"/>
    <s v="MODIFICATION"/>
    <n v="227444.85"/>
    <n v="38373.64"/>
    <m/>
    <n v="0"/>
    <d v="2024-12-02T16:23:37"/>
    <d v="2024-12-09T15:15:00"/>
    <d v="2024-12-10T00:00:00"/>
    <m/>
    <m/>
    <m/>
    <n v="-45628.683067129627"/>
    <n v="-45635.635416666664"/>
    <n v="0"/>
    <d v="2024-12-22T18:26:44"/>
    <d v="2024-12-31T22:11:34"/>
    <d v="2025-01-21T16:23:37"/>
    <n v="-1482.3811286301775"/>
    <n v="0"/>
    <n v="23"/>
    <n v="36"/>
    <n v="23.085501858736059"/>
    <n v="29.241635687732341"/>
    <n v="20.085501858736059"/>
    <n v="42"/>
    <n v="33.6"/>
    <n v="28.6"/>
    <d v="1900-02-01T14:24:00"/>
    <d v="1900-01-27T14:24:00"/>
    <m/>
    <m/>
    <m/>
    <m/>
    <m/>
    <m/>
    <m/>
    <m/>
    <x v="0"/>
  </r>
  <r>
    <s v="X24104112560"/>
    <s v="METRO STONERICH CORPORATION,"/>
    <s v="INDOCHINA LANE, FILINVEST CORPORATE CITY, MUNTINLUPA"/>
    <s v="MUNTINLUPA CITY"/>
    <s v="PARAÑAQUE"/>
    <m/>
    <m/>
    <x v="1"/>
    <s v="FCOMP"/>
    <x v="1"/>
    <n v="54.72"/>
    <n v="73.97"/>
    <n v="0"/>
    <s v="TERMINATION"/>
    <n v="49996.03"/>
    <n v="44193.54"/>
    <m/>
    <n v="0"/>
    <d v="2024-12-02T16:41:19"/>
    <d v="2024-12-09T15:29:00"/>
    <d v="2024-12-17T00:00:00"/>
    <m/>
    <d v="2025-02-04T00:00:00"/>
    <m/>
    <n v="63.304641203700157"/>
    <n v="56.354861111110949"/>
    <n v="-45692"/>
    <d v="2024-12-22T18:44:26"/>
    <d v="2024-12-31T22:29:16"/>
    <d v="2025-01-21T16:41:19"/>
    <n v="2.0566362903134472"/>
    <n v="-1087.9047619047619"/>
    <n v="23"/>
    <n v="36"/>
    <n v="23.085501858736059"/>
    <n v="29.241635687732341"/>
    <n v="20.085501858736059"/>
    <n v="42"/>
    <n v="33.6"/>
    <n v="28.6"/>
    <d v="2025-03-09T14:24:00"/>
    <d v="2025-03-04T14:24:00"/>
    <m/>
    <m/>
    <m/>
    <m/>
    <m/>
    <m/>
    <m/>
    <m/>
    <x v="4"/>
  </r>
  <r>
    <s v="R23806071"/>
    <s v="EL GRANDE DEVELOPMENT CORPORATION,, HMB"/>
    <s v="BAGTIKAN, BF EL GRANDE, BACOOR"/>
    <s v="BACOOR CITY"/>
    <s v="DASMA"/>
    <m/>
    <m/>
    <x v="5"/>
    <s v="SCHED"/>
    <x v="2"/>
    <n v="44.732700000000001"/>
    <n v="68.23"/>
    <n v="0"/>
    <s v="PCA RELOC"/>
    <n v="157460.57"/>
    <n v="36022.339999999997"/>
    <m/>
    <n v="0"/>
    <d v="2024-12-03T15:15:00"/>
    <d v="2024-12-10T09:03:00"/>
    <d v="2024-12-16T00:00:00"/>
    <m/>
    <m/>
    <m/>
    <n v="-45629.635416666664"/>
    <n v="-45636.377083333333"/>
    <n v="0"/>
    <d v="2024-12-23T17:18:07"/>
    <d v="2025-01-01T21:02:57"/>
    <d v="2025-01-22T15:15:00"/>
    <n v="-1482.4120684883251"/>
    <n v="0"/>
    <n v="23"/>
    <n v="36"/>
    <n v="23.085501858736059"/>
    <n v="29.241635687732341"/>
    <n v="20.085501858736059"/>
    <n v="42"/>
    <n v="33.6"/>
    <n v="28.6"/>
    <d v="1900-02-01T14:24:00"/>
    <d v="1900-01-27T14:24:00"/>
    <m/>
    <m/>
    <m/>
    <m/>
    <m/>
    <m/>
    <m/>
    <m/>
    <x v="0"/>
  </r>
  <r>
    <s v="X24062164559"/>
    <s v="EDWARD VINCENT SANTOS DAUIGOY"/>
    <s v="BLOCK 6, TOP MAN VILLAGE, LAS PINAS CITY"/>
    <s v="LAS PIÑAS CITY"/>
    <s v="PARAÑAQUE"/>
    <m/>
    <m/>
    <x v="5"/>
    <s v="SCHED"/>
    <x v="2"/>
    <n v="220.036"/>
    <n v="341.68"/>
    <n v="25.7"/>
    <s v="MODIFICATION"/>
    <n v="1029760.65"/>
    <n v="175680.33"/>
    <m/>
    <n v="0"/>
    <d v="2024-12-03T15:57:00"/>
    <d v="2024-12-10T09:01:00"/>
    <d v="2024-12-16T00:00:00"/>
    <m/>
    <m/>
    <m/>
    <n v="-45629.664583333331"/>
    <n v="-45636.375694444447"/>
    <n v="0"/>
    <d v="2024-12-26T03:16:15"/>
    <d v="2025-01-04T22:17:23"/>
    <d v="2025-01-22T15:57:00"/>
    <n v="-1343.5401238425925"/>
    <n v="0"/>
    <n v="30"/>
    <n v="36"/>
    <n v="25.471698113207545"/>
    <n v="32.264150943396224"/>
    <n v="22.471698113207545"/>
    <n v="48"/>
    <n v="38.400000000000006"/>
    <n v="33.400000000000006"/>
    <d v="1900-02-06T09:36:00"/>
    <d v="1900-02-01T09:36:00"/>
    <m/>
    <m/>
    <m/>
    <m/>
    <m/>
    <m/>
    <m/>
    <m/>
    <x v="0"/>
  </r>
  <r>
    <s v="X24104312412"/>
    <s v="SEVRANDO OLAES LAPUZ"/>
    <s v="BLOCK 6, MAGDIWANG SUBD, BACOOR"/>
    <s v="BACOOR CITY"/>
    <s v="DASMA"/>
    <m/>
    <m/>
    <x v="4"/>
    <s v="FCOMP"/>
    <x v="1"/>
    <n v="58.043999999999997"/>
    <n v="92.2"/>
    <n v="73.400000000000006"/>
    <s v="NEW"/>
    <n v="495870.33"/>
    <n v="46765.49"/>
    <m/>
    <n v="0"/>
    <d v="2024-12-04T09:18:00"/>
    <d v="2024-12-09T15:28:00"/>
    <d v="2024-12-17T00:00:00"/>
    <m/>
    <d v="2025-04-04T00:00:00"/>
    <m/>
    <n v="120.61250000000291"/>
    <n v="115.35555555555766"/>
    <n v="-45751"/>
    <d v="2024-12-23T16:30:33"/>
    <d v="2025-01-01T15:13:54"/>
    <d v="2025-01-23T09:18:00"/>
    <n v="4.0564050511509926"/>
    <n v="-1089.3095238095239"/>
    <n v="23"/>
    <n v="34"/>
    <n v="22.300380228136884"/>
    <n v="28.247148288973385"/>
    <n v="19.300380228136884"/>
    <n v="42"/>
    <n v="33.6"/>
    <n v="28.6"/>
    <d v="2025-05-07T14:24:00"/>
    <d v="2025-05-02T14:24:00"/>
    <m/>
    <m/>
    <m/>
    <m/>
    <m/>
    <m/>
    <m/>
    <m/>
    <x v="1"/>
  </r>
  <r>
    <s v="X24093767977"/>
    <s v="BIGBANG REALTY AND DEVELOPMENT CORPORATION"/>
    <s v="ANIBAN I, ANIBAN I, BACOOR"/>
    <s v="BACOOR CITY"/>
    <s v="DASMA"/>
    <m/>
    <m/>
    <x v="4"/>
    <s v="FCOMP"/>
    <x v="1"/>
    <n v="341.17270000000002"/>
    <n v="477.08"/>
    <n v="624"/>
    <s v="NEW"/>
    <n v="2236672.58"/>
    <n v="274874.86"/>
    <n v="100960.52"/>
    <n v="0.36729630348879488"/>
    <d v="2024-12-04T17:05:00"/>
    <d v="2024-12-10T09:04:00"/>
    <d v="2024-12-17T00:00:00"/>
    <m/>
    <d v="2025-01-06T00:00:00"/>
    <m/>
    <n v="32.288194444445253"/>
    <n v="26.622222222220444"/>
    <n v="-45663"/>
    <d v="2024-12-20T13:14:01"/>
    <d v="2024-12-28T13:48:25"/>
    <d v="2025-01-23T17:05:00"/>
    <n v="1.28538600166066"/>
    <n v="-913.26"/>
    <n v="32"/>
    <n v="23"/>
    <n v="18.839590443686006"/>
    <n v="23.863481228668942"/>
    <n v="15.839590443686006"/>
    <n v="50"/>
    <n v="40"/>
    <n v="35"/>
    <d v="2025-02-15T00:00:00"/>
    <d v="2025-02-10T00:00:00"/>
    <m/>
    <m/>
    <m/>
    <m/>
    <m/>
    <m/>
    <m/>
    <m/>
    <x v="4"/>
  </r>
  <r>
    <s v="X24083392619"/>
    <s v="RONILO LANSANG DAVID"/>
    <s v="LAPU-LAPU, BACLARAN, PARANAQUE"/>
    <s v="PARAÑAQUE CITY"/>
    <s v="PARAÑAQUE"/>
    <s v="completed 1/12/2025"/>
    <m/>
    <x v="2"/>
    <s v="FCOMP"/>
    <x v="2"/>
    <n v="144.56"/>
    <n v="218.5"/>
    <n v="69"/>
    <s v="NEW"/>
    <n v="655324.42000000004"/>
    <n v="116411.06"/>
    <n v="32061.14"/>
    <n v="0.2754131780949336"/>
    <d v="2024-12-04T17:24:00"/>
    <d v="2024-12-10T09:05:00"/>
    <d v="2024-12-17T00:00:00"/>
    <m/>
    <d v="2025-01-15T00:00:00"/>
    <m/>
    <n v="41.275000000001455"/>
    <n v="35.621527777781012"/>
    <n v="-45672"/>
    <d v="2024-12-25T16:26:01"/>
    <d v="2025-01-04T01:46:33"/>
    <d v="2025-01-23T17:24:00"/>
    <n v="1.2920115546218942"/>
    <n v="-992.86956521739125"/>
    <n v="28"/>
    <n v="34"/>
    <n v="23.959731543624162"/>
    <n v="30.348993288590602"/>
    <n v="20.959731543624162"/>
    <n v="46"/>
    <n v="36.800000000000004"/>
    <n v="31.800000000000004"/>
    <d v="2025-02-20T19:12:00"/>
    <d v="2025-02-15T19:12:00"/>
    <m/>
    <m/>
    <m/>
    <m/>
    <m/>
    <m/>
    <m/>
    <m/>
    <x v="4"/>
  </r>
  <r>
    <s v="X24020533373"/>
    <s v="GRUPPO SACHIN &amp; SACHIN CO."/>
    <s v="SAN VICTORES, SEACOM CPD, PARANAQUE"/>
    <s v="PARAÑAQUE CITY"/>
    <s v="PARAÑAQUE"/>
    <m/>
    <m/>
    <x v="1"/>
    <s v="TECO"/>
    <x v="1"/>
    <n v="17.430299999999999"/>
    <n v="23.78"/>
    <n v="23"/>
    <s v="NEW"/>
    <n v="178449.2"/>
    <n v="14036.19"/>
    <n v="9864.61"/>
    <n v="0.70279826648114629"/>
    <d v="2024-12-04T17:37:00"/>
    <d v="2024-12-10T09:00:00"/>
    <d v="2024-12-17T00:00:00"/>
    <d v="2025-01-11T00:00:00"/>
    <d v="2025-01-11T00:00:00"/>
    <d v="2025-05-20T10:53:00"/>
    <n v="37.265972222223354"/>
    <n v="31.625"/>
    <n v="129.45347222222335"/>
    <d v="2024-12-23T12:11:50"/>
    <d v="2025-01-01T07:33:08"/>
    <d v="2025-01-23T17:37:00"/>
    <n v="1.2836057098765823"/>
    <n v="3.2363368055555837"/>
    <n v="20"/>
    <n v="36"/>
    <n v="21.774193548387096"/>
    <n v="27.58064516129032"/>
    <n v="18.774193548387096"/>
    <n v="40"/>
    <n v="32"/>
    <n v="27"/>
    <d v="2025-02-12T00:00:00"/>
    <d v="2025-02-07T00:00:00"/>
    <m/>
    <m/>
    <m/>
    <m/>
    <m/>
    <m/>
    <m/>
    <m/>
    <x v="8"/>
  </r>
  <r>
    <s v="X24083423327"/>
    <s v="NATIONAL RESEARCH COUNCIL OF THE PHILIPPINES"/>
    <s v="GEN. SANTOS, UPPER BICUTAN, TAGUIG CITY"/>
    <s v="TAGUIG CITY"/>
    <s v="PARAÑAQUE"/>
    <m/>
    <m/>
    <x v="1"/>
    <s v="FCOMP"/>
    <x v="1"/>
    <n v="43.93"/>
    <n v="60.15"/>
    <n v="0"/>
    <s v="MODIFICATION"/>
    <n v="100355.03"/>
    <n v="35399.870000000003"/>
    <m/>
    <n v="0"/>
    <d v="2024-12-05T12:41:00"/>
    <d v="2024-12-12T10:46:00"/>
    <d v="2024-12-17T00:00:00"/>
    <m/>
    <d v="2025-01-18T00:00:00"/>
    <m/>
    <n v="43.471527777779556"/>
    <n v="36.551388888889051"/>
    <n v="-45675"/>
    <d v="2024-12-25T14:44:07"/>
    <d v="2025-01-03T18:28:57"/>
    <d v="2025-01-24T12:41:00"/>
    <n v="1.4122996343264131"/>
    <n v="-1087.5"/>
    <n v="23"/>
    <n v="36"/>
    <n v="23.085501858736059"/>
    <n v="29.241635687732341"/>
    <n v="20.085501858736059"/>
    <n v="42"/>
    <n v="33.6"/>
    <n v="28.6"/>
    <d v="2025-02-20T14:24:00"/>
    <d v="2025-02-15T14:24:00"/>
    <m/>
    <m/>
    <m/>
    <m/>
    <m/>
    <m/>
    <m/>
    <m/>
    <x v="4"/>
  </r>
  <r>
    <s v="X24114379540"/>
    <s v="DHAN JERICO MIKE M. DELOS SANTOS"/>
    <s v="BLOCK 11, VISTA VERDE SOUTH PH I, BACOOR"/>
    <s v="BACOOR CITY"/>
    <s v="DASMA"/>
    <m/>
    <m/>
    <x v="5"/>
    <s v="FCOMP"/>
    <x v="2"/>
    <n v="24.133299999999998"/>
    <n v="33.049999999999997"/>
    <n v="48"/>
    <s v="MODIFICATION"/>
    <n v="207326.18"/>
    <n v="19433.91"/>
    <m/>
    <n v="0"/>
    <d v="2024-12-05T14:12:00"/>
    <d v="2024-12-12T09:54:00"/>
    <d v="2024-12-17T00:00:00"/>
    <m/>
    <d v="2025-02-08T00:00:00"/>
    <m/>
    <n v="64.408333333332848"/>
    <n v="57.587500000001455"/>
    <n v="-45696"/>
    <d v="2024-12-24T08:46:50"/>
    <d v="2025-01-02T04:08:08"/>
    <d v="2025-01-24T14:12:00"/>
    <n v="2.2185092592592426"/>
    <n v="-1142.4000000000001"/>
    <n v="20"/>
    <n v="36"/>
    <n v="21.774193548387096"/>
    <n v="27.58064516129032"/>
    <n v="18.774193548387096"/>
    <n v="40"/>
    <n v="32"/>
    <n v="27"/>
    <d v="2025-03-12T00:00:00"/>
    <d v="2025-03-07T00:00:00"/>
    <m/>
    <m/>
    <m/>
    <m/>
    <m/>
    <m/>
    <m/>
    <m/>
    <x v="4"/>
  </r>
  <r>
    <s v="X24093702490"/>
    <s v="BARANGAY MOLINO VI"/>
    <s v="STREET, EVERLASTING, SOLDIER'S HILLS 4 PH II, BACOOR"/>
    <s v="BACOOR CITY"/>
    <s v="DASMA"/>
    <m/>
    <m/>
    <x v="5"/>
    <s v="FCOMP"/>
    <x v="2"/>
    <n v="73.844999999999999"/>
    <n v="104.2"/>
    <n v="20"/>
    <s v="NEW"/>
    <n v="367358.69"/>
    <n v="59466.29"/>
    <m/>
    <n v="0"/>
    <d v="2024-12-05T16:09:00"/>
    <d v="2024-12-12T09:56:00"/>
    <d v="2024-12-16T00:00:00"/>
    <m/>
    <d v="2025-02-07T00:00:00"/>
    <m/>
    <n v="63.327083333329938"/>
    <n v="56.586111111108039"/>
    <n v="-45695"/>
    <d v="2024-12-26T21:06:56"/>
    <d v="2025-01-05T08:02:23"/>
    <d v="2025-01-24T16:09:00"/>
    <n v="1.962057069088214"/>
    <n v="-1038.5227272727273"/>
    <n v="26"/>
    <n v="36"/>
    <n v="24.206896551724139"/>
    <n v="30.662068965517239"/>
    <n v="21.206896551724139"/>
    <n v="44"/>
    <n v="35.200000000000003"/>
    <n v="30.200000000000003"/>
    <d v="2025-03-14T04:48:00"/>
    <d v="2025-03-09T04:48:00"/>
    <m/>
    <m/>
    <m/>
    <m/>
    <m/>
    <m/>
    <m/>
    <m/>
    <x v="1"/>
  </r>
  <r>
    <s v="X24093725089"/>
    <s v="RUBEN LEYVA TERRADO"/>
    <s v="PILAR, ST. JOSEPH SUBD, LAS PINAS CITY"/>
    <s v="LAS PIÑAS CITY"/>
    <s v="PARAÑAQUE"/>
    <m/>
    <m/>
    <x v="4"/>
    <s v="FCOMP"/>
    <x v="1"/>
    <n v="167.39709999999999"/>
    <n v="249.3"/>
    <n v="131.5"/>
    <s v="NEW"/>
    <n v="833252.11"/>
    <n v="134801.60999999999"/>
    <m/>
    <n v="0"/>
    <d v="2024-12-06T12:56:00"/>
    <d v="2024-12-12T10:48:00"/>
    <d v="2024-12-17T00:00:00"/>
    <m/>
    <d v="2025-01-11T00:00:00"/>
    <m/>
    <n v="35.461111111108039"/>
    <n v="29.55000000000291"/>
    <n v="-45668"/>
    <d v="2024-12-26T13:15:44"/>
    <d v="2025-01-04T16:32:59"/>
    <d v="2025-01-25T12:56:00"/>
    <n v="1.1556522817459316"/>
    <n v="-992.78260869565213"/>
    <n v="28"/>
    <n v="32"/>
    <n v="23.013698630136989"/>
    <n v="29.150684931506852"/>
    <n v="20.013698630136989"/>
    <n v="46"/>
    <n v="36.800000000000004"/>
    <n v="31.800000000000004"/>
    <d v="2025-02-16T19:12:00"/>
    <d v="2025-02-11T19:12:00"/>
    <m/>
    <m/>
    <m/>
    <m/>
    <m/>
    <m/>
    <m/>
    <m/>
    <x v="1"/>
  </r>
  <r>
    <s v="X24041001641"/>
    <s v="FILINVEST LAND, INC."/>
    <s v="BLOCK 2, PRINCETON HEIGHTS PH 3, BACOOR"/>
    <s v="BACOOR CITY"/>
    <s v="DASMA"/>
    <m/>
    <m/>
    <x v="5"/>
    <s v="SCHED"/>
    <x v="2"/>
    <n v="222.44659999999999"/>
    <n v="332.42"/>
    <n v="43.69"/>
    <s v="NEW"/>
    <n v="1006242.08"/>
    <n v="179131.86"/>
    <m/>
    <n v="0"/>
    <d v="2024-12-06T15:29:00"/>
    <d v="2024-12-12T10:49:00"/>
    <d v="2024-12-17T00:00:00"/>
    <m/>
    <m/>
    <m/>
    <n v="-45632.645138888889"/>
    <n v="-45638.450694444444"/>
    <n v="0"/>
    <d v="2024-12-29T02:48:15"/>
    <d v="2025-01-07T21:49:23"/>
    <d v="2025-01-25T15:29:00"/>
    <n v="-1343.6278846450618"/>
    <n v="0"/>
    <n v="30"/>
    <n v="36"/>
    <n v="25.471698113207545"/>
    <n v="32.264150943396224"/>
    <n v="22.471698113207545"/>
    <n v="48"/>
    <n v="38.400000000000006"/>
    <n v="33.400000000000006"/>
    <d v="1900-02-06T09:36:00"/>
    <d v="1900-02-01T09:36:00"/>
    <m/>
    <m/>
    <m/>
    <m/>
    <m/>
    <m/>
    <m/>
    <m/>
    <x v="0"/>
  </r>
  <r>
    <s v="X24062388683"/>
    <s v="MARC MEDALLA O'CONNOR"/>
    <s v="ARAGONA, CITADELLA EXEC VILL, LAS PINAS CITY"/>
    <s v="LAS PIÑAS CITY"/>
    <s v="PARAÑAQUE"/>
    <m/>
    <m/>
    <x v="4"/>
    <s v="SCHED"/>
    <x v="1"/>
    <n v="4.2366999999999999"/>
    <n v="5.97"/>
    <n v="40.1"/>
    <s v="MODIFICATION"/>
    <n v="63407.7"/>
    <n v="3411.92"/>
    <m/>
    <n v="0"/>
    <d v="2024-12-09T15:08:00"/>
    <d v="2025-01-20T15:00:00"/>
    <d v="2024-12-17T00:00:00"/>
    <m/>
    <m/>
    <m/>
    <n v="-45635.630555555559"/>
    <n v="-45677.625"/>
    <n v="0"/>
    <d v="2024-12-28T09:42:50"/>
    <d v="2025-01-06T05:04:08"/>
    <d v="2025-01-28T15:08:00"/>
    <n v="-1571.8939413580247"/>
    <n v="0"/>
    <n v="20"/>
    <n v="36"/>
    <n v="21.774193548387096"/>
    <n v="27.58064516129032"/>
    <n v="18.774193548387096"/>
    <n v="40"/>
    <n v="32"/>
    <n v="27"/>
    <d v="1900-01-31T00:00:00"/>
    <d v="1900-01-26T00:00:00"/>
    <m/>
    <m/>
    <m/>
    <m/>
    <m/>
    <m/>
    <m/>
    <m/>
    <x v="0"/>
  </r>
  <r>
    <s v="X24104277409"/>
    <s v="COMGLASCO AGUILA GLASS CORP."/>
    <s v="MANALAC, BAGONG TANYAG, TAGUIG CITY"/>
    <s v="TAGUIG CITY"/>
    <s v="PARAÑAQUE"/>
    <m/>
    <s v="W/O ISSUE"/>
    <x v="1"/>
    <s v="FCOMP"/>
    <x v="1"/>
    <n v="60.284599999999998"/>
    <n v="106.78"/>
    <n v="63"/>
    <s v="NEW"/>
    <n v="525751.37"/>
    <n v="52572.05"/>
    <m/>
    <n v="0"/>
    <d v="2024-12-10T09:20:17"/>
    <d v="2024-12-16T14:19:00"/>
    <d v="2024-12-19T00:00:00"/>
    <m/>
    <d v="2025-01-11T00:00:00"/>
    <m/>
    <n v="31.610914351855172"/>
    <n v="25.403472222220444"/>
    <n v="-45668"/>
    <d v="2024-12-30T17:37:11"/>
    <d v="2025-01-08T23:01:42"/>
    <d v="2025-01-29T09:20:17"/>
    <n v="1.0155542619826774"/>
    <n v="-1037.909090909091"/>
    <n v="26"/>
    <n v="34"/>
    <n v="23.345070422535212"/>
    <n v="29.570422535211268"/>
    <n v="20.345070422535212"/>
    <n v="44"/>
    <n v="35.200000000000003"/>
    <n v="30.200000000000003"/>
    <d v="2025-02-15T04:48:00"/>
    <d v="2025-02-10T04:48:00"/>
    <m/>
    <m/>
    <m/>
    <m/>
    <m/>
    <m/>
    <m/>
    <m/>
    <x v="1"/>
  </r>
  <r>
    <s v="X24114628777"/>
    <s v="HOUSEHOLD DEVELOPMENT CORPORATION"/>
    <s v="BARCELONA, BRIA FLATS LAS PIÑAS, LAS PINAS CITY"/>
    <s v="LAS PIÑAS CITY"/>
    <s v="PARAÑAQUE"/>
    <m/>
    <s v="W/O ISSUE"/>
    <x v="5"/>
    <s v="SCHED"/>
    <x v="2"/>
    <n v="99.840699999999998"/>
    <n v="136.53"/>
    <n v="0"/>
    <s v="TERMINATION"/>
    <n v="89332.4"/>
    <n v="80399.210000000006"/>
    <m/>
    <n v="0"/>
    <d v="2024-12-10T09:24:00"/>
    <d v="2024-12-16T14:18:00"/>
    <d v="2024-12-17T00:00:00"/>
    <m/>
    <m/>
    <m/>
    <n v="-45636.39166666667"/>
    <n v="-45642.595833333333"/>
    <n v="0"/>
    <d v="2024-12-31T14:21:56"/>
    <d v="2025-01-10T01:17:23"/>
    <d v="2025-01-29T09:24:00"/>
    <n v="-1413.9480324074075"/>
    <n v="0"/>
    <n v="26"/>
    <n v="36"/>
    <n v="24.206896551724139"/>
    <n v="30.662068965517239"/>
    <n v="21.206896551724139"/>
    <n v="44"/>
    <n v="35.200000000000003"/>
    <n v="30.200000000000003"/>
    <d v="1900-02-03T04:48:00"/>
    <d v="1900-01-29T04:48:00"/>
    <m/>
    <m/>
    <m/>
    <m/>
    <m/>
    <m/>
    <m/>
    <m/>
    <x v="0"/>
  </r>
  <r>
    <s v="X24114608975"/>
    <s v="LIGHT RAIL MANILA CORPORATION"/>
    <s v="NINOY AQUINO, STO. NINO, PARANAQUE"/>
    <s v="PARAÑAQUE CITY"/>
    <s v="PARAÑAQUE"/>
    <m/>
    <s v="W/O ISSUE"/>
    <x v="1"/>
    <s v="FCOMP"/>
    <x v="1"/>
    <n v="41.711100000000002"/>
    <n v="331.43"/>
    <n v="4999"/>
    <s v="NEW"/>
    <n v="810419.94"/>
    <n v="33589.199999999997"/>
    <m/>
    <n v="0"/>
    <d v="2024-12-10T09:38:23"/>
    <d v="2024-12-17T15:06:00"/>
    <d v="2024-12-17T00:00:00"/>
    <m/>
    <d v="2025-03-10T00:00:00"/>
    <m/>
    <n v="89.59834490740468"/>
    <n v="82.370833333334303"/>
    <n v="-45726"/>
    <d v="2024-12-24T01:38:23"/>
    <d v="2024-12-31T12:18:23"/>
    <d v="2025-01-29T09:38:23"/>
    <n v="4.0319255208332105"/>
    <n v="-952.625"/>
    <n v="30"/>
    <n v="20"/>
    <n v="16.666666666666668"/>
    <n v="21.111111111111111"/>
    <n v="13.666666666666668"/>
    <n v="48"/>
    <n v="38.400000000000006"/>
    <n v="33.400000000000006"/>
    <d v="2025-04-17T09:36:00"/>
    <d v="2025-04-12T09:36:00"/>
    <m/>
    <m/>
    <m/>
    <m/>
    <m/>
    <m/>
    <m/>
    <m/>
    <x v="1"/>
  </r>
  <r>
    <s v="X24114608824"/>
    <s v="DITO TELECOMMUNITY CORPORATION"/>
    <s v="CHAMPACA, STO. NINO, TAGUIG CITY"/>
    <s v="TAGUIG CITY"/>
    <s v="PARAÑAQUE"/>
    <s v="emailed request for drainage diversion last Feb. 7 (no update yet)"/>
    <s v="W/ ISSUE"/>
    <x v="1"/>
    <s v="FCOMP"/>
    <x v="1"/>
    <n v="80.927599999999998"/>
    <n v="166.95"/>
    <n v="31"/>
    <s v="NEW"/>
    <n v="644480.06999999995"/>
    <n v="65169.08"/>
    <m/>
    <n v="0"/>
    <d v="2024-12-10T10:09:58"/>
    <d v="2024-12-16T14:17:00"/>
    <d v="2024-12-16T00:00:00"/>
    <m/>
    <d v="2025-04-12T00:00:00"/>
    <m/>
    <n v="122.57641203703679"/>
    <n v="116.40486111111386"/>
    <n v="-45759"/>
    <d v="2024-12-31T15:07:54"/>
    <d v="2025-01-10T02:03:21"/>
    <d v="2025-01-29T10:09:58"/>
    <n v="3.7977734498654563"/>
    <n v="-1039.9772727272727"/>
    <n v="26"/>
    <n v="36"/>
    <n v="24.206896551724139"/>
    <n v="30.662068965517239"/>
    <n v="21.206896551724139"/>
    <n v="44"/>
    <n v="35.200000000000003"/>
    <n v="30.200000000000003"/>
    <d v="2025-05-17T04:48:00"/>
    <d v="2025-05-12T04:48:00"/>
    <m/>
    <m/>
    <m/>
    <m/>
    <m/>
    <m/>
    <m/>
    <m/>
    <x v="1"/>
  </r>
  <r>
    <s v="X24093530616"/>
    <s v="SPRINGTOWN DEVELOPMENT CORPORATION"/>
    <s v="SUSANA, TUNASAN, MUNTINLUPA"/>
    <s v="MUNTINLUPA CITY"/>
    <s v="PARAÑAQUE"/>
    <s v="Waiting for RTPI Schedule"/>
    <m/>
    <x v="3"/>
    <s v="FCOMP"/>
    <x v="3"/>
    <n v="72.207949999999997"/>
    <n v="98.88"/>
    <n v="0"/>
    <s v="MODIFICATION"/>
    <n v="73744.25"/>
    <n v="58147.16"/>
    <m/>
    <n v="0"/>
    <d v="2024-12-10T11:58:13"/>
    <d v="2024-12-16T14:20:00"/>
    <d v="2024-12-17T00:00:00"/>
    <d v="2025-05-25T00:00:00"/>
    <d v="2025-04-25T00:00:00"/>
    <m/>
    <n v="135.50123842592438"/>
    <n v="129.40277777778101"/>
    <n v="-45772"/>
    <d v="2024-12-30T14:01:20"/>
    <d v="2025-01-08T17:46:10"/>
    <d v="2025-01-29T11:58:13"/>
    <n v="4.4021537604557555"/>
    <n v="-1089.8095238095239"/>
    <n v="23"/>
    <n v="36"/>
    <n v="23.085501858736059"/>
    <n v="29.241635687732341"/>
    <n v="20.085501858736059"/>
    <n v="42"/>
    <n v="33.6"/>
    <n v="28.6"/>
    <d v="2025-05-28T14:24:00"/>
    <d v="2025-05-23T14:24:00"/>
    <m/>
    <m/>
    <m/>
    <m/>
    <m/>
    <m/>
    <m/>
    <m/>
    <x v="4"/>
  </r>
  <r>
    <s v="X24104064373"/>
    <s v="MA. CECILIA FLORES MAGAT"/>
    <s v="MULTINATIONAL, MULTINATIONAL VILL, PARANAQUE"/>
    <s v="PARAÑAQUE CITY"/>
    <s v="PARAÑAQUE"/>
    <m/>
    <s v="W/O ISSUE"/>
    <x v="4"/>
    <s v="FCOMP"/>
    <x v="1"/>
    <n v="52.078499999999998"/>
    <n v="76.98"/>
    <n v="80"/>
    <s v="NEW"/>
    <n v="393602.3"/>
    <n v="41961.69"/>
    <m/>
    <n v="0"/>
    <d v="2024-12-10T15:42:48"/>
    <d v="2024-12-16T14:08:00"/>
    <d v="2024-12-17T00:00:00"/>
    <m/>
    <d v="2025-03-17T00:00:00"/>
    <m/>
    <n v="96.345277777778392"/>
    <n v="90.411111111112405"/>
    <n v="-45733"/>
    <d v="2024-12-29T22:55:21"/>
    <d v="2025-01-07T21:38:42"/>
    <d v="2025-01-29T15:42:48"/>
    <n v="3.2402567845979173"/>
    <n v="-1088.8809523809523"/>
    <n v="23"/>
    <n v="34"/>
    <n v="22.300380228136884"/>
    <n v="28.247148288973385"/>
    <n v="19.300380228136884"/>
    <n v="42"/>
    <n v="33.6"/>
    <n v="28.6"/>
    <d v="2025-04-19T14:24:00"/>
    <d v="2025-04-14T14:24:00"/>
    <m/>
    <m/>
    <m/>
    <m/>
    <m/>
    <m/>
    <m/>
    <m/>
    <x v="1"/>
  </r>
  <r>
    <s v="X24103986359"/>
    <s v="DITO TELECOMMUNITY CORPORATION"/>
    <s v="QUEEN OF DIAMOND, QUEEN'S ROW AREA A SUBD, BACOOR"/>
    <s v="BACOOR CITY"/>
    <s v="DASMA"/>
    <m/>
    <s v="W/O ISSUE"/>
    <x v="4"/>
    <s v="FCOMP"/>
    <x v="1"/>
    <n v="288.62920000000003"/>
    <n v="572.16999999999996"/>
    <n v="22"/>
    <s v="NEW"/>
    <n v="1649653.47"/>
    <n v="231671.38"/>
    <m/>
    <n v="0"/>
    <d v="2024-12-10T15:58:41"/>
    <d v="2024-12-16T14:16:00"/>
    <d v="2024-12-17T00:00:00"/>
    <m/>
    <d v="2025-01-30T00:00:00"/>
    <m/>
    <n v="50.334247685183072"/>
    <n v="44.405555555553292"/>
    <n v="-45687"/>
    <d v="2025-01-04T12:01:09"/>
    <d v="2025-01-14T22:09:49"/>
    <d v="2025-01-29T15:58:41"/>
    <n v="1.3562283404063216"/>
    <n v="-830.67272727272723"/>
    <n v="40"/>
    <n v="36"/>
    <n v="27.835051546391753"/>
    <n v="35.257731958762882"/>
    <n v="24.835051546391753"/>
    <n v="55"/>
    <n v="44"/>
    <n v="39"/>
    <d v="2025-03-15T00:00:00"/>
    <d v="2025-03-10T00:00:00"/>
    <m/>
    <m/>
    <m/>
    <m/>
    <m/>
    <m/>
    <m/>
    <m/>
    <x v="1"/>
  </r>
  <r>
    <s v="X24114379635"/>
    <s v="CITYLAND DEVELOPMENT CORPORATION"/>
    <s v="ALABANG-ZAPOTE, ALMANZA I, LAS PINAS CITY"/>
    <s v="LAS PIÑAS CITY"/>
    <s v="PARAÑAQUE"/>
    <m/>
    <s v="W/O ISSUE"/>
    <x v="4"/>
    <s v="FCOMP"/>
    <x v="1"/>
    <n v="29.504999999999999"/>
    <n v="331.43"/>
    <n v="139"/>
    <s v="NEW"/>
    <n v="810419.94"/>
    <n v="23759.63"/>
    <m/>
    <n v="0"/>
    <d v="2024-12-11T12:23:03"/>
    <d v="2024-12-18T09:46:00"/>
    <d v="2024-12-17T00:00:00"/>
    <m/>
    <d v="2025-01-20T00:00:00"/>
    <m/>
    <n v="39.483993055553583"/>
    <n v="32.593055555553292"/>
    <n v="-45677"/>
    <d v="2025-01-01T01:05:24"/>
    <d v="2025-01-10T07:40:42"/>
    <d v="2025-01-30T12:23:03"/>
    <n v="1.2585522786457704"/>
    <n v="-951.60416666666663"/>
    <n v="30"/>
    <n v="32"/>
    <n v="23.52941176470588"/>
    <n v="29.803921568627448"/>
    <n v="20.52941176470588"/>
    <n v="48"/>
    <n v="38.400000000000006"/>
    <n v="33.400000000000006"/>
    <d v="2025-02-27T09:36:00"/>
    <d v="2025-02-22T09:36:00"/>
    <m/>
    <m/>
    <m/>
    <m/>
    <m/>
    <m/>
    <m/>
    <m/>
    <x v="1"/>
  </r>
  <r>
    <s v="X24051975891"/>
    <s v="FANG LIN OASIS CORPORATION"/>
    <s v="QUIRINO, TAMBO, PARANAQUE"/>
    <s v="PARAÑAQUE CITY"/>
    <s v="PARAÑAQUE"/>
    <m/>
    <s v="W/O ISSUE"/>
    <x v="2"/>
    <s v="FCOMP"/>
    <x v="2"/>
    <n v="144.6317"/>
    <n v="197.35"/>
    <n v="247"/>
    <s v="NEW"/>
    <n v="975572.44"/>
    <n v="116492.84"/>
    <n v="46048.84"/>
    <n v="0.3952933072968261"/>
    <d v="2024-12-11T13:22:55"/>
    <d v="2024-12-16T14:12:00"/>
    <d v="2024-12-17T00:00:00"/>
    <d v="2025-02-06T00:00:00"/>
    <d v="2025-02-06T00:00:00"/>
    <m/>
    <n v="56.442418981481751"/>
    <n v="51.408333333332848"/>
    <n v="-45694"/>
    <d v="2024-12-30T01:33:30"/>
    <d v="2025-01-07T19:12:20"/>
    <d v="2025-01-30T13:22:55"/>
    <n v="1.9682484567901328"/>
    <n v="-1038.5"/>
    <n v="26"/>
    <n v="30"/>
    <n v="21.507352941176471"/>
    <n v="27.242647058823529"/>
    <n v="18.507352941176471"/>
    <n v="44"/>
    <n v="35.200000000000003"/>
    <n v="30.200000000000003"/>
    <d v="2025-03-13T04:48:00"/>
    <d v="2025-03-08T04:48:00"/>
    <m/>
    <m/>
    <m/>
    <m/>
    <m/>
    <m/>
    <m/>
    <m/>
    <x v="4"/>
  </r>
  <r>
    <s v="X24103956559"/>
    <s v="LILY REAL ESTATE DEVELOPMENT CORPORATION"/>
    <s v="QUIRINO, TAMBO, PARANAQUE"/>
    <s v="PARAÑAQUE CITY"/>
    <s v="PARAÑAQUE"/>
    <m/>
    <s v="W/O ISSUE"/>
    <x v="5"/>
    <s v="FCOMP"/>
    <x v="2"/>
    <n v="187.60159999999999"/>
    <n v="272.83"/>
    <n v="395"/>
    <s v="NEW"/>
    <n v="1391926.53"/>
    <n v="151199.6"/>
    <m/>
    <n v="0"/>
    <d v="2024-12-11T13:23:52"/>
    <d v="2024-12-16T14:14:00"/>
    <d v="2024-12-17T00:00:00"/>
    <d v="2025-04-04T00:00:00"/>
    <d v="2025-04-04T00:00:00"/>
    <m/>
    <n v="113.44175925925811"/>
    <n v="108.40694444444671"/>
    <n v="-45751"/>
    <d v="2024-12-29T13:23:52"/>
    <d v="2025-01-07T03:47:52"/>
    <d v="2025-01-30T13:23:52"/>
    <n v="4.0514914021163611"/>
    <n v="-994.58695652173913"/>
    <n v="28"/>
    <n v="28"/>
    <n v="21"/>
    <n v="26.6"/>
    <n v="18"/>
    <n v="46"/>
    <n v="36.800000000000004"/>
    <n v="31.800000000000004"/>
    <d v="2025-05-10T19:12:00"/>
    <d v="2025-05-05T19:12:00"/>
    <m/>
    <m/>
    <m/>
    <m/>
    <m/>
    <m/>
    <m/>
    <m/>
    <x v="1"/>
  </r>
  <r>
    <s v="X24073016208"/>
    <s v="KISE GAYLE RAMOS TANG"/>
    <s v="COUNTRY CLUB, AYALA-ALABANG VILL, MUNTINLUPA"/>
    <s v="MUNTINLUPA CITY"/>
    <s v="PARAÑAQUE"/>
    <s v="waiting for schedule"/>
    <s v="W/O ISSUE"/>
    <x v="3"/>
    <s v="FCOMP"/>
    <x v="4"/>
    <n v="283.27319999999997"/>
    <n v="385.32"/>
    <n v="890.5"/>
    <s v="NEW"/>
    <n v="1564214.32"/>
    <n v="227012.78"/>
    <m/>
    <n v="0"/>
    <d v="2024-12-11T14:22:37"/>
    <d v="2024-12-18T09:53:00"/>
    <d v="2024-12-17T00:00:00"/>
    <m/>
    <d v="2025-01-09T00:00:00"/>
    <m/>
    <n v="28.400960648148612"/>
    <n v="21.588194444440887"/>
    <n v="-45666"/>
    <d v="2024-12-27T03:32:18"/>
    <d v="2025-01-04T02:14:52"/>
    <d v="2025-01-30T14:22:37"/>
    <n v="1.1483866696860092"/>
    <n v="-951.375"/>
    <n v="30"/>
    <n v="23"/>
    <n v="18.548387096774192"/>
    <n v="23.494623655913976"/>
    <n v="15.548387096774192"/>
    <n v="48"/>
    <n v="38.400000000000006"/>
    <n v="33.400000000000006"/>
    <d v="2025-02-16T09:36:00"/>
    <d v="2025-02-11T09:36:00"/>
    <m/>
    <m/>
    <m/>
    <m/>
    <m/>
    <m/>
    <m/>
    <m/>
    <x v="11"/>
  </r>
  <r>
    <s v="X24104044893"/>
    <s v="SONAK HOLDINGS CORPORATION"/>
    <s v="WEST SERVICE, CUPANG, MUNTINLUPA"/>
    <s v="MUNTINLUPA CITY"/>
    <s v="PARAÑAQUE"/>
    <m/>
    <m/>
    <x v="2"/>
    <s v="FCOMP"/>
    <x v="2"/>
    <n v="55.05"/>
    <n v="75.28"/>
    <n v="177"/>
    <s v="NEW"/>
    <n v="141821.41"/>
    <n v="44330.400000000001"/>
    <n v="4026.35"/>
    <n v="9.0825934347535775E-2"/>
    <d v="2024-12-11T14:29:34"/>
    <d v="2024-12-13T09:47:00"/>
    <d v="2024-12-16T00:00:00"/>
    <d v="2025-03-19T00:00:00"/>
    <d v="2025-03-19T09:27:00"/>
    <m/>
    <n v="97.78988425926218"/>
    <n v="95.98611111111677"/>
    <n v="-45735.393750000003"/>
    <d v="2024-12-30T01:58:45"/>
    <d v="2025-01-07T19:26:32"/>
    <d v="2025-01-30T14:29:34"/>
    <n v="3.4146739476399972"/>
    <n v="-1088.9379464285714"/>
    <n v="23"/>
    <n v="32"/>
    <n v="21.478599221789885"/>
    <n v="27.206225680933851"/>
    <n v="18.478599221789885"/>
    <n v="42"/>
    <n v="33.6"/>
    <n v="28.6"/>
    <d v="2025-04-21T23:51:00"/>
    <d v="2025-04-16T23:51:00"/>
    <m/>
    <m/>
    <m/>
    <m/>
    <m/>
    <m/>
    <m/>
    <m/>
    <x v="4"/>
  </r>
  <r>
    <s v="X23104201686"/>
    <s v="MINGHAI SU"/>
    <s v="MATTHEW, MULTINATIONAL VILL, PARANAQUE"/>
    <s v="PARAÑAQUE CITY"/>
    <s v="PARAÑAQUE"/>
    <s v="waiting for schedule"/>
    <s v="W/O ISSUE"/>
    <x v="3"/>
    <s v="FCOMP"/>
    <x v="3"/>
    <n v="52.731000000000002"/>
    <n v="86.52"/>
    <n v="63"/>
    <s v="NEW"/>
    <n v="428089.39"/>
    <n v="42462.879999999997"/>
    <m/>
    <n v="0"/>
    <d v="2024-12-11T15:39:45"/>
    <d v="2024-12-16T14:11:00"/>
    <d v="2024-12-17T00:00:00"/>
    <m/>
    <d v="2025-02-24T00:00:00"/>
    <m/>
    <n v="74.347395833334303"/>
    <n v="69.409027777779556"/>
    <n v="-45712"/>
    <d v="2024-12-30T22:52:18"/>
    <d v="2025-01-08T21:35:39"/>
    <d v="2025-01-30T15:39:45"/>
    <n v="2.500430320225949"/>
    <n v="-1088.3809523809523"/>
    <n v="23"/>
    <n v="34"/>
    <n v="22.300380228136884"/>
    <n v="28.247148288973385"/>
    <n v="19.300380228136884"/>
    <n v="42"/>
    <n v="33.6"/>
    <n v="28.6"/>
    <d v="2025-03-29T14:24:00"/>
    <d v="2025-03-24T14:24:00"/>
    <m/>
    <m/>
    <m/>
    <m/>
    <m/>
    <m/>
    <m/>
    <m/>
    <x v="11"/>
  </r>
  <r>
    <s v="X24051797098"/>
    <s v="ERIC CHAN KE"/>
    <s v="MASBATE LOOP, MARINA SUBD, PARANAQUE"/>
    <s v="PARAÑAQUE CITY"/>
    <s v="PARAÑAQUE"/>
    <m/>
    <s v="W/O ISSUE"/>
    <x v="5"/>
    <s v="SCHED"/>
    <x v="2"/>
    <n v="64.906999999999996"/>
    <n v="96.48"/>
    <n v="117"/>
    <s v="MODIFICATION"/>
    <n v="410179.91"/>
    <n v="51914.54"/>
    <m/>
    <n v="0"/>
    <d v="2024-12-11T15:40:12"/>
    <d v="2024-12-16T14:10:00"/>
    <d v="2024-12-17T00:00:00"/>
    <m/>
    <m/>
    <m/>
    <n v="-45637.652916666666"/>
    <n v="-45642.590277777781"/>
    <n v="0"/>
    <d v="2024-12-30T03:09:23"/>
    <d v="2025-01-07T20:37:10"/>
    <d v="2025-01-30T15:40:12"/>
    <n v="-1593.5973912477352"/>
    <n v="0"/>
    <n v="23"/>
    <n v="32"/>
    <n v="21.478599221789885"/>
    <n v="27.206225680933851"/>
    <n v="18.478599221789885"/>
    <n v="42"/>
    <n v="33.6"/>
    <n v="28.6"/>
    <d v="1900-02-01T14:24:00"/>
    <d v="1900-01-27T14:24:00"/>
    <m/>
    <m/>
    <m/>
    <m/>
    <m/>
    <m/>
    <m/>
    <m/>
    <x v="0"/>
  </r>
  <r>
    <s v="X24114498829"/>
    <s v="VILLA LIGHT NEIGHBORHOOD ASSOCIATION INC."/>
    <s v="BLOCK 10, VILLA LIGHT SUBD, TAGUIG CITY"/>
    <s v="TAGUIG CITY"/>
    <s v="PARAÑAQUE"/>
    <m/>
    <s v="W/O ISSUE"/>
    <x v="1"/>
    <s v="CLOSED-CAN"/>
    <x v="1"/>
    <n v="394.32159999999999"/>
    <n v="789.47"/>
    <n v="225"/>
    <s v="NEW"/>
    <n v="2711379.35"/>
    <n v="317538.48"/>
    <m/>
    <n v="0"/>
    <d v="2024-12-11T16:02:34"/>
    <d v="2024-12-18T09:49:00"/>
    <d v="2024-12-17T00:00:00"/>
    <m/>
    <s v="CLOSED-CAN"/>
    <m/>
    <e v="#VALUE!"/>
    <e v="#VALUE!"/>
    <e v="#VALUE!"/>
    <d v="2025-01-01T23:49:36"/>
    <d v="2025-01-11T11:30:08"/>
    <d v="2025-01-30T16:02:34"/>
    <e v="#VALUE!"/>
    <e v="#VALUE!"/>
    <n v="40"/>
    <n v="30"/>
    <n v="24.324324324324326"/>
    <n v="30.810810810810811"/>
    <n v="21.324324324324326"/>
    <n v="55"/>
    <n v="44"/>
    <n v="39"/>
    <e v="#VALUE!"/>
    <e v="#VALUE!"/>
    <m/>
    <m/>
    <m/>
    <m/>
    <m/>
    <m/>
    <m/>
    <m/>
    <x v="0"/>
  </r>
  <r>
    <s v="X24093717312"/>
    <s v="MARIA PERLA G DATINGALING"/>
    <s v="J. DIAZ, KATARUNGAN VILLAGE, MUNTINLUPA"/>
    <s v="MUNTINLUPA CITY"/>
    <s v="PARAÑAQUE"/>
    <s v="For schedule of digging"/>
    <m/>
    <x v="3"/>
    <s v="SCHED"/>
    <x v="3"/>
    <n v="222.63659999999999"/>
    <n v="328.32"/>
    <n v="20"/>
    <s v="MODIFICATION"/>
    <n v="693321.27"/>
    <n v="179284.96"/>
    <m/>
    <n v="0"/>
    <d v="2024-12-11T17:02:41"/>
    <d v="2024-12-18T09:43:00"/>
    <d v="2024-12-17T00:00:00"/>
    <m/>
    <m/>
    <m/>
    <n v="-45637.710196759261"/>
    <n v="-45644.404861111114"/>
    <n v="0"/>
    <d v="2025-01-03T04:21:56"/>
    <d v="2025-01-12T23:23:04"/>
    <d v="2025-01-30T17:02:41"/>
    <n v="-1343.7770224601336"/>
    <n v="0"/>
    <n v="30"/>
    <n v="36"/>
    <n v="25.471698113207545"/>
    <n v="32.264150943396224"/>
    <n v="22.471698113207545"/>
    <n v="48"/>
    <n v="38.400000000000006"/>
    <n v="33.400000000000006"/>
    <d v="1900-02-06T09:36:00"/>
    <d v="1900-02-01T09:36:00"/>
    <m/>
    <m/>
    <m/>
    <m/>
    <m/>
    <m/>
    <m/>
    <m/>
    <x v="0"/>
  </r>
  <r>
    <s v="X24072720259"/>
    <s v="RAMON GALVEZ VIZMONTE"/>
    <s v="MAMBOG IV, BACOOR"/>
    <s v="BACOOR CITY"/>
    <s v="DASMA"/>
    <m/>
    <s v="For Force Fcomp "/>
    <x v="5"/>
    <s v="FCOMP"/>
    <x v="2"/>
    <n v="27.452799999999996"/>
    <n v="70.849999999999994"/>
    <n v="196"/>
    <s v="NEW"/>
    <n v="647847.98"/>
    <n v="41915.619999999995"/>
    <m/>
    <n v="0"/>
    <d v="2024-12-12T00:00:00"/>
    <d v="2025-01-02T12:26:00"/>
    <d v="2024-12-19T00:00:00"/>
    <s v="1/14/025"/>
    <d v="2025-01-14T00:00:00"/>
    <m/>
    <n v="33"/>
    <n v="11.481944444443798"/>
    <n v="-45671"/>
    <d v="2024-12-30T11:29:11"/>
    <d v="2025-01-08T04:56:58"/>
    <d v="2025-01-31T00:00:00"/>
    <n v="1.1523097826086954"/>
    <n v="-1087.4047619047619"/>
    <n v="23"/>
    <n v="32"/>
    <n v="21.478599221789885"/>
    <n v="27.206225680933851"/>
    <n v="18.478599221789885"/>
    <n v="42"/>
    <n v="33.6"/>
    <n v="28.6"/>
    <d v="2025-02-16T14:24:00"/>
    <d v="2025-02-11T14:24:00"/>
    <m/>
    <m/>
    <m/>
    <m/>
    <m/>
    <m/>
    <m/>
    <m/>
    <x v="4"/>
  </r>
  <r>
    <s v="X24062437670"/>
    <s v="DITO TELECOMMUNITY CORPORATION"/>
    <s v="BETTERLIVING SUBD ANNEX 45, PARANAQUE"/>
    <s v="PARAÑAQUE CITY"/>
    <s v="PARAÑAQUE"/>
    <s v="for sched of digging; crew was deferred to execute OLDT Wos"/>
    <m/>
    <x v="4"/>
    <s v="SCHED"/>
    <x v="1"/>
    <n v="134.78100000000001"/>
    <n v="201.2"/>
    <n v="22"/>
    <s v="NEW"/>
    <n v="567073.31999999995"/>
    <n v="108536.04"/>
    <m/>
    <n v="0"/>
    <d v="2024-12-13T00:00:00"/>
    <d v="2024-12-20T13:08:00"/>
    <d v="2024-12-19T00:00:00"/>
    <m/>
    <m/>
    <m/>
    <n v="-45639"/>
    <n v="-45646.547222222223"/>
    <n v="0"/>
    <d v="2025-01-03T20:50:32"/>
    <d v="2025-01-13T12:00:00"/>
    <d v="2025-02-01T00:00:00"/>
    <n v="-1376.4142857142856"/>
    <n v="0"/>
    <n v="28"/>
    <n v="36"/>
    <n v="24.868421052631579"/>
    <n v="31.499999999999996"/>
    <n v="21.868421052631579"/>
    <n v="46"/>
    <n v="36.800000000000004"/>
    <n v="31.800000000000004"/>
    <d v="1900-02-04T19:12:00"/>
    <d v="1900-01-30T19:12:00"/>
    <m/>
    <m/>
    <m/>
    <m/>
    <m/>
    <m/>
    <m/>
    <m/>
    <x v="0"/>
  </r>
  <r>
    <s v="X24010237993"/>
    <s v="ALEXANDER CREUS BONDOC"/>
    <s v="STREET, ARDEN, ST. JOSEPH SUBD, LAS PINAS CITY"/>
    <s v="LAS PIÑAS CITY"/>
    <s v="PARAÑAQUE"/>
    <m/>
    <m/>
    <x v="3"/>
    <s v="TECO"/>
    <x v="4"/>
    <n v="24.940300000000001"/>
    <n v="34.08"/>
    <n v="87.25"/>
    <s v="NEW"/>
    <n v="211369.87"/>
    <n v="20083.77"/>
    <n v="21352.49"/>
    <n v="1.0631714065636084"/>
    <d v="2024-12-16T00:00:00"/>
    <d v="2024-12-20T13:12:00"/>
    <d v="2024-12-19T00:00:00"/>
    <m/>
    <d v="2025-01-15T00:00:00"/>
    <d v="2025-03-30T00:00:00"/>
    <n v="30"/>
    <n v="25.44999999999709"/>
    <n v="74"/>
    <d v="2025-01-03T01:47:06"/>
    <d v="2025-01-11T16:39:40"/>
    <d v="2025-02-04T00:00:00"/>
    <n v="1.0676470588235292"/>
    <n v="1.85"/>
    <n v="20"/>
    <n v="34"/>
    <n v="21.074380165289259"/>
    <n v="26.694214876033058"/>
    <n v="18.074380165289259"/>
    <n v="40"/>
    <n v="32"/>
    <n v="27"/>
    <d v="2025-02-16T00:00:00"/>
    <d v="2025-02-11T00:00:00"/>
    <m/>
    <m/>
    <m/>
    <m/>
    <m/>
    <m/>
    <m/>
    <m/>
    <x v="8"/>
  </r>
  <r>
    <s v="X24010241125"/>
    <s v="ALEXANDER CREUS BONDOC"/>
    <s v="STREET, ARDEN, ST. JOSEPH SUBD, LAS PINAS CITY"/>
    <s v="LAS PIÑAS CITY"/>
    <s v="PARAÑAQUE"/>
    <m/>
    <m/>
    <x v="3"/>
    <s v="TECO"/>
    <x v="4"/>
    <n v="22.520299999999999"/>
    <n v="30.77"/>
    <n v="87.25"/>
    <s v="NEW"/>
    <n v="206120.13"/>
    <n v="18135.009999999998"/>
    <n v="19564.78"/>
    <n v="1.0788403204630161"/>
    <d v="2024-12-16T00:00:00"/>
    <d v="2024-12-20T13:25:00"/>
    <d v="2024-12-19T00:00:00"/>
    <m/>
    <d v="2025-01-15T00:00:00"/>
    <d v="2025-03-30T00:00:00"/>
    <n v="30"/>
    <n v="25.440972222218988"/>
    <n v="74"/>
    <d v="2025-01-03T01:47:06"/>
    <d v="2025-01-11T16:39:40"/>
    <d v="2025-02-04T00:00:00"/>
    <n v="1.0676470588235292"/>
    <n v="1.85"/>
    <n v="20"/>
    <n v="34"/>
    <n v="21.074380165289259"/>
    <n v="26.694214876033058"/>
    <n v="18.074380165289259"/>
    <n v="40"/>
    <n v="32"/>
    <n v="27"/>
    <d v="2025-02-16T00:00:00"/>
    <d v="2025-02-11T00:00:00"/>
    <m/>
    <m/>
    <m/>
    <m/>
    <m/>
    <m/>
    <m/>
    <m/>
    <x v="8"/>
  </r>
  <r>
    <s v="X24020497540"/>
    <s v="THAYNE JARRETT TAN RECATO DY"/>
    <s v="BETTERLIVING SUBD ANNEX 29/32, PARANAQUE"/>
    <s v="PARAÑAQUE CITY"/>
    <s v="PARAÑAQUE"/>
    <m/>
    <m/>
    <x v="2"/>
    <s v="SCHED"/>
    <x v="2"/>
    <n v="69.344099999999997"/>
    <n v="104.67"/>
    <n v="31"/>
    <s v="MODIFICATION"/>
    <n v="324019.03000000003"/>
    <n v="55841.25"/>
    <m/>
    <n v="0"/>
    <d v="2024-12-16T00:00:00"/>
    <d v="2024-12-20T13:30:00"/>
    <d v="2024-12-27T00:00:00"/>
    <m/>
    <m/>
    <m/>
    <n v="-45642"/>
    <n v="-45646.5625"/>
    <n v="0"/>
    <d v="2025-01-06T04:57:56"/>
    <d v="2025-01-15T15:53:23"/>
    <d v="2025-02-04T00:00:00"/>
    <n v="-1414.1217948717949"/>
    <n v="0"/>
    <n v="26"/>
    <n v="36"/>
    <n v="24.206896551724139"/>
    <n v="30.662068965517239"/>
    <n v="21.206896551724139"/>
    <n v="44"/>
    <n v="35.200000000000003"/>
    <n v="30.200000000000003"/>
    <d v="1900-02-03T04:48:00"/>
    <d v="1900-01-29T04:48:00"/>
    <m/>
    <m/>
    <m/>
    <m/>
    <m/>
    <m/>
    <m/>
    <m/>
    <x v="0"/>
  </r>
  <r>
    <s v="X24114453678"/>
    <s v="JENNIFER GALANG UY"/>
    <s v="KATARUNGAN VILLAGE, MUNTINLUPA"/>
    <s v="MUNTINLUPA CITY"/>
    <s v="PARAÑAQUE"/>
    <m/>
    <m/>
    <x v="4"/>
    <s v="SCHED"/>
    <x v="1"/>
    <n v="193.60149999999999"/>
    <n v="275"/>
    <n v="83"/>
    <s v="MODIFICATION"/>
    <n v="746852.49"/>
    <n v="155928.48000000001"/>
    <m/>
    <n v="0"/>
    <d v="2024-12-16T00:00:00"/>
    <d v="2024-12-20T13:29:00"/>
    <d v="2024-12-19T00:00:00"/>
    <m/>
    <m/>
    <m/>
    <n v="-45642"/>
    <n v="-45646.561805555553"/>
    <n v="0"/>
    <d v="2025-01-05T23:02:01"/>
    <d v="2025-01-15T08:22:33"/>
    <d v="2025-02-04T00:00:00"/>
    <n v="-1428.7096638655462"/>
    <n v="0"/>
    <n v="28"/>
    <n v="34"/>
    <n v="23.959731543624162"/>
    <n v="30.348993288590602"/>
    <n v="20.959731543624162"/>
    <n v="46"/>
    <n v="36.800000000000004"/>
    <n v="31.800000000000004"/>
    <d v="1900-02-04T19:12:00"/>
    <d v="1900-01-30T19:12:00"/>
    <m/>
    <m/>
    <m/>
    <m/>
    <m/>
    <m/>
    <m/>
    <m/>
    <x v="0"/>
  </r>
  <r>
    <s v="X24020423392"/>
    <s v="GERMAN SELDAS MOTAR"/>
    <s v="MULTINATIONAL VILL, PARANAQUE"/>
    <s v="PARAÑAQUE CITY"/>
    <s v="PARAÑAQUE"/>
    <m/>
    <m/>
    <x v="2"/>
    <s v="FCOMP"/>
    <x v="2"/>
    <n v="132.87139999999999"/>
    <n v="202.83"/>
    <n v="140"/>
    <s v="MODIFICATION"/>
    <n v="613121.03"/>
    <n v="106644.8"/>
    <n v="85085.01"/>
    <n v="0.79783552503263166"/>
    <d v="2024-12-17T00:00:00"/>
    <d v="2024-12-23T12:47:00"/>
    <d v="2024-12-27T00:00:00"/>
    <d v="2025-02-22T00:00:00"/>
    <d v="2025-02-22T00:00:00"/>
    <m/>
    <n v="67"/>
    <n v="60.46736111111386"/>
    <n v="-45710"/>
    <d v="2025-01-06T00:19:44"/>
    <d v="2025-01-15T03:36:59"/>
    <d v="2025-02-05T00:00:00"/>
    <n v="2.1834821428571427"/>
    <n v="-993.695652173913"/>
    <n v="28"/>
    <n v="32"/>
    <n v="23.013698630136989"/>
    <n v="29.150684931506852"/>
    <n v="20.013698630136989"/>
    <n v="46"/>
    <n v="36.800000000000004"/>
    <n v="31.800000000000004"/>
    <d v="2025-03-30T19:12:00"/>
    <d v="2025-03-25T19:12:00"/>
    <m/>
    <m/>
    <m/>
    <m/>
    <m/>
    <m/>
    <m/>
    <m/>
    <x v="4"/>
  </r>
  <r>
    <s v="X24114622443"/>
    <s v="NELSON BALIGUAT RODRIGUEZ"/>
    <s v="ENLISTED PERSONNEL VIL 2, TAGUIG CITY"/>
    <s v="TAGUIG CITY"/>
    <s v="PARAÑAQUE"/>
    <m/>
    <m/>
    <x v="1"/>
    <s v="FCOMP"/>
    <x v="1"/>
    <n v="39.92"/>
    <n v="54.73"/>
    <n v="21"/>
    <s v="MODIFICATION"/>
    <n v="78921.539999999994"/>
    <n v="32146.36"/>
    <n v="15300.13"/>
    <n v="0.47595217623394992"/>
    <d v="2024-12-17T00:00:00"/>
    <d v="2024-12-23T12:43:00"/>
    <d v="2024-12-19T00:00:00"/>
    <m/>
    <d v="2025-01-26T00:00:00"/>
    <m/>
    <n v="40"/>
    <n v="33.47013888888614"/>
    <n v="-45683"/>
    <d v="2025-01-06T02:03:07"/>
    <d v="2025-01-15T05:47:57"/>
    <d v="2025-02-05T00:00:00"/>
    <n v="1.2995169082125604"/>
    <n v="-1087.6904761904761"/>
    <n v="23"/>
    <n v="36"/>
    <n v="23.085501858736059"/>
    <n v="29.241635687732341"/>
    <n v="20.085501858736059"/>
    <n v="42"/>
    <n v="33.6"/>
    <n v="28.6"/>
    <d v="2025-02-28T14:24:00"/>
    <d v="2025-02-23T14:24:00"/>
    <m/>
    <m/>
    <m/>
    <m/>
    <m/>
    <m/>
    <m/>
    <m/>
    <x v="4"/>
  </r>
  <r>
    <s v="X23093703275"/>
    <s v="BARANGAY MANUYO DOS"/>
    <s v="TOLENTINO, GATCHALIAN SUBD, LAS PINAS CITY"/>
    <s v="LAS PIÑAS CITY"/>
    <s v="PARAÑAQUE"/>
    <m/>
    <m/>
    <x v="3"/>
    <s v="FCOMP"/>
    <x v="3"/>
    <n v="124.15810000000002"/>
    <n v="222.05"/>
    <n v="17.8"/>
    <s v="NEW"/>
    <n v="650762.17000000004"/>
    <n v="117362.26000000004"/>
    <m/>
    <n v="0"/>
    <d v="2024-12-19T00:00:00"/>
    <d v="2024-12-23T12:52:00"/>
    <d v="2024-12-21T00:00:00"/>
    <m/>
    <m/>
    <m/>
    <n v="-45645"/>
    <n v="0"/>
    <n v="0"/>
    <d v="2025-01-06T02:03:07"/>
    <d v="2025-01-15T05:47:57"/>
    <d v="2025-02-05T00:00:00"/>
    <n v="-1482.911231884058"/>
    <n v="0"/>
    <n v="23"/>
    <n v="36"/>
    <n v="23.085501858736059"/>
    <n v="29.241635687732341"/>
    <n v="20.085501858736059"/>
    <n v="42"/>
    <n v="33.6"/>
    <n v="28.6"/>
    <d v="1900-02-01T14:24:00"/>
    <d v="1900-01-27T14:24:00"/>
    <m/>
    <m/>
    <m/>
    <m/>
    <m/>
    <m/>
    <m/>
    <m/>
    <x v="1"/>
  </r>
  <r>
    <s v="X24093865089"/>
    <s v="JOVY BITANGCOL LOSERIAGA"/>
    <s v="STREET, BLOCK 8, AFP OVAI PH 1, TAGUIG CITY"/>
    <s v="TAGUIG CITY"/>
    <s v="PARAÑAQUE"/>
    <m/>
    <m/>
    <x v="1"/>
    <s v="FCOMP"/>
    <x v="1"/>
    <n v="3.58"/>
    <n v="15.83"/>
    <n v="42"/>
    <s v="MODIFICATION"/>
    <n v="41516.720000000001"/>
    <n v="9308.9499999999989"/>
    <m/>
    <n v="0"/>
    <d v="2024-12-19T00:00:00"/>
    <d v="2024-12-23T12:44:00"/>
    <d v="2024-12-21T00:00:00"/>
    <m/>
    <d v="2025-01-11T00:00:00"/>
    <m/>
    <n v="23"/>
    <n v="0"/>
    <n v="-45668"/>
    <d v="2025-01-06T02:03:07"/>
    <d v="2025-01-15T05:47:57"/>
    <d v="2025-02-05T00:00:00"/>
    <n v="0.74722222222222212"/>
    <n v="0"/>
    <n v="23"/>
    <n v="36"/>
    <n v="23.085501858736059"/>
    <n v="29.241635687732341"/>
    <n v="20.085501858736059"/>
    <n v="42"/>
    <n v="33.6"/>
    <n v="28.6"/>
    <d v="1900-02-01T14:24:00"/>
    <d v="1900-01-27T14:24:00"/>
    <m/>
    <m/>
    <m/>
    <m/>
    <m/>
    <m/>
    <m/>
    <m/>
    <x v="4"/>
  </r>
  <r>
    <s v="X24114564095"/>
    <s v="ROMAN CATHOLIC BISHOP OF IMUS, INCORPORATED"/>
    <s v="CAMELLA SPV CENTRAL PH 2, BACOOR"/>
    <s v="BACOOR CITY"/>
    <s v="DASMA"/>
    <m/>
    <m/>
    <x v="5"/>
    <s v="FCOMP"/>
    <x v="2"/>
    <n v="47.618499999999997"/>
    <n v="104.3"/>
    <n v="54"/>
    <s v="NEW"/>
    <n v="434824.49"/>
    <n v="57699.09"/>
    <m/>
    <n v="0"/>
    <d v="2024-12-19T00:00:00"/>
    <d v="2024-12-23T12:41:00"/>
    <d v="2024-12-21T00:00:00"/>
    <m/>
    <d v="2025-04-22T00:00:00"/>
    <m/>
    <n v="124"/>
    <n v="0"/>
    <n v="-45769"/>
    <d v="2025-01-06T02:03:07"/>
    <d v="2025-01-15T05:47:57"/>
    <d v="2025-02-05T00:00:00"/>
    <n v="4.0285024154589371"/>
    <n v="0"/>
    <n v="23"/>
    <n v="36"/>
    <n v="23.085501858736059"/>
    <n v="29.241635687732341"/>
    <n v="20.085501858736059"/>
    <n v="42"/>
    <n v="33.6"/>
    <n v="28.6"/>
    <d v="1900-02-01T14:24:00"/>
    <d v="1900-01-27T14:24:00"/>
    <m/>
    <m/>
    <m/>
    <m/>
    <m/>
    <m/>
    <m/>
    <m/>
    <x v="1"/>
  </r>
  <r>
    <s v="X24041002556"/>
    <s v="STA. LUCIA REALTY &amp; DEVELOPMENT, INC."/>
    <s v="VISTA VERDE SOUTH EXEC PH4, BACOOR"/>
    <s v="BACOOR CITY"/>
    <s v="DASMA"/>
    <m/>
    <m/>
    <x v="4"/>
    <s v="FCOMP"/>
    <x v="1"/>
    <n v="125.09089999999999"/>
    <n v="241.53"/>
    <n v="20"/>
    <s v="NEW"/>
    <n v="796877.5"/>
    <n v="130293.83"/>
    <m/>
    <n v="0"/>
    <d v="2024-12-20T00:00:00"/>
    <d v="2024-12-23T12:39:00"/>
    <d v="2024-12-21T00:00:00"/>
    <m/>
    <d v="2025-05-12T00:00:00"/>
    <m/>
    <n v="143"/>
    <n v="0"/>
    <n v="-45789"/>
    <d v="2025-01-06T02:03:07"/>
    <d v="2025-01-15T05:47:57"/>
    <d v="2025-02-05T00:00:00"/>
    <n v="4.6457729468599034"/>
    <n v="0"/>
    <n v="23"/>
    <n v="36"/>
    <n v="23.085501858736059"/>
    <n v="29.241635687732341"/>
    <n v="20.085501858736059"/>
    <n v="42"/>
    <n v="33.6"/>
    <n v="28.6"/>
    <d v="1900-02-01T14:24:00"/>
    <d v="1900-01-27T14:24:00"/>
    <m/>
    <m/>
    <m/>
    <m/>
    <m/>
    <m/>
    <m/>
    <m/>
    <x v="1"/>
  </r>
  <r>
    <s v="X24114565283"/>
    <s v="FANTASTICBAKA INCORPORATED"/>
    <s v="TAGUIG BAGUMBAYAN INDL ASS INC, TAGUIG CITY"/>
    <s v="TAGUIG CITY"/>
    <s v="PARAÑAQUE"/>
    <m/>
    <s v="W/O ISSUE"/>
    <x v="2"/>
    <s v="FCOMP"/>
    <x v="2"/>
    <n v="6.79"/>
    <n v="46.58"/>
    <n v="115"/>
    <s v="NEW"/>
    <n v="73436.03"/>
    <n v="27371.280000000002"/>
    <m/>
    <n v="0"/>
    <d v="2024-12-20T18:00:00"/>
    <d v="2024-12-26T14:19:00"/>
    <d v="2024-12-27T00:00:00"/>
    <m/>
    <d v="2025-01-11T00:00:00"/>
    <m/>
    <n v="21.25"/>
    <n v="0"/>
    <n v="-45668"/>
    <d v="2025-01-06T02:03:07"/>
    <d v="2025-01-15T05:47:57"/>
    <d v="2025-02-05T00:00:00"/>
    <n v="0.69036835748792269"/>
    <n v="0"/>
    <n v="23"/>
    <n v="36"/>
    <n v="23.085501858736059"/>
    <n v="29.241635687732341"/>
    <n v="20.085501858736059"/>
    <n v="42"/>
    <n v="33.6"/>
    <n v="28.6"/>
    <d v="2025-02-02T00:00:00"/>
    <d v="1900-01-27T14:24:00"/>
    <m/>
    <m/>
    <m/>
    <m/>
    <m/>
    <m/>
    <m/>
    <m/>
    <x v="1"/>
  </r>
  <r>
    <s v="X24072572239"/>
    <s v="ROMEO ICASAS ABAD JR."/>
    <s v="NIOG III, NIOG III, BACOOR"/>
    <s v="BACOOR CITY"/>
    <s v="DASMA"/>
    <m/>
    <m/>
    <x v="4"/>
    <s v="FCOMP"/>
    <x v="1"/>
    <n v="42.734700000000004"/>
    <n v="84.73"/>
    <n v="40"/>
    <s v="NEW"/>
    <n v="376178.98"/>
    <n v="45404.779999999992"/>
    <m/>
    <n v="0"/>
    <d v="2024-12-23T13:17:00"/>
    <d v="2024-12-26T14:21:00"/>
    <d v="2024-12-26T00:00:00"/>
    <m/>
    <d v="2025-03-31T00:00:00"/>
    <m/>
    <n v="97.446527777778101"/>
    <n v="0"/>
    <n v="-45747"/>
    <d v="2025-01-06T02:03:07"/>
    <d v="2025-01-15T05:47:57"/>
    <d v="2025-02-05T00:00:00"/>
    <n v="3.1658352623456896"/>
    <n v="0"/>
    <n v="23"/>
    <n v="36"/>
    <n v="23.085501858736059"/>
    <n v="29.241635687732341"/>
    <n v="20.085501858736059"/>
    <n v="42"/>
    <n v="33.6"/>
    <n v="28.6"/>
    <d v="1900-02-01T14:24:00"/>
    <d v="1900-01-27T14:24:00"/>
    <m/>
    <m/>
    <m/>
    <m/>
    <m/>
    <m/>
    <m/>
    <m/>
    <x v="1"/>
  </r>
  <r>
    <s v="X24124692677"/>
    <s v="CITY GOVERNMENT OF BACOOR"/>
    <s v="MOLINO HOMES I SUBD, BACOOR"/>
    <s v="BACOOR CITY"/>
    <s v="DASMA"/>
    <m/>
    <m/>
    <x v="4"/>
    <s v="FCOMP"/>
    <x v="1"/>
    <n v="299.65669999999977"/>
    <n v="671.93"/>
    <n v="250"/>
    <s v="NEW"/>
    <n v="1901958.33"/>
    <n v="354962.15"/>
    <m/>
    <n v="0"/>
    <d v="2024-12-26T12:54:00"/>
    <d v="2025-01-03T12:26:00"/>
    <d v="2025-01-02T00:00:00"/>
    <m/>
    <d v="2025-03-12T14:39:00"/>
    <m/>
    <n v="76.072916666671517"/>
    <n v="0"/>
    <n v="-45728.61041666667"/>
    <d v="2025-01-06T02:03:07"/>
    <d v="2025-01-15T05:47:57"/>
    <d v="2025-02-05T00:00:00"/>
    <n v="2.4714510366346181"/>
    <n v="0"/>
    <n v="23"/>
    <n v="36"/>
    <n v="23.085501858736059"/>
    <n v="29.241635687732341"/>
    <n v="20.085501858736059"/>
    <n v="42"/>
    <n v="33.6"/>
    <n v="28.6"/>
    <d v="1900-02-01T14:24:00"/>
    <d v="1900-01-27T14:24:00"/>
    <m/>
    <m/>
    <m/>
    <m/>
    <m/>
    <m/>
    <m/>
    <m/>
    <x v="1"/>
  </r>
  <r>
    <s v="X23051529972"/>
    <s v="ERIC ANTHONY S CASTAÑEDA"/>
    <s v="TIERRA NUEVA SUBD, MUNTINLUPA"/>
    <s v="MUNTINLUPA CITY"/>
    <s v="PARAÑAQUE"/>
    <m/>
    <m/>
    <x v="3"/>
    <s v="FCOMP"/>
    <x v="3"/>
    <n v="34.519500000000001"/>
    <n v="88.23"/>
    <n v="70.5"/>
    <s v="NEW"/>
    <n v="363155.38"/>
    <n v="46727.63"/>
    <m/>
    <n v="0"/>
    <d v="2024-12-27T09:17:00"/>
    <d v="2025-01-03T12:24:00"/>
    <d v="2025-01-02T00:00:00"/>
    <m/>
    <d v="2025-02-12T00:00:00"/>
    <m/>
    <n v="46.613194444442343"/>
    <n v="0"/>
    <n v="-45700"/>
    <d v="2025-01-06T02:03:07"/>
    <d v="2025-01-15T05:47:57"/>
    <d v="2025-02-05T00:00:00"/>
    <n v="1.5143658581588151"/>
    <n v="0"/>
    <n v="23"/>
    <n v="36"/>
    <n v="23.085501858736059"/>
    <n v="29.241635687732341"/>
    <n v="20.085501858736059"/>
    <n v="42"/>
    <n v="33.6"/>
    <n v="28.6"/>
    <d v="1900-02-01T14:24:00"/>
    <d v="1900-01-27T14:24:00"/>
    <m/>
    <m/>
    <m/>
    <m/>
    <m/>
    <m/>
    <m/>
    <m/>
    <x v="4"/>
  </r>
  <r>
    <s v="X24124714328"/>
    <s v="AC AUTOMOTIVE BUSINESS SERVICES, INC."/>
    <s v="MOLINO BLVD., BAYANAN, BACOOR"/>
    <s v="BACOOR CITY"/>
    <s v="DASMA"/>
    <m/>
    <m/>
    <x v="5"/>
    <s v="FCOMP"/>
    <x v="2"/>
    <n v="14.2433"/>
    <n v="65.2"/>
    <n v="60"/>
    <s v="NEW"/>
    <n v="383052.97"/>
    <n v="38382.07"/>
    <m/>
    <n v="0"/>
    <d v="2024-12-27T09:19:00"/>
    <d v="2025-01-03T12:27:00"/>
    <d v="2025-01-02T00:00:00"/>
    <m/>
    <d v="2025-01-15T00:00:00"/>
    <m/>
    <n v="18.611805555556202"/>
    <n v="0"/>
    <n v="-45672"/>
    <d v="2025-01-15T16:31:33"/>
    <d v="2025-01-24T15:14:54"/>
    <d v="2025-02-15T09:19:00"/>
    <n v="0.62594691318558571"/>
    <n v="-1087.4285714285713"/>
    <n v="23"/>
    <n v="34"/>
    <n v="22.300380228136884"/>
    <n v="28.247148288973385"/>
    <n v="19.300380228136884"/>
    <n v="42"/>
    <n v="33.6"/>
    <n v="28.6"/>
    <d v="2025-02-17T14:24:00"/>
    <d v="2025-02-12T14:24:00"/>
    <m/>
    <m/>
    <m/>
    <m/>
    <m/>
    <m/>
    <m/>
    <m/>
    <x v="4"/>
  </r>
  <r>
    <s v="X23083241618"/>
    <s v="ROMEO P. CAMBA"/>
    <s v="SAN ANTONIO VALLEY 11, PARANAQUE"/>
    <s v="PARAÑAQUE CITY"/>
    <s v="PARAÑAQUE"/>
    <m/>
    <m/>
    <x v="2"/>
    <s v="SCHED"/>
    <x v="2"/>
    <n v="255.58199999999999"/>
    <n v="459.98"/>
    <n v="74"/>
    <s v="NEW"/>
    <n v="1386868.07"/>
    <n v="250439.27999999997"/>
    <m/>
    <n v="0"/>
    <d v="2024-12-27T15:18:00"/>
    <d v="2025-01-03T12:36:00"/>
    <d v="2025-01-02T00:00:00"/>
    <m/>
    <m/>
    <m/>
    <n v="-45653.637499999997"/>
    <n v="0"/>
    <n v="0"/>
    <d v="2025-01-06T02:03:07"/>
    <d v="2025-01-15T05:47:57"/>
    <d v="2025-02-05T00:00:00"/>
    <n v="-1483.1918463164252"/>
    <n v="0"/>
    <n v="23"/>
    <n v="36"/>
    <n v="23.085501858736059"/>
    <n v="29.241635687732341"/>
    <n v="20.085501858736059"/>
    <n v="42"/>
    <n v="33.6"/>
    <n v="28.6"/>
    <d v="1900-02-01T14:24:00"/>
    <d v="1900-01-27T14:24:00"/>
    <m/>
    <m/>
    <m/>
    <m/>
    <m/>
    <m/>
    <m/>
    <m/>
    <x v="0"/>
  </r>
  <r>
    <s v="X24041187305"/>
    <s v="CATHEDRAL OF THE KING, INC. (CORPORATION SOLE)"/>
    <s v="MARIMAR VILLAGE, PARANAQUE"/>
    <s v="PARAÑAQUE CITY"/>
    <s v="PARAÑAQUE"/>
    <s v="For survey"/>
    <m/>
    <x v="3"/>
    <s v="FCOMP"/>
    <x v="3"/>
    <n v="70.284800000000004"/>
    <n v="151.78"/>
    <n v="62"/>
    <s v="NEW"/>
    <n v="546397.23"/>
    <n v="76869.350000000006"/>
    <m/>
    <n v="0"/>
    <d v="2024-12-27T15:21:00"/>
    <d v="2025-01-03T12:46:00"/>
    <d v="2025-01-02T00:00:00"/>
    <m/>
    <d v="2025-04-08T00:00:00"/>
    <m/>
    <n v="101.36041666667006"/>
    <n v="0"/>
    <n v="-45755"/>
    <d v="2025-01-06T02:03:07"/>
    <d v="2025-01-15T05:47:57"/>
    <d v="2025-02-05T00:00:00"/>
    <n v="3.2929893820451985"/>
    <n v="0"/>
    <n v="23"/>
    <n v="36"/>
    <n v="23.085501858736059"/>
    <n v="29.241635687732341"/>
    <n v="20.085501858736059"/>
    <n v="42"/>
    <n v="33.6"/>
    <n v="28.6"/>
    <d v="1900-02-01T14:24:00"/>
    <d v="1900-01-27T14:24:00"/>
    <m/>
    <m/>
    <m/>
    <m/>
    <m/>
    <m/>
    <m/>
    <m/>
    <x v="4"/>
  </r>
  <r>
    <s v="X24124856516"/>
    <s v="RAUL GABRIEL II S. DIMATATAC"/>
    <s v="SUSANA HEIGHTS SUBD, MUNTINLUPA"/>
    <s v="MUNTINLUPA CITY"/>
    <s v="PARAÑAQUE"/>
    <m/>
    <s v="Error in FCOMP due to Budget Issues _x000a_Email for Force FCOMP already Sent to Mam Zarah"/>
    <x v="5"/>
    <s v="FCOMP"/>
    <x v="2"/>
    <n v="25.0823"/>
    <n v="43.28"/>
    <n v="82"/>
    <s v="NEW"/>
    <n v="273825.69"/>
    <n v="27854.74"/>
    <m/>
    <n v="0"/>
    <d v="2025-01-02T14:30:00"/>
    <d v="2025-01-03T08:38:00"/>
    <d v="2025-01-06T00:00:00"/>
    <m/>
    <d v="2025-01-04T00:00:00"/>
    <m/>
    <n v="1.3958333333357587"/>
    <n v="0"/>
    <n v="-45661"/>
    <d v="2025-01-20T16:17:06"/>
    <d v="2025-01-29T07:09:40"/>
    <d v="2025-02-21T14:30:00"/>
    <n v="4.9675245098125528E-2"/>
    <n v="-1141.5250000000001"/>
    <n v="20"/>
    <n v="34"/>
    <n v="21.074380165289259"/>
    <n v="26.694214876033058"/>
    <n v="18.074380165289259"/>
    <n v="40"/>
    <n v="32"/>
    <n v="27"/>
    <d v="2025-02-05T00:00:00"/>
    <d v="2025-01-31T00:00:00"/>
    <m/>
    <m/>
    <m/>
    <m/>
    <m/>
    <m/>
    <m/>
    <m/>
    <x v="1"/>
  </r>
  <r>
    <s v="X24114563541"/>
    <s v="MONOCRETE CONSTRUCTION PHILIPPINES, INC."/>
    <s v="PRES. DIOSDADO MACAPAGAL, ASIAWORLD CITY, PARANAQUE"/>
    <s v="PARAÑAQUE CITY"/>
    <s v="PARAÑAQUE"/>
    <m/>
    <m/>
    <x v="4"/>
    <s v="SCHED"/>
    <x v="1"/>
    <n v="20.650000000000002"/>
    <n v="47.82"/>
    <n v="0"/>
    <s v="TERMINATION"/>
    <n v="34239.42"/>
    <n v="30141.650000000005"/>
    <m/>
    <n v="0"/>
    <d v="2025-01-02T16:09:00"/>
    <d v="2025-01-06T07:58:00"/>
    <d v="2025-01-06T00:00:00"/>
    <m/>
    <m/>
    <m/>
    <n v="-45659.67291666667"/>
    <n v="0"/>
    <n v="0"/>
    <d v="2025-01-06T02:03:07"/>
    <d v="2025-01-15T05:47:57"/>
    <d v="2025-02-05T00:00:00"/>
    <n v="-1483.3879244665864"/>
    <n v="0"/>
    <n v="23"/>
    <n v="36"/>
    <n v="23.085501858736059"/>
    <n v="29.241635687732341"/>
    <n v="20.085501858736059"/>
    <n v="40"/>
    <n v="33.6"/>
    <n v="28.6"/>
    <d v="1900-02-01T14:24:00"/>
    <d v="1900-01-27T14:24:00"/>
    <m/>
    <m/>
    <m/>
    <m/>
    <m/>
    <m/>
    <m/>
    <m/>
    <x v="0"/>
  </r>
  <r>
    <s v="X24124737940"/>
    <s v="PETRON CORPORATION"/>
    <s v="ALABANG-ZAPOTE, TALON II, LAS PINAS CITY"/>
    <s v="LAS PIÑAS CITY"/>
    <s v="PARAÑAQUE"/>
    <m/>
    <m/>
    <x v="3"/>
    <s v="TECO"/>
    <x v="4"/>
    <n v="46.2"/>
    <n v="151.75"/>
    <n v="117"/>
    <s v="NEW"/>
    <n v="879274.36"/>
    <n v="82635.45"/>
    <n v="100779.99"/>
    <n v="1.21957331871491"/>
    <d v="2025-01-03T09:49:00"/>
    <d v="2025-01-08T15:23:00"/>
    <d v="2025-01-06T00:00:00"/>
    <m/>
    <d v="2025-01-15T00:00:00"/>
    <d v="2025-03-11T00:00:00"/>
    <n v="11.590972222220444"/>
    <n v="6.359027777776646"/>
    <n v="55"/>
    <d v="2025-01-06T02:03:07"/>
    <d v="2025-01-15T05:47:57"/>
    <d v="2025-02-05T00:00:00"/>
    <n v="0.37656660963493949"/>
    <n v="0"/>
    <n v="23"/>
    <n v="36"/>
    <n v="23.085501858736059"/>
    <n v="29.241635687732341"/>
    <n v="20.085501858736059"/>
    <n v="42"/>
    <n v="33.6"/>
    <n v="28.6"/>
    <d v="2025-02-02T00:00:00"/>
    <d v="1900-01-27T14:24:00"/>
    <m/>
    <m/>
    <m/>
    <m/>
    <m/>
    <m/>
    <m/>
    <m/>
    <x v="8"/>
  </r>
  <r>
    <s v="X24104149594"/>
    <s v="NORTH PHILIPPINE UNION CONFERENCE CORP OF THE SEVE"/>
    <s v="STREET, BAYANAN, BAYANAN, BACOOR"/>
    <s v="BACOOR CITY"/>
    <s v="DASMA"/>
    <m/>
    <m/>
    <x v="5"/>
    <s v="FCOMP"/>
    <x v="2"/>
    <n v="53.161999999999999"/>
    <n v="95.17"/>
    <n v="34"/>
    <s v="NEW"/>
    <n v="465517.05"/>
    <n v="45678.36"/>
    <m/>
    <n v="0"/>
    <d v="2025-01-03T09:52:00"/>
    <d v="2025-01-08T15:25:00"/>
    <d v="2025-01-06T00:00:00"/>
    <m/>
    <d v="2025-04-07T07:56:00"/>
    <m/>
    <n v="93.919444444443798"/>
    <n v="0"/>
    <n v="-45754.330555555556"/>
    <d v="2025-01-06T02:03:07"/>
    <d v="2025-02-01T15:39:57"/>
    <d v="2025-02-05T00:00:00"/>
    <n v="3.051247651637123"/>
    <n v="0"/>
    <n v="23"/>
    <n v="36"/>
    <n v="23.085501858736059"/>
    <n v="29.241635687732341"/>
    <n v="20.085501858736059"/>
    <n v="42"/>
    <n v="33.6"/>
    <n v="28.6"/>
    <d v="2025-05-10T22:20:00"/>
    <d v="2025-05-05T22:20:00"/>
    <m/>
    <m/>
    <m/>
    <m/>
    <m/>
    <m/>
    <m/>
    <m/>
    <x v="1"/>
  </r>
  <r>
    <s v="X24093710813"/>
    <s v="ALLAN RAMIREZ SORBITO"/>
    <s v="CAMELLA SPRINGVILLE HEIGHTS III, BACOOR"/>
    <s v="BACOOR CITY"/>
    <s v="DASMA"/>
    <m/>
    <m/>
    <x v="5"/>
    <s v="FCOMP"/>
    <x v="2"/>
    <n v="27.34"/>
    <n v="37.43"/>
    <n v="5"/>
    <s v="NEW"/>
    <n v="55291.05"/>
    <n v="23492.09"/>
    <m/>
    <n v="0"/>
    <d v="2025-01-06T10:11:00"/>
    <d v="2025-01-10T15:07:00"/>
    <d v="2025-01-09T00:00:00"/>
    <m/>
    <d v="2025-02-07T00:00:00"/>
    <m/>
    <n v="31.575694444443798"/>
    <n v="27.370138888887595"/>
    <n v="-45695"/>
    <d v="2025-01-25T04:45:50"/>
    <d v="2025-02-03T00:07:08"/>
    <d v="2025-02-25T10:11:00"/>
    <n v="1.0876072530863974"/>
    <n v="-1142.375"/>
    <n v="20"/>
    <n v="36"/>
    <n v="21.774193548387096"/>
    <n v="27.58064516129032"/>
    <n v="18.774193548387096"/>
    <n v="40"/>
    <n v="32"/>
    <n v="27"/>
    <d v="2025-03-11T00:00:00"/>
    <d v="2025-03-06T00:00:00"/>
    <m/>
    <m/>
    <m/>
    <m/>
    <m/>
    <m/>
    <m/>
    <m/>
    <x v="1"/>
  </r>
  <r>
    <s v="X24104283780"/>
    <s v="GOLDEN LARIELLE, INC.,"/>
    <s v="BLOCK 1, TUNASAN, MUNTINLUPA"/>
    <s v="MUNTINLUPA CITY"/>
    <s v="PARAÑAQUE"/>
    <m/>
    <m/>
    <x v="2"/>
    <s v="SCHED"/>
    <x v="2"/>
    <n v="147.75859999999994"/>
    <n v="276.48"/>
    <n v="45"/>
    <s v="NEW"/>
    <n v="890781.19"/>
    <n v="150792.13"/>
    <m/>
    <n v="0"/>
    <d v="2025-01-06T10:11:00"/>
    <d v="2025-01-10T15:12:00"/>
    <d v="2025-01-09T00:00:00"/>
    <m/>
    <m/>
    <m/>
    <n v="-45663.424305555556"/>
    <n v="-45667.633333333331"/>
    <n v="0"/>
    <d v="2025-01-28T07:01:32"/>
    <d v="2025-02-06T22:11:00"/>
    <d v="2025-02-25T10:11:00"/>
    <n v="-1377.1508917548499"/>
    <n v="0"/>
    <n v="28"/>
    <n v="36"/>
    <n v="24.868421052631579"/>
    <n v="31.499999999999996"/>
    <n v="21.868421052631579"/>
    <n v="46"/>
    <n v="36.800000000000004"/>
    <n v="31.800000000000004"/>
    <d v="1900-02-04T19:12:00"/>
    <d v="1900-01-30T19:12:00"/>
    <m/>
    <m/>
    <m/>
    <m/>
    <m/>
    <m/>
    <m/>
    <m/>
    <x v="0"/>
  </r>
  <r>
    <s v="X24124874147"/>
    <s v="EMPIRE METAL WORKS, INC."/>
    <s v="NIOG III, NIOG III, BACOOR"/>
    <s v="BACOOR CITY"/>
    <s v="DASMA"/>
    <m/>
    <m/>
    <x v="5"/>
    <s v="SCHED"/>
    <x v="2"/>
    <n v="6.77"/>
    <n v="126.5"/>
    <n v="0"/>
    <s v="TERMINATION"/>
    <n v="70611.97"/>
    <n v="79358.02"/>
    <m/>
    <n v="0"/>
    <d v="2025-01-06T11:59:00"/>
    <d v="2025-01-10T15:10:00"/>
    <d v="2025-01-13T00:00:00"/>
    <m/>
    <m/>
    <m/>
    <n v="-45663.499305555553"/>
    <n v="-45667.631944444445"/>
    <n v="0"/>
    <d v="2025-01-27T16:56:56"/>
    <d v="2025-02-06T03:52:23"/>
    <d v="2025-02-25T11:59:00"/>
    <n v="-1414.7879058345202"/>
    <n v="0"/>
    <n v="26"/>
    <n v="36"/>
    <n v="24.206896551724139"/>
    <n v="30.662068965517239"/>
    <n v="21.206896551724139"/>
    <n v="44"/>
    <n v="35.200000000000003"/>
    <n v="30.200000000000003"/>
    <d v="1900-02-03T04:48:00"/>
    <d v="1900-01-29T04:48:00"/>
    <m/>
    <m/>
    <m/>
    <m/>
    <m/>
    <m/>
    <m/>
    <m/>
    <x v="0"/>
  </r>
  <r>
    <s v="X24124873554"/>
    <s v="SHANZHEN HAIWEI FOOD CORP. DOING BUSINESS UNDER TH"/>
    <s v="GEN. EMILIO AGUINALDO, PANAPAAN I, BACOOR"/>
    <s v="BACOOR CITY"/>
    <s v="DASMA"/>
    <m/>
    <m/>
    <x v="5"/>
    <s v="SCHED"/>
    <x v="2"/>
    <n v="11.3"/>
    <n v="24.47"/>
    <n v="0"/>
    <s v="TERMINATION"/>
    <n v="24072.27"/>
    <n v="15354.35"/>
    <m/>
    <n v="0"/>
    <d v="2025-01-06T12:07:00"/>
    <d v="2025-01-10T15:11:00"/>
    <d v="2025-01-13T00:00:00"/>
    <m/>
    <m/>
    <m/>
    <n v="-45663.504861111112"/>
    <n v="-45667.632638888892"/>
    <n v="0"/>
    <d v="2025-01-25T06:41:50"/>
    <d v="2025-02-03T02:03:08"/>
    <d v="2025-02-25T12:07:00"/>
    <n v="-1572.8540563271604"/>
    <n v="0"/>
    <n v="20"/>
    <n v="36"/>
    <n v="21.774193548387096"/>
    <n v="27.58064516129032"/>
    <n v="18.774193548387096"/>
    <n v="40"/>
    <n v="32"/>
    <n v="27"/>
    <d v="1900-01-31T00:00:00"/>
    <d v="1900-01-26T00:00:00"/>
    <m/>
    <m/>
    <m/>
    <m/>
    <m/>
    <m/>
    <m/>
    <m/>
    <x v="0"/>
  </r>
  <r>
    <s v="X24062324373"/>
    <s v="MANUEL ANTONIO S BOCALING"/>
    <s v="BLOCK 19, TUNASAN, MUNTINLUPA"/>
    <s v="MUNTINLUPA CITY"/>
    <s v="PARAÑAQUE"/>
    <m/>
    <m/>
    <x v="7"/>
    <s v="TECO"/>
    <x v="3"/>
    <n v="22.41"/>
    <n v="30.5"/>
    <n v="87"/>
    <s v="MODIFICATION"/>
    <n v="238527.99"/>
    <m/>
    <m/>
    <e v="#DIV/0!"/>
    <d v="2025-01-07T14:57:29"/>
    <d v="2025-01-14T14:46:00"/>
    <m/>
    <m/>
    <d v="2025-01-21T00:00:00"/>
    <d v="2025-02-11T14:03:00"/>
    <n v="13.376747685186274"/>
    <n v="6.3847222222248092"/>
    <n v="21.585416666668607"/>
    <d v="2025-01-25T16:44:35"/>
    <d v="2025-02-03T07:37:09"/>
    <d v="2025-02-26T14:57:29"/>
    <n v="0.47605484409045268"/>
    <n v="0.53963541666671522"/>
    <n v="20"/>
    <n v="34"/>
    <n v="21.074380165289259"/>
    <n v="26.694214876033058"/>
    <n v="18.074380165289259"/>
    <n v="40"/>
    <n v="32"/>
    <n v="27"/>
    <d v="2025-02-22T00:00:00"/>
    <d v="2025-02-17T00:00:00"/>
    <m/>
    <m/>
    <m/>
    <m/>
    <m/>
    <m/>
    <m/>
    <m/>
    <x v="8"/>
  </r>
  <r>
    <s v="X25010007601"/>
    <s v="ACASYS DEVELOPMENT CORP."/>
    <s v="SAN ANDRES, SUN VALLEY, PARANAQUE"/>
    <s v="PARAÑAQUE CITY"/>
    <s v="PARAÑAQUE"/>
    <m/>
    <m/>
    <x v="1"/>
    <s v="FCOMP"/>
    <x v="1"/>
    <n v="277.3716"/>
    <n v="763.67"/>
    <n v="1680"/>
    <s v="NEW"/>
    <n v="3356230.93"/>
    <n v="413605.22"/>
    <m/>
    <n v="0"/>
    <d v="2025-01-07T15:58:00"/>
    <d v="2025-01-10T15:05:00"/>
    <d v="2025-01-10T00:00:00"/>
    <d v="2025-04-30T00:00:00"/>
    <d v="2025-02-01T00:00:00"/>
    <m/>
    <n v="24.334722222221899"/>
    <n v="21.371527777781012"/>
    <n v="-45689"/>
    <d v="2025-01-22T07:29:46"/>
    <d v="2025-01-30T00:26:14"/>
    <d v="2025-02-26T15:58:00"/>
    <n v="1.0342256944444308"/>
    <n v="-830.70909090909095"/>
    <n v="40"/>
    <n v="20"/>
    <n v="17.647058823529413"/>
    <n v="22.352941176470591"/>
    <n v="14.647058823529413"/>
    <n v="55"/>
    <n v="44"/>
    <n v="39"/>
    <d v="2025-03-17T00:00:00"/>
    <d v="2025-03-12T00:00:00"/>
    <m/>
    <m/>
    <m/>
    <m/>
    <m/>
    <m/>
    <m/>
    <m/>
    <x v="4"/>
  </r>
  <r>
    <s v="X24103955636"/>
    <s v="DELECTABLE FEAST CORPORATION"/>
    <s v="AGUIRRE, BF HOMES, PARANAQUE"/>
    <s v="PARAÑAQUE CITY"/>
    <s v="PARAÑAQUE"/>
    <m/>
    <m/>
    <x v="3"/>
    <s v="FCOMP"/>
    <x v="3"/>
    <n v="37.269500000000001"/>
    <n v="71.569999999999993"/>
    <n v="68"/>
    <s v="NEW"/>
    <n v="381005.41"/>
    <n v="37323.409999999996"/>
    <m/>
    <n v="0"/>
    <d v="2025-01-07T15:58:04"/>
    <d v="2025-01-10T15:09:00"/>
    <d v="2025-01-10T00:00:00"/>
    <m/>
    <d v="2025-02-01T00:00:00"/>
    <m/>
    <n v="24.334675925929332"/>
    <n v="21.368750000001455"/>
    <n v="-45689"/>
    <d v="2025-01-26T23:10:37"/>
    <d v="2025-02-04T21:53:58"/>
    <d v="2025-02-26T15:58:04"/>
    <n v="0.81841685019429855"/>
    <n v="-1087.8333333333333"/>
    <n v="23"/>
    <n v="34"/>
    <n v="22.300380228136884"/>
    <n v="28.247148288973385"/>
    <n v="19.300380228136884"/>
    <n v="42"/>
    <n v="33.6"/>
    <n v="28.6"/>
    <d v="2025-03-06T14:24:00"/>
    <d v="2025-03-01T14:24:00"/>
    <m/>
    <m/>
    <m/>
    <m/>
    <m/>
    <m/>
    <m/>
    <m/>
    <x v="11"/>
  </r>
  <r>
    <s v="X24020621621"/>
    <s v="RHOEY LEE CANLAS DAKIS"/>
    <s v="BLOCK 14, TUNASAN, MUNTINLUPA"/>
    <s v="MUNTINLUPA CITY"/>
    <s v="PARAÑAQUE"/>
    <m/>
    <m/>
    <x v="2"/>
    <s v="FCOMP"/>
    <x v="2"/>
    <n v="11.4428"/>
    <n v="40.4"/>
    <n v="60"/>
    <s v="MODIFICATION"/>
    <n v="227308.27"/>
    <n v="23833.939999999995"/>
    <m/>
    <n v="0"/>
    <d v="2025-01-07T16:38:00"/>
    <d v="2025-01-14T14:49:00"/>
    <d v="2025-01-10T00:00:00"/>
    <m/>
    <d v="2025-02-05T00:00:00"/>
    <m/>
    <n v="28.306944444440887"/>
    <n v="21.382638888891961"/>
    <n v="-45693"/>
    <d v="2025-01-25T18:25:06"/>
    <d v="2025-02-03T09:17:40"/>
    <d v="2025-02-26T16:38:00"/>
    <n v="1.0073941993462785"/>
    <n v="-1142.325"/>
    <n v="20"/>
    <n v="34"/>
    <n v="21.074380165289259"/>
    <n v="26.694214876033058"/>
    <n v="18.074380165289259"/>
    <n v="40"/>
    <n v="32"/>
    <n v="27"/>
    <d v="2025-03-09T00:00:00"/>
    <d v="2025-03-04T00:00:00"/>
    <m/>
    <m/>
    <m/>
    <m/>
    <m/>
    <m/>
    <m/>
    <m/>
    <x v="1"/>
  </r>
  <r>
    <s v="X24030860881"/>
    <s v="FILIPINAS BENSON INDUSTRIAL AND DEVELOPMENT CORPOR"/>
    <s v="RODRIGUEZ, TUNASAN, MUNTINLUPA"/>
    <s v="MUNTINLUPA CITY"/>
    <s v="PARAÑAQUE"/>
    <m/>
    <m/>
    <x v="5"/>
    <s v="FCOMP"/>
    <x v="2"/>
    <n v="209.17350000000002"/>
    <n v="331.42"/>
    <n v="730"/>
    <s v="NEW"/>
    <n v="1864204.78"/>
    <n v="203044.77"/>
    <m/>
    <n v="0"/>
    <d v="2025-01-08T00:00:00"/>
    <d v="2025-01-13T14:50:00"/>
    <d v="2025-01-13T00:00:00"/>
    <m/>
    <d v="2025-01-20T00:00:00"/>
    <m/>
    <n v="12"/>
    <n v="6.3819444444452529"/>
    <n v="-45677"/>
    <d v="2025-01-23T13:09:41"/>
    <d v="2025-01-31T11:52:15"/>
    <d v="2025-02-27T00:00:00"/>
    <n v="0.48521739130434777"/>
    <n v="-951.60416666666663"/>
    <n v="30"/>
    <n v="23"/>
    <n v="18.548387096774192"/>
    <n v="23.494623655913976"/>
    <n v="15.548387096774192"/>
    <n v="48"/>
    <n v="38.400000000000006"/>
    <n v="33.400000000000006"/>
    <d v="2025-02-27T09:36:00"/>
    <d v="2025-02-22T09:36:00"/>
    <m/>
    <m/>
    <m/>
    <m/>
    <m/>
    <m/>
    <m/>
    <m/>
    <x v="1"/>
  </r>
  <r>
    <s v="X24072803104"/>
    <s v="PATRICK SOON NGO"/>
    <s v="AZUCENA, BF HOMES, PARANAQUE"/>
    <s v="PARAÑAQUE CITY"/>
    <s v="PARAÑAQUE"/>
    <m/>
    <m/>
    <x v="3"/>
    <s v="FCOMP"/>
    <x v="3"/>
    <n v="109.61980000000001"/>
    <n v="190.9"/>
    <n v="67"/>
    <s v="MODIFICATION"/>
    <n v="479799.06"/>
    <n v="108263.20000000006"/>
    <n v="45984.06"/>
    <n v="0.42474321837891338"/>
    <d v="2025-01-08T08:25:33"/>
    <d v="2025-01-10T15:10:00"/>
    <d v="2025-01-10T00:00:00"/>
    <m/>
    <d v="2025-02-10T00:00:00"/>
    <m/>
    <n v="32.64892361110833"/>
    <n v="30.368055555554747"/>
    <n v="-45698"/>
    <d v="2025-01-28T16:42:27"/>
    <d v="2025-02-06T22:06:58"/>
    <d v="2025-02-27T08:25:33"/>
    <n v="1.0489020707641137"/>
    <n v="-1038.590909090909"/>
    <n v="26"/>
    <n v="34"/>
    <n v="23.345070422535212"/>
    <n v="29.570422535211268"/>
    <n v="20.345070422535212"/>
    <n v="44"/>
    <n v="35.200000000000003"/>
    <n v="30.200000000000003"/>
    <d v="2025-03-17T04:48:00"/>
    <d v="2025-03-12T04:48:00"/>
    <m/>
    <m/>
    <m/>
    <m/>
    <m/>
    <m/>
    <m/>
    <m/>
    <x v="11"/>
  </r>
  <r>
    <s v="X24083059434"/>
    <s v="ALFAMART TRADING PHILIPPINES, INC."/>
    <s v="BLOCK 1, SAN NICOLAS III, BACOOR"/>
    <s v="BACOOR CITY"/>
    <s v="DASMA"/>
    <m/>
    <m/>
    <x v="8"/>
    <s v="TECO"/>
    <x v="3"/>
    <n v="28.61"/>
    <n v="38.93"/>
    <n v="28"/>
    <s v="NEW"/>
    <n v="224520.24"/>
    <m/>
    <m/>
    <e v="#DIV/0!"/>
    <d v="2025-01-08T13:19:41"/>
    <d v="2025-01-14T14:47:00"/>
    <m/>
    <m/>
    <d v="2025-01-24T00:00:00"/>
    <d v="2025-02-11T14:00:00"/>
    <n v="15.444664351853135"/>
    <n v="9.3840277777781012"/>
    <n v="18.583333333335759"/>
    <d v="2025-01-27T07:54:31"/>
    <d v="2025-02-05T03:15:49"/>
    <d v="2025-02-27T13:19:41"/>
    <n v="0.53198288323049681"/>
    <n v="0.46458333333339397"/>
    <n v="20"/>
    <n v="36"/>
    <n v="21.774193548387096"/>
    <n v="27.58064516129032"/>
    <n v="18.774193548387096"/>
    <n v="40"/>
    <n v="32"/>
    <n v="27"/>
    <d v="2025-02-25T00:00:00"/>
    <d v="2025-02-20T00:00:00"/>
    <m/>
    <m/>
    <m/>
    <m/>
    <m/>
    <m/>
    <m/>
    <m/>
    <x v="8"/>
  </r>
  <r>
    <s v="X24093778968"/>
    <s v="CITY GOVERNMENT OF TAGUIG"/>
    <s v="M.L. QUEZON, LOWER BICUTAN, TAGUIG CITY"/>
    <s v="TAGUIG CITY"/>
    <s v="PARAÑAQUE"/>
    <m/>
    <m/>
    <x v="1"/>
    <s v="FCOMP"/>
    <x v="1"/>
    <n v="296.29910000000001"/>
    <n v="1030.52"/>
    <n v="73"/>
    <s v="NEW"/>
    <n v="2732739.46"/>
    <n v="648325.43999999994"/>
    <m/>
    <n v="0"/>
    <d v="2025-01-08T16:28:00"/>
    <d v="2025-01-14T14:50:00"/>
    <d v="2025-01-10T00:00:00"/>
    <m/>
    <d v="2025-02-25T00:00:00"/>
    <m/>
    <n v="47.31388888888614"/>
    <n v="41.381944444445253"/>
    <n v="-45713"/>
    <d v="2025-02-02T21:27:28"/>
    <d v="2025-02-13T09:59:20"/>
    <d v="2025-02-27T16:28:00"/>
    <n v="1.2579928104574432"/>
    <n v="-761.88333333333333"/>
    <n v="50"/>
    <n v="34"/>
    <n v="28.207964601769909"/>
    <n v="35.730088495575217"/>
    <n v="25.207964601769909"/>
    <n v="60"/>
    <n v="48"/>
    <n v="43"/>
    <d v="2025-04-14T00:00:00"/>
    <d v="2025-04-09T00:00:00"/>
    <m/>
    <m/>
    <m/>
    <m/>
    <m/>
    <m/>
    <m/>
    <m/>
    <x v="1"/>
  </r>
  <r>
    <s v="X24103973963"/>
    <s v="IMV GEMINI PHARMA INC."/>
    <s v="BF HOMES-HERNANDEZ PORTION, ALMANZA I, LAS PINAS CITY"/>
    <s v="LAS PIÑAS CITY"/>
    <s v="PARAÑAQUE"/>
    <m/>
    <m/>
    <x v="3"/>
    <s v="FCOMP"/>
    <x v="3"/>
    <n v="20.258999999999997"/>
    <n v="53.6"/>
    <n v="98"/>
    <s v="NEW"/>
    <n v="458087.14"/>
    <n v="32512.640000000003"/>
    <m/>
    <n v="0"/>
    <d v="2025-01-08T16:35:13"/>
    <d v="2025-01-14T14:57:00"/>
    <d v="2025-01-10T00:00:00"/>
    <m/>
    <d v="2025-02-07T00:00:00"/>
    <m/>
    <n v="29.30887731481198"/>
    <n v="23.377083333332848"/>
    <n v="-45695"/>
    <d v="2025-01-27T23:47:46"/>
    <d v="2025-02-05T22:31:07"/>
    <d v="2025-02-27T16:35:13"/>
    <n v="0.98570776647001912"/>
    <n v="-1087.9761904761904"/>
    <n v="23"/>
    <n v="34"/>
    <n v="22.300380228136884"/>
    <n v="28.247148288973385"/>
    <n v="19.300380228136884"/>
    <n v="42"/>
    <n v="33.6"/>
    <n v="28.6"/>
    <d v="2025-03-12T14:24:00"/>
    <d v="2025-03-07T14:24:00"/>
    <m/>
    <m/>
    <m/>
    <m/>
    <m/>
    <m/>
    <m/>
    <m/>
    <x v="4"/>
  </r>
  <r>
    <s v="X25010012239"/>
    <s v="FRANCIS ARANEZ REYES"/>
    <s v="DAANG BATA, MOONWALK, PARANAQUE"/>
    <s v="PARAÑAQUE CITY"/>
    <s v="PARAÑAQUE"/>
    <m/>
    <m/>
    <x v="4"/>
    <s v="FCOMP"/>
    <x v="1"/>
    <n v="42.149000000000001"/>
    <n v="106.47"/>
    <n v="58"/>
    <s v="NEW"/>
    <n v="544190.66"/>
    <n v="65233.330000000009"/>
    <m/>
    <n v="0"/>
    <d v="2025-01-08T17:29:53"/>
    <d v="2025-01-13T11:04:00"/>
    <d v="2025-01-10T00:00:00"/>
    <m/>
    <d v="2025-03-26T00:00:00"/>
    <m/>
    <n v="76.270914351851388"/>
    <n v="71.538888888891961"/>
    <n v="-45742"/>
    <d v="2025-01-29T01:46:47"/>
    <d v="2025-02-07T07:11:18"/>
    <d v="2025-02-27T17:29:53"/>
    <n v="2.4503325425255422"/>
    <n v="-1039.590909090909"/>
    <n v="26"/>
    <n v="34"/>
    <n v="23.345070422535212"/>
    <n v="29.570422535211268"/>
    <n v="20.345070422535212"/>
    <n v="44"/>
    <n v="35.200000000000003"/>
    <n v="30.200000000000003"/>
    <d v="2025-04-30T04:48:00"/>
    <d v="2025-04-25T04:48:00"/>
    <m/>
    <m/>
    <m/>
    <m/>
    <m/>
    <m/>
    <m/>
    <m/>
    <x v="1"/>
  </r>
  <r>
    <s v="X24041122874"/>
    <s v="ST.MICHAEL'S INST. OF BACOOR"/>
    <s v="GEN. EVANGELISTA, TABING DAGAT, BACOOR"/>
    <s v="BACOOR CITY"/>
    <s v="DASMA"/>
    <m/>
    <m/>
    <x v="4"/>
    <s v="FCOMP"/>
    <x v="1"/>
    <n v="142.35950000000005"/>
    <n v="354.45"/>
    <n v="384"/>
    <s v="MODIFICATION"/>
    <n v="1446562.4"/>
    <n v="193011.69999999998"/>
    <m/>
    <n v="0"/>
    <d v="2025-01-09T13:21:02"/>
    <d v="2025-01-14T14:59:00"/>
    <d v="2025-01-10T00:00:00"/>
    <m/>
    <d v="2025-04-22T00:00:00"/>
    <m/>
    <n v="102.44372685185226"/>
    <n v="97.375694444446708"/>
    <n v="-45769"/>
    <d v="2025-01-27T23:38:11"/>
    <d v="2025-02-05T16:46:45"/>
    <d v="2025-02-28T13:21:02"/>
    <n v="3.5855304398148293"/>
    <n v="-953.52083333333337"/>
    <n v="30"/>
    <n v="28"/>
    <n v="21.428571428571431"/>
    <n v="27.142857142857146"/>
    <n v="18.428571428571431"/>
    <n v="48"/>
    <n v="38.400000000000006"/>
    <n v="33.400000000000006"/>
    <d v="2025-05-30T09:36:00"/>
    <d v="2025-05-25T09:36:00"/>
    <m/>
    <m/>
    <m/>
    <m/>
    <m/>
    <m/>
    <m/>
    <m/>
    <x v="1"/>
  </r>
  <r>
    <s v="X24103963394"/>
    <s v="HERSTAL SECURITY AGENCY, INC."/>
    <s v="DOÑA SOLEDAD, BETTER LIVING SUBD, PARANAQUE"/>
    <s v="PARAÑAQUE CITY"/>
    <s v="PARAÑAQUE"/>
    <m/>
    <m/>
    <x v="4"/>
    <s v="FCOMP"/>
    <x v="1"/>
    <n v="50.197499999999998"/>
    <n v="76.25"/>
    <n v="55"/>
    <s v="NEW"/>
    <n v="391521.04"/>
    <n v="43156.97"/>
    <m/>
    <n v="0"/>
    <d v="2025-01-09T18:06:00"/>
    <d v="2025-01-15T15:25:00"/>
    <d v="2025-01-14T00:00:00"/>
    <m/>
    <d v="2025-05-15T00:00:00"/>
    <m/>
    <n v="125.2458333333343"/>
    <n v="119.35763888889051"/>
    <n v="-45792"/>
    <d v="2025-01-29T01:18:33"/>
    <d v="2025-02-07T00:01:54"/>
    <d v="2025-02-28T18:06:00"/>
    <n v="4.2122319906223682"/>
    <n v="-1090.2857142857142"/>
    <n v="23"/>
    <n v="34"/>
    <n v="22.300380228136884"/>
    <n v="28.247148288973385"/>
    <n v="19.300380228136884"/>
    <n v="42"/>
    <n v="33.6"/>
    <n v="28.6"/>
    <d v="2025-06-17T14:24:00"/>
    <d v="2025-06-12T14:24:00"/>
    <m/>
    <m/>
    <m/>
    <m/>
    <m/>
    <m/>
    <m/>
    <m/>
    <x v="1"/>
  </r>
  <r>
    <s v="X24104022803"/>
    <s v="PRECILLE DOHINOG ARQUILLANO"/>
    <s v="SAMPALOC SITE 2, SAMPALOC SITE 2, PARANAQUE"/>
    <s v="PARAÑAQUE CITY"/>
    <s v="PARAÑAQUE"/>
    <m/>
    <m/>
    <x v="2"/>
    <s v="FCOMP"/>
    <x v="2"/>
    <n v="37.639500000000005"/>
    <n v="81.72"/>
    <n v="20"/>
    <s v="NEW"/>
    <n v="407227.17"/>
    <n v="39598.5"/>
    <n v="19745.32"/>
    <n v="0.4986380797252421"/>
    <d v="2025-01-09T18:08:00"/>
    <d v="2025-01-15T15:23:00"/>
    <d v="2025-01-14T00:00:00"/>
    <m/>
    <d v="2025-02-11T00:00:00"/>
    <m/>
    <n v="32.244444444440887"/>
    <n v="26.359027777776646"/>
    <n v="-45699"/>
    <d v="2025-01-29T20:11:07"/>
    <d v="2025-02-07T23:55:57"/>
    <d v="2025-02-28T18:08:00"/>
    <n v="1.0475550187867873"/>
    <n v="-1088.0714285714287"/>
    <n v="23"/>
    <n v="36"/>
    <n v="23.085501858736059"/>
    <n v="29.241635687732341"/>
    <n v="20.085501858736059"/>
    <n v="42"/>
    <n v="33.6"/>
    <n v="28.6"/>
    <d v="2025-03-16T14:24:00"/>
    <d v="2025-03-11T14:24:00"/>
    <m/>
    <m/>
    <m/>
    <m/>
    <m/>
    <m/>
    <m/>
    <m/>
    <x v="4"/>
  </r>
  <r>
    <s v="R23155273"/>
    <s v="ALVAREZ, SAIMON LOUISE"/>
    <s v="VISTA VERDE SOUTH, VISTA VERDE SOUTH EXEC VILL 1, BACOOR"/>
    <s v="BACOOR CITY"/>
    <s v="DASMA"/>
    <m/>
    <m/>
    <x v="5"/>
    <s v="SCHED"/>
    <x v="2"/>
    <n v="60.620699999999992"/>
    <n v="126.33"/>
    <s v=" -   "/>
    <s v="PCA RELOC"/>
    <n v="321730.09999999998"/>
    <n v="54956.670000000006"/>
    <m/>
    <n v="0"/>
    <d v="2025-01-10T13:30:00"/>
    <d v="2025-01-20T14:26:00"/>
    <d v="2025-01-14T00:00:00"/>
    <m/>
    <m/>
    <m/>
    <n v="-45667.5625"/>
    <n v="-45677.601388888892"/>
    <n v="0"/>
    <d v="2025-01-23T16:16:37"/>
    <d v="2025-01-30T23:25:02"/>
    <d v="2025-03-01T13:30:00"/>
    <n v="-2125.2981009615382"/>
    <n v="0"/>
    <n v="26"/>
    <n v="20"/>
    <n v="16.115702479338843"/>
    <n v="20.41322314049587"/>
    <n v="13.115702479338843"/>
    <n v="44"/>
    <n v="35.200000000000003"/>
    <n v="30.200000000000003"/>
    <d v="1900-02-03T04:48:00"/>
    <d v="1900-01-29T04:48:00"/>
    <m/>
    <m/>
    <m/>
    <m/>
    <m/>
    <m/>
    <m/>
    <m/>
    <x v="0"/>
  </r>
  <r>
    <s v="X24124846054"/>
    <s v="PASONG TAMO Z2 GAS STATION INC."/>
    <s v="WEST SERVICE, MARCELO GREEN VILL, PARANAQUE"/>
    <s v="PARAÑAQUE CITY"/>
    <s v="PARAÑAQUE"/>
    <m/>
    <m/>
    <x v="4"/>
    <s v="FCOMP"/>
    <x v="1"/>
    <n v="1.73"/>
    <n v="4.6500000000000004"/>
    <n v="16"/>
    <s v="NEW"/>
    <n v="18039.03"/>
    <n v="2737.9300000000003"/>
    <m/>
    <n v="0"/>
    <d v="2025-01-10T15:57:00"/>
    <d v="2025-01-15T15:29:00"/>
    <d v="2025-01-14T00:00:00"/>
    <m/>
    <d v="2025-01-30T00:00:00"/>
    <m/>
    <n v="19.335416666668607"/>
    <n v="14.354861111110949"/>
    <n v="-45687"/>
    <d v="2025-01-29T10:31:50"/>
    <d v="2025-02-07T05:53:08"/>
    <d v="2025-03-01T15:57:00"/>
    <n v="0.66599768518525204"/>
    <n v="-1142.175"/>
    <n v="20"/>
    <n v="36"/>
    <n v="21.774193548387096"/>
    <n v="27.58064516129032"/>
    <n v="18.774193548387096"/>
    <n v="40"/>
    <n v="32"/>
    <n v="27"/>
    <d v="2025-03-03T00:00:00"/>
    <d v="2025-02-26T00:00:00"/>
    <m/>
    <m/>
    <m/>
    <m/>
    <m/>
    <m/>
    <m/>
    <m/>
    <x v="1"/>
  </r>
  <r>
    <s v="X24083245022"/>
    <s v="EDGEPOINT TOWERS INC."/>
    <s v="C6 ROAD, HAGONOY, TAGUIG CITY"/>
    <s v="TAGUIG CITY"/>
    <s v="PARAÑAQUE"/>
    <m/>
    <m/>
    <x v="1"/>
    <s v="FCOMP"/>
    <x v="1"/>
    <n v="207.18429999999995"/>
    <n v="432.38"/>
    <n v="35"/>
    <s v="NEW"/>
    <n v="1348054.07"/>
    <n v="197215.94999999995"/>
    <m/>
    <n v="0"/>
    <d v="2025-01-13T16:12:00"/>
    <d v="2025-01-17T09:16:00"/>
    <d v="2025-01-14T00:00:00"/>
    <m/>
    <d v="2025-02-22T00:00:00"/>
    <m/>
    <n v="39.32499999999709"/>
    <n v="35.613888888889051"/>
    <n v="-45710"/>
    <d v="2025-02-05T16:46:42"/>
    <d v="2025-02-15T15:19:57"/>
    <d v="2025-03-04T16:12:00"/>
    <n v="1.1333246527776939"/>
    <n v="-914.2"/>
    <n v="32"/>
    <n v="36"/>
    <n v="26.024096385542165"/>
    <n v="32.963855421686745"/>
    <n v="23.024096385542165"/>
    <n v="50"/>
    <n v="40"/>
    <n v="35"/>
    <d v="2025-04-03T00:00:00"/>
    <d v="2025-03-29T00:00:00"/>
    <m/>
    <m/>
    <m/>
    <m/>
    <m/>
    <m/>
    <m/>
    <m/>
    <x v="1"/>
  </r>
  <r>
    <s v="X24093598451"/>
    <s v="DITO TELECOMMUNITY CORPORATION"/>
    <s v="DR. A. SANTOS, SAN ISIDRO, PARANAQUE"/>
    <s v="PARAÑAQUE CITY"/>
    <s v="PARAÑAQUE"/>
    <m/>
    <m/>
    <x v="2"/>
    <s v="FCOMP"/>
    <x v="2"/>
    <n v="12.312799999999999"/>
    <n v="71.78"/>
    <n v="31"/>
    <s v="NEW"/>
    <n v="267072.84999999998"/>
    <n v="42193.72"/>
    <n v="32033.67"/>
    <n v="0.75920468733261726"/>
    <d v="2025-01-14T13:05:00"/>
    <d v="2025-01-20T14:31:00"/>
    <d v="2025-01-14T00:00:00"/>
    <m/>
    <d v="2025-01-25T00:00:00"/>
    <m/>
    <n v="10.454861111109494"/>
    <n v="4.3951388888890506"/>
    <n v="-45682"/>
    <d v="2025-02-03T15:08:07"/>
    <d v="2025-02-12T18:52:57"/>
    <d v="2025-03-05T13:05:00"/>
    <n v="0.33965671967251859"/>
    <n v="-1087.6666666666667"/>
    <n v="23"/>
    <n v="36"/>
    <n v="23.085501858736059"/>
    <n v="29.241635687732341"/>
    <n v="20.085501858736059"/>
    <n v="42"/>
    <n v="33.6"/>
    <n v="28.6"/>
    <d v="2025-02-27T14:24:00"/>
    <d v="2025-02-22T14:24:00"/>
    <m/>
    <m/>
    <m/>
    <m/>
    <m/>
    <m/>
    <m/>
    <m/>
    <x v="4"/>
  </r>
  <r>
    <s v="X24041165850"/>
    <s v="DITO TELECOMMUNITY CORPORATION"/>
    <s v="TUNASAN, MUNTINLUPA"/>
    <s v="MUNTINLUPA CITY"/>
    <s v="PARAÑAQUE"/>
    <m/>
    <m/>
    <x v="3"/>
    <s v="FCOMP"/>
    <x v="3"/>
    <n v="41.209299999999999"/>
    <n v="90.53"/>
    <n v="20"/>
    <s v="NEW"/>
    <n v="1017553.36"/>
    <n v="33184.800000000003"/>
    <n v="40104.550000000003"/>
    <n v="1.2085216725729853"/>
    <d v="2025-01-14T13:46:00"/>
    <d v="2025-01-20T14:29:00"/>
    <d v="2025-01-14T00:00:00"/>
    <m/>
    <d v="2025-02-07T00:00:00"/>
    <m/>
    <n v="23.426388888889051"/>
    <n v="17.396527777775191"/>
    <n v="-45695"/>
    <d v="2025-02-03T15:49:07"/>
    <d v="2025-02-12T19:33:57"/>
    <d v="2025-03-05T13:46:00"/>
    <n v="0.76107471148685435"/>
    <n v="-1087.9761904761904"/>
    <n v="23"/>
    <n v="36"/>
    <n v="23.085501858736059"/>
    <n v="29.241635687732341"/>
    <n v="20.085501858736059"/>
    <n v="42"/>
    <n v="33.6"/>
    <n v="28.6"/>
    <d v="2025-03-12T14:24:00"/>
    <d v="2025-03-07T14:24:00"/>
    <m/>
    <m/>
    <m/>
    <m/>
    <m/>
    <m/>
    <m/>
    <m/>
    <x v="4"/>
  </r>
  <r>
    <s v="X24093725597"/>
    <s v="RAV MC LESTER SALCEDO ASI"/>
    <s v="ST. GEORGE, METROCOR SOUTH GATE HOMES, LAS PINAS CITY"/>
    <s v="LAS PIÑAS CITY"/>
    <s v="PARAÑAQUE"/>
    <m/>
    <m/>
    <x v="3"/>
    <s v="FCOMP"/>
    <x v="3"/>
    <n v="123.3395"/>
    <n v="233.1"/>
    <n v="3.8"/>
    <s v="NEW"/>
    <n v="740394.49"/>
    <n v="119149.37000000007"/>
    <m/>
    <n v="0"/>
    <d v="2025-01-15T17:02:00"/>
    <d v="2025-01-20T14:34:00"/>
    <d v="2025-01-20T00:00:00"/>
    <m/>
    <d v="2025-01-30T00:00:00"/>
    <m/>
    <n v="14.290277777778101"/>
    <n v="9.3930555555562023"/>
    <n v="-45687"/>
    <d v="2025-02-06T13:52:32"/>
    <d v="2025-02-16T05:02:00"/>
    <d v="2025-03-06T17:02:00"/>
    <n v="0.43097663139330777"/>
    <n v="-993.195652173913"/>
    <n v="28"/>
    <n v="36"/>
    <n v="24.868421052631579"/>
    <n v="31.499999999999996"/>
    <n v="21.868421052631579"/>
    <n v="46"/>
    <n v="36.800000000000004"/>
    <n v="31.800000000000004"/>
    <d v="2025-03-07T19:12:00"/>
    <d v="2025-03-02T19:12:00"/>
    <m/>
    <m/>
    <m/>
    <m/>
    <m/>
    <m/>
    <m/>
    <m/>
    <x v="4"/>
  </r>
  <r>
    <s v="X24103906652"/>
    <s v="BERNADETTE A. NAVALTA"/>
    <s v="B. CAPISTRANO, HAGONOY, TAGUIG CITY"/>
    <s v="TAGUIG CITY"/>
    <s v="PARAÑAQUE"/>
    <m/>
    <m/>
    <x v="1"/>
    <s v="FCOMP"/>
    <x v="1"/>
    <n v="85.545100000000033"/>
    <n v="174.65"/>
    <n v="111"/>
    <s v="NEW"/>
    <n v="693459.93"/>
    <n v="113948.90000000004"/>
    <m/>
    <n v="0"/>
    <d v="2025-01-15T18:53:00"/>
    <d v="2025-01-21T13:52:00"/>
    <d v="2025-01-16T00:00:00"/>
    <m/>
    <d v="2025-03-19T00:00:00"/>
    <m/>
    <n v="62.213194444440887"/>
    <n v="56.422222222223354"/>
    <n v="-45735"/>
    <d v="2025-02-04T05:35:18"/>
    <d v="2025-02-13T05:14:35"/>
    <d v="2025-03-06T18:53:00"/>
    <n v="2.0787581797541548"/>
    <n v="-1039.4318181818182"/>
    <n v="26"/>
    <n v="32"/>
    <n v="22.446043165467625"/>
    <n v="28.431654676258994"/>
    <n v="19.446043165467625"/>
    <n v="44"/>
    <n v="35.200000000000003"/>
    <n v="30.200000000000003"/>
    <d v="2025-04-23T04:48:00"/>
    <d v="2025-04-18T04:48:00"/>
    <m/>
    <m/>
    <m/>
    <m/>
    <m/>
    <m/>
    <m/>
    <m/>
    <x v="1"/>
  </r>
  <r>
    <s v="X24104068733"/>
    <s v="DITO TELECOMMUNITY CORPORATION"/>
    <s v="M.L. QUEZON, PUROK 6, TAGUIG CITY"/>
    <s v="TAGUIG CITY"/>
    <s v="PARAÑAQUE"/>
    <s v="a"/>
    <m/>
    <x v="1"/>
    <s v="SCHED"/>
    <x v="1"/>
    <n v="53.5563"/>
    <n v="96.73"/>
    <n v="22"/>
    <s v="NEW"/>
    <n v="1033388.17"/>
    <n v="43127.53"/>
    <m/>
    <n v="0"/>
    <d v="2025-01-15T18:53:00"/>
    <d v="2025-01-21T13:50:00"/>
    <d v="2025-01-16T00:00:00"/>
    <m/>
    <m/>
    <m/>
    <n v="-45672.786805555559"/>
    <n v="-45678.576388888891"/>
    <n v="0"/>
    <d v="2025-02-04T20:56:07"/>
    <d v="2025-02-14T00:40:57"/>
    <d v="2025-03-06T18:53:00"/>
    <n v="-1483.8139674751746"/>
    <n v="0"/>
    <n v="23"/>
    <n v="36"/>
    <n v="23.085501858736059"/>
    <n v="29.241635687732341"/>
    <n v="20.085501858736059"/>
    <n v="42"/>
    <n v="33.6"/>
    <n v="28.6"/>
    <d v="1900-02-01T14:24:00"/>
    <d v="1900-01-27T14:24:00"/>
    <m/>
    <m/>
    <m/>
    <m/>
    <m/>
    <m/>
    <m/>
    <m/>
    <x v="0"/>
  </r>
  <r>
    <s v="X24114453763"/>
    <s v="ANGELO CALVO PICARDAL"/>
    <s v="M. BRIONES, KATARUNGAN VILLAGE, MUNTINLUPA"/>
    <s v="MUNTINLUPA CITY"/>
    <s v="PARAÑAQUE"/>
    <m/>
    <m/>
    <x v="2"/>
    <s v="SCHED"/>
    <x v="2"/>
    <n v="20.119999999999994"/>
    <n v="43.38"/>
    <n v="5"/>
    <s v="MODIFICATION"/>
    <n v="137086.39999999999"/>
    <n v="21332.079999999998"/>
    <m/>
    <n v="0"/>
    <d v="2025-01-15T18:53:00"/>
    <d v="2025-01-20T14:43:00"/>
    <d v="2025-01-16T00:00:00"/>
    <m/>
    <m/>
    <m/>
    <n v="-45672.786805555559"/>
    <n v="-45677.613194444442"/>
    <n v="0"/>
    <d v="2025-02-03T13:27:50"/>
    <d v="2025-02-12T08:49:08"/>
    <d v="2025-03-06T18:53:00"/>
    <n v="-1573.1737677469137"/>
    <n v="0"/>
    <n v="20"/>
    <n v="36"/>
    <n v="21.774193548387096"/>
    <n v="27.58064516129032"/>
    <n v="18.774193548387096"/>
    <n v="40"/>
    <n v="32"/>
    <n v="27"/>
    <d v="1900-01-31T00:00:00"/>
    <d v="1900-01-26T00:00:00"/>
    <m/>
    <m/>
    <m/>
    <m/>
    <m/>
    <m/>
    <m/>
    <m/>
    <x v="0"/>
  </r>
  <r>
    <s v="X24114634882"/>
    <s v="CHRISTOPHER JOSEPH REYES TSUI"/>
    <s v="DAYAP LOOP TAMARIND COVE, AYALA-ALABANG VILL, MUNTINLUPA"/>
    <s v="MUNTINLUPA CITY"/>
    <s v="PARAÑAQUE"/>
    <m/>
    <m/>
    <x v="3"/>
    <s v="FCOMP"/>
    <x v="3"/>
    <n v="15.65"/>
    <n v="21.43"/>
    <n v="27.1"/>
    <s v="NEW"/>
    <n v="196704.22"/>
    <n v="12602.54"/>
    <m/>
    <n v="0"/>
    <d v="2025-01-15T18:53:00"/>
    <d v="2025-01-20T14:36:00"/>
    <d v="2025-01-17T00:00:00"/>
    <m/>
    <d v="2025-02-15T00:00:00"/>
    <m/>
    <n v="30.213194444440887"/>
    <n v="25.391666666670062"/>
    <n v="-45703"/>
    <d v="2025-02-03T13:27:50"/>
    <d v="2025-02-12T08:49:08"/>
    <d v="2025-03-06T18:53:00"/>
    <n v="1.0406766975307415"/>
    <n v="-1142.575"/>
    <n v="20"/>
    <n v="36"/>
    <n v="21.774193548387096"/>
    <n v="27.58064516129032"/>
    <n v="18.774193548387096"/>
    <n v="40"/>
    <n v="32"/>
    <n v="27"/>
    <d v="2025-03-19T00:00:00"/>
    <d v="2025-03-14T00:00:00"/>
    <m/>
    <m/>
    <m/>
    <m/>
    <m/>
    <m/>
    <m/>
    <m/>
    <x v="11"/>
  </r>
  <r>
    <s v="X24114634928"/>
    <s v="CHRISTOPHER JOSEPH REYES TSUI"/>
    <s v="DAYAP LOOP TAMARIND COVE, AYALA-ALABANG VILL, MUNTINLUPA"/>
    <s v="MUNTINLUPA CITY"/>
    <s v="PARAÑAQUE"/>
    <m/>
    <m/>
    <x v="3"/>
    <s v="FCOMP"/>
    <x v="3"/>
    <n v="36.825499999999998"/>
    <n v="55.53"/>
    <s v=" -   "/>
    <s v="NEW"/>
    <n v="177491.79"/>
    <n v="29654.69"/>
    <m/>
    <n v="0"/>
    <d v="2025-01-15T18:53:00"/>
    <d v="2025-01-20T14:38:00"/>
    <d v="2025-01-17T00:00:00"/>
    <m/>
    <d v="2025-02-15T00:00:00"/>
    <m/>
    <n v="30.213194444440887"/>
    <n v="25.390277777776646"/>
    <n v="-45703"/>
    <d v="2025-01-28T09:32:38"/>
    <d v="2025-02-04T13:27:12"/>
    <d v="2025-03-06T18:53:00"/>
    <n v="1.4515469504829208"/>
    <n v="-1088.1666666666667"/>
    <n v="23"/>
    <n v="20"/>
    <n v="15.610859728506789"/>
    <n v="19.773755656108598"/>
    <n v="12.610859728506789"/>
    <n v="42"/>
    <n v="33.6"/>
    <n v="28.6"/>
    <d v="2025-03-20T14:24:00"/>
    <d v="2025-03-15T14:24:00"/>
    <m/>
    <m/>
    <m/>
    <m/>
    <m/>
    <m/>
    <m/>
    <m/>
    <x v="11"/>
  </r>
  <r>
    <s v="X24124943162"/>
    <s v="RICARDO DELOS SANTOS ABELARDO JR."/>
    <s v="WEST SERVICE, CUPANG, MUNTINLUPA"/>
    <s v="MUNTINLUPA CITY"/>
    <s v="PARAÑAQUE"/>
    <m/>
    <m/>
    <x v="5"/>
    <s v="FCOMP"/>
    <x v="2"/>
    <n v="3.58"/>
    <n v="20.52"/>
    <n v="39"/>
    <s v="MODIFICATION"/>
    <n v="46265.45"/>
    <n v="12871.339999999998"/>
    <m/>
    <n v="0"/>
    <d v="2025-01-15T18:53:00"/>
    <d v="2025-01-21T13:43:00"/>
    <d v="2025-01-16T00:00:00"/>
    <m/>
    <d v="2025-02-07T00:00:00"/>
    <m/>
    <n v="22.213194444440887"/>
    <n v="16.428472222221899"/>
    <n v="-45695"/>
    <d v="2025-02-03T13:27:50"/>
    <d v="2025-02-12T08:49:08"/>
    <d v="2025-03-06T18:53:00"/>
    <n v="0.7651211419751861"/>
    <n v="-1142.375"/>
    <n v="20"/>
    <n v="36"/>
    <n v="21.774193548387096"/>
    <n v="27.58064516129032"/>
    <n v="18.774193548387096"/>
    <n v="40"/>
    <n v="32"/>
    <n v="27"/>
    <d v="2025-03-11T00:00:00"/>
    <d v="2025-03-06T00:00:00"/>
    <m/>
    <m/>
    <m/>
    <m/>
    <m/>
    <m/>
    <m/>
    <m/>
    <x v="1"/>
  </r>
  <r>
    <s v="R23885137"/>
    <s v="OMNI INVESTMENT BUILDING CORPORATION"/>
    <s v="MAGDIWANG, MOLINO III, BACOOR"/>
    <s v="BACOOR CITY"/>
    <s v="DASMA"/>
    <m/>
    <m/>
    <x v="5"/>
    <s v="SCHED"/>
    <x v="2"/>
    <n v="113.85398000000002"/>
    <n v="169.67"/>
    <n v="0"/>
    <s v="PCA RELOC"/>
    <n v="340822.52"/>
    <n v="117184.96000000002"/>
    <m/>
    <n v="0"/>
    <d v="2025-01-15T18:53:00"/>
    <d v="2025-01-20T14:45:00"/>
    <d v="2025-01-16T00:00:00"/>
    <m/>
    <m/>
    <m/>
    <n v="-45672.786805555559"/>
    <n v="-45677.614583333336"/>
    <n v="0"/>
    <d v="2025-02-05T23:50:56"/>
    <d v="2025-02-15T10:46:23"/>
    <d v="2025-03-06T18:53:00"/>
    <n v="-1415.0756595738367"/>
    <n v="0"/>
    <n v="26"/>
    <n v="36"/>
    <n v="24.206896551724139"/>
    <n v="30.662068965517239"/>
    <n v="21.206896551724139"/>
    <n v="44"/>
    <n v="35.200000000000003"/>
    <n v="30.200000000000003"/>
    <d v="1900-02-03T04:48:00"/>
    <d v="1900-01-29T04:48:00"/>
    <m/>
    <m/>
    <m/>
    <m/>
    <m/>
    <m/>
    <m/>
    <m/>
    <x v="0"/>
  </r>
  <r>
    <s v="X24093485481"/>
    <s v="ANIELYN OCAMPO BALICUDIONG"/>
    <s v="HABAY I, HABAY I, BACOOR"/>
    <s v="BACOOR CITY"/>
    <s v="DASMA"/>
    <m/>
    <m/>
    <x v="5"/>
    <s v="SCHED"/>
    <x v="2"/>
    <n v="152.45469999999995"/>
    <n v="285.05"/>
    <n v="9"/>
    <s v="NEW"/>
    <n v="879151.54"/>
    <n v="167732.49000000005"/>
    <m/>
    <n v="0"/>
    <d v="2025-01-16T13:40:00"/>
    <d v="2025-01-27T14:15:00"/>
    <d v="2025-01-21T00:00:00"/>
    <m/>
    <m/>
    <m/>
    <n v="-45673.569444444445"/>
    <n v="-45684.59375"/>
    <n v="0"/>
    <d v="2025-02-07T10:30:32"/>
    <d v="2025-02-17T01:40:00"/>
    <d v="2025-03-07T13:40:00"/>
    <n v="-1377.4568562610229"/>
    <n v="0"/>
    <n v="28"/>
    <n v="36"/>
    <n v="24.868421052631579"/>
    <n v="31.499999999999996"/>
    <n v="21.868421052631579"/>
    <n v="46"/>
    <n v="36.800000000000004"/>
    <n v="31.800000000000004"/>
    <d v="1900-02-04T19:12:00"/>
    <d v="1900-01-30T19:12:00"/>
    <m/>
    <m/>
    <m/>
    <m/>
    <m/>
    <m/>
    <m/>
    <m/>
    <x v="0"/>
  </r>
  <r>
    <s v="X24083472331"/>
    <s v="ROBERTO N. LIM"/>
    <s v="MOLAVE, MOLAVE PARK VILL, PARANAQUE"/>
    <s v="PARAÑAQUE CITY"/>
    <s v="PARAÑAQUE"/>
    <m/>
    <m/>
    <x v="1"/>
    <s v="SCHED"/>
    <x v="1"/>
    <n v="187.62200000000001"/>
    <n v="278.48"/>
    <n v="100"/>
    <s v="NEW"/>
    <n v="910341.91"/>
    <n v="150333.31"/>
    <m/>
    <n v="0"/>
    <d v="2025-01-16T13:44:00"/>
    <d v="2025-01-23T12:58:00"/>
    <d v="2025-01-21T00:00:00"/>
    <m/>
    <m/>
    <m/>
    <n v="-45673.572222222225"/>
    <n v="-45680.540277777778"/>
    <n v="0"/>
    <d v="2025-02-06T12:46:01"/>
    <d v="2025-02-15T22:06:33"/>
    <d v="2025-03-07T13:44:00"/>
    <n v="-1429.6979540149393"/>
    <n v="0"/>
    <n v="28"/>
    <n v="34"/>
    <n v="23.959731543624162"/>
    <n v="30.348993288590602"/>
    <n v="20.959731543624162"/>
    <n v="46"/>
    <n v="36.800000000000004"/>
    <n v="31.800000000000004"/>
    <d v="1900-02-04T19:12:00"/>
    <d v="1900-01-30T19:12:00"/>
    <m/>
    <m/>
    <m/>
    <m/>
    <m/>
    <m/>
    <m/>
    <m/>
    <x v="0"/>
  </r>
  <r>
    <s v="X24124805811"/>
    <s v="NOEMI FRESNEDI CACHUELA"/>
    <s v="ESPELETA, POBLACION, MUNTINLUPA"/>
    <s v="MUNTINLUPA CITY"/>
    <s v="PARAÑAQUE"/>
    <m/>
    <m/>
    <x v="2"/>
    <s v="FCOMP"/>
    <x v="2"/>
    <n v="12.043299999999999"/>
    <n v="25.02"/>
    <n v="54"/>
    <s v="NEW"/>
    <n v="235553.06"/>
    <n v="14779.449999999999"/>
    <n v="10702.08"/>
    <n v="0.72411896247830609"/>
    <d v="2025-01-16T14:19:00"/>
    <d v="2025-01-27T13:57:00"/>
    <d v="2025-01-21T00:00:00"/>
    <m/>
    <d v="2025-02-05T00:00:00"/>
    <m/>
    <n v="19.403472222220444"/>
    <n v="8.4187499999970896"/>
    <n v="-45693"/>
    <d v="2025-02-03T16:06:06"/>
    <d v="2025-02-12T06:58:40"/>
    <d v="2025-03-07T14:19:00"/>
    <n v="0.69053533496725694"/>
    <n v="-1142.325"/>
    <n v="20"/>
    <n v="34"/>
    <n v="21.074380165289259"/>
    <n v="26.694214876033058"/>
    <n v="18.074380165289259"/>
    <n v="40"/>
    <n v="32"/>
    <n v="27"/>
    <d v="2025-03-09T00:00:00"/>
    <d v="2025-03-04T00:00:00"/>
    <m/>
    <m/>
    <m/>
    <m/>
    <m/>
    <m/>
    <m/>
    <m/>
    <x v="4"/>
  </r>
  <r>
    <s v="X24104341977"/>
    <s v="MARGARITA OROSA FELIX"/>
    <s v="TANAUAN, AYALA-ALABANG VILL, MUNTINLUPA"/>
    <s v="MUNTINLUPA CITY"/>
    <s v="PARAÑAQUE"/>
    <m/>
    <m/>
    <x v="3"/>
    <s v="FCOMP"/>
    <x v="3"/>
    <n v="57.179499999999997"/>
    <n v="100.7"/>
    <n v="80"/>
    <s v="NEW"/>
    <n v="402458.69"/>
    <n v="52921.159999999996"/>
    <n v="33495.040000000001"/>
    <n v="0.6329233901902378"/>
    <d v="2025-01-16T16:33:00"/>
    <d v="2025-01-23T12:56:00"/>
    <d v="2025-01-21T00:00:00"/>
    <m/>
    <d v="2025-02-15T00:00:00"/>
    <m/>
    <n v="29.310416666667152"/>
    <n v="22.461111111108039"/>
    <n v="-45703"/>
    <d v="2025-02-04T23:45:33"/>
    <d v="2025-02-13T22:28:54"/>
    <d v="2025-03-07T16:33:00"/>
    <n v="0.98575953751067269"/>
    <n v="-1088.1666666666667"/>
    <n v="23"/>
    <n v="34"/>
    <n v="22.300380228136884"/>
    <n v="28.247148288973385"/>
    <n v="19.300380228136884"/>
    <n v="42"/>
    <n v="33.6"/>
    <n v="28.6"/>
    <d v="2025-03-20T14:24:00"/>
    <d v="2025-03-15T14:24:00"/>
    <m/>
    <m/>
    <m/>
    <m/>
    <m/>
    <m/>
    <m/>
    <m/>
    <x v="11"/>
  </r>
  <r>
    <s v="X24103967581"/>
    <s v="VIRGILIO BRILLIANTES SY"/>
    <s v="LAPU-LAPU, BACLARAN, PARANAQUE"/>
    <s v="PARAÑAQUE CITY"/>
    <s v="PARAÑAQUE"/>
    <m/>
    <m/>
    <x v="4"/>
    <s v="FCOMP"/>
    <x v="1"/>
    <n v="33.738500000000002"/>
    <n v="59.12"/>
    <n v="24"/>
    <s v="NEW"/>
    <n v="279847.61"/>
    <n v="32794.14"/>
    <m/>
    <n v="0"/>
    <d v="2025-01-16T16:44:00"/>
    <d v="2025-01-27T14:07:00"/>
    <d v="2025-01-21T00:00:00"/>
    <m/>
    <d v="2025-05-12T00:00:00"/>
    <m/>
    <n v="115.30277777777519"/>
    <n v="104.41180555555911"/>
    <n v="-45789"/>
    <d v="2025-02-05T18:47:07"/>
    <d v="2025-02-14T22:31:57"/>
    <d v="2025-03-07T16:44:00"/>
    <n v="3.7459477321523584"/>
    <n v="-1090.2142857142858"/>
    <n v="23"/>
    <n v="36"/>
    <n v="23.085501858736059"/>
    <n v="29.241635687732341"/>
    <n v="20.085501858736059"/>
    <n v="42"/>
    <n v="33.6"/>
    <n v="28.6"/>
    <d v="2025-06-14T14:24:00"/>
    <d v="2025-06-09T14:24:00"/>
    <m/>
    <m/>
    <m/>
    <m/>
    <m/>
    <m/>
    <m/>
    <m/>
    <x v="1"/>
  </r>
  <r>
    <s v="X24103896053"/>
    <s v="DITO TELECOMMUNITY CORPORATION"/>
    <s v="BLOCK 80, PUROK 6, TAGUIG CITY"/>
    <s v="TAGUIG CITY"/>
    <s v="PARAÑAQUE"/>
    <s v="resolved pole location issue on tasks 2 and 3, for sched of digging"/>
    <m/>
    <x v="1"/>
    <s v="FCOMP"/>
    <x v="1"/>
    <n v="153.23589999999999"/>
    <n v="227.47"/>
    <n v="22"/>
    <s v="NEW"/>
    <n v="554173.09"/>
    <n v="123019.83"/>
    <m/>
    <n v="0"/>
    <d v="2025-01-17T09:20:00"/>
    <d v="2025-01-23T13:00:00"/>
    <d v="2025-01-21T00:00:00"/>
    <m/>
    <d v="2025-03-28T00:00:00"/>
    <m/>
    <n v="69.611111111109494"/>
    <n v="63.458333333335759"/>
    <n v="-45744"/>
    <d v="2025-02-08T06:10:32"/>
    <d v="2025-02-17T21:20:00"/>
    <d v="2025-03-08T09:20:00"/>
    <n v="2.0993827160493339"/>
    <n v="-994.43478260869563"/>
    <n v="28"/>
    <n v="36"/>
    <n v="24.868421052631579"/>
    <n v="31.499999999999996"/>
    <n v="21.868421052631579"/>
    <n v="46"/>
    <n v="36.800000000000004"/>
    <n v="31.800000000000004"/>
    <d v="2025-05-03T19:12:00"/>
    <d v="2025-04-28T19:12:00"/>
    <m/>
    <m/>
    <m/>
    <m/>
    <m/>
    <m/>
    <m/>
    <m/>
    <x v="1"/>
  </r>
  <r>
    <s v="X24124906791"/>
    <s v="VILLA LIGHT NEIGHBORHOOD ASSOCIATION INC."/>
    <s v="BLOCK 10, VILLA LIGHT SUBD, TAGUIG CITY"/>
    <s v="TAGUIG CITY"/>
    <s v="PARAÑAQUE"/>
    <m/>
    <m/>
    <x v="1"/>
    <s v="SCHED"/>
    <x v="1"/>
    <n v="459.09679999999952"/>
    <n v="1189.8499999999999"/>
    <n v="225"/>
    <s v="NEW"/>
    <n v="4039465.57"/>
    <n v="439590.52999999997"/>
    <m/>
    <n v="0"/>
    <d v="2025-01-17T14:32:00"/>
    <d v="2025-01-27T14:02:00"/>
    <d v="2025-01-21T00:00:00"/>
    <m/>
    <m/>
    <m/>
    <n v="-45674.605555555558"/>
    <n v="-45684.584722222222"/>
    <n v="0"/>
    <d v="2025-02-09T04:10:11"/>
    <d v="2025-02-18T23:48:22"/>
    <d v="2025-03-08T14:32:00"/>
    <n v="-1339.7884296296297"/>
    <n v="0"/>
    <n v="50"/>
    <n v="30"/>
    <n v="25.56818181818182"/>
    <n v="32.38636363636364"/>
    <n v="22.56818181818182"/>
    <n v="60"/>
    <n v="48"/>
    <n v="43"/>
    <d v="1900-02-16T00:00:00"/>
    <d v="1900-02-11T00:00:00"/>
    <m/>
    <m/>
    <m/>
    <m/>
    <m/>
    <m/>
    <m/>
    <m/>
    <x v="12"/>
  </r>
  <r>
    <s v="X25010079615"/>
    <s v="CMSTAR MANAGEMENT INC."/>
    <s v="DAANG-HARI RD., MOLINO IV, BACOOR"/>
    <s v="BACOOR CITY"/>
    <s v="DASMA"/>
    <m/>
    <m/>
    <x v="4"/>
    <s v="FCOMP"/>
    <x v="1"/>
    <n v="1155.0617999999999"/>
    <n v="1898.23"/>
    <n v="45"/>
    <s v="NEW"/>
    <n v="3660384.15"/>
    <n v="992062.56"/>
    <m/>
    <n v="0"/>
    <d v="2025-01-17T15:21:00"/>
    <d v="2025-01-23T12:32:00"/>
    <d v="2025-01-21T00:00:00"/>
    <m/>
    <d v="2025-03-10T00:00:00"/>
    <m/>
    <n v="51.360416666670062"/>
    <n v="45.477777777778101"/>
    <n v="-45726"/>
    <d v="2025-02-13T02:46:25"/>
    <d v="2025-02-23T23:25:12"/>
    <d v="2025-03-08T15:21:00"/>
    <n v="1.3068372685186049"/>
    <n v="-762.1"/>
    <n v="50"/>
    <n v="36"/>
    <n v="29.475982532751093"/>
    <n v="37.336244541484717"/>
    <n v="26.475982532751093"/>
    <n v="60"/>
    <n v="48"/>
    <n v="43"/>
    <d v="2025-04-27T00:00:00"/>
    <d v="2025-04-22T00:00:00"/>
    <m/>
    <m/>
    <m/>
    <m/>
    <m/>
    <m/>
    <m/>
    <m/>
    <x v="1"/>
  </r>
  <r>
    <s v="X24083428614"/>
    <s v="DENNIS CALDERON SAN PEDRO"/>
    <s v="CONCORDE, CONCORDE SUBD, PARANAQUE"/>
    <s v="PARAÑAQUE CITY"/>
    <s v="PARAÑAQUE"/>
    <m/>
    <m/>
    <x v="1"/>
    <s v="FCOMP"/>
    <x v="1"/>
    <n v="41.788999999999994"/>
    <n v="85.28"/>
    <n v="85"/>
    <s v="NEW"/>
    <n v="379680"/>
    <n v="48102.099999999991"/>
    <m/>
    <n v="0"/>
    <d v="2025-01-17T15:43:00"/>
    <d v="2025-01-27T13:59:00"/>
    <d v="2025-01-21T00:00:00"/>
    <m/>
    <d v="2025-02-09T00:00:00"/>
    <m/>
    <n v="22.34513888888614"/>
    <n v="12.417361111110949"/>
    <n v="-45697"/>
    <d v="2025-02-05T22:55:33"/>
    <d v="2025-02-14T21:38:54"/>
    <d v="2025-03-08T15:43:00"/>
    <n v="0.75150531045742386"/>
    <n v="-1088.0238095238096"/>
    <n v="23"/>
    <n v="34"/>
    <n v="22.300380228136884"/>
    <n v="28.247148288973385"/>
    <n v="19.300380228136884"/>
    <n v="42"/>
    <n v="33.6"/>
    <n v="28.6"/>
    <d v="2025-03-14T14:24:00"/>
    <d v="2025-03-09T14:24:00"/>
    <m/>
    <m/>
    <m/>
    <m/>
    <m/>
    <m/>
    <m/>
    <m/>
    <x v="1"/>
  </r>
  <r>
    <s v="R23797682"/>
    <s v="CAVITEX INFRASTRUCTURE CORP., "/>
    <s v="KAINGIN RD., KAINGIN, PARANAQUE"/>
    <s v="PARAÑAQUE CITY"/>
    <s v="PARAÑAQUE"/>
    <m/>
    <m/>
    <x v="2"/>
    <s v="FCOMP"/>
    <x v="2"/>
    <n v="29.5181"/>
    <n v="107.92"/>
    <n v="0"/>
    <s v="PCA RELOC"/>
    <n v="86997.81"/>
    <n v="54655.919999999991"/>
    <n v="40684.31"/>
    <n v="0.74437151547352975"/>
    <d v="2025-01-20T09:07:00"/>
    <d v="2025-01-21T12:22:00"/>
    <d v="2025-01-21T00:00:00"/>
    <m/>
    <d v="2025-02-05T00:00:00"/>
    <m/>
    <n v="15.620138888887595"/>
    <n v="14.484722222223354"/>
    <n v="-45693"/>
    <d v="2025-02-10T14:04:56"/>
    <d v="2025-02-20T01:00:23"/>
    <d v="2025-03-11T09:07:00"/>
    <n v="0.4839572946343379"/>
    <n v="-1038.4772727272727"/>
    <n v="26"/>
    <n v="36"/>
    <n v="24.206896551724139"/>
    <n v="30.662068965517239"/>
    <n v="21.206896551724139"/>
    <n v="44"/>
    <n v="35.200000000000003"/>
    <n v="30.200000000000003"/>
    <d v="2025-03-12T04:48:00"/>
    <d v="2025-03-07T04:48:00"/>
    <m/>
    <m/>
    <m/>
    <m/>
    <m/>
    <m/>
    <m/>
    <m/>
    <x v="4"/>
  </r>
  <r>
    <s v="R23797676"/>
    <s v="CAVITEX INFRASTRUCTURE CORP.,"/>
    <s v="KAINGIN RD., KAINGIN, PARANAQUE"/>
    <s v="PARAÑAQUE CITY"/>
    <s v="PARAÑAQUE"/>
    <m/>
    <m/>
    <x v="2"/>
    <s v="FCOMP"/>
    <x v="2"/>
    <n v="123.76480000000001"/>
    <n v="287.33"/>
    <n v="0"/>
    <s v="PCA RELOC"/>
    <n v="584843.86"/>
    <n v="158179.16999999998"/>
    <n v="62538.81"/>
    <n v="0.39536691209089037"/>
    <d v="2025-01-20T09:07:00"/>
    <d v="2025-01-21T12:18:00"/>
    <d v="2025-01-21T00:00:00"/>
    <d v="2025-03-13T00:00:00"/>
    <d v="2025-03-17T08:43:00"/>
    <m/>
    <n v="55.983333333329938"/>
    <n v="54.850694444445253"/>
    <n v="-45733.363194444442"/>
    <d v="2025-02-11T05:57:32"/>
    <d v="2025-02-20T21:07:00"/>
    <d v="2025-03-11T09:07:00"/>
    <n v="1.688386243386141"/>
    <n v="-994.20354770531401"/>
    <n v="28"/>
    <n v="36"/>
    <n v="24.868421052631579"/>
    <n v="31.499999999999996"/>
    <n v="21.868421052631579"/>
    <n v="46"/>
    <n v="36.800000000000004"/>
    <n v="31.800000000000004"/>
    <d v="2025-04-23T03:55:00"/>
    <d v="2025-04-18T03:55:00"/>
    <m/>
    <m/>
    <m/>
    <m/>
    <m/>
    <m/>
    <m/>
    <m/>
    <x v="1"/>
  </r>
  <r>
    <s v="X23010262595"/>
    <s v="FRANCISCO ARANETA CLIMENT"/>
    <s v="BANAWE, AYALA-ALABANG VILL, MUNTINLUPA"/>
    <s v="MUNTINLUPA CITY"/>
    <s v="PARAÑAQUE"/>
    <m/>
    <m/>
    <x v="3"/>
    <s v="FCOMP"/>
    <x v="3"/>
    <n v="5.58"/>
    <n v="15.97"/>
    <n v="98"/>
    <s v="NEW"/>
    <n v="44190.67"/>
    <n v="9373.380000000001"/>
    <m/>
    <n v="0"/>
    <d v="2025-01-20T12:31:00"/>
    <d v="2025-01-23T12:57:00"/>
    <d v="2025-01-21T00:00:00"/>
    <m/>
    <d v="2025-02-15T00:00:00"/>
    <m/>
    <n v="25.478472222224809"/>
    <n v="22.460416666668607"/>
    <n v="-45703"/>
    <d v="2025-02-07T14:18:06"/>
    <d v="2025-02-16T05:10:40"/>
    <d v="2025-03-11T12:31:00"/>
    <n v="0.90673386437917691"/>
    <n v="-1142.575"/>
    <n v="20"/>
    <n v="34"/>
    <n v="21.074380165289259"/>
    <n v="26.694214876033058"/>
    <n v="18.074380165289259"/>
    <n v="40"/>
    <n v="32"/>
    <n v="27"/>
    <d v="2025-03-19T00:00:00"/>
    <d v="2025-03-14T00:00:00"/>
    <m/>
    <m/>
    <m/>
    <m/>
    <m/>
    <m/>
    <m/>
    <m/>
    <x v="11"/>
  </r>
  <r>
    <s v="R23895778"/>
    <s v="BREIGHTON LAND INC."/>
    <s v="BLOCK 6, BELLEFORT ESTATES PH 2, BACOOR"/>
    <s v="BACOOR CITY"/>
    <s v="DASMA"/>
    <m/>
    <m/>
    <x v="2"/>
    <s v="FCOMP"/>
    <x v="2"/>
    <n v="1.0495000000000001"/>
    <n v="1.7"/>
    <n v="0"/>
    <s v="PCA RELOC"/>
    <n v="10873.51"/>
    <n v="1038.46"/>
    <n v="1038.46"/>
    <n v="1"/>
    <d v="2025-01-21T00:00:00"/>
    <d v="2025-01-28T08:53:00"/>
    <d v="2025-01-28T00:00:00"/>
    <m/>
    <d v="2025-01-28T00:00:00"/>
    <m/>
    <n v="7"/>
    <n v="-0.37013888888759539"/>
    <n v="-45685"/>
    <d v="2025-02-08T18:34:50"/>
    <d v="2025-02-17T13:56:08"/>
    <d v="2025-03-12T00:00:00"/>
    <n v="0.24111111111111111"/>
    <n v="-1142.125"/>
    <n v="20"/>
    <n v="36"/>
    <n v="21.774193548387096"/>
    <n v="27.58064516129032"/>
    <n v="18.774193548387096"/>
    <n v="40"/>
    <n v="32"/>
    <n v="27"/>
    <d v="2025-03-01T00:00:00"/>
    <d v="2025-02-24T00:00:00"/>
    <m/>
    <m/>
    <m/>
    <m/>
    <m/>
    <m/>
    <m/>
    <m/>
    <x v="1"/>
  </r>
  <r>
    <s v="X24103942328"/>
    <s v="MAXBLOCK CONSTRUCTION CORP."/>
    <s v="PANORAMA CPD, VETERANS CENTER, TAGUIG CITY"/>
    <s v="TAGUIG CITY"/>
    <s v="PARAÑAQUE"/>
    <m/>
    <m/>
    <x v="1"/>
    <s v="FCOMP"/>
    <x v="1"/>
    <n v="3.92"/>
    <n v="24.83"/>
    <n v="30"/>
    <s v="NEW"/>
    <n v="48533.7"/>
    <n v="14591.570000000002"/>
    <m/>
    <n v="0"/>
    <d v="2025-01-21T14:12:00"/>
    <d v="2025-01-28T07:54:00"/>
    <d v="2025-01-24T00:00:00"/>
    <m/>
    <d v="2025-02-09T00:00:00"/>
    <m/>
    <n v="18.408333333332848"/>
    <n v="11.670833333329938"/>
    <n v="-45697"/>
    <d v="2025-02-09T08:46:50"/>
    <d v="2025-02-18T04:08:08"/>
    <d v="2025-03-12T14:12:00"/>
    <n v="0.63406481481479804"/>
    <n v="-1142.425"/>
    <n v="20"/>
    <n v="36"/>
    <n v="21.774193548387096"/>
    <n v="27.58064516129032"/>
    <n v="18.774193548387096"/>
    <n v="40"/>
    <n v="32"/>
    <n v="27"/>
    <d v="2025-03-13T00:00:00"/>
    <d v="2025-03-08T00:00:00"/>
    <m/>
    <m/>
    <m/>
    <m/>
    <m/>
    <m/>
    <m/>
    <m/>
    <x v="1"/>
  </r>
  <r>
    <s v="X24062425520"/>
    <s v="LICELLE GUMABAO YANG"/>
    <s v="BLOCK 2, BRAZILIA HEIGHTS, MUNTINLUPA"/>
    <s v="MUNTINLUPA CITY"/>
    <s v="PARAÑAQUE"/>
    <m/>
    <m/>
    <x v="4"/>
    <s v="FCOMP"/>
    <x v="1"/>
    <n v="72.122599999999991"/>
    <n v="129.55000000000001"/>
    <n v="49"/>
    <s v="NEW"/>
    <n v="431235.62"/>
    <n v="78471.11"/>
    <m/>
    <n v="0"/>
    <d v="2025-01-22T12:40:00"/>
    <d v="2025-01-28T07:48:00"/>
    <d v="2025-01-24T00:00:00"/>
    <m/>
    <d v="2025-02-11T00:00:00"/>
    <m/>
    <n v="19.472222222218988"/>
    <n v="13.67500000000291"/>
    <n v="-45699"/>
    <d v="2025-02-12T17:37:56"/>
    <d v="2025-02-22T04:33:23"/>
    <d v="2025-03-13T12:40:00"/>
    <n v="0.60330603038926356"/>
    <n v="-1038.6136363636363"/>
    <n v="26"/>
    <n v="36"/>
    <n v="24.206896551724139"/>
    <n v="30.662068965517239"/>
    <n v="21.206896551724139"/>
    <n v="44"/>
    <n v="35.200000000000003"/>
    <n v="30.200000000000003"/>
    <d v="2025-03-18T04:48:00"/>
    <d v="2025-03-13T04:48:00"/>
    <m/>
    <m/>
    <m/>
    <m/>
    <m/>
    <m/>
    <m/>
    <m/>
    <x v="1"/>
  </r>
  <r>
    <s v="X24104105713"/>
    <s v="ECLECTUS FOOD VENTURES CORPORATION"/>
    <s v="M.L. QUEZON, PUROK 1, TAGUIG CITY"/>
    <s v="TAGUIG CITY"/>
    <s v="PARAÑAQUE"/>
    <m/>
    <m/>
    <x v="1"/>
    <s v="FCOMP"/>
    <x v="1"/>
    <n v="68.745900000000006"/>
    <n v="164.72"/>
    <n v="215"/>
    <s v="NEW"/>
    <n v="833032.22"/>
    <n v="97339.400000000023"/>
    <m/>
    <n v="0"/>
    <d v="2025-01-22T12:45:00"/>
    <d v="2025-01-28T07:55:00"/>
    <d v="2025-01-24T00:00:00"/>
    <m/>
    <d v="2025-02-01T00:00:00"/>
    <m/>
    <n v="9.46875"/>
    <n v="3.6701388888905058"/>
    <n v="-45689"/>
    <d v="2025-02-10T00:55:35"/>
    <d v="2025-02-18T18:34:25"/>
    <d v="2025-03-13T12:45:00"/>
    <n v="0.33019230769230767"/>
    <n v="-1038.3863636363637"/>
    <n v="26"/>
    <n v="30"/>
    <n v="21.507352941176471"/>
    <n v="27.242647058823529"/>
    <n v="18.507352941176471"/>
    <n v="44"/>
    <n v="35.200000000000003"/>
    <n v="30.200000000000003"/>
    <d v="2025-03-08T04:48:00"/>
    <d v="2025-03-03T04:48:00"/>
    <m/>
    <m/>
    <m/>
    <m/>
    <m/>
    <m/>
    <m/>
    <m/>
    <x v="1"/>
  </r>
  <r>
    <s v="X25010119071"/>
    <s v="SPX PHILIPPINES, INC."/>
    <s v="MIMC CPD, CERVANTES CPD, PARANAQUE"/>
    <s v="PARAÑAQUE CITY"/>
    <s v="PARAÑAQUE"/>
    <m/>
    <m/>
    <x v="3"/>
    <s v="FCOMP"/>
    <x v="3"/>
    <n v="301.80369999999999"/>
    <n v="310.52999999999997"/>
    <n v="97"/>
    <s v="NEW"/>
    <n v="753143.29"/>
    <n v="211552.3"/>
    <n v="35306.57"/>
    <n v="0.16689286762658692"/>
    <d v="2025-01-22T16:58:00"/>
    <d v="2025-01-28T08:21:00"/>
    <d v="2025-01-24T00:00:00"/>
    <m/>
    <d v="2025-02-05T00:00:00"/>
    <m/>
    <n v="13.293055555557657"/>
    <n v="7.6520833333343035"/>
    <n v="-45693"/>
    <d v="2025-02-13T05:25:42"/>
    <d v="2025-02-22T18:21:05"/>
    <d v="2025-03-13T16:58:00"/>
    <n v="0.40661111111117543"/>
    <n v="-951.9375"/>
    <n v="30"/>
    <n v="34"/>
    <n v="24.51923076923077"/>
    <n v="31.057692307692307"/>
    <n v="21.51923076923077"/>
    <n v="48"/>
    <n v="38.400000000000006"/>
    <n v="33.400000000000006"/>
    <d v="2025-03-15T09:36:00"/>
    <d v="2025-03-10T09:36:00"/>
    <m/>
    <m/>
    <m/>
    <m/>
    <m/>
    <m/>
    <m/>
    <m/>
    <x v="4"/>
  </r>
  <r>
    <s v="X25010119305"/>
    <s v="VICENTE P PEREZ"/>
    <s v="EL GRANDE, BF HOMES, PARANAQUE"/>
    <s v="PARAÑAQUE CITY"/>
    <s v="PARAÑAQUE"/>
    <m/>
    <m/>
    <x v="3"/>
    <s v="FCOMP"/>
    <x v="3"/>
    <n v="33.4983"/>
    <n v="45.67"/>
    <n v="35"/>
    <s v="NEW"/>
    <n v="241637.84"/>
    <n v="26975.31"/>
    <n v="6007.35"/>
    <n v="0.2226980894751534"/>
    <d v="2025-01-22T17:00:00"/>
    <d v="2025-01-28T08:26:00"/>
    <d v="2025-01-24T00:00:00"/>
    <d v="2025-03-04T04:21:00"/>
    <d v="2025-03-04T00:00:00"/>
    <m/>
    <n v="40.291666666664241"/>
    <n v="34.648611111108039"/>
    <n v="-45720"/>
    <d v="2025-02-10T11:34:50"/>
    <d v="2025-02-19T06:56:08"/>
    <d v="2025-03-13T17:00:00"/>
    <n v="1.3878240740739904"/>
    <n v="-1143"/>
    <n v="20"/>
    <n v="36"/>
    <n v="21.774193548387096"/>
    <n v="27.58064516129032"/>
    <n v="18.774193548387096"/>
    <n v="40"/>
    <n v="32"/>
    <n v="27"/>
    <d v="2025-04-05T00:00:00"/>
    <d v="2025-03-31T00:00:00"/>
    <m/>
    <m/>
    <m/>
    <m/>
    <m/>
    <m/>
    <m/>
    <m/>
    <x v="4"/>
  </r>
  <r>
    <s v="X25010138377"/>
    <s v="GOLDEN DONUTS, INC."/>
    <s v="NINOY AQUINO, SAN DIONISIO, PARANAQUE"/>
    <s v="PARAÑAQUE CITY"/>
    <s v="PARAÑAQUE"/>
    <m/>
    <m/>
    <x v="2"/>
    <s v="FCOMP"/>
    <x v="2"/>
    <n v="2.73"/>
    <n v="40.85"/>
    <n v="29"/>
    <s v="NEW"/>
    <n v="79996.160000000003"/>
    <n v="24005.18"/>
    <m/>
    <n v="0"/>
    <d v="2025-01-22T17:01:00"/>
    <d v="2025-01-28T08:43:00"/>
    <d v="2025-01-24T00:00:00"/>
    <m/>
    <d v="2025-01-31T00:00:00"/>
    <m/>
    <n v="8.2909722222248092"/>
    <n v="2.6368055555576575"/>
    <n v="-45688"/>
    <d v="2025-02-10T11:35:50"/>
    <d v="2025-02-19T06:57:08"/>
    <d v="2025-03-13T17:01:00"/>
    <n v="0.28557793209885451"/>
    <n v="-1142.2"/>
    <n v="20"/>
    <n v="36"/>
    <n v="21.774193548387096"/>
    <n v="27.58064516129032"/>
    <n v="18.774193548387096"/>
    <n v="40"/>
    <n v="32"/>
    <n v="27"/>
    <d v="2025-03-04T00:00:00"/>
    <d v="2025-02-27T00:00:00"/>
    <m/>
    <m/>
    <m/>
    <m/>
    <m/>
    <m/>
    <m/>
    <m/>
    <x v="1"/>
  </r>
  <r>
    <s v="X24072542131"/>
    <s v="RAMONCHITO DIZON JAVIER "/>
    <s v="BEIRUT, BF HOMES, PARANAQUE"/>
    <s v="PARAÑAQUE CITY"/>
    <s v="PARAÑAQUE"/>
    <m/>
    <m/>
    <x v="3"/>
    <s v="FCOMP"/>
    <x v="3"/>
    <n v="260.13029999999998"/>
    <n v="366.23"/>
    <n v="49"/>
    <s v="MODIFICATION"/>
    <n v="1097209.19"/>
    <n v="209100.43"/>
    <m/>
    <n v="0"/>
    <d v="2025-01-22T17:04:00"/>
    <d v="2025-01-28T08:19:00"/>
    <d v="2025-01-24T00:00:00"/>
    <m/>
    <d v="2025-03-10T19:46:00"/>
    <m/>
    <n v="47.11250000000291"/>
    <n v="41.477083333331393"/>
    <n v="-45726.823611111111"/>
    <d v="2025-02-14T04:23:15"/>
    <d v="2025-02-23T23:24:23"/>
    <d v="2025-03-13T17:04:00"/>
    <n v="1.3872013888889745"/>
    <n v="-952.64215856481485"/>
    <n v="30"/>
    <n v="36"/>
    <n v="25.471698113207545"/>
    <n v="32.264150943396224"/>
    <n v="22.471698113207545"/>
    <n v="48"/>
    <n v="38.400000000000006"/>
    <n v="33.400000000000006"/>
    <d v="2025-04-18T05:22:00"/>
    <d v="2025-04-13T05:22:00"/>
    <m/>
    <m/>
    <m/>
    <m/>
    <m/>
    <m/>
    <m/>
    <m/>
    <x v="4"/>
  </r>
  <r>
    <s v="X24124701904"/>
    <s v="LISA ARCILIA LAW"/>
    <s v="17 DE MARZO, BACLARAN, PARANAQUE"/>
    <s v="PARAÑAQUE CITY"/>
    <s v="PARAÑAQUE"/>
    <m/>
    <m/>
    <x v="2"/>
    <s v="FCOMP"/>
    <x v="2"/>
    <n v="16.0428"/>
    <n v="69.900000000000006"/>
    <n v="155"/>
    <s v="NEW"/>
    <n v="465687.7"/>
    <n v="31619.429999999997"/>
    <n v="36417.199999999997"/>
    <n v="1.1517348668208125"/>
    <d v="2025-01-22T17:07:00"/>
    <d v="2025-01-27T13:54:00"/>
    <d v="2025-01-24T00:00:00"/>
    <m/>
    <d v="2025-01-27T00:00:00"/>
    <m/>
    <n v="4.2868055555591127"/>
    <n v="-0.57916666667006211"/>
    <n v="-45684"/>
    <d v="2025-02-10T04:36:11"/>
    <d v="2025-02-18T22:03:58"/>
    <d v="2025-03-13T17:07:00"/>
    <n v="0.14968872660036575"/>
    <n v="-1087.7142857142858"/>
    <n v="23"/>
    <n v="32"/>
    <n v="21.478599221789885"/>
    <n v="27.206225680933851"/>
    <n v="18.478599221789885"/>
    <n v="42"/>
    <n v="33.6"/>
    <n v="28.6"/>
    <d v="2025-03-01T14:24:00"/>
    <d v="2025-02-24T14:24:00"/>
    <m/>
    <m/>
    <m/>
    <m/>
    <m/>
    <m/>
    <m/>
    <m/>
    <x v="4"/>
  </r>
  <r>
    <s v="X24093630108"/>
    <s v="KOBE Z. CHAN"/>
    <s v="BLOCK 24, ENLISTED PERSONNEL VIL 2, TAGUIG CITY"/>
    <s v="TAGUIG CITY"/>
    <s v="PARAÑAQUE"/>
    <m/>
    <m/>
    <x v="1"/>
    <s v="FCOMP"/>
    <x v="1"/>
    <n v="17.072799999999997"/>
    <n v="27.8"/>
    <n v="20"/>
    <s v="NEW"/>
    <n v="227982.95"/>
    <n v="16467.329999999998"/>
    <m/>
    <n v="0"/>
    <d v="2025-01-23T13:09:00"/>
    <d v="2025-01-28T08:54:00"/>
    <d v="2025-01-24T00:00:00"/>
    <m/>
    <d v="2025-03-27T08:14:00"/>
    <m/>
    <n v="62.79513888888323"/>
    <n v="57.972222222218988"/>
    <n v="-45743.343055555553"/>
    <d v="2025-02-11T07:43:50"/>
    <d v="2025-02-20T03:05:08"/>
    <d v="2025-03-14T13:09:00"/>
    <n v="2.1629436728393112"/>
    <n v="-1143.5835763888888"/>
    <n v="20"/>
    <n v="36"/>
    <n v="21.774193548387096"/>
    <n v="27.58064516129032"/>
    <n v="18.774193548387096"/>
    <n v="40"/>
    <n v="32"/>
    <n v="27"/>
    <d v="2025-04-28T08:14:00"/>
    <d v="2025-04-23T08:14:00"/>
    <m/>
    <m/>
    <m/>
    <m/>
    <m/>
    <m/>
    <m/>
    <m/>
    <x v="1"/>
  </r>
  <r>
    <s v="X25010064088"/>
    <s v="TIANLALA PHILIPPINES CORPORATION"/>
    <s v="REDEMPTORIST, BACLARAN, PARANAQUE"/>
    <s v="PARAÑAQUE CITY"/>
    <s v="PARAÑAQUE"/>
    <m/>
    <m/>
    <x v="1"/>
    <s v="FCOMP"/>
    <x v="1"/>
    <n v="9.75"/>
    <n v="17.78"/>
    <n v="10"/>
    <s v="NEW"/>
    <n v="30397.4"/>
    <n v="10452.539999999997"/>
    <m/>
    <n v="0"/>
    <d v="2025-01-23T17:25:00"/>
    <d v="2025-01-28T09:00:00"/>
    <d v="2025-01-24T00:00:00"/>
    <m/>
    <d v="2025-02-14T00:00:00"/>
    <m/>
    <n v="21.274305555554747"/>
    <n v="16.625"/>
    <n v="-45702"/>
    <d v="2025-02-11T11:59:50"/>
    <d v="2025-02-20T07:21:08"/>
    <d v="2025-03-14T17:25:00"/>
    <n v="0.73278163580244127"/>
    <n v="-1142.55"/>
    <n v="20"/>
    <n v="36"/>
    <n v="21.774193548387096"/>
    <n v="27.58064516129032"/>
    <n v="18.774193548387096"/>
    <n v="40"/>
    <n v="32"/>
    <n v="27"/>
    <d v="2025-03-18T00:00:00"/>
    <d v="2025-03-13T00:00:00"/>
    <m/>
    <m/>
    <m/>
    <m/>
    <m/>
    <m/>
    <m/>
    <m/>
    <x v="1"/>
  </r>
  <r>
    <s v="X24083258065"/>
    <s v="KENNETH NGO CHUA"/>
    <s v="DOÑA INES, ALABANG HILLS SUBD PH 1, MUNTINLUPA"/>
    <s v="MUNTINLUPA CITY"/>
    <s v="PARAÑAQUE"/>
    <m/>
    <m/>
    <x v="2"/>
    <s v="SCHED"/>
    <x v="2"/>
    <n v="37.549500000000002"/>
    <n v="70.72"/>
    <n v="57"/>
    <s v="MODIFICATION"/>
    <n v="286792.48"/>
    <n v="37209.299999999996"/>
    <m/>
    <n v="0"/>
    <d v="2025-01-24T14:01:00"/>
    <d v="2025-01-31T15:06:00"/>
    <d v="2025-01-30T00:00:00"/>
    <m/>
    <m/>
    <m/>
    <n v="-45681.584027777775"/>
    <n v="-45688.629166666666"/>
    <n v="0"/>
    <d v="2025-02-12T21:13:33"/>
    <d v="2025-02-21T19:56:54"/>
    <d v="2025-03-15T14:01:00"/>
    <n v="-1536.3499487603012"/>
    <n v="0"/>
    <n v="23"/>
    <n v="34"/>
    <n v="22.300380228136884"/>
    <n v="28.247148288973385"/>
    <n v="19.300380228136884"/>
    <n v="42"/>
    <n v="33.6"/>
    <n v="28.6"/>
    <d v="1900-02-01T14:24:00"/>
    <d v="1900-01-27T14:24:00"/>
    <m/>
    <m/>
    <m/>
    <m/>
    <m/>
    <m/>
    <m/>
    <m/>
    <x v="13"/>
  </r>
  <r>
    <s v="X24093766158"/>
    <s v="ALFAMART TRADING PHILIPPINES, INC."/>
    <s v="QUEEN'S MAIN, QUEEN'S ROW AREA A SUBD, BACOOR"/>
    <s v="BACOOR CITY"/>
    <s v="DASMA"/>
    <m/>
    <m/>
    <x v="4"/>
    <s v="FCOMP"/>
    <x v="1"/>
    <n v="36.519499999999994"/>
    <n v="71.67"/>
    <n v="28"/>
    <s v="NEW"/>
    <n v="281351.55"/>
    <n v="33962.659999999996"/>
    <m/>
    <n v="0"/>
    <d v="2025-01-24T14:08:00"/>
    <d v="2025-01-31T15:08:00"/>
    <d v="2025-01-30T00:00:00"/>
    <m/>
    <d v="2025-03-31T00:00:00"/>
    <m/>
    <n v="65.411111111112405"/>
    <n v="58.369444444440887"/>
    <n v="-45747"/>
    <d v="2025-02-13T16:11:07"/>
    <d v="2025-02-22T19:55:57"/>
    <d v="2025-03-15T14:08:00"/>
    <n v="2.1250711218465259"/>
    <n v="-1089.2142857142858"/>
    <n v="23"/>
    <n v="36"/>
    <n v="23.085501858736059"/>
    <n v="29.241635687732341"/>
    <n v="20.085501858736059"/>
    <n v="42"/>
    <n v="33.6"/>
    <n v="28.6"/>
    <d v="2025-05-03T14:24:00"/>
    <d v="2025-04-28T14:24:00"/>
    <m/>
    <m/>
    <m/>
    <m/>
    <m/>
    <m/>
    <m/>
    <m/>
    <x v="1"/>
  </r>
  <r>
    <s v="X24104141244"/>
    <s v="SERVEQUEST INC."/>
    <s v="SUMMIT CIRCLE SUBD, SUMMIT CIRCLE SUBD, MUNTINLUPA"/>
    <s v="MUNTINLUPA CITY"/>
    <s v="PARAÑAQUE"/>
    <m/>
    <m/>
    <x v="3"/>
    <s v="COMP"/>
    <x v="3"/>
    <n v="100.24850000000001"/>
    <n v="139.87"/>
    <n v="294"/>
    <s v="NEW"/>
    <n v="846988.2"/>
    <n v="80751.899999999994"/>
    <n v="84452.5"/>
    <n v="1.045826785499784"/>
    <d v="2025-01-24T14:19:00"/>
    <d v="2025-01-31T15:09:00"/>
    <d v="2025-01-30T00:00:00"/>
    <d v="2025-02-11T00:00:00"/>
    <d v="2025-02-11T00:00:00"/>
    <d v="2025-05-20T07:32:00"/>
    <n v="17.403472222220444"/>
    <n v="10.368750000001455"/>
    <n v="98.31388888888614"/>
    <d v="2025-02-12T02:29:35"/>
    <d v="2025-02-20T20:08:25"/>
    <d v="2025-03-15T14:19:00"/>
    <n v="0.60689031339025146"/>
    <n v="2.2344065656565033"/>
    <n v="26"/>
    <n v="30"/>
    <n v="21.507352941176471"/>
    <n v="27.242647058823529"/>
    <n v="18.507352941176471"/>
    <n v="44"/>
    <n v="35.200000000000003"/>
    <n v="30.200000000000003"/>
    <d v="2025-03-18T04:48:00"/>
    <d v="2025-03-13T04:48:00"/>
    <m/>
    <m/>
    <m/>
    <m/>
    <m/>
    <m/>
    <m/>
    <m/>
    <x v="8"/>
  </r>
  <r>
    <s v="X25010119836"/>
    <s v="YOLANDA E REYES"/>
    <s v="DOÑA SOLEDAD, BETTER LIVING SUBD, PARANAQUE"/>
    <s v="PARAÑAQUE CITY"/>
    <s v="PARAÑAQUE"/>
    <m/>
    <m/>
    <x v="4"/>
    <s v="FCOMP"/>
    <x v="1"/>
    <n v="1.72"/>
    <n v="4.92"/>
    <n v="15"/>
    <s v="NEW"/>
    <n v="16056.92"/>
    <n v="3075.97"/>
    <m/>
    <n v="0"/>
    <d v="2025-01-27T00:00:00"/>
    <d v="2025-02-03T13:31:00"/>
    <d v="2025-02-04T00:00:00"/>
    <m/>
    <d v="2025-03-19T00:00:00"/>
    <m/>
    <n v="51"/>
    <n v="43.436805555553292"/>
    <n v="-45735"/>
    <d v="2025-02-14T18:34:50"/>
    <d v="2025-02-23T13:56:08"/>
    <d v="2025-03-18T00:00:00"/>
    <n v="1.7566666666666666"/>
    <n v="-1143.375"/>
    <n v="20"/>
    <n v="36"/>
    <n v="21.774193548387096"/>
    <n v="27.58064516129032"/>
    <n v="18.774193548387096"/>
    <n v="40"/>
    <n v="32"/>
    <n v="27"/>
    <d v="2025-04-20T00:00:00"/>
    <d v="2025-04-15T00:00:00"/>
    <m/>
    <m/>
    <m/>
    <m/>
    <m/>
    <m/>
    <m/>
    <m/>
    <x v="1"/>
  </r>
  <r>
    <s v="X24072540238"/>
    <s v="HARD DISCOUNT PHILIPPINES, INC."/>
    <s v="GOV. P.F. ESPIRITU, PANAPAAN II, BACOOR"/>
    <s v="BACOOR CITY"/>
    <s v="DASMA"/>
    <m/>
    <m/>
    <x v="5"/>
    <s v="FCOMP"/>
    <x v="2"/>
    <n v="9.9328000000000003"/>
    <n v="18.02"/>
    <n v="20"/>
    <s v="NEW"/>
    <n v="145240.66"/>
    <n v="11416.91"/>
    <m/>
    <n v="0"/>
    <d v="2025-01-27T12:16:00"/>
    <d v="2025-02-03T00:00:00"/>
    <d v="2025-01-30T00:00:00"/>
    <d v="2025-04-29T00:00:00"/>
    <d v="2025-04-30T00:00:00"/>
    <m/>
    <n v="92.488888888889051"/>
    <n v="86"/>
    <n v="-45777"/>
    <d v="2025-02-15T06:50:50"/>
    <d v="2025-02-24T02:12:08"/>
    <d v="2025-03-18T12:16:00"/>
    <n v="3.1857283950617337"/>
    <n v="-1144.425"/>
    <n v="20"/>
    <n v="36"/>
    <n v="21.774193548387096"/>
    <n v="27.58064516129032"/>
    <n v="18.774193548387096"/>
    <n v="40"/>
    <n v="32"/>
    <n v="27"/>
    <d v="2025-06-01T00:00:00"/>
    <d v="2025-05-27T00:00:00"/>
    <m/>
    <m/>
    <m/>
    <m/>
    <m/>
    <m/>
    <m/>
    <m/>
    <x v="1"/>
  </r>
  <r>
    <s v="R23512370"/>
    <s v="CARPIO, EMILIO III S"/>
    <s v="BELMONT, ALABANG 400 VILLAGE, MUNTINLUPA"/>
    <s v="MUNTINLUPA CITY"/>
    <s v="PARAÑAQUE"/>
    <m/>
    <m/>
    <x v="2"/>
    <s v="FCOMP"/>
    <x v="2"/>
    <n v="9.2899999999999991"/>
    <n v="14.85"/>
    <n v="0"/>
    <s v="PCA RELOC"/>
    <n v="35440.5"/>
    <n v="8616.68"/>
    <m/>
    <n v="0"/>
    <d v="2025-01-27T14:02:00"/>
    <d v="2025-02-03T13:30:00"/>
    <d v="2025-01-30T00:00:00"/>
    <m/>
    <d v="2025-05-16T00:00:00"/>
    <m/>
    <n v="108.4152777777781"/>
    <n v="101.4375"/>
    <n v="-45793"/>
    <d v="2025-02-15T08:36:50"/>
    <d v="2025-02-24T03:58:08"/>
    <d v="2025-03-18T14:02:00"/>
    <n v="3.7343040123456896"/>
    <n v="-1144.825"/>
    <n v="20"/>
    <n v="36"/>
    <n v="21.774193548387096"/>
    <n v="27.58064516129032"/>
    <n v="18.774193548387096"/>
    <n v="40"/>
    <n v="32"/>
    <n v="27"/>
    <d v="2025-06-17T00:00:00"/>
    <d v="2025-06-12T00:00:00"/>
    <m/>
    <m/>
    <m/>
    <m/>
    <m/>
    <m/>
    <m/>
    <m/>
    <x v="1"/>
  </r>
  <r>
    <s v="X25010133145"/>
    <s v="SPEED CONSTRUCTION &amp; DEVELOPMENT CORP.,"/>
    <s v="BLOCK 51, GEORGETOWN HEIGHTS SUBD PH II, BACOOR"/>
    <s v="BACOOR CITY"/>
    <s v="DASMA"/>
    <m/>
    <m/>
    <x v="3"/>
    <s v="FCOMP"/>
    <x v="3"/>
    <n v="327.98789999999957"/>
    <n v="666.07"/>
    <n v="60"/>
    <s v="NEW"/>
    <n v="2137566.1"/>
    <n v="332127.99999999994"/>
    <n v="82065.53"/>
    <n v="0.24709006768474809"/>
    <d v="2025-01-27T15:58:00"/>
    <d v="2025-02-03T12:48:00"/>
    <d v="2025-01-30T00:00:00"/>
    <m/>
    <d v="2025-03-13T00:00:00"/>
    <m/>
    <n v="44.334722222221899"/>
    <n v="37.466666666667152"/>
    <n v="-45729"/>
    <d v="2025-02-20T08:48:16"/>
    <d v="2025-03-02T11:41:40"/>
    <d v="2025-03-18T15:58:00"/>
    <n v="1.2452841094771152"/>
    <n v="-831.43636363636358"/>
    <n v="40"/>
    <n v="34"/>
    <n v="26.701570680628272"/>
    <n v="33.821989528795811"/>
    <n v="23.701570680628272"/>
    <n v="55"/>
    <n v="44"/>
    <n v="39"/>
    <d v="2025-04-26T00:00:00"/>
    <d v="2025-04-21T00:00:00"/>
    <m/>
    <m/>
    <m/>
    <m/>
    <m/>
    <m/>
    <m/>
    <m/>
    <x v="4"/>
  </r>
  <r>
    <s v="X25010133146"/>
    <s v="F &amp; E DE CASTRO CORPORATION"/>
    <s v="BLOCK 1, ELISA HOMES PH 4 EXTENSION, BACOOR"/>
    <s v="BACOOR CITY"/>
    <s v="DASMA"/>
    <m/>
    <m/>
    <x v="5"/>
    <s v="SCHED"/>
    <x v="2"/>
    <n v="434.52479999999974"/>
    <n v="858.22"/>
    <n v="130"/>
    <s v="NEW"/>
    <n v="2659180.85"/>
    <n v="481239.28999999934"/>
    <m/>
    <n v="0"/>
    <d v="2025-01-27T15:59:00"/>
    <d v="2025-02-03T00:00:00"/>
    <d v="2025-01-30T00:00:00"/>
    <m/>
    <m/>
    <m/>
    <n v="-45684.665972222225"/>
    <n v="-45691"/>
    <n v="0"/>
    <d v="2025-02-19T04:44:57"/>
    <d v="2025-03-01T00:09:13"/>
    <d v="2025-03-18T15:59:00"/>
    <n v="-1341.9870629340278"/>
    <n v="0"/>
    <n v="40"/>
    <n v="32"/>
    <n v="25.531914893617024"/>
    <n v="32.340425531914896"/>
    <n v="22.531914893617024"/>
    <n v="55"/>
    <n v="44"/>
    <n v="39"/>
    <d v="1900-02-12T00:00:00"/>
    <d v="1900-02-07T00:00:00"/>
    <m/>
    <m/>
    <m/>
    <m/>
    <m/>
    <m/>
    <m/>
    <m/>
    <x v="0"/>
  </r>
  <r>
    <s v="X24104152226"/>
    <s v="MARY ROSE CUTARAN BAYLON"/>
    <s v="BLOCK 25, VISTA VERDE PH III, BACOOR"/>
    <s v="BACOOR CITY"/>
    <s v="DASMA"/>
    <m/>
    <m/>
    <x v="5"/>
    <s v="SCHED"/>
    <x v="2"/>
    <n v="238.29549999999989"/>
    <n v="473.32"/>
    <n v="25"/>
    <s v="NEW"/>
    <n v="1198475.06"/>
    <n v="279373.33999999991"/>
    <m/>
    <n v="0"/>
    <d v="2025-01-28T15:09:00"/>
    <d v="2025-02-03T00:00:00"/>
    <d v="2025-01-31T00:00:00"/>
    <m/>
    <m/>
    <m/>
    <n v="-45685.631249999999"/>
    <n v="-45691"/>
    <n v="0"/>
    <d v="2025-02-20T15:43:42"/>
    <d v="2025-03-02T14:16:57"/>
    <d v="2025-03-19T15:09:00"/>
    <n v="-1316.63451171875"/>
    <n v="0"/>
    <n v="32"/>
    <n v="36"/>
    <n v="26.024096385542165"/>
    <n v="32.963855421686745"/>
    <n v="23.024096385542165"/>
    <n v="50"/>
    <n v="40"/>
    <n v="35"/>
    <d v="1900-02-08T00:00:00"/>
    <d v="1900-02-03T00:00:00"/>
    <m/>
    <m/>
    <m/>
    <m/>
    <m/>
    <m/>
    <m/>
    <m/>
    <x v="0"/>
  </r>
  <r>
    <s v="X25010059565"/>
    <s v="ALFAMETRO MARKETING, INC."/>
    <s v="SAN PEDRO, SAN ANTONIO VALLEY 2, PARANAQUE"/>
    <s v="PARAÑAQUE CITY"/>
    <s v="PARAÑAQUE"/>
    <m/>
    <m/>
    <x v="8"/>
    <s v="FCOMP"/>
    <x v="7"/>
    <n v="17.11"/>
    <n v="23.43"/>
    <n v="31"/>
    <s v="NEW"/>
    <n v="201536.4"/>
    <n v="26159.77"/>
    <m/>
    <n v="0"/>
    <d v="2025-01-28T15:12:00"/>
    <d v="2025-02-03T00:00:00"/>
    <d v="2025-01-31T00:00:00"/>
    <m/>
    <d v="2025-02-10T00:00:00"/>
    <m/>
    <n v="12.366666666668607"/>
    <n v="7"/>
    <n v="-45698"/>
    <d v="2025-02-16T09:46:50"/>
    <d v="2025-02-25T05:08:08"/>
    <d v="2025-03-19T15:12:00"/>
    <n v="0.42596296296302971"/>
    <n v="-1142.45"/>
    <n v="20"/>
    <n v="36"/>
    <n v="21.774193548387096"/>
    <n v="27.58064516129032"/>
    <n v="18.774193548387096"/>
    <n v="40"/>
    <n v="32"/>
    <n v="27"/>
    <d v="2025-03-14T00:00:00"/>
    <d v="2025-03-09T00:00:00"/>
    <m/>
    <m/>
    <m/>
    <m/>
    <m/>
    <m/>
    <m/>
    <m/>
    <x v="4"/>
  </r>
  <r>
    <s v="X25010059526"/>
    <s v="ALFAMETRO MARKETING, INC."/>
    <s v="PAPA PIO - SAV 13, SAN ISIDRO, PARANAQUE"/>
    <s v="PARAÑAQUE CITY"/>
    <s v="PARAÑAQUE"/>
    <m/>
    <m/>
    <x v="8"/>
    <s v="FCOMP"/>
    <x v="7"/>
    <n v="9.31"/>
    <n v="12.73"/>
    <n v="31"/>
    <s v="NEW"/>
    <n v="35550.33"/>
    <n v="19424.84"/>
    <m/>
    <n v="0"/>
    <d v="2025-01-28T15:12:00"/>
    <d v="2025-02-03T00:00:00"/>
    <d v="2025-01-31T00:00:00"/>
    <m/>
    <d v="2025-02-10T00:00:00"/>
    <m/>
    <n v="12.366666666668607"/>
    <n v="7"/>
    <n v="-45698"/>
    <d v="2025-02-16T09:46:50"/>
    <d v="2025-02-25T05:08:08"/>
    <d v="2025-03-19T15:12:00"/>
    <n v="0.42596296296302971"/>
    <n v="-1142.45"/>
    <n v="20"/>
    <n v="36"/>
    <n v="21.774193548387096"/>
    <n v="27.58064516129032"/>
    <n v="18.774193548387096"/>
    <n v="40"/>
    <n v="32"/>
    <n v="27"/>
    <d v="2025-03-14T00:00:00"/>
    <d v="2025-03-09T00:00:00"/>
    <m/>
    <m/>
    <m/>
    <m/>
    <m/>
    <m/>
    <m/>
    <m/>
    <x v="4"/>
  </r>
  <r>
    <s v="X24083093382"/>
    <s v="DITO TELECOMMUNITY CORPORATION"/>
    <s v="BUENDIA, TUNASAN, MUNTINLUPA"/>
    <s v="MUNTINLUPA CITY"/>
    <s v="PARAÑAQUE"/>
    <s v="on-going digging"/>
    <m/>
    <x v="3"/>
    <s v="FCOMP"/>
    <x v="3"/>
    <n v="273.93739999999991"/>
    <n v="557.07000000000005"/>
    <n v="31"/>
    <s v="NEW"/>
    <n v="4553436.26"/>
    <n v="253515.87999999998"/>
    <n v="56118.73"/>
    <n v="0.22136179398308306"/>
    <d v="2025-01-28T15:16:00"/>
    <d v="2025-02-03T12:52:00"/>
    <d v="2025-01-31T00:00:00"/>
    <d v="2025-02-24T00:00:00"/>
    <d v="2025-02-24T00:00:00"/>
    <m/>
    <n v="26.363888888889051"/>
    <n v="20.463888888887595"/>
    <n v="-45712"/>
    <d v="2025-02-22T11:18:28"/>
    <d v="2025-03-04T21:27:08"/>
    <d v="2025-03-19T15:16:00"/>
    <n v="0.71036033950617716"/>
    <n v="-831.12727272727273"/>
    <n v="40"/>
    <n v="36"/>
    <n v="27.835051546391753"/>
    <n v="35.257731958762882"/>
    <n v="24.835051546391753"/>
    <n v="55"/>
    <n v="44"/>
    <n v="39"/>
    <d v="2025-04-09T00:00:00"/>
    <d v="2025-04-04T00:00:00"/>
    <m/>
    <m/>
    <m/>
    <m/>
    <m/>
    <m/>
    <m/>
    <m/>
    <x v="4"/>
  </r>
  <r>
    <s v="X25010059547"/>
    <s v="ALFAMETRO MARKETING INC. (CORCUERRA - BANNER 4TH ESTATE)"/>
    <s v="BANNER, 4TH ESTATE SUBD, PARANAQUE"/>
    <s v="PARAÑAQUE CITY"/>
    <s v="PARAÑAQUE"/>
    <m/>
    <m/>
    <x v="3"/>
    <s v="FCOMP"/>
    <x v="3"/>
    <n v="10.8028"/>
    <n v="27.28"/>
    <n v="31"/>
    <s v="NEW"/>
    <n v="202246.77"/>
    <n v="17159.97"/>
    <m/>
    <n v="0"/>
    <d v="2025-01-28T15:26:00"/>
    <d v="2025-02-03T13:38:00"/>
    <d v="2025-01-31T00:00:00"/>
    <d v="2025-03-04T04:21:00"/>
    <d v="2025-03-04T00:00:00"/>
    <m/>
    <n v="34.356944444443798"/>
    <n v="28.431944444440887"/>
    <n v="-45720"/>
    <d v="2025-02-16T10:00:50"/>
    <d v="2025-02-25T05:22:08"/>
    <d v="2025-03-19T15:26:00"/>
    <n v="1.1834058641975085"/>
    <n v="-1143"/>
    <n v="20"/>
    <n v="36"/>
    <n v="21.774193548387096"/>
    <n v="27.58064516129032"/>
    <n v="18.774193548387096"/>
    <n v="40"/>
    <n v="32"/>
    <n v="27"/>
    <d v="2025-04-05T00:00:00"/>
    <d v="2025-03-31T00:00:00"/>
    <m/>
    <m/>
    <m/>
    <m/>
    <m/>
    <m/>
    <m/>
    <m/>
    <x v="11"/>
  </r>
  <r>
    <s v="X25010173661"/>
    <s v="MJ RIAN P ROM"/>
    <s v="SAN PEDRO, CARMENCITA VILL, LAS PINAS CITY"/>
    <s v="LAS PIÑAS CITY"/>
    <s v="PARAÑAQUE"/>
    <m/>
    <m/>
    <x v="2"/>
    <s v="FCOMP"/>
    <x v="2"/>
    <n v="4.32"/>
    <n v="5.92"/>
    <n v="1.5"/>
    <s v="NEW"/>
    <n v="25562.85"/>
    <n v="3478.78"/>
    <m/>
    <n v="0"/>
    <d v="2025-01-28T17:06:00"/>
    <d v="2025-02-03T00:00:00"/>
    <d v="2025-01-31T00:00:00"/>
    <m/>
    <d v="2025-02-24T00:00:00"/>
    <m/>
    <n v="26.287499999998545"/>
    <n v="21"/>
    <n v="-45712"/>
    <d v="2025-02-16T11:40:50"/>
    <d v="2025-02-25T07:02:08"/>
    <d v="2025-03-19T17:06:00"/>
    <n v="0.90545833333328307"/>
    <n v="-1142.8"/>
    <n v="20"/>
    <n v="36"/>
    <n v="21.774193548387096"/>
    <n v="27.58064516129032"/>
    <n v="18.774193548387096"/>
    <n v="40"/>
    <n v="32"/>
    <n v="27"/>
    <d v="2025-03-28T00:00:00"/>
    <d v="2025-03-23T00:00:00"/>
    <m/>
    <m/>
    <m/>
    <m/>
    <m/>
    <m/>
    <m/>
    <m/>
    <x v="4"/>
  </r>
  <r>
    <s v="X24072855187"/>
    <s v="MANUEL SARIANA BOLON"/>
    <s v="A. ROLDAN, PUROK 2A, TAGUIG CITY"/>
    <s v="TAGUIG CITY"/>
    <s v="PARAÑAQUE"/>
    <m/>
    <m/>
    <x v="1"/>
    <s v="SCHED"/>
    <x v="1"/>
    <n v="54.011680000000013"/>
    <n v="39.42"/>
    <n v="7.5"/>
    <s v="NEW"/>
    <n v="32522.29"/>
    <n v="202490.13"/>
    <m/>
    <n v="0"/>
    <d v="2025-01-30T21:35:00"/>
    <d v="2025-02-06T08:04:00"/>
    <d v="2025-02-04T00:00:00"/>
    <m/>
    <m/>
    <m/>
    <n v="-45687.899305555555"/>
    <n v="-45694.336111111108"/>
    <n v="0"/>
    <d v="2025-02-18T16:09:50"/>
    <d v="2025-02-27T11:31:08"/>
    <d v="2025-03-21T21:35:00"/>
    <n v="-1573.6943094135802"/>
    <n v="0"/>
    <n v="20"/>
    <n v="36"/>
    <n v="21.774193548387096"/>
    <n v="27.58064516129032"/>
    <n v="18.774193548387096"/>
    <n v="40"/>
    <n v="32"/>
    <n v="27"/>
    <d v="1900-01-31T00:00:00"/>
    <d v="1900-01-26T00:00:00"/>
    <m/>
    <m/>
    <m/>
    <m/>
    <m/>
    <m/>
    <m/>
    <m/>
    <x v="0"/>
  </r>
  <r>
    <s v="X24093683073"/>
    <s v="ELECTRO-SYSTEMS INDUSTRIES CORPORATION"/>
    <s v="BAES, PERPETUAL VILLAGE, TAGUIG CITY"/>
    <s v="TAGUIG CITY"/>
    <s v="PARAÑAQUE"/>
    <m/>
    <m/>
    <x v="1"/>
    <s v="FCOMP"/>
    <x v="1"/>
    <n v="214.8948"/>
    <n v="312.92"/>
    <n v="42"/>
    <s v="MODIFICATION"/>
    <n v="589728.55000000005"/>
    <n v="173057.12"/>
    <n v="96239.21"/>
    <n v="0.55611239803366663"/>
    <d v="2025-01-31T00:00:00"/>
    <d v="2025-02-05T08:13:00"/>
    <d v="2025-02-04T00:00:00"/>
    <m/>
    <d v="2025-02-27T00:00:00"/>
    <m/>
    <n v="27"/>
    <n v="21.65763888888614"/>
    <n v="-45715"/>
    <d v="2025-02-22T11:19:15"/>
    <d v="2025-03-04T06:20:23"/>
    <d v="2025-03-22T00:00:00"/>
    <n v="0.79499999999999993"/>
    <n v="-952.39583333333337"/>
    <n v="30"/>
    <n v="36"/>
    <n v="25.471698113207545"/>
    <n v="32.264150943396224"/>
    <n v="22.471698113207545"/>
    <n v="48"/>
    <n v="38.400000000000006"/>
    <n v="33.400000000000006"/>
    <d v="2025-04-06T09:36:00"/>
    <d v="2025-04-01T09:36:00"/>
    <m/>
    <m/>
    <m/>
    <m/>
    <m/>
    <m/>
    <m/>
    <m/>
    <x v="4"/>
  </r>
  <r>
    <s v="X24103965259"/>
    <s v="TEVERE AVANDY HOLDINGS INC."/>
    <s v="AGUIRRE, BF HOMES, PARANAQUE"/>
    <s v="TAGUIG CITY"/>
    <s v="PARAÑAQUE"/>
    <m/>
    <m/>
    <x v="8"/>
    <s v="FCOMP"/>
    <x v="7"/>
    <n v="27.26"/>
    <n v="37.25"/>
    <n v="57"/>
    <s v="NEW"/>
    <n v="242559.2"/>
    <n v="33951.279999999999"/>
    <m/>
    <n v="0"/>
    <d v="2025-01-31T00:00:00"/>
    <d v="2025-02-05T12:17:00"/>
    <m/>
    <m/>
    <d v="2025-02-11T00:00:00"/>
    <m/>
    <n v="11"/>
    <n v="5.4881944444423425"/>
    <n v="-45699"/>
    <d v="2025-02-18T01:47:06"/>
    <d v="2025-02-26T16:39:40"/>
    <d v="2025-03-22T00:00:00"/>
    <n v="0.39147058823529413"/>
    <n v="-1142.4749999999999"/>
    <n v="20"/>
    <n v="34"/>
    <n v="21.074380165289259"/>
    <n v="26.694214876033058"/>
    <n v="18.074380165289259"/>
    <n v="40"/>
    <n v="32"/>
    <n v="27"/>
    <d v="2025-03-15T00:00:00"/>
    <d v="2025-03-10T00:00:00"/>
    <m/>
    <m/>
    <m/>
    <m/>
    <m/>
    <m/>
    <m/>
    <m/>
    <x v="4"/>
  </r>
  <r>
    <s v="X24114657334"/>
    <s v="BUENA MONTES BASCUGUIN"/>
    <s v="BLOCK 18 , KALAYAAN VILL/BALAGBAG, PASAY CITY"/>
    <s v="PASAY CITY"/>
    <s v="PARAÑAQUE"/>
    <m/>
    <m/>
    <x v="8"/>
    <s v="FCOMP"/>
    <x v="7"/>
    <n v="5.78"/>
    <n v="7.92"/>
    <n v="15"/>
    <s v="NEW"/>
    <n v="23600.21"/>
    <n v="15220.48"/>
    <m/>
    <n v="0"/>
    <d v="2025-01-31T00:00:00"/>
    <d v="2025-02-06T07:47:00"/>
    <m/>
    <m/>
    <d v="2025-02-10T00:00:00"/>
    <m/>
    <n v="10"/>
    <n v="3.6756944444423425"/>
    <n v="-45698"/>
    <d v="2025-02-18T18:34:50"/>
    <d v="2025-02-27T13:56:08"/>
    <d v="2025-03-22T00:00:00"/>
    <n v="0.34444444444444444"/>
    <n v="-1142.45"/>
    <n v="20"/>
    <n v="36"/>
    <n v="21.774193548387096"/>
    <n v="27.58064516129032"/>
    <n v="18.774193548387096"/>
    <n v="40"/>
    <n v="32"/>
    <n v="27"/>
    <d v="2025-03-14T00:00:00"/>
    <d v="2025-03-09T00:00:00"/>
    <m/>
    <m/>
    <m/>
    <m/>
    <m/>
    <m/>
    <m/>
    <m/>
    <x v="4"/>
  </r>
  <r>
    <s v="X24103906706"/>
    <s v="DAWN ISOBEL YU AQUINO"/>
    <s v="BATANGAS EAST, AYALA-ALABANG VILL, MUNTINLUPA"/>
    <s v="MUNTINLUPA CITY"/>
    <s v="PARAÑAQUE"/>
    <m/>
    <m/>
    <x v="5"/>
    <s v="SCHED"/>
    <x v="2"/>
    <n v="71.243799999999993"/>
    <n v="135.82"/>
    <n v="89"/>
    <s v="NEW"/>
    <n v="477133.36"/>
    <n v="81814.33"/>
    <m/>
    <n v="0"/>
    <d v="2025-02-03T00:00:00"/>
    <d v="2025-02-07T15:13:00"/>
    <d v="2025-02-04T00:00:00"/>
    <m/>
    <m/>
    <m/>
    <n v="-45691"/>
    <n v="-45695.634027777778"/>
    <n v="0"/>
    <d v="2025-02-23T08:16:54"/>
    <d v="2025-03-04T13:41:25"/>
    <d v="2025-03-25T00:00:00"/>
    <n v="-1467.9009049773754"/>
    <n v="0"/>
    <n v="26"/>
    <n v="34"/>
    <n v="23.345070422535212"/>
    <n v="29.570422535211268"/>
    <n v="20.345070422535212"/>
    <n v="44"/>
    <n v="35.200000000000003"/>
    <n v="30.200000000000003"/>
    <d v="1900-02-03T04:48:00"/>
    <d v="1900-01-29T04:48:00"/>
    <m/>
    <m/>
    <m/>
    <m/>
    <m/>
    <m/>
    <m/>
    <m/>
    <x v="0"/>
  </r>
  <r>
    <s v="X25010134670"/>
    <s v="C N C CONSTRUCTION &amp; DEV'T. CORPORATION"/>
    <s v="BANNER, 4TH ESTATE SUBD, PARANAQUE"/>
    <s v="PARAÑAQUE CITY"/>
    <s v="PARAÑAQUE"/>
    <m/>
    <m/>
    <x v="3"/>
    <s v="FCOMP"/>
    <x v="3"/>
    <n v="7.16"/>
    <n v="9.93"/>
    <s v=" -   "/>
    <s v="TERMINATION"/>
    <n v="17205.11"/>
    <n v="6358.25"/>
    <m/>
    <n v="0"/>
    <d v="2025-02-03T00:00:00"/>
    <d v="2025-02-06T07:52:00"/>
    <m/>
    <m/>
    <d v="2025-03-05T00:00:00"/>
    <m/>
    <n v="30"/>
    <n v="26.672222222223354"/>
    <n v="-45721"/>
    <d v="2025-02-15T00:00:00"/>
    <d v="2025-02-22T00:00:00"/>
    <d v="2025-03-25T00:00:00"/>
    <n v="1.4999999999999998"/>
    <n v="-1143.0250000000001"/>
    <n v="20"/>
    <n v="20"/>
    <n v="15.000000000000002"/>
    <n v="19"/>
    <n v="12.000000000000002"/>
    <n v="40"/>
    <n v="32"/>
    <n v="27"/>
    <d v="2025-04-06T00:00:00"/>
    <d v="2025-04-01T00:00:00"/>
    <m/>
    <m/>
    <m/>
    <m/>
    <m/>
    <m/>
    <m/>
    <m/>
    <x v="4"/>
  </r>
  <r>
    <s v="X24051849062"/>
    <s v="DITO TELECOMMUNITY CORPORATION"/>
    <s v="BETTER LIVING SUBD, PARANAQUE"/>
    <s v="PARAÑAQUE CITY"/>
    <s v="PARAÑAQUE"/>
    <s v="for survey"/>
    <m/>
    <x v="4"/>
    <s v="SCHED"/>
    <x v="1"/>
    <n v="37.616099999999996"/>
    <n v="168.73"/>
    <n v="22"/>
    <s v="NEW"/>
    <n v="808167.06"/>
    <n v="40352.42"/>
    <m/>
    <n v="0"/>
    <d v="2025-02-04T00:00:00"/>
    <d v="2025-02-12T09:51:00"/>
    <d v="2025-02-10T00:00:00"/>
    <m/>
    <m/>
    <m/>
    <n v="-45692"/>
    <n v="-45700.410416666666"/>
    <n v="0"/>
    <d v="2025-02-25T04:57:56"/>
    <d v="2025-03-06T15:53:23"/>
    <d v="2025-03-26T00:00:00"/>
    <n v="-1415.6709401709402"/>
    <n v="0"/>
    <n v="26"/>
    <n v="36"/>
    <n v="24.206896551724139"/>
    <n v="30.662068965517239"/>
    <n v="21.206896551724139"/>
    <n v="44"/>
    <n v="35.200000000000003"/>
    <n v="30.200000000000003"/>
    <d v="1900-02-03T04:48:00"/>
    <d v="1900-01-29T04:48:00"/>
    <m/>
    <m/>
    <m/>
    <m/>
    <m/>
    <m/>
    <m/>
    <m/>
    <x v="0"/>
  </r>
  <r>
    <s v="X24072866458"/>
    <s v="DITO TELECOMMUNITY CORPORATION"/>
    <s v="CHAMPACA, STO. NINO, TAGUIG CITY"/>
    <s v="TAGUIG CITY"/>
    <s v="PARAÑAQUE"/>
    <s v="for survey"/>
    <m/>
    <x v="1"/>
    <s v="SCHED"/>
    <x v="1"/>
    <n v="36.1295"/>
    <n v="92.13"/>
    <n v="31"/>
    <s v="NEW"/>
    <n v="1025199.32"/>
    <n v="37538.230000000003"/>
    <m/>
    <n v="0"/>
    <d v="2025-02-04T00:00:00"/>
    <d v="2025-02-12T09:52:00"/>
    <d v="2025-02-10T00:00:00"/>
    <m/>
    <m/>
    <m/>
    <n v="-45692"/>
    <n v="-45700.411111111112"/>
    <n v="0"/>
    <d v="2025-02-24T02:03:07"/>
    <d v="2025-03-05T05:47:57"/>
    <d v="2025-03-26T00:00:00"/>
    <n v="-1484.4381642512076"/>
    <n v="0"/>
    <n v="23"/>
    <n v="36"/>
    <n v="23.085501858736059"/>
    <n v="29.241635687732341"/>
    <n v="20.085501858736059"/>
    <n v="42"/>
    <n v="33.6"/>
    <n v="28.6"/>
    <d v="1900-02-01T14:24:00"/>
    <d v="1900-01-27T14:24:00"/>
    <m/>
    <m/>
    <m/>
    <m/>
    <m/>
    <m/>
    <m/>
    <m/>
    <x v="0"/>
  </r>
  <r>
    <s v="X24072535895"/>
    <s v="DITO TELECOMMUNITY CORPORATION"/>
    <s v="SINIGUELAS, ZONE 1, TAGUIG CITY"/>
    <s v="TAGUIG CITY"/>
    <s v="PARAÑAQUE"/>
    <s v="ROW Issue"/>
    <s v="W/ ISSUE"/>
    <x v="3"/>
    <s v="SCHED"/>
    <x v="3"/>
    <n v="49.433199999999999"/>
    <n v="101.05"/>
    <n v="22"/>
    <s v="NEW"/>
    <n v="306884.92"/>
    <n v="49458.75"/>
    <m/>
    <n v="0"/>
    <d v="2025-02-04T14:03:00"/>
    <d v="2025-02-12T09:54:00"/>
    <d v="2025-02-10T00:00:00"/>
    <m/>
    <m/>
    <m/>
    <n v="-45692.585416666669"/>
    <n v="-45700.412499999999"/>
    <n v="0"/>
    <d v="2025-02-25T19:00:56"/>
    <d v="2025-03-07T05:56:23"/>
    <d v="2025-03-26T14:03:00"/>
    <n v="-1415.6890780804843"/>
    <n v="0"/>
    <n v="26"/>
    <n v="36"/>
    <n v="24.206896551724139"/>
    <n v="30.662068965517239"/>
    <n v="21.206896551724139"/>
    <n v="44"/>
    <n v="35.200000000000003"/>
    <n v="30.200000000000003"/>
    <d v="1900-02-03T04:48:00"/>
    <d v="1900-01-29T04:48:00"/>
    <m/>
    <m/>
    <m/>
    <m/>
    <m/>
    <m/>
    <m/>
    <m/>
    <x v="0"/>
  </r>
  <r>
    <s v="X24041261990"/>
    <s v="DITO TELECOMMUNITY CORPORATION"/>
    <s v="NATIONAL, TUNASAN, MUNTINLUPA"/>
    <s v="MUNTINLUPA CITY"/>
    <s v="PARAÑAQUE"/>
    <m/>
    <s v="W/O ISSUE"/>
    <x v="3"/>
    <s v="FCOMP"/>
    <x v="3"/>
    <n v="49.433200000000006"/>
    <n v="99.63"/>
    <n v="20"/>
    <s v="NEW"/>
    <n v="346656.97"/>
    <n v="52965.509999999995"/>
    <n v="46902"/>
    <n v="0.88551965231714003"/>
    <d v="2025-02-04T15:25:00"/>
    <d v="2025-02-12T09:53:00"/>
    <d v="2025-02-10T00:00:00"/>
    <m/>
    <d v="2025-03-18T00:00:00"/>
    <m/>
    <n v="41.357638888890506"/>
    <n v="33.588194444440887"/>
    <n v="-45734"/>
    <d v="2025-02-24T17:28:07"/>
    <d v="2025-03-05T21:12:57"/>
    <d v="2025-03-26T15:25:00"/>
    <n v="1.3436237754965634"/>
    <n v="-1088.9047619047619"/>
    <n v="23"/>
    <n v="36"/>
    <n v="23.085501858736059"/>
    <n v="29.241635687732341"/>
    <n v="20.085501858736059"/>
    <n v="42"/>
    <n v="33.6"/>
    <n v="28.6"/>
    <d v="2025-04-20T14:24:00"/>
    <d v="2025-04-15T14:24:00"/>
    <m/>
    <m/>
    <m/>
    <m/>
    <m/>
    <m/>
    <m/>
    <m/>
    <x v="4"/>
  </r>
  <r>
    <s v="X24083132605"/>
    <s v="DITO TELECOMMUNITY CORPORATION"/>
    <s v="BUENCAMINO, BUENCAMINO, MUNTINLUPA"/>
    <s v="MUNTINLUPA CITY"/>
    <s v="PARAÑAQUE"/>
    <s v="For survey"/>
    <m/>
    <x v="7"/>
    <s v="FCOMP"/>
    <x v="3"/>
    <n v="20.78"/>
    <n v="28.38"/>
    <n v="31"/>
    <s v="NEW"/>
    <n v="61546.71"/>
    <n v="37641.08"/>
    <s v=" "/>
    <e v="#VALUE!"/>
    <d v="2025-02-04T15:49:00"/>
    <d v="2025-02-12T09:55:00"/>
    <d v="2025-02-10T00:00:00"/>
    <m/>
    <d v="2025-04-22T00:00:00"/>
    <m/>
    <n v="76.340972222220444"/>
    <n v="68.586805555554747"/>
    <n v="-45769"/>
    <d v="2025-02-23T10:23:50"/>
    <d v="2025-03-04T05:45:08"/>
    <d v="2025-03-26T15:49:00"/>
    <n v="2.6295223765431484"/>
    <n v="-1144.2249999999999"/>
    <n v="20"/>
    <n v="36"/>
    <n v="21.774193548387096"/>
    <n v="27.58064516129032"/>
    <n v="18.774193548387096"/>
    <n v="40"/>
    <n v="32"/>
    <n v="27"/>
    <d v="2025-05-24T00:00:00"/>
    <d v="2025-05-19T00:00:00"/>
    <m/>
    <m/>
    <m/>
    <m/>
    <m/>
    <m/>
    <m/>
    <m/>
    <x v="1"/>
  </r>
  <r>
    <s v="X24093618242"/>
    <s v="PRIME ACERS HOLDINGS CORPORATION"/>
    <s v="DIEGO SILANG, AFP OVAI PH 1, TAGUIG CITY"/>
    <s v="TAGUIG CITY"/>
    <s v="PARAÑAQUE"/>
    <m/>
    <m/>
    <x v="1"/>
    <s v="INPRG"/>
    <x v="1"/>
    <n v="122.57080000000001"/>
    <n v="267.18"/>
    <n v="263"/>
    <s v="NEW"/>
    <n v="1097984.1299999999"/>
    <n v="142064.76999999999"/>
    <m/>
    <n v="0"/>
    <d v="2025-02-05T00:00:00"/>
    <d v="2025-02-12T10:25:00"/>
    <d v="2025-02-10T00:00:00"/>
    <m/>
    <m/>
    <m/>
    <n v="-45693"/>
    <n v="-45700.434027777781"/>
    <n v="0"/>
    <d v="2025-02-24T00:40:17"/>
    <d v="2025-03-04T21:39:01"/>
    <d v="2025-03-27T00:00:00"/>
    <n v="-1555.7378571428569"/>
    <n v="0"/>
    <n v="28"/>
    <n v="30"/>
    <n v="22.027972027972027"/>
    <n v="27.9020979020979"/>
    <n v="19.027972027972027"/>
    <n v="46"/>
    <n v="36.800000000000004"/>
    <n v="31.800000000000004"/>
    <d v="1900-02-04T19:12:00"/>
    <d v="1900-01-30T19:12:00"/>
    <m/>
    <m/>
    <m/>
    <m/>
    <m/>
    <m/>
    <m/>
    <m/>
    <x v="0"/>
  </r>
  <r>
    <s v="X25010095532"/>
    <s v="MINA B. TAPISPISAN"/>
    <s v="BALLECER, ZONE 4, TAGUIG CITY"/>
    <s v="TAGUIG CITY"/>
    <s v="PARAÑAQUE"/>
    <m/>
    <m/>
    <x v="1"/>
    <s v="FCOMP"/>
    <x v="1"/>
    <n v="2.58"/>
    <n v="6.28"/>
    <n v="10"/>
    <s v="NEW"/>
    <n v="21877.86"/>
    <n v="3696.19"/>
    <m/>
    <n v="0"/>
    <d v="2025-02-05T00:00:00"/>
    <d v="2025-02-12T10:26:00"/>
    <d v="2025-02-10T00:00:00"/>
    <m/>
    <d v="2025-02-25T00:00:00"/>
    <m/>
    <n v="20"/>
    <n v="12.565277777779556"/>
    <n v="-45713"/>
    <d v="2025-02-23T18:34:50"/>
    <d v="2025-03-04T13:56:08"/>
    <d v="2025-03-27T00:00:00"/>
    <n v="0.68888888888888888"/>
    <n v="-1142.825"/>
    <n v="20"/>
    <n v="36"/>
    <n v="21.774193548387096"/>
    <n v="27.58064516129032"/>
    <n v="18.774193548387096"/>
    <n v="40"/>
    <n v="32"/>
    <n v="27"/>
    <d v="2025-03-29T00:00:00"/>
    <d v="2025-03-24T00:00:00"/>
    <m/>
    <m/>
    <m/>
    <m/>
    <m/>
    <m/>
    <m/>
    <m/>
    <x v="1"/>
  </r>
  <r>
    <s v="X24103896457"/>
    <s v="CITY GOVT OF LAS PIÑAS"/>
    <s v="DOÑA PILAR AGUIRRE, PILAR VILL, LAS PINAS CITY"/>
    <s v="LAS PIÑAS CITY"/>
    <s v="PARAÑAQUE"/>
    <m/>
    <m/>
    <x v="2"/>
    <s v="FCOMP"/>
    <x v="2"/>
    <n v="123.4425"/>
    <n v="323.57"/>
    <n v="339"/>
    <s v="MODIFICATION"/>
    <n v="1353967.43"/>
    <n v="182994.22"/>
    <n v="84000.89"/>
    <n v="0.45903575533697183"/>
    <d v="2025-02-05T13:14:00"/>
    <d v="2025-02-12T10:23:00"/>
    <d v="2025-02-10T00:00:00"/>
    <m/>
    <d v="2025-03-17T08:43:00"/>
    <m/>
    <n v="39.811805555553292"/>
    <n v="32.930555555554747"/>
    <n v="-45733.363194444442"/>
    <d v="2025-02-23T23:31:09"/>
    <d v="2025-03-04T16:39:43"/>
    <d v="2025-03-27T13:14:00"/>
    <n v="1.3934131944443651"/>
    <n v="-952.77839988425922"/>
    <n v="30"/>
    <n v="28"/>
    <n v="21.428571428571431"/>
    <n v="27.142857142857146"/>
    <n v="18.428571428571431"/>
    <n v="48"/>
    <n v="38.400000000000006"/>
    <n v="33.400000000000006"/>
    <d v="2025-04-24T18:19:00"/>
    <d v="2025-04-19T18:19:00"/>
    <m/>
    <m/>
    <m/>
    <m/>
    <m/>
    <m/>
    <m/>
    <m/>
    <x v="1"/>
  </r>
  <r>
    <s v="X24124766675"/>
    <s v="PATRICK SANVICTORES GARCIA"/>
    <s v="BEGONIA, AYALA-ALABANG VILL, MUNTINLUPA"/>
    <s v="MUNTINLUPA CITY"/>
    <s v="PARAÑAQUE"/>
    <s v="For survey"/>
    <m/>
    <x v="7"/>
    <s v="FCOMP"/>
    <x v="3"/>
    <n v="19.13"/>
    <n v="26.25"/>
    <n v="100"/>
    <s v="MODIFICATION"/>
    <n v="58152.36"/>
    <n v="26972.79"/>
    <m/>
    <n v="0"/>
    <d v="2025-02-05T16:16:00"/>
    <d v="2025-02-12T10:26:00"/>
    <d v="2025-02-10T00:00:00"/>
    <m/>
    <d v="2025-03-28T00:00:00"/>
    <m/>
    <n v="50.322222222224809"/>
    <n v="43.565277777779556"/>
    <n v="-45744"/>
    <d v="2025-02-23T18:03:06"/>
    <d v="2025-03-04T08:55:40"/>
    <d v="2025-03-27T16:16:00"/>
    <n v="1.7908790849674121"/>
    <n v="-1143.5999999999999"/>
    <n v="20"/>
    <n v="34"/>
    <n v="21.074380165289259"/>
    <n v="26.694214876033058"/>
    <n v="18.074380165289259"/>
    <n v="40"/>
    <n v="32"/>
    <n v="27"/>
    <d v="2025-04-29T00:00:00"/>
    <d v="2025-04-24T00:00:00"/>
    <m/>
    <m/>
    <m/>
    <m/>
    <m/>
    <m/>
    <m/>
    <m/>
    <x v="4"/>
  </r>
  <r>
    <s v="X24103884052"/>
    <s v="CARMELINDELLE PALMA MATERNAL"/>
    <s v="MOLAVE, MANILA DOCTOR VILL, LAS PINAS CITY"/>
    <s v="LAS PIÑAS CITY"/>
    <s v="PARAÑAQUE"/>
    <m/>
    <m/>
    <x v="5"/>
    <s v="SCHED"/>
    <x v="2"/>
    <n v="281.947"/>
    <n v="512.28"/>
    <n v="63.1"/>
    <s v="MODIFICATION"/>
    <n v="1339954.29"/>
    <n v="300056.58"/>
    <m/>
    <n v="0"/>
    <d v="2025-02-06T00:00:00"/>
    <d v="2025-02-12T10:30:00"/>
    <d v="2025-02-10T00:00:00"/>
    <m/>
    <m/>
    <m/>
    <n v="-45694"/>
    <n v="-45700.4375"/>
    <n v="0"/>
    <d v="2025-03-01T16:50:16"/>
    <d v="2025-03-11T19:43:40"/>
    <d v="2025-03-28T00:00:00"/>
    <n v="-1283.4638235294117"/>
    <n v="0"/>
    <n v="40"/>
    <n v="34"/>
    <n v="26.701570680628272"/>
    <n v="33.821989528795811"/>
    <n v="23.701570680628272"/>
    <n v="55"/>
    <n v="44"/>
    <n v="39"/>
    <d v="1900-02-12T00:00:00"/>
    <d v="1900-02-07T00:00:00"/>
    <m/>
    <m/>
    <m/>
    <m/>
    <m/>
    <m/>
    <m/>
    <m/>
    <x v="0"/>
  </r>
  <r>
    <s v="X25010222043"/>
    <s v="NOEMI A SUMINISTRADO"/>
    <s v="MILLARES, PUROK 4B, TAGUIG CITY"/>
    <s v="TAGUIG CITY"/>
    <s v="PARAÑAQUE"/>
    <m/>
    <m/>
    <x v="1"/>
    <s v="FCOMP"/>
    <x v="1"/>
    <n v="59.174999999999997"/>
    <n v="108.68"/>
    <n v="15"/>
    <s v="NEW"/>
    <n v="344593.38"/>
    <n v="58274.76"/>
    <m/>
    <n v="0"/>
    <d v="2025-02-06T00:00:00"/>
    <d v="2025-02-12T10:33:00"/>
    <d v="2025-02-10T00:00:00"/>
    <m/>
    <d v="2025-02-27T00:00:00"/>
    <m/>
    <n v="21"/>
    <n v="14.560416666667152"/>
    <n v="-45715"/>
    <d v="2025-02-27T04:57:56"/>
    <d v="2025-03-08T15:53:23"/>
    <d v="2025-03-28T00:00:00"/>
    <n v="0.65064102564102566"/>
    <n v="-1038.9772727272727"/>
    <n v="26"/>
    <n v="36"/>
    <n v="24.206896551724139"/>
    <n v="30.662068965517239"/>
    <n v="21.206896551724139"/>
    <n v="44"/>
    <n v="35.200000000000003"/>
    <n v="30.200000000000003"/>
    <d v="2025-04-03T04:48:00"/>
    <d v="2025-03-29T04:48:00"/>
    <m/>
    <m/>
    <m/>
    <m/>
    <m/>
    <m/>
    <m/>
    <m/>
    <x v="1"/>
  </r>
  <r>
    <s v="X23093504208"/>
    <s v="YIHUA PHILIPPINES GROUP INC."/>
    <s v="QUIRINO, TAMBO, PARANAQUE"/>
    <s v="PARAÑAQUE CITY"/>
    <s v="PARAÑAQUE"/>
    <m/>
    <m/>
    <x v="5"/>
    <s v="FCOMP"/>
    <x v="2"/>
    <n v="198.17739999999998"/>
    <n v="536.25"/>
    <n v="838"/>
    <s v="NEW"/>
    <n v="2855707.96"/>
    <n v="318164.19"/>
    <m/>
    <n v="0"/>
    <d v="2025-02-06T07:34:00"/>
    <d v="2025-02-11T17:23:00"/>
    <d v="2025-02-10T00:00:00"/>
    <m/>
    <d v="2025-03-20T00:00:00"/>
    <m/>
    <n v="41.684722222220444"/>
    <n v="36.275694444440887"/>
    <n v="-45736"/>
    <d v="2025-02-23T02:03:55"/>
    <d v="2025-03-03T08:35:53"/>
    <d v="2025-03-28T07:34:00"/>
    <n v="1.5813008756037972"/>
    <n v="-831.56363636363642"/>
    <n v="40"/>
    <n v="23"/>
    <n v="19.770773638968482"/>
    <n v="25.04297994269341"/>
    <n v="16.770773638968482"/>
    <n v="55"/>
    <n v="44"/>
    <n v="39"/>
    <d v="2025-05-03T00:00:00"/>
    <d v="2025-04-28T00:00:00"/>
    <m/>
    <m/>
    <m/>
    <m/>
    <m/>
    <m/>
    <m/>
    <m/>
    <x v="1"/>
  </r>
  <r>
    <s v="X25020425086"/>
    <s v="C N C CONSTRUCTION &amp; DEV'T. CORPORATION"/>
    <s v="SAN PEDRO, SAN ANTONIO VALLEY 2, PARANAQUE"/>
    <s v="PARAÑAQUE CITY"/>
    <s v="PARAÑAQUE"/>
    <m/>
    <m/>
    <x v="8"/>
    <s v="FCOMP"/>
    <x v="7"/>
    <n v="7.46"/>
    <n v="10"/>
    <s v=" -   "/>
    <s v="TERMINATION"/>
    <n v="17390.27"/>
    <n v="16969.79"/>
    <m/>
    <n v="0"/>
    <d v="2025-02-06T08:59:00"/>
    <d v="2025-02-06T08:59:00"/>
    <d v="2025-02-10T00:00:00"/>
    <m/>
    <d v="2025-02-11T00:00:00"/>
    <m/>
    <n v="4.6256944444467081"/>
    <n v="4.6256944444467081"/>
    <n v="-45699"/>
    <d v="2025-02-18T08:59:00"/>
    <d v="2025-02-25T08:59:00"/>
    <d v="2025-03-28T08:59:00"/>
    <n v="0.2312847222223354"/>
    <n v="-1142.4749999999999"/>
    <n v="20"/>
    <n v="20"/>
    <n v="15.000000000000002"/>
    <n v="19"/>
    <n v="12.000000000000002"/>
    <n v="40"/>
    <n v="32"/>
    <n v="27"/>
    <d v="2025-03-15T00:00:00"/>
    <d v="2025-03-10T00:00:00"/>
    <m/>
    <m/>
    <m/>
    <m/>
    <m/>
    <m/>
    <m/>
    <m/>
    <x v="4"/>
  </r>
  <r>
    <s v="X25010120302"/>
    <s v="CDC REALTY INC."/>
    <s v="DOVE LOFTS, LION'S PARK RESIDENCES, PARANAQUE"/>
    <s v="PARAÑAQUE CITY"/>
    <s v="PARAÑAQUE"/>
    <m/>
    <s v="with follow up from Ma'am Cecille, Head Enterprise &amp; National Government"/>
    <x v="1"/>
    <s v="FCOMP"/>
    <x v="1"/>
    <n v="70.673099999999991"/>
    <n v="157.18"/>
    <n v="193"/>
    <s v="NEW"/>
    <n v="813015.11"/>
    <n v="97030.12999999999"/>
    <n v="47759.31"/>
    <n v="0.49221113070754419"/>
    <d v="2025-02-06T13:14:00"/>
    <d v="2025-02-12T10:32:00"/>
    <d v="2025-02-10T00:00:00"/>
    <d v="2025-03-03T00:00:00"/>
    <d v="2025-03-03T00:00:00"/>
    <m/>
    <n v="24.448611111110949"/>
    <n v="18.56111111111386"/>
    <n v="-45719"/>
    <d v="2025-02-25T23:56:18"/>
    <d v="2025-03-06T23:35:35"/>
    <d v="2025-03-28T13:14:00"/>
    <n v="0.81691272702990914"/>
    <n v="-1039.0681818181818"/>
    <n v="26"/>
    <n v="32"/>
    <n v="22.446043165467625"/>
    <n v="28.431654676258994"/>
    <n v="19.446043165467625"/>
    <n v="44"/>
    <n v="35.200000000000003"/>
    <n v="30.200000000000003"/>
    <d v="2025-04-07T04:48:00"/>
    <d v="2025-04-02T04:48:00"/>
    <m/>
    <m/>
    <m/>
    <m/>
    <m/>
    <m/>
    <m/>
    <m/>
    <x v="4"/>
  </r>
  <r>
    <s v="R23792026"/>
    <s v="NEW PACIFIC RESOURCES MANAGEMENT (SPV- AMC), INC., HMB"/>
    <s v="BLOCK 27, SOLVIENTO VILLAS PH 2, BACOOR"/>
    <s v="BACOOR CITY"/>
    <s v="DASMA"/>
    <m/>
    <m/>
    <x v="5"/>
    <s v="SCHED"/>
    <x v="2"/>
    <n v="13.413600000000001"/>
    <n v="25.5"/>
    <s v=" -   "/>
    <s v="PCA RELOC"/>
    <n v="40378.97"/>
    <n v="15581.73"/>
    <m/>
    <n v="0"/>
    <d v="2025-02-06T15:16:00"/>
    <d v="2025-02-12T10:31:00"/>
    <d v="2025-02-10T00:00:00"/>
    <m/>
    <m/>
    <m/>
    <n v="-45694.636111111111"/>
    <n v="-45700.438194444447"/>
    <n v="0"/>
    <d v="2025-02-18T15:16:00"/>
    <d v="2025-02-25T15:16:00"/>
    <d v="2025-03-28T15:16:00"/>
    <n v="-2284.7318055555552"/>
    <n v="0"/>
    <n v="20"/>
    <n v="20"/>
    <n v="15.000000000000002"/>
    <n v="19"/>
    <n v="12.000000000000002"/>
    <n v="40"/>
    <n v="32"/>
    <n v="27"/>
    <d v="1900-01-31T00:00:00"/>
    <d v="1900-01-26T00:00:00"/>
    <m/>
    <m/>
    <m/>
    <m/>
    <m/>
    <m/>
    <m/>
    <m/>
    <x v="0"/>
  </r>
  <r>
    <s v="X25010314175"/>
    <s v="BGST PRIME DEVELOPMENT CORP."/>
    <s v="COASTAL RD, SAN DIONISIO, PARANAQUE"/>
    <s v="PARAÑAQUE CITY"/>
    <s v="PARAÑAQUE"/>
    <m/>
    <m/>
    <x v="5"/>
    <s v="FCOMP"/>
    <x v="2"/>
    <n v="9.42"/>
    <n v="26.3"/>
    <s v=" -   "/>
    <s v="TERMINATION"/>
    <n v="25833.16"/>
    <n v="16625.89"/>
    <m/>
    <n v="0"/>
    <d v="2025-02-07T15:27:00"/>
    <d v="2025-02-13T12:54:00"/>
    <d v="2025-02-17T00:00:00"/>
    <m/>
    <d v="2025-04-07T00:00:00"/>
    <m/>
    <n v="58.35624999999709"/>
    <n v="52.462500000001455"/>
    <n v="-45754"/>
    <d v="2025-02-19T15:27:00"/>
    <d v="2025-02-26T15:27:00"/>
    <d v="2025-03-29T15:27:00"/>
    <n v="2.9178124999998545"/>
    <n v="-1143.8499999999999"/>
    <n v="20"/>
    <n v="20"/>
    <n v="15.000000000000002"/>
    <n v="19"/>
    <n v="12.000000000000002"/>
    <n v="40"/>
    <n v="32"/>
    <n v="27"/>
    <d v="2025-05-09T00:00:00"/>
    <d v="2025-05-04T00:00:00"/>
    <m/>
    <m/>
    <m/>
    <m/>
    <m/>
    <m/>
    <m/>
    <m/>
    <x v="1"/>
  </r>
  <r>
    <s v="X24030689569"/>
    <s v="PILIPINAS SHELL PETROLEUM CORPORATION"/>
    <s v="SAMPAGUITA, CAMP SAMPAGUITA, MUNTINLUPA"/>
    <s v="MUNTINLUPA CITY"/>
    <s v="PARAÑAQUE"/>
    <m/>
    <m/>
    <x v="5"/>
    <s v="FCOMP"/>
    <x v="2"/>
    <n v="666.33040000000028"/>
    <n v="1386.38"/>
    <n v="78"/>
    <s v="NEW"/>
    <n v="3575972.05"/>
    <n v="828522.97999999835"/>
    <m/>
    <n v="0"/>
    <d v="2025-02-08T20:10:00"/>
    <d v="2025-02-11T12:55:00"/>
    <d v="2025-02-21T00:00:00"/>
    <m/>
    <d v="2025-02-26T00:00:00"/>
    <m/>
    <n v="17.159722222218988"/>
    <n v="14.461805555554747"/>
    <n v="-45714"/>
    <d v="2025-03-06T01:09:28"/>
    <d v="2025-03-16T13:41:20"/>
    <d v="2025-03-30T20:10:00"/>
    <n v="0.4562467320260577"/>
    <n v="-761.9"/>
    <n v="50"/>
    <n v="34"/>
    <n v="28.207964601769909"/>
    <n v="35.730088495575217"/>
    <n v="25.207964601769909"/>
    <n v="60"/>
    <n v="48"/>
    <n v="43"/>
    <d v="2025-04-15T00:00:00"/>
    <d v="2025-04-10T00:00:00"/>
    <m/>
    <m/>
    <m/>
    <m/>
    <m/>
    <m/>
    <m/>
    <m/>
    <x v="4"/>
  </r>
  <r>
    <s v="X24083222197"/>
    <s v="AUREA PEÑERO BANAO"/>
    <s v="BLOCK 101, SITIO IMELDA, TAGUIG CITY"/>
    <s v="TAGUIG CITY"/>
    <s v="PARAÑAQUE"/>
    <m/>
    <m/>
    <x v="1"/>
    <s v="SCHED"/>
    <x v="1"/>
    <n v="22.31"/>
    <n v="41.55"/>
    <n v="5"/>
    <s v="NEW"/>
    <n v="141015.84"/>
    <n v="20357.319999999996"/>
    <m/>
    <n v="0"/>
    <d v="2025-02-10T12:12:00"/>
    <d v="2025-02-18T14:33:00"/>
    <d v="2025-02-17T00:00:00"/>
    <m/>
    <m/>
    <m/>
    <n v="-45698.508333333331"/>
    <n v="-45706.606249999997"/>
    <n v="0"/>
    <d v="2025-03-01T06:46:50"/>
    <d v="2025-03-10T02:08:08"/>
    <d v="2025-04-01T12:12:00"/>
    <n v="-1574.0597314814813"/>
    <n v="0"/>
    <n v="20"/>
    <n v="36"/>
    <n v="21.774193548387096"/>
    <n v="27.58064516129032"/>
    <n v="18.774193548387096"/>
    <n v="40"/>
    <n v="32"/>
    <n v="27"/>
    <d v="1900-01-31T00:00:00"/>
    <d v="1900-01-26T00:00:00"/>
    <m/>
    <m/>
    <m/>
    <m/>
    <m/>
    <m/>
    <m/>
    <m/>
    <x v="0"/>
  </r>
  <r>
    <s v="X22125058629"/>
    <s v="CITY GOVERNMENT OF MUNTINLUPA"/>
    <s v="FILINVEST SOCIALIZED HOUSING, FILINVEST SOCIALIZED HOUSING, MUNTINLUPA"/>
    <s v="MUNTINLUPA CITY"/>
    <s v="PARAÑAQUE"/>
    <m/>
    <m/>
    <x v="7"/>
    <s v="DCOMP"/>
    <x v="3"/>
    <n v="30.6"/>
    <n v="41.92"/>
    <n v="60"/>
    <s v="MODIFICATION"/>
    <n v="209537.97"/>
    <m/>
    <m/>
    <e v="#DIV/0!"/>
    <d v="2025-02-10T14:37:00"/>
    <m/>
    <d v="2025-02-17T00:00:00"/>
    <m/>
    <m/>
    <m/>
    <n v="-45698.609027777777"/>
    <n v="0"/>
    <n v="0"/>
    <d v="2025-02-28T16:24:06"/>
    <d v="2025-03-09T07:16:40"/>
    <d v="2025-04-01T14:37:00"/>
    <n v="-1626.3328506944445"/>
    <n v="0"/>
    <n v="20"/>
    <n v="34"/>
    <n v="21.074380165289259"/>
    <n v="26.694214876033058"/>
    <n v="18.074380165289259"/>
    <n v="40"/>
    <n v="32"/>
    <n v="27"/>
    <d v="1900-01-31T00:00:00"/>
    <d v="1900-01-26T00:00:00"/>
    <m/>
    <m/>
    <m/>
    <m/>
    <m/>
    <m/>
    <m/>
    <m/>
    <x v="0"/>
  </r>
  <r>
    <s v="X25010133520"/>
    <s v="MICHAEL GERARD TANTOCO MORADA"/>
    <s v="BUNGA, AYALA-ALABANG VILL, MUNTINLUPA"/>
    <s v="MUNTINLUPA CITY"/>
    <s v="PARAÑAQUE"/>
    <m/>
    <m/>
    <x v="7"/>
    <s v="FCOMP"/>
    <x v="3"/>
    <n v="20.14"/>
    <n v="27.57"/>
    <n v="110"/>
    <s v="NEW"/>
    <n v="242142.06"/>
    <n v="31416.7"/>
    <m/>
    <n v="0"/>
    <d v="2025-02-10T14:41:00"/>
    <d v="2025-02-18T11:04:00"/>
    <d v="2025-02-17T00:00:00"/>
    <m/>
    <d v="2025-02-28T00:00:00"/>
    <m/>
    <n v="17.388194444443798"/>
    <n v="9.538888888891961"/>
    <n v="-45716"/>
    <d v="2025-02-27T22:49:08"/>
    <d v="2025-03-08T08:59:18"/>
    <d v="2025-04-01T14:41:00"/>
    <n v="0.64118967013886508"/>
    <n v="-1142.9000000000001"/>
    <n v="20"/>
    <n v="32"/>
    <n v="20.33898305084746"/>
    <n v="25.762711864406779"/>
    <n v="17.33898305084746"/>
    <n v="40"/>
    <n v="32"/>
    <n v="27"/>
    <d v="2025-04-01T00:00:00"/>
    <d v="2025-03-27T00:00:00"/>
    <m/>
    <m/>
    <m/>
    <m/>
    <m/>
    <m/>
    <m/>
    <m/>
    <x v="4"/>
  </r>
  <r>
    <s v="X24103959118"/>
    <s v="MILES AND LEVELS PHILIPPINES, INC."/>
    <s v="WEST SERVICE, PHILCREST CPD, MUNTINLUPA"/>
    <s v="MUNTINLUPA CITY"/>
    <s v="PARAÑAQUE"/>
    <m/>
    <m/>
    <x v="3"/>
    <s v="FCOMP"/>
    <x v="3"/>
    <n v="55.5593"/>
    <n v="95.15"/>
    <n v="16"/>
    <s v="NEW"/>
    <n v="335303.64"/>
    <n v="52409.000000000007"/>
    <n v="40226.699999999997"/>
    <n v="0.76755328283310098"/>
    <d v="2025-02-10T17:00:00"/>
    <d v="2025-02-18T14:35:00"/>
    <d v="2025-02-17T00:00:00"/>
    <m/>
    <d v="2025-03-19T16:13:00"/>
    <m/>
    <n v="36.967361111106584"/>
    <n v="29.068055555551837"/>
    <n v="-45735.675694444442"/>
    <d v="2025-03-02T19:03:07"/>
    <d v="2025-03-11T22:47:57"/>
    <d v="2025-04-01T17:00:00"/>
    <n v="1.2009927703970615"/>
    <n v="-1088.9446593915343"/>
    <n v="23"/>
    <n v="36"/>
    <n v="23.085501858736059"/>
    <n v="29.241635687732341"/>
    <n v="20.085501858736059"/>
    <n v="42"/>
    <n v="33.6"/>
    <n v="28.6"/>
    <d v="2025-04-22T06:37:00"/>
    <d v="2025-04-17T06:37:00"/>
    <m/>
    <m/>
    <m/>
    <m/>
    <m/>
    <m/>
    <m/>
    <m/>
    <x v="4"/>
  </r>
  <r>
    <s v="X24124769477"/>
    <s v="CMSTAR MANAGEMENT INC."/>
    <s v="DAANG-HARI RD., MOLINO IV, BACOOR"/>
    <s v="BACOOR CITY"/>
    <s v="DASMA"/>
    <m/>
    <m/>
    <x v="4"/>
    <s v="FCOMP"/>
    <x v="1"/>
    <n v="18.542799999999996"/>
    <n v="33.17"/>
    <n v="45"/>
    <s v="NEW"/>
    <n v="364258.38"/>
    <n v="21017.78"/>
    <m/>
    <n v="0"/>
    <d v="2025-02-11T13:39:00"/>
    <d v="2025-02-18T14:45:00"/>
    <d v="2025-02-17T00:00:00"/>
    <m/>
    <d v="2025-03-11T07:21:00"/>
    <m/>
    <n v="27.73750000000291"/>
    <n v="20.691666666665697"/>
    <n v="-45727.306250000001"/>
    <d v="2025-03-02T08:13:50"/>
    <d v="2025-03-11T03:35:08"/>
    <d v="2025-04-02T13:39:00"/>
    <n v="0.95540277777787797"/>
    <n v="-1143.18265625"/>
    <n v="20"/>
    <n v="36"/>
    <n v="21.774193548387096"/>
    <n v="27.58064516129032"/>
    <n v="18.774193548387096"/>
    <n v="40"/>
    <n v="32"/>
    <n v="27"/>
    <d v="2025-04-12T07:21:00"/>
    <d v="2025-04-07T07:21:00"/>
    <m/>
    <m/>
    <m/>
    <m/>
    <m/>
    <m/>
    <m/>
    <m/>
    <x v="1"/>
  </r>
  <r>
    <s v="X24124786551"/>
    <s v="OMNICO CONSORTIUM INC."/>
    <s v="CARLO, TAGUIG BAGUMBAYAN INDL ASS INC, TAGUIG CITY"/>
    <s v="TAGUIG CITY"/>
    <s v="PARAÑAQUE"/>
    <m/>
    <m/>
    <x v="2"/>
    <s v="FCOMP"/>
    <x v="2"/>
    <n v="101.17830000000002"/>
    <n v="238.6"/>
    <n v="220"/>
    <s v="NEW"/>
    <n v="1023594.08"/>
    <n v="144686.01"/>
    <n v="27500.98"/>
    <n v="0.19007352542239569"/>
    <d v="2025-02-11T16:31:00"/>
    <d v="2025-02-18T14:41:00"/>
    <d v="2025-02-17T00:00:00"/>
    <m/>
    <d v="2025-03-25T13:56:00"/>
    <m/>
    <n v="41.892361111109494"/>
    <n v="34.96875"/>
    <n v="-45741.580555555556"/>
    <d v="2025-03-02T17:11:17"/>
    <d v="2025-03-11T14:10:01"/>
    <d v="2025-04-02T16:31:00"/>
    <n v="1.426335152116347"/>
    <n v="-994.38218599033814"/>
    <n v="28"/>
    <n v="30"/>
    <n v="22.027972027972027"/>
    <n v="27.9020979020979"/>
    <n v="19.027972027972027"/>
    <n v="46"/>
    <n v="36.800000000000004"/>
    <n v="31.800000000000004"/>
    <d v="2025-05-01T09:08:00"/>
    <d v="2025-04-26T09:08:00"/>
    <m/>
    <m/>
    <m/>
    <m/>
    <m/>
    <m/>
    <m/>
    <m/>
    <x v="4"/>
  </r>
  <r>
    <s v="X24104024806"/>
    <s v="JUNEL PENALBA"/>
    <s v="JUDGE BIENVENIDO TAN SR., BF RESORT VILL, LAS PINAS CITY"/>
    <s v="LAS PIÑAS CITY"/>
    <s v="PARAÑAQUE"/>
    <m/>
    <m/>
    <x v="3"/>
    <s v="FCOMP"/>
    <x v="3"/>
    <n v="43.706099999999999"/>
    <n v="104.8"/>
    <n v="72.75"/>
    <s v="NEW"/>
    <n v="431455.57"/>
    <n v="51274.68"/>
    <m/>
    <n v="0"/>
    <d v="2025-02-12T14:29:00"/>
    <d v="2025-02-18T14:54:00"/>
    <d v="2025-02-17T00:00:00"/>
    <m/>
    <d v="2025-05-21T00:00:00"/>
    <m/>
    <n v="97.396527777775191"/>
    <n v="91.379166666665697"/>
    <n v="-45798"/>
    <d v="2025-03-04T22:45:54"/>
    <d v="2025-03-14T04:10:25"/>
    <d v="2025-04-03T14:29:00"/>
    <n v="3.1290287204624612"/>
    <n v="-1040.8636363636363"/>
    <n v="26"/>
    <n v="34"/>
    <n v="23.345070422535212"/>
    <n v="29.570422535211268"/>
    <n v="20.345070422535212"/>
    <n v="44"/>
    <n v="35.200000000000003"/>
    <n v="30.200000000000003"/>
    <d v="2025-06-25T04:48:00"/>
    <d v="2025-06-20T04:48:00"/>
    <m/>
    <m/>
    <m/>
    <m/>
    <m/>
    <m/>
    <m/>
    <m/>
    <x v="1"/>
  </r>
  <r>
    <s v="R23915658"/>
    <s v="CERNAL ARNOLD BONUS"/>
    <s v="SINIGUELAS, CAMELLA SPV WEST PH 1, BACOOR"/>
    <s v="BACOOR CITY"/>
    <s v="DASMA"/>
    <m/>
    <m/>
    <x v="5"/>
    <s v="SCHED"/>
    <x v="2"/>
    <n v="13.483599999999999"/>
    <n v="22.87"/>
    <n v="0"/>
    <s v="PCA RELOC"/>
    <n v="41482.86"/>
    <n v="14273.349999999999"/>
    <m/>
    <n v="0"/>
    <d v="2025-02-12T15:57:00"/>
    <d v="2025-02-18T14:52:00"/>
    <d v="2025-02-17T00:00:00"/>
    <m/>
    <m/>
    <m/>
    <n v="-45700.664583333331"/>
    <n v="-45706.619444444441"/>
    <n v="0"/>
    <d v="2025-03-03T10:31:50"/>
    <d v="2025-03-12T05:53:08"/>
    <d v="2025-04-03T15:57:00"/>
    <n v="-1574.1340023148146"/>
    <n v="0"/>
    <n v="20"/>
    <n v="36"/>
    <n v="21.774193548387096"/>
    <n v="27.58064516129032"/>
    <n v="18.774193548387096"/>
    <n v="40"/>
    <n v="32"/>
    <n v="27"/>
    <d v="1900-01-31T00:00:00"/>
    <d v="1900-01-26T00:00:00"/>
    <m/>
    <m/>
    <m/>
    <m/>
    <m/>
    <m/>
    <m/>
    <m/>
    <x v="0"/>
  </r>
  <r>
    <s v="R23697156"/>
    <s v="MORALES, LESLIE DIANNE VITAL"/>
    <s v="DAFFODIL, GSIS TOWNHOMES, BACOOR"/>
    <s v="BACOOR CITY"/>
    <s v="DASMA"/>
    <m/>
    <m/>
    <x v="5"/>
    <s v="FCOMP"/>
    <x v="2"/>
    <n v="48.206599999999995"/>
    <n v="91.05"/>
    <n v="0"/>
    <s v="PCA RELOC"/>
    <n v="202633.21"/>
    <n v="48879.259999999987"/>
    <m/>
    <n v="0"/>
    <d v="2025-02-12T16:33:00"/>
    <d v="2025-02-18T14:48:00"/>
    <d v="2025-02-17T00:00:00"/>
    <m/>
    <d v="2025-03-18T00:00:00"/>
    <m/>
    <n v="33.310416666667152"/>
    <n v="27.383333333331393"/>
    <n v="-45734"/>
    <d v="2025-03-04T18:36:07"/>
    <d v="2025-03-13T22:20:57"/>
    <d v="2025-04-03T16:33:00"/>
    <n v="1.082186241948486"/>
    <n v="-1088.9047619047619"/>
    <n v="23"/>
    <n v="36"/>
    <n v="23.085501858736059"/>
    <n v="29.241635687732341"/>
    <n v="20.085501858736059"/>
    <n v="42"/>
    <n v="33.6"/>
    <n v="28.6"/>
    <d v="2025-04-20T14:24:00"/>
    <d v="2025-04-15T14:24:00"/>
    <m/>
    <m/>
    <m/>
    <m/>
    <m/>
    <m/>
    <m/>
    <m/>
    <x v="1"/>
  </r>
  <r>
    <s v="X24124774979"/>
    <s v="CITY GOV'T OF LAS PIÑAS"/>
    <s v="NAGA, PULANGLUPA I, LAS PINAS CITY"/>
    <s v="LAS PIÑAS CITY"/>
    <s v="PARAÑAQUE"/>
    <m/>
    <m/>
    <x v="2"/>
    <s v="SCHED"/>
    <x v="2"/>
    <n v="34.679500000000004"/>
    <n v="74.099999999999994"/>
    <n v="16.399999999999999"/>
    <s v="NEW"/>
    <n v="295706.76"/>
    <n v="33199.840000000004"/>
    <m/>
    <n v="0"/>
    <d v="2025-02-12T17:01:00"/>
    <d v="2025-02-18T14:56:00"/>
    <d v="2025-02-17T00:00:00"/>
    <m/>
    <m/>
    <m/>
    <n v="-45700.709027777775"/>
    <n v="-45706.62222222222"/>
    <n v="0"/>
    <d v="2025-03-04T19:04:07"/>
    <d v="2025-03-13T22:48:57"/>
    <d v="2025-04-03T17:01:00"/>
    <n v="-1484.7211024724907"/>
    <n v="0"/>
    <n v="23"/>
    <n v="36"/>
    <n v="23.085501858736059"/>
    <n v="29.241635687732341"/>
    <n v="20.085501858736059"/>
    <n v="42"/>
    <n v="33.6"/>
    <n v="28.6"/>
    <d v="1900-02-01T14:24:00"/>
    <d v="1900-01-27T14:24:00"/>
    <m/>
    <m/>
    <m/>
    <m/>
    <m/>
    <m/>
    <m/>
    <m/>
    <x v="0"/>
  </r>
  <r>
    <s v="X23083154356"/>
    <s v="CITY GOVERNMENT OF PARAÑAQUE"/>
    <s v="MANGGA, MASVILLE, PARANAQUE"/>
    <s v="PARAÑAQUE CITY"/>
    <s v="PARAÑAQUE"/>
    <m/>
    <m/>
    <x v="4"/>
    <s v="FCOMP"/>
    <x v="1"/>
    <n v="308.19279999999992"/>
    <n v="711.1"/>
    <n v="167"/>
    <s v="NEW"/>
    <n v="2792430.39"/>
    <n v="484145.48999999976"/>
    <m/>
    <n v="0"/>
    <d v="2025-02-13T13:55:00"/>
    <d v="2025-02-21T15:07:00"/>
    <d v="2025-02-17T00:00:00"/>
    <m/>
    <d v="2025-05-12T09:00:00"/>
    <m/>
    <n v="87.795138888890506"/>
    <n v="79.745138888887595"/>
    <n v="-45789.375"/>
    <d v="2025-03-08T02:40:57"/>
    <d v="2025-03-17T22:05:13"/>
    <d v="2025-04-04T13:55:00"/>
    <n v="2.5789822048611586"/>
    <n v="-832.53409090909088"/>
    <n v="40"/>
    <n v="32"/>
    <n v="25.531914893617024"/>
    <n v="32.340425531914896"/>
    <n v="22.531914893617024"/>
    <n v="55"/>
    <n v="44"/>
    <n v="39"/>
    <d v="2025-06-25T09:00:00"/>
    <d v="2025-06-20T09:00:00"/>
    <m/>
    <m/>
    <m/>
    <m/>
    <m/>
    <m/>
    <m/>
    <m/>
    <x v="1"/>
  </r>
  <r>
    <s v="R23771915"/>
    <s v="SALITA, HERMIE"/>
    <s v="ST. MARK, PARKDALE II SUBD, BACOOR"/>
    <s v="BACOOR CITY"/>
    <s v="DASMA"/>
    <m/>
    <m/>
    <x v="4"/>
    <s v="SCHED"/>
    <x v="1"/>
    <n v="52.976099999999995"/>
    <n v="101.88"/>
    <n v="0"/>
    <s v="PCA RELOC"/>
    <n v="226387.26"/>
    <n v="58107.389999999992"/>
    <m/>
    <n v="0"/>
    <d v="2025-02-13T14:03:00"/>
    <d v="2025-02-21T15:08:00"/>
    <d v="2025-02-17T00:00:00"/>
    <m/>
    <m/>
    <m/>
    <n v="-45701.585416666669"/>
    <n v="-45709.630555555559"/>
    <n v="0"/>
    <d v="2025-03-06T19:00:56"/>
    <d v="2025-03-16T05:56:23"/>
    <d v="2025-04-04T14:03:00"/>
    <n v="-1415.9679242343304"/>
    <n v="0"/>
    <n v="26"/>
    <n v="36"/>
    <n v="24.206896551724139"/>
    <n v="30.662068965517239"/>
    <n v="21.206896551724139"/>
    <n v="44"/>
    <n v="35.200000000000003"/>
    <n v="30.200000000000003"/>
    <d v="1900-02-03T04:48:00"/>
    <d v="1900-01-29T04:48:00"/>
    <m/>
    <m/>
    <m/>
    <m/>
    <m/>
    <m/>
    <m/>
    <m/>
    <x v="0"/>
  </r>
  <r>
    <s v="X24020448821"/>
    <s v="ROSE NONO LIN"/>
    <s v="COUNTRY CLUB, AYALA-ALABANG VILL, MUNTINLUPA"/>
    <s v="MUNTINLUPA CITY"/>
    <s v="PARAÑAQUE"/>
    <m/>
    <m/>
    <x v="3"/>
    <s v="FCOMP"/>
    <x v="3"/>
    <n v="103.32950000000001"/>
    <n v="110.03"/>
    <n v="240"/>
    <s v="NEW"/>
    <n v="606460.99"/>
    <n v="68634.489999999991"/>
    <n v="29061.85"/>
    <n v="0.42342924089623163"/>
    <d v="2025-02-14T10:11:00"/>
    <d v="2025-02-20T13:38:00"/>
    <d v="2025-02-17T00:00:00"/>
    <m/>
    <d v="2025-03-13T00:00:00"/>
    <m/>
    <n v="26.575694444443798"/>
    <n v="20.431944444440887"/>
    <n v="-45729"/>
    <d v="2025-03-04T22:21:35"/>
    <d v="2025-03-13T16:00:25"/>
    <d v="2025-04-05T10:11:00"/>
    <n v="0.92674216524214259"/>
    <n v="-1039.2954545454545"/>
    <n v="26"/>
    <n v="30"/>
    <n v="21.507352941176471"/>
    <n v="27.242647058823529"/>
    <n v="18.507352941176471"/>
    <n v="44"/>
    <n v="35.200000000000003"/>
    <n v="30.200000000000003"/>
    <d v="2025-04-17T04:48:00"/>
    <d v="2025-04-12T04:48:00"/>
    <m/>
    <m/>
    <m/>
    <m/>
    <m/>
    <m/>
    <m/>
    <m/>
    <x v="4"/>
  </r>
  <r>
    <s v="R23915467"/>
    <s v="CUEVAS JONATHAN SANTOS"/>
    <s v="M.L. QUEZON, PUROK 1, TAGUIG CITY"/>
    <s v="TAGUIG CITY"/>
    <s v="PARAÑAQUE"/>
    <m/>
    <m/>
    <x v="1"/>
    <s v="SCHED"/>
    <x v="1"/>
    <n v="9.2899999999999991"/>
    <n v="12.72"/>
    <n v="0"/>
    <s v="PCA RELOC"/>
    <n v="27294.78"/>
    <n v="7481"/>
    <m/>
    <n v="0"/>
    <d v="2025-02-14T10:13:00"/>
    <d v="2025-02-21T15:14:00"/>
    <d v="2025-02-17T00:00:00"/>
    <m/>
    <m/>
    <m/>
    <n v="-45702.425694444442"/>
    <n v="-45709.634722222225"/>
    <n v="0"/>
    <d v="2025-03-05T04:47:50"/>
    <d v="2025-03-14T00:09:08"/>
    <d v="2025-04-05T10:13:00"/>
    <n v="-1574.1946628086421"/>
    <n v="0"/>
    <n v="20"/>
    <n v="36"/>
    <n v="21.774193548387096"/>
    <n v="27.58064516129032"/>
    <n v="18.774193548387096"/>
    <n v="40"/>
    <n v="32"/>
    <n v="27"/>
    <d v="1900-01-31T00:00:00"/>
    <d v="1900-01-26T00:00:00"/>
    <m/>
    <m/>
    <m/>
    <m/>
    <m/>
    <m/>
    <m/>
    <m/>
    <x v="0"/>
  </r>
  <r>
    <s v="X25010310283"/>
    <s v="MERFE A GAMAS"/>
    <s v="CHALLENGER, MOONWALK VILL, LAS PINAS CITY"/>
    <s v="LAS PIÑAS CITY"/>
    <s v="PARAÑAQUE"/>
    <m/>
    <m/>
    <x v="2"/>
    <s v="FCOMP"/>
    <x v="2"/>
    <n v="3.5300000000000002"/>
    <n v="11.17"/>
    <n v="7.5"/>
    <s v="NEW"/>
    <n v="30919.77"/>
    <n v="6562.97"/>
    <m/>
    <n v="0"/>
    <d v="2025-02-14T10:16:00"/>
    <d v="2025-02-21T15:13:00"/>
    <d v="2025-02-17T00:00:00"/>
    <m/>
    <d v="2025-04-30T00:00:00"/>
    <m/>
    <n v="74.572222222224809"/>
    <n v="67.365972222221899"/>
    <n v="-45777"/>
    <d v="2025-03-05T04:50:50"/>
    <d v="2025-03-14T00:12:08"/>
    <d v="2025-04-05T10:16:00"/>
    <n v="2.5685987654321876"/>
    <n v="-1144.425"/>
    <n v="20"/>
    <n v="36"/>
    <n v="21.774193548387096"/>
    <n v="27.58064516129032"/>
    <n v="18.774193548387096"/>
    <n v="40"/>
    <n v="32"/>
    <n v="27"/>
    <d v="2025-06-01T00:00:00"/>
    <d v="2025-05-27T00:00:00"/>
    <m/>
    <m/>
    <m/>
    <m/>
    <m/>
    <m/>
    <m/>
    <m/>
    <x v="1"/>
  </r>
  <r>
    <s v="X25010278743"/>
    <s v="RIZALYN G TAYAG"/>
    <s v="NIOG III, NIOG III, BACOOR"/>
    <s v="BACOOR CITY"/>
    <s v="DASMA"/>
    <m/>
    <m/>
    <x v="5"/>
    <s v="SCHED"/>
    <x v="2"/>
    <n v="154.50030000000001"/>
    <n v="327.02999999999997"/>
    <n v="150"/>
    <s v="NEW"/>
    <n v="1179326.2"/>
    <n v="188897.18"/>
    <m/>
    <n v="0"/>
    <d v="2025-02-14T14:41:00"/>
    <d v="2025-02-24T07:09:00"/>
    <d v="2025-02-21T00:00:00"/>
    <m/>
    <m/>
    <m/>
    <n v="-45702.611805555556"/>
    <n v="-45712.29791666667"/>
    <n v="0"/>
    <d v="2025-03-07T03:23:21"/>
    <d v="2025-03-16T09:58:39"/>
    <d v="2025-04-05T14:41:00"/>
    <n v="-1456.7707513020832"/>
    <n v="0"/>
    <n v="30"/>
    <n v="32"/>
    <n v="23.52941176470588"/>
    <n v="29.803921568627448"/>
    <n v="20.52941176470588"/>
    <n v="48"/>
    <n v="38.400000000000006"/>
    <n v="33.400000000000006"/>
    <d v="1900-02-06T09:36:00"/>
    <d v="1900-02-01T09:36:00"/>
    <m/>
    <m/>
    <m/>
    <m/>
    <m/>
    <m/>
    <m/>
    <m/>
    <x v="0"/>
  </r>
  <r>
    <s v="R21631426"/>
    <s v="CAVITEX INFRASTRUCTURE CORP"/>
    <s v="NINOY AQUINO, LA HUERTA, PARANAQUE"/>
    <s v="PARAÑAQUE CITY"/>
    <s v="PARAÑAQUE"/>
    <m/>
    <m/>
    <x v="4"/>
    <s v="SCHED"/>
    <x v="2"/>
    <n v="341.82079999999996"/>
    <n v="630.22"/>
    <n v="0"/>
    <s v="PCA RELOC"/>
    <n v="1183621.73"/>
    <n v="389602.35999999987"/>
    <m/>
    <n v="0"/>
    <d v="2025-02-17T08:33:00"/>
    <d v="2025-02-17T09:47:00"/>
    <d v="2025-02-17T00:00:00"/>
    <m/>
    <m/>
    <m/>
    <n v="-45705.356249999997"/>
    <n v="-45705.407638888886"/>
    <n v="0"/>
    <d v="2025-03-14T04:35:28"/>
    <d v="2025-03-24T14:44:08"/>
    <d v="2025-04-08T08:33:00"/>
    <n v="-1231.5054322916665"/>
    <n v="0"/>
    <n v="40"/>
    <n v="36"/>
    <n v="27.835051546391753"/>
    <n v="35.257731958762882"/>
    <n v="24.835051546391753"/>
    <n v="55"/>
    <n v="44"/>
    <n v="39"/>
    <d v="1900-02-12T00:00:00"/>
    <d v="1900-02-07T00:00:00"/>
    <m/>
    <m/>
    <m/>
    <m/>
    <m/>
    <m/>
    <m/>
    <m/>
    <x v="0"/>
  </r>
  <r>
    <s v="X24041266844"/>
    <s v="AYALA LAND, INC.,"/>
    <s v="LANGKA, FTI CPD, TAGUIG CITY"/>
    <s v="TAGUIG CITY"/>
    <s v="PARAÑAQUE"/>
    <m/>
    <m/>
    <x v="1"/>
    <s v="FCOMP"/>
    <x v="1"/>
    <n v="58.636800000000001"/>
    <n v="107.85"/>
    <n v="17"/>
    <s v="NEW"/>
    <n v="347379.65"/>
    <n v="58230.82"/>
    <m/>
    <n v="0"/>
    <d v="2025-02-18T15:38:00"/>
    <d v="2025-02-24T07:06:00"/>
    <d v="2025-02-21T00:00:00"/>
    <m/>
    <d v="2025-03-26T00:00:00"/>
    <m/>
    <n v="35.348611111112405"/>
    <n v="29.704166666670062"/>
    <n v="-45742"/>
    <d v="2025-03-11T20:35:56"/>
    <d v="2025-03-21T07:31:23"/>
    <d v="2025-04-09T15:38:00"/>
    <n v="1.0952026946819013"/>
    <n v="-1039.590909090909"/>
    <n v="26"/>
    <n v="36"/>
    <n v="24.206896551724139"/>
    <n v="30.662068965517239"/>
    <n v="21.206896551724139"/>
    <n v="44"/>
    <n v="35.200000000000003"/>
    <n v="30.200000000000003"/>
    <d v="2025-04-30T04:48:00"/>
    <d v="2025-04-25T04:48:00"/>
    <m/>
    <m/>
    <m/>
    <m/>
    <m/>
    <m/>
    <m/>
    <m/>
    <x v="1"/>
  </r>
  <r>
    <s v="X25010209691"/>
    <s v="ALMALOUNA COMALING QU"/>
    <s v="EL GRANDE, BF HOMES, PARANAQUE"/>
    <s v="PARAÑAQUE CITY"/>
    <s v="PARAÑAQUE"/>
    <s v="For survey"/>
    <m/>
    <x v="7"/>
    <s v="SCHED"/>
    <x v="8"/>
    <n v="47.14"/>
    <n v="64.55"/>
    <n v="55"/>
    <s v="NEW"/>
    <n v="293761.53000000003"/>
    <n v="45194.86"/>
    <m/>
    <n v="0"/>
    <d v="2025-02-18T15:38:00"/>
    <d v="2025-02-24T10:35:00"/>
    <d v="2025-02-21T00:00:00"/>
    <m/>
    <m/>
    <m/>
    <n v="-45706.651388888888"/>
    <n v="-45712.440972222219"/>
    <n v="0"/>
    <d v="2025-03-09T22:50:33"/>
    <d v="2025-03-18T21:33:54"/>
    <d v="2025-04-09T15:38:00"/>
    <n v="-1537.1930070687695"/>
    <n v="0"/>
    <n v="23"/>
    <n v="34"/>
    <n v="22.300380228136884"/>
    <n v="28.247148288973385"/>
    <n v="19.300380228136884"/>
    <n v="42"/>
    <n v="33.6"/>
    <n v="28.6"/>
    <d v="1900-02-01T14:24:00"/>
    <d v="1900-01-27T14:24:00"/>
    <m/>
    <m/>
    <m/>
    <m/>
    <m/>
    <m/>
    <m/>
    <m/>
    <x v="0"/>
  </r>
  <r>
    <s v="X25020386591"/>
    <s v="SHEENA LORRAINE CHUA LAO"/>
    <s v="IPIL-IPIL, AYALA-ALABANG VILL, MUNTINLUPA"/>
    <s v="MUNTINLUPA CITY"/>
    <s v="PARAÑAQUE"/>
    <s v="For survey"/>
    <m/>
    <x v="7"/>
    <s v="FCOMP"/>
    <x v="3"/>
    <n v="29.91"/>
    <n v="41"/>
    <n v="104"/>
    <s v="NEW"/>
    <n v="77784.02"/>
    <n v="34288.879999999997"/>
    <m/>
    <n v="0"/>
    <d v="2025-02-18T15:57:00"/>
    <d v="2025-02-24T09:22:00"/>
    <d v="2025-02-21T00:00:00"/>
    <m/>
    <d v="2025-03-28T00:00:00"/>
    <m/>
    <n v="37.335416666668607"/>
    <n v="31.609722222223354"/>
    <n v="-45744"/>
    <d v="2025-03-08T00:05:08"/>
    <d v="2025-03-16T10:15:18"/>
    <d v="2025-04-09T15:57:00"/>
    <n v="1.3767434895834048"/>
    <n v="-1143.5999999999999"/>
    <n v="20"/>
    <n v="32"/>
    <n v="20.33898305084746"/>
    <n v="25.762711864406779"/>
    <n v="17.33898305084746"/>
    <n v="40"/>
    <n v="32"/>
    <n v="27"/>
    <d v="2025-04-29T00:00:00"/>
    <d v="2025-04-24T00:00:00"/>
    <m/>
    <m/>
    <m/>
    <m/>
    <m/>
    <m/>
    <m/>
    <m/>
    <x v="4"/>
  </r>
  <r>
    <s v="X25010271342"/>
    <s v="ALVEO LAND CORP.,"/>
    <s v="ALABANG-ZAPOTE, ALMANZA I, LAS PINAS CITY"/>
    <s v="LAS PIÑAS CITY"/>
    <s v="PARAÑAQUE"/>
    <m/>
    <m/>
    <x v="2"/>
    <s v="SCHED"/>
    <x v="2"/>
    <n v="31.368500000000001"/>
    <n v="194.18"/>
    <s v=" -   "/>
    <s v="NEW"/>
    <n v="269622.12"/>
    <n v="36004.720000000008"/>
    <m/>
    <n v="0"/>
    <d v="2025-02-18T15:59:00"/>
    <d v="2025-02-24T10:40:00"/>
    <d v="2025-02-21T00:00:00"/>
    <m/>
    <m/>
    <m/>
    <n v="-45706.665972222225"/>
    <n v="-45712.444444444445"/>
    <n v="0"/>
    <d v="2025-03-03T18:45:37"/>
    <d v="2025-03-11T01:54:02"/>
    <d v="2025-04-09T15:59:00"/>
    <n v="-2127.1179163995726"/>
    <n v="0"/>
    <n v="26"/>
    <n v="20"/>
    <n v="16.115702479338843"/>
    <n v="20.41322314049587"/>
    <n v="13.115702479338843"/>
    <n v="44"/>
    <n v="35.200000000000003"/>
    <n v="30.200000000000003"/>
    <d v="1900-02-03T04:48:00"/>
    <d v="1900-01-29T04:48:00"/>
    <m/>
    <m/>
    <m/>
    <m/>
    <m/>
    <m/>
    <m/>
    <m/>
    <x v="0"/>
  </r>
  <r>
    <s v="X24093781077"/>
    <s v="ARNULFO CAL TABLIZO"/>
    <s v="1ST, BAGUMBAYAN, TAGUIG CITY"/>
    <s v="TAGUIG CITY"/>
    <s v="PARAÑAQUE"/>
    <m/>
    <m/>
    <x v="1"/>
    <s v="FCOMP"/>
    <x v="1"/>
    <n v="50.678500000000007"/>
    <n v="90"/>
    <n v="9"/>
    <s v="NEW"/>
    <n v="407209.07"/>
    <n v="50064.5"/>
    <m/>
    <n v="0"/>
    <d v="2025-02-18T16:07:00"/>
    <d v="2025-02-24T10:38:00"/>
    <d v="2025-02-21T00:00:00"/>
    <m/>
    <d v="2025-03-28T00:00:00"/>
    <m/>
    <n v="37.328472222223354"/>
    <n v="31.556944444440887"/>
    <n v="-45744"/>
    <d v="2025-03-10T18:10:07"/>
    <d v="2025-03-19T21:54:57"/>
    <d v="2025-04-09T16:07:00"/>
    <n v="1.2127245202630532"/>
    <n v="-1089.1428571428571"/>
    <n v="23"/>
    <n v="36"/>
    <n v="23.085501858736059"/>
    <n v="29.241635687732341"/>
    <n v="20.085501858736059"/>
    <n v="42"/>
    <n v="33.6"/>
    <n v="28.6"/>
    <d v="2025-04-30T14:24:00"/>
    <d v="2025-04-25T14:24:00"/>
    <m/>
    <m/>
    <m/>
    <m/>
    <m/>
    <m/>
    <m/>
    <m/>
    <x v="1"/>
  </r>
  <r>
    <s v="X24093492216"/>
    <s v="ALFAMART TRADING PHILIPPINES, INC."/>
    <s v="SUMMIT CIRCLE SUBD, SUMMIT CIRCLE SUBD, MUNTINLUPA"/>
    <s v="MUNTINLUPA CITY"/>
    <s v="PARAÑAQUE"/>
    <m/>
    <m/>
    <x v="3"/>
    <s v="FCOMP"/>
    <x v="3"/>
    <n v="9.9328000000000003"/>
    <n v="17.579999999999998"/>
    <n v="28"/>
    <s v="NEW"/>
    <n v="186146.6"/>
    <n v="11202.050000000001"/>
    <m/>
    <n v="0"/>
    <d v="2025-02-18T16:09:00"/>
    <d v="2025-02-24T09:23:00"/>
    <d v="2025-02-21T00:00:00"/>
    <d v="2025-03-04T04:21:00"/>
    <d v="2025-03-04T00:00:00"/>
    <m/>
    <n v="13.327083333329938"/>
    <n v="7.609027777776646"/>
    <n v="-45720"/>
    <d v="2025-03-09T10:43:50"/>
    <d v="2025-03-18T06:05:08"/>
    <d v="2025-04-09T16:09:00"/>
    <n v="0.45904398148136449"/>
    <n v="-1143"/>
    <n v="20"/>
    <n v="36"/>
    <n v="21.774193548387096"/>
    <n v="27.58064516129032"/>
    <n v="18.774193548387096"/>
    <n v="40"/>
    <n v="32"/>
    <n v="27"/>
    <d v="2025-04-05T00:00:00"/>
    <d v="2025-03-31T00:00:00"/>
    <m/>
    <m/>
    <m/>
    <m/>
    <m/>
    <m/>
    <m/>
    <m/>
    <x v="4"/>
  </r>
  <r>
    <s v="X24010064473"/>
    <s v="ALEXANDER SANTOS ISIP"/>
    <s v="LANCASTER, HILLSBOROUGH SUBD, MUNTINLUPA"/>
    <s v="MUNTINLUPA CITY"/>
    <s v="PARAÑAQUE"/>
    <m/>
    <m/>
    <x v="3"/>
    <s v="FCOMP"/>
    <x v="3"/>
    <n v="38.058499999999995"/>
    <n v="73.67"/>
    <n v="110"/>
    <s v="MODIFICATION"/>
    <n v="391390.73"/>
    <n v="41443.200000000004"/>
    <m/>
    <n v="0"/>
    <d v="2025-02-18T16:27:00"/>
    <d v="2025-02-24T07:05:00"/>
    <d v="2025-02-21T00:00:00"/>
    <m/>
    <d v="2025-03-25T08:10:00"/>
    <m/>
    <n v="34.65486111111386"/>
    <n v="29.045138888890506"/>
    <n v="-45741.340277777781"/>
    <d v="2025-03-09T03:56:11"/>
    <d v="2025-03-17T21:23:58"/>
    <d v="2025-04-09T16:27:00"/>
    <n v="1.2100950143418834"/>
    <n v="-1089.0795304232804"/>
    <n v="23"/>
    <n v="32"/>
    <n v="21.478599221789885"/>
    <n v="27.206225680933851"/>
    <n v="18.478599221789885"/>
    <n v="42"/>
    <n v="33.6"/>
    <n v="28.6"/>
    <d v="2025-04-27T22:34:00"/>
    <d v="2025-04-22T22:34:00"/>
    <m/>
    <m/>
    <m/>
    <m/>
    <m/>
    <m/>
    <m/>
    <m/>
    <x v="4"/>
  </r>
  <r>
    <s v="X25010176215"/>
    <s v="MARY GRACE MESINA MANDAP"/>
    <s v="BASILIO ESTANISLAO, BF RESORT VILL, LAS PINAS CITY"/>
    <s v="LAS PIÑAS CITY"/>
    <s v="PARAÑAQUE"/>
    <m/>
    <m/>
    <x v="5"/>
    <s v="SCHED"/>
    <x v="2"/>
    <n v="119.76289999999999"/>
    <n v="219.82"/>
    <n v="33"/>
    <s v="NEW"/>
    <n v="601808.84"/>
    <n v="130472.59"/>
    <m/>
    <n v="0"/>
    <d v="2025-02-18T17:43:00"/>
    <d v="2025-02-24T10:39:00"/>
    <d v="2025-02-21T00:00:00"/>
    <m/>
    <m/>
    <m/>
    <n v="-45706.738194444442"/>
    <n v="-45712.443749999999"/>
    <n v="0"/>
    <d v="2025-03-12T14:33:32"/>
    <d v="2025-03-22T05:43:00"/>
    <d v="2025-04-09T17:43:00"/>
    <n v="-1378.4571836419752"/>
    <n v="0"/>
    <n v="28"/>
    <n v="36"/>
    <n v="24.868421052631579"/>
    <n v="31.499999999999996"/>
    <n v="21.868421052631579"/>
    <n v="46"/>
    <n v="36.800000000000004"/>
    <n v="31.800000000000004"/>
    <d v="1900-02-04T19:12:00"/>
    <d v="1900-01-30T19:12:00"/>
    <m/>
    <m/>
    <m/>
    <m/>
    <m/>
    <m/>
    <m/>
    <m/>
    <x v="0"/>
  </r>
  <r>
    <s v="R23926303"/>
    <s v="CAVITEX INFRASTRUCTURE CORP., CBG"/>
    <s v="KAINGIN RD., KAINGIN, PARANAQUE"/>
    <s v="PARAÑAQUE CITY"/>
    <s v="PARAÑAQUE"/>
    <m/>
    <m/>
    <x v="5"/>
    <s v="FCOMP"/>
    <x v="2"/>
    <n v="365.07799999999963"/>
    <n v="903.57"/>
    <n v="0"/>
    <s v="PCA RELOC"/>
    <n v="1683427.63"/>
    <n v="498912.29000000004"/>
    <m/>
    <n v="0"/>
    <d v="2025-02-19T08:19:00"/>
    <d v="2025-02-25T12:43:00"/>
    <d v="2025-02-21T00:00:00"/>
    <m/>
    <d v="2025-03-20T00:00:00"/>
    <m/>
    <n v="28.653472222220444"/>
    <n v="22.47013888888614"/>
    <n v="-45736"/>
    <d v="2025-03-16T04:21:28"/>
    <d v="2025-03-26T14:30:08"/>
    <d v="2025-04-10T08:19:00"/>
    <n v="0.7720518904320508"/>
    <n v="-831.56363636363642"/>
    <n v="40"/>
    <n v="36"/>
    <n v="27.835051546391753"/>
    <n v="35.257731958762882"/>
    <n v="24.835051546391753"/>
    <n v="55"/>
    <n v="44"/>
    <n v="39"/>
    <d v="2025-05-03T00:00:00"/>
    <d v="2025-04-28T00:00:00"/>
    <m/>
    <m/>
    <m/>
    <m/>
    <m/>
    <m/>
    <m/>
    <m/>
    <x v="1"/>
  </r>
  <r>
    <s v="R23926307"/>
    <s v="CAVITEX INFRASTRUCTURE CORP., CBG"/>
    <s v="KAINGIN RD., KAINGIN, PARANAQUE"/>
    <s v="PARAÑAQUE CITY"/>
    <s v="PARAÑAQUE"/>
    <m/>
    <m/>
    <x v="5"/>
    <s v="FCOMP"/>
    <x v="2"/>
    <n v="79.535699999999963"/>
    <n v="246.7"/>
    <n v="0"/>
    <s v="PCA RELOC"/>
    <n v="216676.78"/>
    <n v="173073.30999999997"/>
    <m/>
    <n v="0"/>
    <d v="2025-02-19T08:25:00"/>
    <d v="2025-02-25T12:44:00"/>
    <d v="2025-02-21T00:00:00"/>
    <m/>
    <d v="2025-04-04T00:00:00"/>
    <m/>
    <n v="43.649305555554747"/>
    <n v="37.469444444446708"/>
    <n v="-45751"/>
    <d v="2025-03-13T05:15:32"/>
    <d v="2025-03-22T20:25:00"/>
    <d v="2025-04-10T08:25:00"/>
    <n v="1.3164076278659367"/>
    <n v="-994.58695652173913"/>
    <n v="28"/>
    <n v="36"/>
    <n v="24.868421052631579"/>
    <n v="31.499999999999996"/>
    <n v="21.868421052631579"/>
    <n v="46"/>
    <n v="36.800000000000004"/>
    <n v="31.800000000000004"/>
    <d v="2025-05-10T19:12:00"/>
    <d v="2025-05-05T19:12:00"/>
    <m/>
    <m/>
    <m/>
    <m/>
    <m/>
    <m/>
    <m/>
    <m/>
    <x v="1"/>
  </r>
  <r>
    <s v="R23924589"/>
    <s v="CAVITEX INFRASTRUCTURE CORP., CBG"/>
    <s v="ALLEY 1, MULTINATIONAL VILL, PARANAQUE"/>
    <s v="PARAÑAQUE CITY"/>
    <s v="PARAÑAQUE"/>
    <m/>
    <m/>
    <x v="3"/>
    <s v="FCOMP"/>
    <x v="3"/>
    <n v="307.8816999999998"/>
    <n v="705.87"/>
    <n v="0"/>
    <s v="PCA RELOC"/>
    <n v="1430545.13"/>
    <n v="359825.96999999991"/>
    <m/>
    <n v="0"/>
    <d v="2025-02-19T08:34:00"/>
    <d v="2025-02-25T12:38:00"/>
    <d v="2025-02-21T00:00:00"/>
    <m/>
    <d v="2025-05-08T00:00:00"/>
    <m/>
    <n v="77.643055555556202"/>
    <n v="71.473611111112405"/>
    <n v="-45785"/>
    <d v="2025-03-16T04:36:28"/>
    <d v="2025-03-26T14:45:08"/>
    <d v="2025-04-10T08:34:00"/>
    <n v="2.0920489969135976"/>
    <n v="-832.4545454545455"/>
    <n v="40"/>
    <n v="36"/>
    <n v="27.835051546391753"/>
    <n v="35.257731958762882"/>
    <n v="24.835051546391753"/>
    <n v="55"/>
    <n v="44"/>
    <n v="39"/>
    <d v="2025-06-21T00:00:00"/>
    <d v="2025-06-16T00:00:00"/>
    <m/>
    <m/>
    <m/>
    <m/>
    <m/>
    <m/>
    <m/>
    <m/>
    <x v="1"/>
  </r>
  <r>
    <s v="X25010070942"/>
    <s v="ERNELIA O. SANCHEZ"/>
    <s v="BLOCK 26, PINAGSAMA PH 2 VILL, TAGUIG CITY"/>
    <s v="TAGUIG CITY"/>
    <s v="PARAÑAQUE"/>
    <m/>
    <m/>
    <x v="1"/>
    <s v="FCOMP"/>
    <x v="1"/>
    <n v="2.58"/>
    <n v="9.48"/>
    <n v="16"/>
    <s v="NEW"/>
    <n v="25829.16"/>
    <n v="5954.420000000001"/>
    <m/>
    <n v="0"/>
    <d v="2025-02-19T15:46:00"/>
    <d v="2025-02-25T12:40:00"/>
    <d v="2025-02-21T00:00:00"/>
    <m/>
    <d v="2025-03-08T00:00:00"/>
    <m/>
    <n v="16.343055555553292"/>
    <n v="10.472222222218988"/>
    <n v="-45724"/>
    <d v="2025-03-10T10:20:50"/>
    <d v="2025-03-19T05:42:08"/>
    <d v="2025-04-10T15:46:00"/>
    <n v="0.56292746913572445"/>
    <n v="-1143.0999999999999"/>
    <n v="20"/>
    <n v="36"/>
    <n v="21.774193548387096"/>
    <n v="27.58064516129032"/>
    <n v="18.774193548387096"/>
    <n v="40"/>
    <n v="32"/>
    <n v="27"/>
    <d v="2025-04-09T00:00:00"/>
    <d v="2025-04-04T00:00:00"/>
    <m/>
    <m/>
    <m/>
    <m/>
    <m/>
    <m/>
    <m/>
    <m/>
    <x v="4"/>
  </r>
  <r>
    <s v="X24114520845"/>
    <s v="ERIC GERARD TURLA OLIVA"/>
    <s v="WALING-WALING, TAHANAN VILL, PARANAQUE"/>
    <s v="PARAÑAQUE CITY"/>
    <s v="PARAÑAQUE"/>
    <m/>
    <m/>
    <x v="4"/>
    <s v="SCHED"/>
    <x v="1"/>
    <n v="37.049500000000002"/>
    <n v="63.83"/>
    <n v="36"/>
    <s v="NEW"/>
    <n v="291805.32"/>
    <n v="37465.149999999994"/>
    <m/>
    <n v="0"/>
    <d v="2025-02-19T15:53:00"/>
    <d v="2025-02-25T12:46:00"/>
    <d v="2025-02-21T00:00:00"/>
    <m/>
    <m/>
    <m/>
    <n v="-45707.661805555559"/>
    <n v="-45713.531944444447"/>
    <n v="0"/>
    <d v="2025-03-11T17:56:07"/>
    <d v="2025-03-20T21:40:57"/>
    <d v="2025-04-10T15:53:00"/>
    <n v="-1484.9469837795223"/>
    <n v="0"/>
    <n v="23"/>
    <n v="36"/>
    <n v="23.085501858736059"/>
    <n v="29.241635687732341"/>
    <n v="20.085501858736059"/>
    <n v="42"/>
    <n v="33.6"/>
    <n v="28.6"/>
    <d v="1900-02-01T14:24:00"/>
    <d v="1900-01-27T14:24:00"/>
    <m/>
    <m/>
    <m/>
    <m/>
    <m/>
    <m/>
    <m/>
    <m/>
    <x v="0"/>
  </r>
  <r>
    <s v="R23922888"/>
    <s v="ANG CARMEN GAN, HMB"/>
    <s v="MARCUS AURELIUS, ITALIA 500-BF HOMES, LAS PINAS CITY"/>
    <s v="LAS PIÑAS CITY"/>
    <s v="PARAÑAQUE"/>
    <m/>
    <m/>
    <x v="2"/>
    <s v="SCHED"/>
    <x v="2"/>
    <n v="1.0195000000000001"/>
    <n v="1.6"/>
    <n v="0"/>
    <s v="PCA RELOC"/>
    <n v="12476.61"/>
    <n v="980.15"/>
    <m/>
    <n v="0"/>
    <d v="2025-02-19T17:06:00"/>
    <d v="2025-02-25T12:47:00"/>
    <d v="2025-02-21T00:00:00"/>
    <m/>
    <m/>
    <m/>
    <n v="-45707.712500000001"/>
    <n v="-45713.532638888886"/>
    <n v="0"/>
    <d v="2025-03-10T11:40:50"/>
    <d v="2025-03-19T07:02:08"/>
    <d v="2025-04-10T17:06:00"/>
    <n v="-1574.3767638888887"/>
    <n v="0"/>
    <n v="20"/>
    <n v="36"/>
    <n v="21.774193548387096"/>
    <n v="27.58064516129032"/>
    <n v="18.774193548387096"/>
    <n v="40"/>
    <n v="32"/>
    <n v="27"/>
    <d v="1900-01-31T00:00:00"/>
    <d v="1900-01-26T00:00:00"/>
    <m/>
    <m/>
    <m/>
    <m/>
    <m/>
    <m/>
    <m/>
    <m/>
    <x v="0"/>
  </r>
  <r>
    <s v="X25010099398"/>
    <s v="REYNALDO BAUTISTA SALVADOR"/>
    <s v="J.P. RIZAL, TUAZON SUBD, LAS PINAS CITY"/>
    <s v="LAS PIÑAS CITY"/>
    <s v="PARAÑAQUE"/>
    <m/>
    <m/>
    <x v="8"/>
    <s v="FCOMP"/>
    <x v="7"/>
    <n v="17.38"/>
    <n v="26.07"/>
    <n v="30"/>
    <s v="NEW"/>
    <n v="252346.4"/>
    <n v="27843.34"/>
    <m/>
    <n v="0"/>
    <d v="2025-02-20T12:17:00"/>
    <d v="2025-02-27T12:28:00"/>
    <d v="2025-02-21T00:00:00"/>
    <m/>
    <d v="2025-03-06T00:00:00"/>
    <m/>
    <n v="13.488194444442343"/>
    <n v="6.4805555555576575"/>
    <n v="-45722"/>
    <d v="2025-03-11T06:51:50"/>
    <d v="2025-03-20T02:13:08"/>
    <d v="2025-04-11T12:17:00"/>
    <n v="0.46459336419745845"/>
    <n v="-1143.05"/>
    <n v="20"/>
    <n v="36"/>
    <n v="21.774193548387096"/>
    <n v="27.58064516129032"/>
    <n v="18.774193548387096"/>
    <n v="40"/>
    <n v="32"/>
    <n v="27"/>
    <d v="2025-04-07T00:00:00"/>
    <d v="2025-04-02T00:00:00"/>
    <m/>
    <m/>
    <m/>
    <m/>
    <m/>
    <m/>
    <m/>
    <m/>
    <x v="4"/>
  </r>
  <r>
    <s v="X24104277254"/>
    <s v="JOHN PAULO H. ALBIS"/>
    <s v="BLOCK 9, ENLISTED PERSONNEL VIL 1, TAGUIG CITY"/>
    <s v="TAGUIG CITY"/>
    <s v="PARAÑAQUE"/>
    <m/>
    <m/>
    <x v="1"/>
    <s v="FCOMP"/>
    <x v="1"/>
    <n v="52.192600000000006"/>
    <n v="100.92"/>
    <n v="46"/>
    <s v="NEW"/>
    <n v="442979.07"/>
    <n v="62518.65"/>
    <m/>
    <n v="0"/>
    <d v="2025-02-20T15:33:00"/>
    <d v="2025-02-27T12:09:00"/>
    <d v="2025-02-21T00:00:00"/>
    <m/>
    <d v="2025-03-31T00:00:00"/>
    <m/>
    <n v="38.352083333331393"/>
    <n v="31.493750000001455"/>
    <n v="-45747"/>
    <d v="2025-03-12T17:36:07"/>
    <d v="2025-03-21T21:20:57"/>
    <d v="2025-04-11T15:33:00"/>
    <n v="1.2459795189210319"/>
    <n v="-1089.2142857142858"/>
    <n v="23"/>
    <n v="36"/>
    <n v="23.085501858736059"/>
    <n v="29.241635687732341"/>
    <n v="20.085501858736059"/>
    <n v="42"/>
    <n v="33.6"/>
    <n v="28.6"/>
    <d v="2025-05-03T14:24:00"/>
    <d v="2025-04-28T14:24:00"/>
    <m/>
    <m/>
    <m/>
    <m/>
    <m/>
    <m/>
    <m/>
    <m/>
    <x v="1"/>
  </r>
  <r>
    <s v="X24114622519"/>
    <s v="OLIVAREZ REALTY CORPORATION"/>
    <s v="DR. A SANTOS, SAN DIONISIO, PARANAQUE"/>
    <s v="PARAÑAQUE CITY"/>
    <s v="PARAÑAQUE"/>
    <m/>
    <m/>
    <x v="1"/>
    <s v="SCHED"/>
    <x v="1"/>
    <n v="79.929000000000002"/>
    <n v="254.82"/>
    <n v="97"/>
    <s v="NEW"/>
    <n v="1165982.58"/>
    <n v="149046.37"/>
    <m/>
    <n v="0"/>
    <d v="2025-02-20T15:33:00"/>
    <d v="2025-02-27T12:16:00"/>
    <d v="2025-02-21T00:00:00"/>
    <m/>
    <m/>
    <m/>
    <n v="-45708.647916666669"/>
    <n v="-45715.511111111111"/>
    <n v="0"/>
    <d v="2025-03-13T14:35:01"/>
    <d v="2025-03-22T23:55:33"/>
    <d v="2025-04-11T15:33:00"/>
    <n v="-1430.7959116771708"/>
    <n v="0"/>
    <n v="28"/>
    <n v="34"/>
    <n v="23.959731543624162"/>
    <n v="30.348993288590602"/>
    <n v="20.959731543624162"/>
    <n v="46"/>
    <n v="36.800000000000004"/>
    <n v="31.800000000000004"/>
    <d v="1900-02-04T19:12:00"/>
    <d v="1900-01-30T19:12:00"/>
    <m/>
    <m/>
    <m/>
    <m/>
    <m/>
    <m/>
    <m/>
    <m/>
    <x v="0"/>
  </r>
  <r>
    <s v="R23652915"/>
    <s v="GATDULA, RICARDO, HMB"/>
    <s v="ST. MARY, ADDAS VILLAGE PH II-A, BACOOR"/>
    <s v="BACOOR CITY"/>
    <s v="DASMA"/>
    <m/>
    <m/>
    <x v="5"/>
    <s v="SCHED"/>
    <x v="2"/>
    <n v="31.499999999999996"/>
    <n v="56.97"/>
    <n v="0"/>
    <s v="PCA RELOC"/>
    <n v="224608.3"/>
    <n v="27065.629999999994"/>
    <m/>
    <n v="0"/>
    <d v="2025-02-20T15:34:00"/>
    <d v="2025-02-27T12:14:00"/>
    <d v="2025-02-21T00:00:00"/>
    <m/>
    <m/>
    <m/>
    <n v="-45708.648611111108"/>
    <n v="-45715.509722222225"/>
    <n v="0"/>
    <d v="2025-03-12T17:37:07"/>
    <d v="2025-03-21T21:21:57"/>
    <d v="2025-04-11T15:34:00"/>
    <n v="-1484.9790430421363"/>
    <n v="0"/>
    <n v="23"/>
    <n v="36"/>
    <n v="23.085501858736059"/>
    <n v="29.241635687732341"/>
    <n v="20.085501858736059"/>
    <n v="42"/>
    <n v="33.6"/>
    <n v="28.6"/>
    <d v="1900-02-01T14:24:00"/>
    <d v="1900-01-27T14:24:00"/>
    <m/>
    <m/>
    <m/>
    <m/>
    <m/>
    <m/>
    <m/>
    <m/>
    <x v="0"/>
  </r>
  <r>
    <s v="X25020524328"/>
    <s v="CITY GOVT OF LAS PIÑAS,"/>
    <s v="BF RESORT, TALON II, LAS PINAS CITY"/>
    <s v="LAS PIÑAS CITY"/>
    <s v="PARAÑAQUE"/>
    <m/>
    <m/>
    <x v="3"/>
    <s v="FCOMP"/>
    <x v="3"/>
    <n v="11.732799999999999"/>
    <n v="20.02"/>
    <n v="29"/>
    <s v="MODIFICATION"/>
    <n v="188123.61"/>
    <n v="12279.670000000002"/>
    <m/>
    <n v="0"/>
    <d v="2025-02-20T15:36:00"/>
    <d v="2025-02-27T12:14:00"/>
    <d v="2025-02-21T00:00:00"/>
    <m/>
    <d v="2025-03-17T09:41:00"/>
    <m/>
    <n v="24.753472222218988"/>
    <n v="17.893749999995634"/>
    <n v="-45733.40347222222"/>
    <d v="2025-03-11T10:10:50"/>
    <d v="2025-03-20T05:32:08"/>
    <d v="2025-04-11T15:36:00"/>
    <n v="0.85261959876532067"/>
    <n v="-1143.3350868055554"/>
    <n v="20"/>
    <n v="36"/>
    <n v="21.774193548387096"/>
    <n v="27.58064516129032"/>
    <n v="18.774193548387096"/>
    <n v="40"/>
    <n v="32"/>
    <n v="27"/>
    <d v="2025-04-18T09:41:00"/>
    <d v="2025-04-13T09:41:00"/>
    <m/>
    <m/>
    <m/>
    <m/>
    <m/>
    <m/>
    <m/>
    <m/>
    <x v="4"/>
  </r>
  <r>
    <s v="X25010223485"/>
    <s v="CITY GOVERNMENT OF TAGUIG"/>
    <s v="MIRANDA, ZONE 2, TAGUIG CITY"/>
    <s v="TAGUIG CITY"/>
    <s v="PARAÑAQUE"/>
    <s v="Transfer to VJC"/>
    <m/>
    <x v="1"/>
    <s v="SCHED"/>
    <x v="1"/>
    <n v="72.669299999999993"/>
    <n v="137.5"/>
    <n v="66"/>
    <s v="NEW"/>
    <n v="546721.35"/>
    <n v="78010.61"/>
    <m/>
    <n v="0"/>
    <d v="2025-02-21T12:15:00"/>
    <d v="2025-02-27T12:07:00"/>
    <d v="2025-02-21T00:00:00"/>
    <m/>
    <m/>
    <m/>
    <n v="-45709.510416666664"/>
    <n v="-45715.504861111112"/>
    <n v="0"/>
    <d v="2025-03-13T20:31:54"/>
    <d v="2025-03-23T01:56:25"/>
    <d v="2025-04-12T12:15:00"/>
    <n v="-1468.4955835218702"/>
    <n v="0"/>
    <n v="26"/>
    <n v="34"/>
    <n v="23.345070422535212"/>
    <n v="29.570422535211268"/>
    <n v="20.345070422535212"/>
    <n v="44"/>
    <n v="35.200000000000003"/>
    <n v="30.200000000000003"/>
    <d v="1900-02-03T04:48:00"/>
    <d v="1900-01-29T04:48:00"/>
    <m/>
    <m/>
    <m/>
    <m/>
    <m/>
    <m/>
    <m/>
    <m/>
    <x v="0"/>
  </r>
  <r>
    <s v="X24124701777"/>
    <s v="NELLY YAP RAÑOLA"/>
    <s v="JUAN ALEGRE, BF HOMES, PARANAQUE"/>
    <s v="PARAÑAQUE CITY"/>
    <s v="PARAÑAQUE"/>
    <m/>
    <m/>
    <x v="4"/>
    <s v="SCHED"/>
    <x v="1"/>
    <n v="79.959500000000006"/>
    <n v="149.68"/>
    <n v="38"/>
    <s v="NEW"/>
    <n v="504136.5"/>
    <n v="87176.680000000008"/>
    <m/>
    <n v="0"/>
    <d v="2025-02-21T15:51:00"/>
    <d v="2025-03-03T12:56:00"/>
    <d v="2025-02-28T00:00:00"/>
    <m/>
    <m/>
    <m/>
    <n v="-45709.660416666666"/>
    <n v="-45719.538888888892"/>
    <n v="0"/>
    <d v="2025-03-14T20:48:56"/>
    <d v="2025-03-24T07:44:23"/>
    <d v="2025-04-12T15:51:00"/>
    <n v="-1416.2181112001424"/>
    <n v="0"/>
    <n v="26"/>
    <n v="36"/>
    <n v="24.206896551724139"/>
    <n v="30.662068965517239"/>
    <n v="21.206896551724139"/>
    <n v="44"/>
    <n v="35.200000000000003"/>
    <n v="30.200000000000003"/>
    <d v="1900-02-03T04:48:00"/>
    <d v="1900-01-29T04:48:00"/>
    <m/>
    <m/>
    <m/>
    <m/>
    <m/>
    <m/>
    <m/>
    <m/>
    <x v="0"/>
  </r>
  <r>
    <s v="X25010133238"/>
    <s v="CITY GOVERNMENT OF TAGUIG"/>
    <s v="M.L. QUEZON, PUROK 1, TAGUIG CITY"/>
    <s v="TAGUIG CITY"/>
    <s v="PARAÑAQUE"/>
    <m/>
    <m/>
    <x v="1"/>
    <s v="FCOMP"/>
    <x v="1"/>
    <n v="88.901300000000006"/>
    <n v="210.3"/>
    <n v="239"/>
    <s v="NEW"/>
    <n v="1044923.65"/>
    <n v="130705.40000000001"/>
    <m/>
    <n v="0"/>
    <d v="2025-02-24T12:07:00"/>
    <d v="2025-03-06T13:23:00"/>
    <d v="2025-02-28T00:00:00"/>
    <m/>
    <d v="2025-03-28T00:00:00"/>
    <m/>
    <n v="31.495138888887595"/>
    <n v="21.442361111112405"/>
    <n v="-45744"/>
    <d v="2025-03-15T12:47:17"/>
    <d v="2025-03-24T09:46:01"/>
    <d v="2025-04-15T12:07:00"/>
    <n v="1.0723344907406966"/>
    <n v="-994.43478260869563"/>
    <n v="28"/>
    <n v="30"/>
    <n v="22.027972027972027"/>
    <n v="27.9020979020979"/>
    <n v="19.027972027972027"/>
    <n v="46"/>
    <n v="36.800000000000004"/>
    <n v="31.800000000000004"/>
    <d v="2025-05-03T19:12:00"/>
    <d v="2025-04-28T19:12:00"/>
    <m/>
    <m/>
    <m/>
    <m/>
    <m/>
    <m/>
    <m/>
    <m/>
    <x v="1"/>
  </r>
  <r>
    <s v="X25010359335"/>
    <s v="JOLLIBEE FOODS CORPORATION"/>
    <s v="AGUIRRE, BF HOMES, PARANAQUE"/>
    <s v="PARAÑAQUE CITY"/>
    <s v="PARAÑAQUE"/>
    <m/>
    <m/>
    <x v="5"/>
    <s v="SCHED"/>
    <x v="2"/>
    <n v="20.14"/>
    <n v="108.3"/>
    <s v=" -   "/>
    <s v="TERMINATION"/>
    <n v="61797.09"/>
    <n v="68145.2"/>
    <m/>
    <n v="0"/>
    <d v="2025-02-24T14:31:00"/>
    <d v="2025-03-06T13:28:00"/>
    <d v="2025-03-11T00:00:00"/>
    <m/>
    <m/>
    <m/>
    <n v="-45712.604861111111"/>
    <n v="-45722.561111111114"/>
    <n v="0"/>
    <d v="2025-03-09T17:17:37"/>
    <d v="2025-03-17T00:26:02"/>
    <d v="2025-04-15T14:31:00"/>
    <n v="-2127.3943031517092"/>
    <n v="0"/>
    <n v="26"/>
    <n v="20"/>
    <n v="16.115702479338843"/>
    <n v="20.41322314049587"/>
    <n v="13.115702479338843"/>
    <n v="44"/>
    <n v="35.200000000000003"/>
    <n v="30.200000000000003"/>
    <d v="1900-02-03T04:48:00"/>
    <d v="1900-01-29T04:48:00"/>
    <m/>
    <m/>
    <m/>
    <m/>
    <m/>
    <m/>
    <m/>
    <m/>
    <x v="0"/>
  </r>
  <r>
    <s v="X25020539755"/>
    <s v="LIONS PARK RESIDENCES CONDOMINIUM CORPORATION ASSO"/>
    <s v="ALPACA, LION'S PARK RESIDENCES, PARANAQUE"/>
    <s v="PARAÑAQUE CITY"/>
    <s v="PARAÑAQUE"/>
    <m/>
    <m/>
    <x v="4"/>
    <s v="FCOMP"/>
    <x v="1"/>
    <n v="11.943299999999999"/>
    <n v="19.95"/>
    <n v="22"/>
    <s v="NEW"/>
    <n v="243992.07"/>
    <n v="12521.730000000001"/>
    <m/>
    <n v="0"/>
    <d v="2025-02-24T16:39:00"/>
    <d v="2025-03-06T13:27:00"/>
    <d v="2025-02-28T00:00:00"/>
    <m/>
    <d v="2025-03-31T00:00:00"/>
    <m/>
    <n v="34.306250000001455"/>
    <n v="24.439583333332848"/>
    <n v="-45747"/>
    <d v="2025-03-15T11:13:50"/>
    <d v="2025-03-24T06:35:08"/>
    <d v="2025-04-15T16:39:00"/>
    <n v="1.1816597222222724"/>
    <n v="-1143.675"/>
    <n v="20"/>
    <n v="36"/>
    <n v="21.774193548387096"/>
    <n v="27.58064516129032"/>
    <n v="18.774193548387096"/>
    <n v="40"/>
    <n v="32"/>
    <n v="27"/>
    <d v="2025-05-02T00:00:00"/>
    <d v="2025-04-27T00:00:00"/>
    <m/>
    <m/>
    <m/>
    <m/>
    <m/>
    <m/>
    <m/>
    <m/>
    <x v="1"/>
  </r>
  <r>
    <s v="X25010136657"/>
    <s v="COFFEE MASTERS, INC."/>
    <s v="MOLINO BLVD, MOLINO III, BACOOR"/>
    <s v="BACOOR CITY"/>
    <s v="DASMA"/>
    <m/>
    <m/>
    <x v="3"/>
    <s v="FCOMP"/>
    <x v="3"/>
    <n v="15.642799999999998"/>
    <n v="66.03"/>
    <n v="142"/>
    <s v="NEW"/>
    <n v="472661.66"/>
    <n v="41560.119999999995"/>
    <m/>
    <n v="0"/>
    <d v="2025-02-24T16:50:00"/>
    <d v="2025-03-01T04:21:00"/>
    <d v="2025-02-28T00:00:00"/>
    <d v="2025-03-04T04:21:00"/>
    <d v="2025-03-04T00:00:00"/>
    <m/>
    <n v="7.2986111111094942"/>
    <n v="2.8187499999985448"/>
    <n v="-45720"/>
    <d v="2025-03-15T04:19:11"/>
    <d v="2025-03-23T21:46:58"/>
    <d v="2025-04-15T16:50:00"/>
    <n v="0.25485639341781796"/>
    <n v="-1088.5714285714287"/>
    <n v="23"/>
    <n v="32"/>
    <n v="21.478599221789885"/>
    <n v="27.206225680933851"/>
    <n v="18.478599221789885"/>
    <n v="42"/>
    <n v="33.6"/>
    <n v="28.6"/>
    <d v="2025-04-06T14:24:00"/>
    <d v="2025-04-01T14:24:00"/>
    <m/>
    <m/>
    <m/>
    <m/>
    <m/>
    <m/>
    <m/>
    <m/>
    <x v="4"/>
  </r>
  <r>
    <s v="X24030853956"/>
    <s v="MARIFE GARCIA PARCON"/>
    <s v="QUIRINO, ZAPOTE, LAS PINAS CITY"/>
    <s v="LAS PIÑAS CITY"/>
    <s v="PARAÑAQUE"/>
    <m/>
    <m/>
    <x v="8"/>
    <s v="SCHED"/>
    <x v="7"/>
    <n v="76.36"/>
    <n v="103.9"/>
    <n v="237"/>
    <s v="NEW"/>
    <n v="674882.29"/>
    <n v="66120.039999999994"/>
    <m/>
    <n v="0"/>
    <d v="2025-02-25T08:36:00"/>
    <d v="2025-03-06T15:26:00"/>
    <d v="2025-02-28T00:00:00"/>
    <m/>
    <m/>
    <m/>
    <n v="-45713.35833333333"/>
    <n v="-45722.643055555556"/>
    <n v="0"/>
    <d v="2025-03-15T20:46:35"/>
    <d v="2025-03-24T14:25:25"/>
    <d v="2025-04-16T08:36:00"/>
    <n v="-1594.1068547008545"/>
    <n v="0"/>
    <n v="26"/>
    <n v="30"/>
    <n v="21.507352941176471"/>
    <n v="27.242647058823529"/>
    <n v="18.507352941176471"/>
    <n v="44"/>
    <n v="35.200000000000003"/>
    <n v="30.200000000000003"/>
    <d v="1900-02-03T04:48:00"/>
    <d v="1900-01-29T04:48:00"/>
    <m/>
    <m/>
    <m/>
    <m/>
    <m/>
    <m/>
    <m/>
    <m/>
    <x v="0"/>
  </r>
  <r>
    <s v="R23094079"/>
    <s v="DEPARTMENT OF TRANSPORTATION,, CBG"/>
    <s v="EAST SERVICE, BICUTAN INTERCHANGE, PARANAQUE"/>
    <s v="PARAÑAQUE CITY"/>
    <s v="PARAÑAQUE"/>
    <m/>
    <m/>
    <x v="1"/>
    <s v="SCHED"/>
    <x v="1"/>
    <n v="19.416699999999999"/>
    <n v="26.6"/>
    <s v=" -   "/>
    <s v="PCA RELOC"/>
    <n v="43757.1"/>
    <n v="16683.329999999998"/>
    <m/>
    <n v="0"/>
    <d v="2025-02-25T09:50:00"/>
    <d v="2025-03-06T15:03:00"/>
    <d v="2025-03-11T00:00:00"/>
    <m/>
    <m/>
    <m/>
    <n v="-45713.409722222219"/>
    <n v="-45722.627083333333"/>
    <n v="0"/>
    <d v="2025-03-09T09:50:00"/>
    <d v="2025-03-16T09:50:00"/>
    <d v="2025-04-16T09:50:00"/>
    <n v="-2285.6704861111111"/>
    <n v="0"/>
    <n v="20"/>
    <n v="20"/>
    <n v="15.000000000000002"/>
    <n v="19"/>
    <n v="12.000000000000002"/>
    <n v="40"/>
    <n v="32"/>
    <n v="27"/>
    <d v="1900-01-31T00:00:00"/>
    <d v="1900-01-26T00:00:00"/>
    <m/>
    <m/>
    <m/>
    <m/>
    <m/>
    <m/>
    <m/>
    <m/>
    <x v="0"/>
  </r>
  <r>
    <s v="X24072566400"/>
    <s v="JOHN TULAO CENICA"/>
    <s v="CORDILLERA, AYALA-ALABANG VILL, MUNTINLUPA"/>
    <s v="MUNTINLUPA CITY"/>
    <s v="PARAÑAQUE"/>
    <m/>
    <m/>
    <x v="3"/>
    <s v="FCOMP"/>
    <x v="3"/>
    <n v="15.282799999999998"/>
    <n v="27.7"/>
    <n v="80"/>
    <s v="NEW"/>
    <n v="233355.21"/>
    <n v="17502.760000000002"/>
    <m/>
    <n v="0"/>
    <d v="2025-02-25T14:53:00"/>
    <d v="2025-03-06T15:22:00"/>
    <d v="2025-02-28T00:00:00"/>
    <m/>
    <d v="2025-03-14T00:00:00"/>
    <m/>
    <n v="16.379861111112405"/>
    <n v="7.359722222223354"/>
    <n v="-45730"/>
    <d v="2025-03-15T16:40:06"/>
    <d v="2025-03-24T07:32:40"/>
    <d v="2025-04-16T14:53:00"/>
    <n v="0.58293035130723547"/>
    <n v="-1143.25"/>
    <n v="20"/>
    <n v="34"/>
    <n v="21.074380165289259"/>
    <n v="26.694214876033058"/>
    <n v="18.074380165289259"/>
    <n v="40"/>
    <n v="32"/>
    <n v="27"/>
    <d v="2025-04-15T00:00:00"/>
    <d v="2025-04-10T00:00:00"/>
    <m/>
    <m/>
    <m/>
    <m/>
    <m/>
    <m/>
    <m/>
    <m/>
    <x v="4"/>
  </r>
  <r>
    <s v="X24083333203"/>
    <s v="ACHIEVERS BUSINESS GROUP INC."/>
    <s v="C-5 , KALAYAAN VILL/BALAGBAG, PASAY CITY"/>
    <s v="PASAY CITY"/>
    <s v="PARAÑAQUE"/>
    <m/>
    <m/>
    <x v="1"/>
    <s v="FCOMP"/>
    <x v="1"/>
    <n v="5.92"/>
    <n v="35.049999999999997"/>
    <n v="139"/>
    <s v="NEW"/>
    <n v="61294.92"/>
    <n v="21987.52"/>
    <m/>
    <n v="0"/>
    <d v="2025-02-25T16:02:00"/>
    <d v="2025-03-06T14:56:00"/>
    <d v="2025-02-28T00:00:00"/>
    <m/>
    <d v="2025-03-08T00:00:00"/>
    <m/>
    <n v="10.331944444442343"/>
    <n v="1.3777777777795563"/>
    <n v="-45724"/>
    <d v="2025-03-15T00:10:08"/>
    <d v="2025-03-23T10:20:18"/>
    <d v="2025-04-16T16:02:00"/>
    <n v="0.38099045138881138"/>
    <n v="-1143.0999999999999"/>
    <n v="20"/>
    <n v="32"/>
    <n v="20.33898305084746"/>
    <n v="25.762711864406779"/>
    <n v="17.33898305084746"/>
    <n v="40"/>
    <n v="32"/>
    <n v="27"/>
    <d v="2025-04-09T00:00:00"/>
    <d v="2025-04-04T00:00:00"/>
    <m/>
    <m/>
    <m/>
    <m/>
    <m/>
    <m/>
    <m/>
    <m/>
    <x v="1"/>
  </r>
  <r>
    <s v="X24072802567"/>
    <s v="GREGORIO JR. MANALO GONZALVO"/>
    <s v="CADENA DE AMOR, TAHANAN VILL, PARANAQUE"/>
    <s v="PARAÑAQUE CITY"/>
    <s v="PARAÑAQUE"/>
    <m/>
    <m/>
    <x v="5"/>
    <s v="SCHED"/>
    <x v="2"/>
    <n v="88.136200000000017"/>
    <n v="150.07"/>
    <n v="42"/>
    <s v="MODIFICATION"/>
    <n v="373208.99"/>
    <n v="91119.300000000032"/>
    <m/>
    <n v="0"/>
    <d v="2025-02-25T16:46:00"/>
    <d v="2025-03-06T15:07:00"/>
    <d v="2025-02-28T00:00:00"/>
    <m/>
    <m/>
    <m/>
    <n v="-45713.698611111111"/>
    <n v="-45722.629861111112"/>
    <n v="0"/>
    <d v="2025-03-18T21:43:56"/>
    <d v="2025-03-28T08:39:23"/>
    <d v="2025-04-16T16:46:00"/>
    <n v="-1416.3432261989551"/>
    <n v="0"/>
    <n v="26"/>
    <n v="36"/>
    <n v="24.206896551724139"/>
    <n v="30.662068965517239"/>
    <n v="21.206896551724139"/>
    <n v="44"/>
    <n v="35.200000000000003"/>
    <n v="30.200000000000003"/>
    <d v="1900-02-03T04:48:00"/>
    <d v="1900-01-29T04:48:00"/>
    <m/>
    <m/>
    <m/>
    <m/>
    <m/>
    <m/>
    <m/>
    <m/>
    <x v="0"/>
  </r>
  <r>
    <s v="X25010209684"/>
    <s v="UNIOIL PETROLEUM PHILIPPINES, INC."/>
    <s v="EAST SERVICE, SN MARTIN DE PORRES, PARANAQUE"/>
    <s v="PARAÑAQUE CITY"/>
    <s v="PARAÑAQUE"/>
    <m/>
    <m/>
    <x v="3"/>
    <s v="FCOMP"/>
    <x v="3"/>
    <n v="10.332799999999999"/>
    <n v="20.52"/>
    <n v="16"/>
    <s v="NEW"/>
    <n v="143724.53"/>
    <n v="10792.18"/>
    <n v="8332.4599999999991"/>
    <n v="0.77208311944389352"/>
    <d v="2025-02-25T16:48:00"/>
    <d v="2025-03-06T15:24:00"/>
    <d v="2025-02-28T00:00:00"/>
    <m/>
    <d v="2025-03-14T00:00:00"/>
    <m/>
    <n v="16.30000000000291"/>
    <n v="7.3583333333299379"/>
    <n v="-45730"/>
    <d v="2025-03-16T11:22:50"/>
    <d v="2025-03-25T06:44:08"/>
    <d v="2025-04-16T16:48:00"/>
    <n v="0.56144444444454455"/>
    <n v="-1143.25"/>
    <n v="20"/>
    <n v="36"/>
    <n v="21.774193548387096"/>
    <n v="27.58064516129032"/>
    <n v="18.774193548387096"/>
    <n v="40"/>
    <n v="32"/>
    <n v="27"/>
    <d v="2025-04-15T00:00:00"/>
    <d v="2025-04-10T00:00:00"/>
    <m/>
    <m/>
    <m/>
    <m/>
    <m/>
    <m/>
    <m/>
    <m/>
    <x v="4"/>
  </r>
  <r>
    <s v="X25010341636"/>
    <s v="TERESITA G MANAHAN"/>
    <s v="BOEING, CONCORDE SUBD, PARANAQUE"/>
    <s v="PARAÑAQUE CITY"/>
    <s v="PARAÑAQUE"/>
    <m/>
    <m/>
    <x v="2"/>
    <s v="FCOMP"/>
    <x v="2"/>
    <n v="51.019499999999994"/>
    <n v="107.48"/>
    <n v="80"/>
    <s v="NEW"/>
    <n v="439221.4"/>
    <n v="65045.180000000008"/>
    <m/>
    <n v="0"/>
    <d v="2025-02-25T17:05:00"/>
    <d v="2025-03-11T08:05:00"/>
    <d v="2025-02-28T00:00:00"/>
    <m/>
    <d v="2025-04-24T00:00:00"/>
    <m/>
    <n v="57.288194444445253"/>
    <n v="43.663194444445253"/>
    <n v="-45771"/>
    <d v="2025-03-18T01:21:54"/>
    <d v="2025-03-27T06:46:25"/>
    <d v="2025-04-16T17:05:00"/>
    <n v="1.8404804550025395"/>
    <n v="-1040.25"/>
    <n v="26"/>
    <n v="34"/>
    <n v="23.345070422535212"/>
    <n v="29.570422535211268"/>
    <n v="20.345070422535212"/>
    <n v="44"/>
    <n v="35.200000000000003"/>
    <n v="30.200000000000003"/>
    <d v="2025-05-29T04:48:00"/>
    <d v="2025-05-24T04:48:00"/>
    <m/>
    <m/>
    <m/>
    <m/>
    <m/>
    <m/>
    <m/>
    <m/>
    <x v="4"/>
  </r>
  <r>
    <s v="X24041166209"/>
    <s v="RENAISSANCE VILLAGE HOMEOWNERS ASSOCIATION INC."/>
    <s v="BLOCK 3, RENAISSANCE VILLAGE, LAS PINAS CITY"/>
    <s v="LAS PIÑAS CITY"/>
    <s v="PARAÑAQUE"/>
    <m/>
    <m/>
    <x v="3"/>
    <s v="FCOMP"/>
    <x v="3"/>
    <n v="352.5930799999997"/>
    <n v="619"/>
    <n v="135"/>
    <s v="NEW"/>
    <n v="1859854.9"/>
    <n v="416660.75000000012"/>
    <m/>
    <n v="0"/>
    <d v="2025-02-26T12:47:00"/>
    <d v="2025-03-06T16:30:00"/>
    <d v="2025-02-28T00:00:00"/>
    <m/>
    <d v="2025-05-08T14:22:00"/>
    <m/>
    <n v="71.065972222226264"/>
    <n v="62.911111111112405"/>
    <n v="-45785.598611111112"/>
    <d v="2025-03-21T01:32:57"/>
    <d v="2025-03-30T20:57:13"/>
    <d v="2025-04-17T12:47:00"/>
    <n v="2.0875629340278965"/>
    <n v="-832.46542929292934"/>
    <n v="40"/>
    <n v="32"/>
    <n v="25.531914893617024"/>
    <n v="32.340425531914896"/>
    <n v="22.531914893617024"/>
    <n v="55"/>
    <n v="44"/>
    <n v="39"/>
    <d v="2025-06-21T14:22:00"/>
    <d v="2025-06-16T14:22:00"/>
    <m/>
    <m/>
    <m/>
    <m/>
    <m/>
    <m/>
    <m/>
    <m/>
    <x v="1"/>
  </r>
  <r>
    <s v="X24072764755"/>
    <s v="OSAVE TRADING PHILIPPINES CORPORATION"/>
    <s v="GEN. EVANGELISTA, POBLACION, BACOOR"/>
    <s v="BACOOR CITY"/>
    <s v="DASMA"/>
    <s v="For survey"/>
    <m/>
    <x v="7"/>
    <s v="TECO"/>
    <x v="9"/>
    <n v="13.95"/>
    <n v="18.920000000000002"/>
    <n v="18"/>
    <s v="NEW"/>
    <n v="143807.71"/>
    <n v="26763.63"/>
    <m/>
    <n v="0"/>
    <d v="2025-02-26T12:51:00"/>
    <d v="2025-03-10T14:16:00"/>
    <d v="2025-02-28T00:00:00"/>
    <m/>
    <d v="2025-05-06T00:00:00"/>
    <d v="2025-05-07T00:00:00"/>
    <n v="68.464583333334303"/>
    <n v="56.405555555553292"/>
    <n v="1"/>
    <d v="2025-03-17T07:25:50"/>
    <d v="2025-03-26T02:47:08"/>
    <d v="2025-04-17T12:51:00"/>
    <n v="2.3582245370370702"/>
    <n v="2.5000000000000001E-2"/>
    <n v="20"/>
    <n v="36"/>
    <n v="21.774193548387096"/>
    <n v="27.58064516129032"/>
    <n v="18.774193548387096"/>
    <n v="40"/>
    <n v="32"/>
    <n v="27"/>
    <d v="2025-06-07T00:00:00"/>
    <d v="2025-06-02T00:00:00"/>
    <m/>
    <m/>
    <m/>
    <m/>
    <m/>
    <m/>
    <m/>
    <m/>
    <x v="0"/>
  </r>
  <r>
    <s v="X22093878578"/>
    <s v="DITO TELECOMMUNITY CORPORATION"/>
    <s v="NIGERIA, BETTER LIVING SUBD, PARANAQUE"/>
    <s v="PARAÑAQUE CITY"/>
    <s v="PARAÑAQUE"/>
    <m/>
    <m/>
    <x v="5"/>
    <s v="SCHED"/>
    <x v="2"/>
    <n v="53.726000000000006"/>
    <n v="89.28"/>
    <n v="22"/>
    <s v="NEW"/>
    <n v="332579.90000000002"/>
    <n v="53997.88"/>
    <m/>
    <n v="0"/>
    <d v="2025-02-26T13:24:00"/>
    <d v="2025-03-06T16:14:00"/>
    <d v="2025-02-28T00:00:00"/>
    <m/>
    <m/>
    <m/>
    <n v="-45714.558333333334"/>
    <n v="-45722.676388888889"/>
    <n v="0"/>
    <d v="2025-03-18T15:27:07"/>
    <d v="2025-03-27T19:11:57"/>
    <d v="2025-04-17T13:24:00"/>
    <n v="-1485.1710376409017"/>
    <n v="0"/>
    <n v="23"/>
    <n v="36"/>
    <n v="23.085501858736059"/>
    <n v="29.241635687732341"/>
    <n v="20.085501858736059"/>
    <n v="42"/>
    <n v="33.6"/>
    <n v="28.6"/>
    <d v="1900-02-01T14:24:00"/>
    <d v="1900-01-27T14:24:00"/>
    <m/>
    <m/>
    <m/>
    <m/>
    <m/>
    <m/>
    <m/>
    <m/>
    <x v="0"/>
  </r>
  <r>
    <s v="X24114668949"/>
    <s v="GIDEON KURT FABABIER GODOY"/>
    <s v="GUIJO, MULTINATIONAL VILL, PARANAQUE"/>
    <s v="PARAÑAQUE CITY"/>
    <s v="PARAÑAQUE"/>
    <m/>
    <m/>
    <x v="4"/>
    <s v="FCOMP"/>
    <x v="1"/>
    <n v="69.209500000000006"/>
    <n v="124.7"/>
    <n v="80"/>
    <s v="NEW"/>
    <n v="558159.81999999995"/>
    <n v="71925.459999999977"/>
    <m/>
    <n v="0"/>
    <d v="2025-02-26T13:44:00"/>
    <d v="2025-03-06T16:15:00"/>
    <d v="2025-02-28T00:00:00"/>
    <m/>
    <d v="2025-03-26T00:00:00"/>
    <m/>
    <n v="27.427777777775191"/>
    <n v="19.322916666664241"/>
    <n v="-45742"/>
    <d v="2025-03-18T22:00:54"/>
    <d v="2025-03-28T03:25:25"/>
    <d v="2025-04-17T13:44:00"/>
    <n v="0.88116390145793599"/>
    <n v="-1039.590909090909"/>
    <n v="26"/>
    <n v="34"/>
    <n v="23.345070422535212"/>
    <n v="29.570422535211268"/>
    <n v="20.345070422535212"/>
    <n v="44"/>
    <n v="35.200000000000003"/>
    <n v="30.200000000000003"/>
    <d v="2025-04-30T04:48:00"/>
    <d v="2025-04-25T04:48:00"/>
    <m/>
    <m/>
    <m/>
    <m/>
    <m/>
    <m/>
    <m/>
    <m/>
    <x v="1"/>
  </r>
  <r>
    <s v="X25010310664"/>
    <s v="NEBUCHADNEZZAR C RABAYA"/>
    <s v="MARINER, MOONWALK VILL, LAS PINAS CITY"/>
    <s v="LAS PIÑAS CITY"/>
    <s v="PARAÑAQUE"/>
    <s v="For schedule of pole erection"/>
    <m/>
    <x v="3"/>
    <s v="FCOMP"/>
    <x v="3"/>
    <n v="47.496200000000002"/>
    <n v="77.53"/>
    <n v="22.5"/>
    <s v="NEW"/>
    <n v="290132.07"/>
    <n v="43421.75"/>
    <m/>
    <n v="0"/>
    <d v="2025-02-26T19:17:00"/>
    <d v="2025-03-06T16:28:00"/>
    <d v="2025-02-28T00:00:00"/>
    <m/>
    <d v="2025-04-21T00:00:00"/>
    <m/>
    <n v="53.196527777778101"/>
    <n v="45.31388888888614"/>
    <n v="-45768"/>
    <d v="2025-03-18T21:20:07"/>
    <d v="2025-03-28T01:04:57"/>
    <d v="2025-04-17T19:17:00"/>
    <n v="1.7282446826355446"/>
    <n v="-1089.7142857142858"/>
    <n v="23"/>
    <n v="36"/>
    <n v="23.085501858736059"/>
    <n v="29.241635687732341"/>
    <n v="20.085501858736059"/>
    <n v="42"/>
    <n v="33.6"/>
    <n v="28.6"/>
    <d v="2025-05-24T14:24:00"/>
    <d v="2025-05-19T14:24:00"/>
    <m/>
    <m/>
    <m/>
    <m/>
    <m/>
    <m/>
    <m/>
    <m/>
    <x v="4"/>
  </r>
  <r>
    <s v="X24103967818"/>
    <s v="ELPIDIO THOMAS SANTIAGO ACERO III"/>
    <s v="WASHINGTON, MERVILLE SUBD, PARANAQUE"/>
    <s v="PARAÑAQUE CITY"/>
    <s v="PARAÑAQUE"/>
    <m/>
    <m/>
    <x v="2"/>
    <s v="FCOMP"/>
    <x v="2"/>
    <n v="50.980199999999996"/>
    <n v="92.38"/>
    <n v="82"/>
    <s v="NEW"/>
    <n v="398405.14"/>
    <n v="50006.080000000009"/>
    <m/>
    <n v="0"/>
    <d v="2025-02-27T07:31:00"/>
    <d v="2025-03-06T16:32:00"/>
    <d v="2025-02-28T00:00:00"/>
    <m/>
    <d v="2025-03-31T00:00:00"/>
    <m/>
    <n v="31.686805555553292"/>
    <n v="24.31111111111386"/>
    <n v="-45747"/>
    <d v="2025-03-18T14:43:33"/>
    <d v="2025-03-27T13:26:54"/>
    <d v="2025-04-18T07:31:00"/>
    <n v="1.0656815679169458"/>
    <n v="-1089.2142857142858"/>
    <n v="23"/>
    <n v="34"/>
    <n v="22.300380228136884"/>
    <n v="28.247148288973385"/>
    <n v="19.300380228136884"/>
    <n v="42"/>
    <n v="33.6"/>
    <n v="28.6"/>
    <d v="2025-05-03T14:24:00"/>
    <d v="2025-04-28T14:24:00"/>
    <m/>
    <m/>
    <m/>
    <m/>
    <m/>
    <m/>
    <m/>
    <m/>
    <x v="1"/>
  </r>
  <r>
    <s v="X24093657207"/>
    <s v="SONNY HABOC BURIAS"/>
    <s v="WASHINGTON, MERVILLE SUBD, PARANAQUE"/>
    <s v="PARAÑAQUE CITY"/>
    <s v="PARAÑAQUE"/>
    <m/>
    <m/>
    <x v="2"/>
    <s v="FCOMP"/>
    <x v="2"/>
    <n v="48.302600000000005"/>
    <n v="91.9"/>
    <n v="80"/>
    <s v="NEW"/>
    <n v="415129.66"/>
    <n v="53886.459999999992"/>
    <m/>
    <n v="0"/>
    <d v="2025-02-27T07:33:00"/>
    <d v="2025-03-06T16:34:00"/>
    <d v="2025-02-28T00:00:00"/>
    <m/>
    <d v="2025-04-02T00:00:00"/>
    <m/>
    <n v="33.685416666667152"/>
    <n v="26.309722222220444"/>
    <n v="-45749"/>
    <d v="2025-03-18T14:45:33"/>
    <d v="2025-03-27T13:28:54"/>
    <d v="2025-04-18T07:33:00"/>
    <n v="1.1328982843137418"/>
    <n v="-1089.2619047619048"/>
    <n v="23"/>
    <n v="34"/>
    <n v="22.300380228136884"/>
    <n v="28.247148288973385"/>
    <n v="19.300380228136884"/>
    <n v="42"/>
    <n v="33.6"/>
    <n v="28.6"/>
    <d v="2025-05-05T14:24:00"/>
    <d v="2025-04-30T14:24:00"/>
    <m/>
    <m/>
    <m/>
    <m/>
    <m/>
    <m/>
    <m/>
    <m/>
    <x v="1"/>
  </r>
  <r>
    <s v="X25020529420"/>
    <s v="BARANGAY TALON UNO"/>
    <s v="MARCOS ALVAREZ, GOLDEN ACRES SUBD, LAS PINAS CITY"/>
    <s v="LAS PIÑAS CITY"/>
    <s v="PARAÑAQUE"/>
    <m/>
    <m/>
    <x v="5"/>
    <s v="SCHED"/>
    <x v="2"/>
    <n v="9.9133000000000013"/>
    <n v="17.37"/>
    <n v="10.5"/>
    <s v="NEW"/>
    <n v="145803.29999999999"/>
    <n v="10957.9"/>
    <m/>
    <n v="0"/>
    <d v="2025-02-28T12:13:00"/>
    <d v="2025-03-10T14:38:00"/>
    <d v="2025-03-10T00:00:00"/>
    <m/>
    <m/>
    <m/>
    <n v="-45716.509027777778"/>
    <n v="-45726.609722222223"/>
    <n v="0"/>
    <d v="2025-03-19T06:47:50"/>
    <d v="2025-03-28T02:09:08"/>
    <d v="2025-04-19T12:13:00"/>
    <n v="-1574.6797554012346"/>
    <n v="0"/>
    <n v="20"/>
    <n v="36"/>
    <n v="21.774193548387096"/>
    <n v="27.58064516129032"/>
    <n v="18.774193548387096"/>
    <n v="40"/>
    <n v="32"/>
    <n v="27"/>
    <d v="1900-01-31T00:00:00"/>
    <d v="1900-01-26T00:00:00"/>
    <m/>
    <m/>
    <m/>
    <m/>
    <m/>
    <m/>
    <m/>
    <m/>
    <x v="0"/>
  </r>
  <r>
    <s v="R23894387"/>
    <s v="ADDAS DEVELOPMENT CORPORATION"/>
    <s v="MASAITO, MOLINO III, BACOOR"/>
    <s v="LAS PIÑAS CITY"/>
    <s v="PARAÑAQUE"/>
    <m/>
    <m/>
    <x v="5"/>
    <s v="SCHED"/>
    <x v="2"/>
    <n v="32.028700000000001"/>
    <n v="57.22"/>
    <s v=" -   "/>
    <s v="RELOC"/>
    <n v="146325.04"/>
    <n v="31308.559999999994"/>
    <m/>
    <n v="0"/>
    <d v="2025-02-28T12:13:00"/>
    <d v="2025-03-10T15:05:00"/>
    <d v="2025-03-10T00:00:00"/>
    <m/>
    <m/>
    <m/>
    <n v="-45716.509027777778"/>
    <n v="-45726.628472222219"/>
    <n v="0"/>
    <d v="2025-03-13T02:52:38"/>
    <d v="2025-03-20T06:47:12"/>
    <d v="2025-04-19T12:13:00"/>
    <n v="-2196.3801076388886"/>
    <n v="0"/>
    <n v="23"/>
    <n v="20"/>
    <n v="15.610859728506789"/>
    <n v="19.773755656108598"/>
    <n v="12.610859728506789"/>
    <n v="42"/>
    <n v="33.6"/>
    <n v="28.6"/>
    <d v="1900-02-01T14:24:00"/>
    <d v="1900-01-27T14:24:00"/>
    <m/>
    <m/>
    <m/>
    <m/>
    <m/>
    <m/>
    <m/>
    <m/>
    <x v="0"/>
  </r>
  <r>
    <s v="X25010054654"/>
    <s v="SUZENNE MARGARETH TEE TANG-DONOVAN"/>
    <s v="WASHINGTON, MERVILLE SUBD, PARANAQUE"/>
    <s v="PARAÑAQUE CITY"/>
    <s v="PARAÑAQUE"/>
    <m/>
    <m/>
    <x v="2"/>
    <s v="FCOMP"/>
    <x v="2"/>
    <n v="52.850699999999989"/>
    <n v="110.53"/>
    <n v="80"/>
    <s v="NEW"/>
    <n v="416189.14"/>
    <n v="58969.420000000006"/>
    <n v="43597.25"/>
    <n v="0.7393196338034187"/>
    <d v="2025-02-28T15:05:00"/>
    <d v="2025-03-10T15:05:00"/>
    <d v="2025-03-10T00:00:00"/>
    <d v="2025-03-31T00:00:00"/>
    <d v="2025-03-31T00:00:00"/>
    <m/>
    <n v="30.371527777781012"/>
    <n v="20.371527777781012"/>
    <n v="-45747"/>
    <d v="2025-03-20T23:21:54"/>
    <d v="2025-03-30T04:46:25"/>
    <d v="2025-04-19T15:05:00"/>
    <n v="0.97573686525902792"/>
    <n v="-1039.7045454545455"/>
    <n v="26"/>
    <n v="34"/>
    <n v="23.345070422535212"/>
    <n v="29.570422535211268"/>
    <n v="20.345070422535212"/>
    <n v="44"/>
    <n v="35.200000000000003"/>
    <n v="30.200000000000003"/>
    <d v="2025-05-05T04:48:00"/>
    <d v="2025-04-30T04:48:00"/>
    <m/>
    <m/>
    <m/>
    <m/>
    <m/>
    <m/>
    <m/>
    <m/>
    <x v="4"/>
  </r>
  <r>
    <s v="X24083238472"/>
    <s v="LAND TRANSPORTATION OFFICE"/>
    <s v="NATIONAL, TUNASAN, MUNTINLUPA"/>
    <s v="MUNTINLUPA CITY"/>
    <s v="PARAÑAQUE"/>
    <m/>
    <m/>
    <x v="3"/>
    <s v="FCOMP"/>
    <x v="3"/>
    <n v="40.589500000000001"/>
    <n v="95.95"/>
    <n v="95"/>
    <s v="MODIFICATION"/>
    <n v="588364.43999999994"/>
    <n v="55307.66"/>
    <n v="24818.29"/>
    <n v="0.44873151386263671"/>
    <d v="2025-03-03T14:55:00"/>
    <d v="2025-03-10T15:09:00"/>
    <d v="2025-03-11T00:00:00"/>
    <m/>
    <d v="2025-03-17T09:10:00"/>
    <m/>
    <n v="13.760416666664241"/>
    <n v="6.7506944444467081"/>
    <n v="-45733.381944444445"/>
    <d v="2025-03-22T22:07:33"/>
    <d v="2025-03-31T20:50:54"/>
    <d v="2025-04-22T14:55:00"/>
    <n v="0.46278639173052372"/>
    <n v="-1088.8900462962963"/>
    <n v="23"/>
    <n v="34"/>
    <n v="22.300380228136884"/>
    <n v="28.247148288973385"/>
    <n v="19.300380228136884"/>
    <n v="42"/>
    <n v="33.6"/>
    <n v="28.6"/>
    <d v="2025-04-19T23:34:00"/>
    <d v="2025-04-14T23:34:00"/>
    <m/>
    <m/>
    <m/>
    <m/>
    <m/>
    <m/>
    <m/>
    <m/>
    <x v="4"/>
  </r>
  <r>
    <s v="X25010149592"/>
    <s v="HARD DISCOUNT PHILIPPINES, INC."/>
    <s v="8TH, ZONE 1, TAGUIG CITY"/>
    <s v="TAGUIG CITY"/>
    <s v="PARAÑAQUE"/>
    <m/>
    <m/>
    <x v="1"/>
    <s v="FCOMP"/>
    <x v="1"/>
    <n v="29.906899999999997"/>
    <n v="49.02"/>
    <n v="19"/>
    <s v="NEW"/>
    <n v="220841.32"/>
    <n v="30781.120000000003"/>
    <m/>
    <n v="0"/>
    <d v="2025-03-03T15:00:00"/>
    <d v="2025-03-10T15:11:00"/>
    <d v="2025-03-11T00:00:00"/>
    <d v="2025-03-27T00:00:00"/>
    <d v="2025-03-27T08:12:00"/>
    <m/>
    <n v="23.716666666667152"/>
    <n v="16.709027777775191"/>
    <n v="-45743.341666666667"/>
    <d v="2025-03-22T09:34:50"/>
    <d v="2025-03-31T04:56:08"/>
    <d v="2025-04-22T15:00:00"/>
    <n v="0.81690740740742407"/>
    <n v="-1143.5835416666666"/>
    <n v="20"/>
    <n v="36"/>
    <n v="21.774193548387096"/>
    <n v="27.58064516129032"/>
    <n v="18.774193548387096"/>
    <n v="40"/>
    <n v="32"/>
    <n v="27"/>
    <d v="2025-04-28T08:12:00"/>
    <d v="2025-04-23T08:12:00"/>
    <m/>
    <m/>
    <m/>
    <m/>
    <m/>
    <m/>
    <m/>
    <m/>
    <x v="4"/>
  </r>
  <r>
    <s v="X25010268677"/>
    <s v="GENELITO H. MORENO"/>
    <s v="VRCC, VETERANS CENTER, TAGUIG CITY"/>
    <s v="TAGUIG CITY"/>
    <s v="PARAÑAQUE"/>
    <m/>
    <m/>
    <x v="1"/>
    <s v="FCOMP"/>
    <x v="1"/>
    <n v="10.132800000000001"/>
    <n v="16.52"/>
    <n v="19"/>
    <s v="NEW"/>
    <n v="146700.63"/>
    <n v="10482.84"/>
    <m/>
    <n v="0"/>
    <d v="2025-03-03T15:03:00"/>
    <d v="2025-03-10T15:10:00"/>
    <d v="2025-03-11T00:00:00"/>
    <m/>
    <d v="2025-03-26T00:00:00"/>
    <m/>
    <n v="22.372916666667152"/>
    <n v="15.368055555554747"/>
    <n v="-45742"/>
    <d v="2025-03-22T09:37:50"/>
    <d v="2025-03-31T04:59:08"/>
    <d v="2025-04-22T15:03:00"/>
    <n v="0.77062268518520183"/>
    <n v="-1143.55"/>
    <n v="20"/>
    <n v="36"/>
    <n v="21.774193548387096"/>
    <n v="27.58064516129032"/>
    <n v="18.774193548387096"/>
    <n v="40"/>
    <n v="32"/>
    <n v="27"/>
    <d v="2025-04-27T00:00:00"/>
    <d v="2025-04-22T00:00:00"/>
    <m/>
    <m/>
    <m/>
    <m/>
    <m/>
    <m/>
    <m/>
    <m/>
    <x v="1"/>
  </r>
  <r>
    <s v="X24104087935"/>
    <s v="FIRSTAR HVAC INC."/>
    <s v="COASTAL, LONGOS, BACOOR"/>
    <s v="BACOOR CITY"/>
    <s v="DASMA"/>
    <m/>
    <m/>
    <x v="4"/>
    <s v="SCHED"/>
    <x v="1"/>
    <n v="144.3689"/>
    <n v="236.52"/>
    <n v="40"/>
    <s v="NEW"/>
    <n v="793304.39"/>
    <n v="124045.43"/>
    <m/>
    <n v="0"/>
    <d v="2025-03-03T16:41:00"/>
    <d v="2025-03-12T14:17:00"/>
    <d v="2025-03-11T00:00:00"/>
    <m/>
    <m/>
    <m/>
    <n v="-45719.695138888892"/>
    <n v="-45728.595138888886"/>
    <n v="0"/>
    <d v="2025-03-25T13:31:32"/>
    <d v="2025-04-04T04:41:00"/>
    <d v="2025-04-22T16:41:00"/>
    <n v="-1378.8479486331571"/>
    <n v="0"/>
    <n v="28"/>
    <n v="36"/>
    <n v="24.868421052631579"/>
    <n v="31.499999999999996"/>
    <n v="21.868421052631579"/>
    <n v="46"/>
    <n v="36.800000000000004"/>
    <n v="31.800000000000004"/>
    <d v="1900-02-04T19:12:00"/>
    <d v="1900-01-30T19:12:00"/>
    <m/>
    <m/>
    <m/>
    <m/>
    <m/>
    <m/>
    <m/>
    <m/>
    <x v="0"/>
  </r>
  <r>
    <s v="X25020632623"/>
    <s v="PAUL ERWIN SALAZAR CANTOS"/>
    <s v="BLOCK 14-B, LINDENWOOD RESIDENCES, MUNTINLUPA"/>
    <s v="MUNTINLUPA CITY"/>
    <s v="PARAÑAQUE"/>
    <m/>
    <m/>
    <x v="3"/>
    <s v="FCOMP"/>
    <x v="3"/>
    <n v="14.693299999999999"/>
    <n v="31.1"/>
    <n v="80"/>
    <s v="MODIFICATION"/>
    <n v="252394.2"/>
    <n v="19533.16"/>
    <m/>
    <n v="0"/>
    <d v="2025-03-04T10:44:00"/>
    <d v="2025-03-10T15:13:00"/>
    <d v="2025-03-11T00:00:00"/>
    <m/>
    <d v="2025-03-14T00:00:00"/>
    <m/>
    <n v="9.5527777777751908"/>
    <n v="3.3659722222218988"/>
    <n v="-45730"/>
    <d v="2025-03-22T12:31:06"/>
    <d v="2025-03-31T03:23:40"/>
    <d v="2025-04-23T10:44:00"/>
    <n v="0.33996650326788175"/>
    <n v="-1143.25"/>
    <n v="20"/>
    <n v="34"/>
    <n v="21.074380165289259"/>
    <n v="26.694214876033058"/>
    <n v="18.074380165289259"/>
    <n v="40"/>
    <n v="32"/>
    <n v="27"/>
    <d v="2025-04-15T00:00:00"/>
    <d v="2025-04-10T00:00:00"/>
    <m/>
    <m/>
    <m/>
    <m/>
    <m/>
    <m/>
    <m/>
    <m/>
    <x v="4"/>
  </r>
  <r>
    <s v="X25010270222"/>
    <s v="NELISA CHAVEZ BANATE"/>
    <s v="KALAYAAN VILL, KALAYAAN VILL/BALAGBAG, PASAY CITY"/>
    <s v="PASAY CITY"/>
    <s v="PARAÑAQUE"/>
    <m/>
    <m/>
    <x v="1"/>
    <s v="SCHED"/>
    <x v="1"/>
    <n v="35.50894000000001"/>
    <n v="211.05"/>
    <n v="21"/>
    <s v="NEW"/>
    <n v="208132.44"/>
    <n v="131636.9"/>
    <m/>
    <n v="0"/>
    <d v="2025-03-04T16:15:00"/>
    <d v="2025-03-10T15:13:00"/>
    <d v="2025-03-11T00:00:00"/>
    <m/>
    <m/>
    <m/>
    <n v="-45720.677083333336"/>
    <n v="-45726.634027777778"/>
    <n v="0"/>
    <d v="2025-03-26T13:05:32"/>
    <d v="2025-04-05T04:15:00"/>
    <d v="2025-04-23T16:15:00"/>
    <n v="-1378.8775628306878"/>
    <n v="0"/>
    <n v="28"/>
    <n v="36"/>
    <n v="24.868421052631579"/>
    <n v="31.499999999999996"/>
    <n v="21.868421052631579"/>
    <n v="46"/>
    <n v="36.800000000000004"/>
    <n v="31.800000000000004"/>
    <d v="1900-02-04T19:12:00"/>
    <d v="1900-01-30T19:12:00"/>
    <m/>
    <m/>
    <m/>
    <m/>
    <m/>
    <m/>
    <m/>
    <m/>
    <x v="0"/>
  </r>
  <r>
    <s v="X25020633295"/>
    <s v="ASEANA BUSINESS PARK ESTATE ASSOCIATION, INC."/>
    <s v="BRADCO, ASEANA BUSINESS PARK, PARANAQUE"/>
    <s v="PARAÑAQUE CITY"/>
    <s v="PARAÑAQUE"/>
    <m/>
    <m/>
    <x v="1"/>
    <s v="SCHED"/>
    <x v="1"/>
    <n v="10.816699999999999"/>
    <n v="16.920000000000002"/>
    <n v="27"/>
    <s v="NEW"/>
    <n v="189975.78"/>
    <n v="10668.75"/>
    <m/>
    <n v="0"/>
    <d v="2025-03-04T16:20:00"/>
    <d v="2025-03-10T15:12:00"/>
    <d v="2025-03-11T00:00:00"/>
    <m/>
    <m/>
    <m/>
    <n v="-45720.680555555555"/>
    <n v="-45726.633333333331"/>
    <n v="0"/>
    <d v="2025-03-23T10:54:50"/>
    <d v="2025-04-01T06:16:08"/>
    <d v="2025-04-23T16:20:00"/>
    <n v="-1574.8234413580244"/>
    <n v="0"/>
    <n v="20"/>
    <n v="36"/>
    <n v="21.774193548387096"/>
    <n v="27.58064516129032"/>
    <n v="18.774193548387096"/>
    <n v="40"/>
    <n v="32"/>
    <n v="27"/>
    <d v="1900-01-31T00:00:00"/>
    <d v="1900-01-26T00:00:00"/>
    <m/>
    <m/>
    <m/>
    <m/>
    <m/>
    <m/>
    <m/>
    <m/>
    <x v="0"/>
  </r>
  <r>
    <s v="X24093717402"/>
    <s v="ROGER ABANDO DUNGAN"/>
    <s v="Q. PAREDES, KATARUNGAN VILLAGE, MUNTINLUPA"/>
    <s v="MUNTINLUPA CITY"/>
    <s v="PARAÑAQUE"/>
    <m/>
    <m/>
    <x v="3"/>
    <s v="FCOMP"/>
    <x v="3"/>
    <n v="210.0295999999999"/>
    <n v="396.83"/>
    <n v="32"/>
    <s v="MODIFICATION"/>
    <n v="1240286.08"/>
    <n v="220788.86000000004"/>
    <m/>
    <n v="0"/>
    <d v="2025-03-05T09:51:00"/>
    <d v="2025-03-12T14:23:00"/>
    <d v="2025-03-11T00:00:00"/>
    <d v="2025-04-24T00:00:00"/>
    <d v="2025-04-24T00:00:00"/>
    <m/>
    <n v="49.589583333334303"/>
    <n v="42.400694444440887"/>
    <n v="-45771"/>
    <d v="2025-03-27T21:10:15"/>
    <d v="2025-04-06T16:11:23"/>
    <d v="2025-04-24T09:51:00"/>
    <n v="1.4601377314815098"/>
    <n v="-953.5625"/>
    <n v="30"/>
    <n v="36"/>
    <n v="25.471698113207545"/>
    <n v="32.264150943396224"/>
    <n v="22.471698113207545"/>
    <n v="48"/>
    <n v="38.400000000000006"/>
    <n v="33.400000000000006"/>
    <d v="2025-06-01T09:36:00"/>
    <d v="2025-05-27T09:36:00"/>
    <m/>
    <m/>
    <m/>
    <m/>
    <m/>
    <m/>
    <m/>
    <m/>
    <x v="4"/>
  </r>
  <r>
    <s v="X24103945947"/>
    <s v="ROLANDO SURIA BUCU"/>
    <s v="STERLINGLIFE, STERLINGLIFE HOMES, LAS PINAS CITY"/>
    <s v="LAS PIÑAS CITY"/>
    <s v="PARAÑAQUE"/>
    <m/>
    <m/>
    <x v="5"/>
    <s v="SCHED"/>
    <x v="2"/>
    <n v="32.919499999999985"/>
    <n v="54.57"/>
    <n v="32.6"/>
    <s v="NEW"/>
    <n v="271232.90000000002"/>
    <n v="29907.079999999998"/>
    <m/>
    <n v="0"/>
    <d v="2025-03-05T16:33:00"/>
    <d v="2025-03-12T14:21:00"/>
    <d v="2025-03-10T00:00:00"/>
    <m/>
    <m/>
    <m/>
    <n v="-45721.689583333333"/>
    <n v="-45728.597916666666"/>
    <n v="0"/>
    <d v="2025-03-25T18:36:07"/>
    <d v="2025-04-03T22:20:57"/>
    <d v="2025-04-24T16:33:00"/>
    <n v="-1485.4027171396938"/>
    <n v="0"/>
    <n v="23"/>
    <n v="36"/>
    <n v="23.085501858736059"/>
    <n v="29.241635687732341"/>
    <n v="20.085501858736059"/>
    <n v="42"/>
    <n v="33.6"/>
    <n v="28.6"/>
    <d v="1900-02-01T14:24:00"/>
    <d v="1900-01-27T14:24:00"/>
    <m/>
    <m/>
    <m/>
    <m/>
    <m/>
    <m/>
    <m/>
    <m/>
    <x v="0"/>
  </r>
  <r>
    <s v="X23051592518"/>
    <s v="BARANGAY MANUYO DOS"/>
    <s v="S. MARQUEZ, GATCHALIAN SUBD, LAS PINAS CITY"/>
    <s v="LAS PIÑAS CITY"/>
    <s v="PARAÑAQUE"/>
    <m/>
    <m/>
    <x v="5"/>
    <s v="SCHED"/>
    <x v="2"/>
    <n v="34.653300000000002"/>
    <n v="64.180000000000007"/>
    <n v="11.9"/>
    <s v="NEW"/>
    <n v="327573.94"/>
    <n v="35944.400000000001"/>
    <m/>
    <n v="0"/>
    <d v="2025-03-05T16:57:00"/>
    <d v="2025-03-12T14:22:00"/>
    <d v="2025-03-10T00:00:00"/>
    <m/>
    <m/>
    <m/>
    <n v="-45721.706250000003"/>
    <n v="-45728.598611111112"/>
    <n v="0"/>
    <d v="2025-03-25T19:00:07"/>
    <d v="2025-04-03T22:44:57"/>
    <d v="2025-04-24T16:57:00"/>
    <n v="-1485.4032586050726"/>
    <n v="0"/>
    <n v="23"/>
    <n v="36"/>
    <n v="23.085501858736059"/>
    <n v="29.241635687732341"/>
    <n v="20.085501858736059"/>
    <n v="42"/>
    <n v="33.6"/>
    <n v="28.6"/>
    <d v="1900-02-01T14:24:00"/>
    <d v="1900-01-27T14:24:00"/>
    <m/>
    <m/>
    <m/>
    <m/>
    <m/>
    <m/>
    <m/>
    <m/>
    <x v="0"/>
  </r>
  <r>
    <s v="X24072786899"/>
    <s v="DITO TELECOMMUNITY CORPORATION"/>
    <s v="CAMELLA, CAMELLA HOMES ALABANG 1 SUBD, MUNTINLUPA"/>
    <s v="MUNTINLUPA CITY"/>
    <s v="PARAÑAQUE"/>
    <m/>
    <m/>
    <x v="3"/>
    <s v="FCOMP"/>
    <x v="3"/>
    <n v="18.142799999999998"/>
    <n v="54.07"/>
    <n v="31"/>
    <s v="NEW"/>
    <n v="267147.11"/>
    <n v="33918.39"/>
    <m/>
    <n v="0"/>
    <d v="2025-03-06T14:00:00"/>
    <d v="2025-03-13T13:17:00"/>
    <d v="2025-03-11T00:00:00"/>
    <m/>
    <d v="2025-03-21T00:00:00"/>
    <m/>
    <n v="14.416666666664241"/>
    <n v="7.4465277777781012"/>
    <n v="-45737"/>
    <d v="2025-03-26T16:03:07"/>
    <d v="2025-04-04T19:47:57"/>
    <d v="2025-04-25T14:00:00"/>
    <n v="0.46836755233486482"/>
    <n v="-1088.9761904761904"/>
    <n v="23"/>
    <n v="36"/>
    <n v="23.085501858736059"/>
    <n v="29.241635687732341"/>
    <n v="20.085501858736059"/>
    <n v="42"/>
    <n v="33.6"/>
    <n v="28.6"/>
    <d v="2025-04-23T14:24:00"/>
    <d v="2025-04-18T14:24:00"/>
    <m/>
    <m/>
    <m/>
    <m/>
    <m/>
    <m/>
    <m/>
    <m/>
    <x v="4"/>
  </r>
  <r>
    <s v="P2502182413"/>
    <s v="C1 55GG Reconductoring of primary line from bare to covered from B9-0258 to B9-0260"/>
    <s v="M.L. QUEZON PUROK 1 LOWER BICUTAN TAGUIG CITY"/>
    <s v="TAGUIG CITY"/>
    <s v="PARAÑAQUE"/>
    <m/>
    <m/>
    <x v="1"/>
    <s v="FCOMP"/>
    <x v="1"/>
    <n v="29.7837"/>
    <n v="3.53"/>
    <s v=" -   "/>
    <s v="SUPPLEMENTAL MN FOR PCA"/>
    <n v="234068.93"/>
    <n v="102134.84"/>
    <m/>
    <n v="0"/>
    <d v="2025-03-06T16:08:00"/>
    <d v="2025-03-12T14:45:00"/>
    <m/>
    <m/>
    <d v="2025-03-19T00:00:00"/>
    <m/>
    <n v="12.327777777776646"/>
    <n v="6.3854166666642413"/>
    <n v="-45735"/>
    <d v="2025-03-18T16:08:00"/>
    <d v="2025-03-25T16:08:00"/>
    <d v="2025-04-25T16:08:00"/>
    <n v="0.61638888888883225"/>
    <n v="-1143.375"/>
    <n v="20"/>
    <n v="20"/>
    <n v="15.000000000000002"/>
    <n v="19"/>
    <n v="12.000000000000002"/>
    <n v="40"/>
    <n v="32"/>
    <n v="27"/>
    <d v="2025-04-20T00:00:00"/>
    <d v="2025-04-15T00:00:00"/>
    <m/>
    <m/>
    <m/>
    <m/>
    <m/>
    <m/>
    <m/>
    <m/>
    <x v="1"/>
  </r>
  <r>
    <s v="X24114468464"/>
    <s v="CITY GOVT OF LAS PIÑAS"/>
    <s v="PILI, GOLDEN ACRES SUBD, LAS PINAS CITY"/>
    <s v="LAS PIÑAS CITY"/>
    <s v="PARAÑAQUE"/>
    <m/>
    <m/>
    <x v="2"/>
    <s v="SCHED"/>
    <x v="2"/>
    <n v="89.382599999999996"/>
    <n v="171.85"/>
    <n v="9"/>
    <s v="MODIFICATION"/>
    <n v="532048.99"/>
    <n v="100358.97000000002"/>
    <m/>
    <n v="0"/>
    <d v="2025-03-06T16:36:00"/>
    <d v="2025-03-13T13:25:00"/>
    <d v="2025-03-11T00:00:00"/>
    <m/>
    <m/>
    <m/>
    <n v="-45722.691666666666"/>
    <n v="-45729.559027777781"/>
    <n v="0"/>
    <d v="2025-03-27T21:33:56"/>
    <d v="2025-04-06T08:29:23"/>
    <d v="2025-04-25T16:36:00"/>
    <n v="-1416.621857193732"/>
    <n v="0"/>
    <n v="26"/>
    <n v="36"/>
    <n v="24.206896551724139"/>
    <n v="30.662068965517239"/>
    <n v="21.206896551724139"/>
    <n v="44"/>
    <n v="35.200000000000003"/>
    <n v="30.200000000000003"/>
    <d v="1900-02-03T04:48:00"/>
    <d v="1900-01-29T04:48:00"/>
    <m/>
    <m/>
    <m/>
    <m/>
    <m/>
    <m/>
    <m/>
    <m/>
    <x v="0"/>
  </r>
  <r>
    <s v="X24072851266"/>
    <s v="CITY GOVERNMENT OF LAS PIÑAS"/>
    <s v="DANDELION, DOÑA MANUELA SUBD, LAS PINAS CITY"/>
    <s v="LAS PIÑAS CITY"/>
    <s v="PARAÑAQUE"/>
    <m/>
    <m/>
    <x v="4"/>
    <s v="SCHED"/>
    <x v="1"/>
    <n v="53.522799999999989"/>
    <n v="140.97"/>
    <n v="287.2"/>
    <s v="MODIFICATION"/>
    <n v="851846.96"/>
    <n v="104930.69"/>
    <m/>
    <n v="0"/>
    <d v="2025-03-06T16:58:00"/>
    <d v="2025-03-13T13:14:00"/>
    <d v="2025-03-11T00:00:00"/>
    <m/>
    <m/>
    <m/>
    <n v="-45722.706944444442"/>
    <n v="-45729.551388888889"/>
    <n v="0"/>
    <d v="2025-03-25T05:08:35"/>
    <d v="2025-04-02T22:47:25"/>
    <d v="2025-04-25T16:58:00"/>
    <n v="-1594.4328575498575"/>
    <n v="0"/>
    <n v="26"/>
    <n v="30"/>
    <n v="21.507352941176471"/>
    <n v="27.242647058823529"/>
    <n v="18.507352941176471"/>
    <n v="44"/>
    <n v="35.200000000000003"/>
    <n v="30.200000000000003"/>
    <d v="1900-02-03T04:48:00"/>
    <d v="1900-01-29T04:48:00"/>
    <m/>
    <m/>
    <m/>
    <m/>
    <m/>
    <m/>
    <m/>
    <m/>
    <x v="0"/>
  </r>
  <r>
    <s v="X24104280468"/>
    <s v="CITY GOVERNMENT OF LAS PIÑAS"/>
    <s v="DANDELION, DOÑA MANUELA SUBD, LAS PINAS CITY"/>
    <s v="LAS PIÑAS CITY"/>
    <s v="PARAÑAQUE"/>
    <m/>
    <m/>
    <x v="4"/>
    <s v="SCHED"/>
    <x v="1"/>
    <n v="585.37979999999959"/>
    <n v="1431.1"/>
    <n v="287.2"/>
    <s v="MODIFICATION"/>
    <n v="3468548.84"/>
    <n v="853471.37999999977"/>
    <m/>
    <n v="0"/>
    <d v="2025-03-06T17:05:00"/>
    <d v="2025-03-13T13:01:00"/>
    <d v="2025-03-11T00:00:00"/>
    <m/>
    <m/>
    <m/>
    <n v="-45722.711805555555"/>
    <n v="-45729.542361111111"/>
    <n v="0"/>
    <d v="2025-03-29T06:43:11"/>
    <d v="2025-04-08T02:21:22"/>
    <d v="2025-04-25T17:05:00"/>
    <n v="-1341.1995462962964"/>
    <n v="0"/>
    <n v="50"/>
    <n v="30"/>
    <n v="25.56818181818182"/>
    <n v="32.38636363636364"/>
    <n v="22.56818181818182"/>
    <n v="60"/>
    <n v="48"/>
    <n v="43"/>
    <d v="1900-02-16T00:00:00"/>
    <d v="1900-02-11T00:00:00"/>
    <m/>
    <m/>
    <m/>
    <m/>
    <m/>
    <m/>
    <m/>
    <m/>
    <x v="0"/>
  </r>
  <r>
    <s v="X24114480257"/>
    <s v="CITY GOV'T OF LAS PIÑAS"/>
    <s v="ALABANG-ZAPOTE, PAMPLONA I, LAS PINAS CITY"/>
    <s v="LAS PIÑAS CITY"/>
    <s v="PARAÑAQUE"/>
    <m/>
    <m/>
    <x v="4"/>
    <s v="SCHED"/>
    <x v="1"/>
    <n v="10.9328"/>
    <n v="23.2"/>
    <n v="32.6"/>
    <s v="NEW"/>
    <n v="192652.59"/>
    <n v="14659.570000000002"/>
    <m/>
    <n v="0"/>
    <d v="2025-03-06T17:05:00"/>
    <d v="2025-03-13T13:18:00"/>
    <d v="2025-03-11T00:00:00"/>
    <m/>
    <m/>
    <m/>
    <n v="-45722.711805555555"/>
    <n v="-45729.554166666669"/>
    <n v="0"/>
    <d v="2025-03-25T11:39:50"/>
    <d v="2025-04-03T07:01:08"/>
    <d v="2025-04-25T17:05:00"/>
    <n v="-1574.8934066358024"/>
    <n v="0"/>
    <n v="20"/>
    <n v="36"/>
    <n v="21.774193548387096"/>
    <n v="27.58064516129032"/>
    <n v="18.774193548387096"/>
    <n v="40"/>
    <n v="32"/>
    <n v="27"/>
    <d v="1900-01-31T00:00:00"/>
    <d v="1900-01-26T00:00:00"/>
    <m/>
    <m/>
    <m/>
    <m/>
    <m/>
    <m/>
    <m/>
    <m/>
    <x v="0"/>
  </r>
  <r>
    <s v="X25020514312"/>
    <s v="CITY GOV'T OF LAS PIÑAS"/>
    <s v="PULO, SITIO PULO, LAS PINAS CITY"/>
    <s v="LAS PIÑAS CITY"/>
    <s v="PARAÑAQUE"/>
    <m/>
    <m/>
    <x v="4"/>
    <s v="SCHED"/>
    <x v="1"/>
    <n v="10.4428"/>
    <n v="16.23"/>
    <n v="18.5"/>
    <s v="MODIFICATION"/>
    <n v="140707.85999999999"/>
    <n v="10242.26"/>
    <m/>
    <n v="0"/>
    <d v="2025-03-06T17:05:00"/>
    <d v="2025-03-13T13:19:00"/>
    <d v="2025-03-11T00:00:00"/>
    <m/>
    <m/>
    <m/>
    <n v="-45722.711805555555"/>
    <n v="-45729.554861111108"/>
    <n v="0"/>
    <d v="2025-03-25T11:39:50"/>
    <d v="2025-04-03T07:01:08"/>
    <d v="2025-04-25T17:05:00"/>
    <n v="-1574.8934066358024"/>
    <n v="0"/>
    <n v="20"/>
    <n v="36"/>
    <n v="21.774193548387096"/>
    <n v="27.58064516129032"/>
    <n v="18.774193548387096"/>
    <n v="40"/>
    <n v="32"/>
    <n v="27"/>
    <d v="1900-01-31T00:00:00"/>
    <d v="1900-01-26T00:00:00"/>
    <m/>
    <m/>
    <m/>
    <m/>
    <m/>
    <m/>
    <m/>
    <m/>
    <x v="0"/>
  </r>
  <r>
    <s v="X25030763572"/>
    <s v="IGLESIA NI CRISTO"/>
    <s v="P. BURGOS, SAN DIONISIO, PARANAQUE"/>
    <s v="PARAÑAQUE CITY"/>
    <s v="PARAÑAQUE"/>
    <m/>
    <m/>
    <x v="5"/>
    <s v="SCHED"/>
    <x v="2"/>
    <n v="9.9339999999999993"/>
    <n v="13.6"/>
    <s v=" -   "/>
    <s v="MODIFICATION"/>
    <n v="19780.38"/>
    <n v="8535.56"/>
    <m/>
    <n v="0"/>
    <d v="2025-03-06T17:32:00"/>
    <d v="2025-03-13T13:24:00"/>
    <d v="2025-03-10T00:00:00"/>
    <m/>
    <m/>
    <m/>
    <n v="-45722.730555555558"/>
    <n v="-45729.558333333334"/>
    <n v="0"/>
    <d v="2025-03-18T17:32:00"/>
    <d v="2025-03-25T17:32:00"/>
    <d v="2025-04-25T17:32:00"/>
    <n v="-2286.1365277777777"/>
    <n v="0"/>
    <n v="20"/>
    <n v="20"/>
    <n v="15.000000000000002"/>
    <n v="19"/>
    <n v="12.000000000000002"/>
    <n v="40"/>
    <n v="32"/>
    <n v="27"/>
    <d v="1900-01-31T00:00:00"/>
    <d v="1900-01-26T00:00:00"/>
    <m/>
    <m/>
    <m/>
    <m/>
    <m/>
    <m/>
    <m/>
    <m/>
    <x v="0"/>
  </r>
  <r>
    <s v="X24041057959"/>
    <s v="GLOBE TELECOM, INC."/>
    <s v="WEST SERVICE, MARCELO GREEN VILL, PARANAQUE"/>
    <s v="PARAÑAQUE CITY"/>
    <s v="PARAÑAQUE"/>
    <m/>
    <m/>
    <x v="2"/>
    <s v="SCHED"/>
    <x v="2"/>
    <n v="72.088399999999993"/>
    <n v="123.73"/>
    <n v="23"/>
    <s v="NEW"/>
    <n v="1052989.58"/>
    <n v="61948.89"/>
    <m/>
    <n v="0"/>
    <d v="2025-03-07T12:28:00"/>
    <d v="2025-03-13T15:24:00"/>
    <d v="2025-03-11T00:00:00"/>
    <m/>
    <m/>
    <m/>
    <n v="-45723.519444444442"/>
    <n v="-45729.64166666667"/>
    <n v="0"/>
    <d v="2025-03-28T17:25:56"/>
    <d v="2025-04-07T04:21:23"/>
    <d v="2025-04-26T12:28:00"/>
    <n v="-1416.6475041547958"/>
    <n v="0"/>
    <n v="26"/>
    <n v="36"/>
    <n v="24.206896551724139"/>
    <n v="30.662068965517239"/>
    <n v="21.206896551724139"/>
    <n v="44"/>
    <n v="35.200000000000003"/>
    <n v="30.200000000000003"/>
    <d v="1900-02-03T04:48:00"/>
    <d v="1900-01-29T04:48:00"/>
    <m/>
    <m/>
    <m/>
    <m/>
    <m/>
    <m/>
    <m/>
    <m/>
    <x v="0"/>
  </r>
  <r>
    <s v="X24030854536"/>
    <s v="DITO TELECOMMUNITY CORPORATION"/>
    <s v="ESTEHONOR CPD, ESTEHONOR CPD, MUNTINLUPA"/>
    <s v="MUNTINLUPA CITY"/>
    <s v="PARAÑAQUE"/>
    <s v="For schedule of digging"/>
    <m/>
    <x v="3"/>
    <s v="SCHED"/>
    <x v="3"/>
    <n v="98.487099999999998"/>
    <n v="203.6"/>
    <n v="20"/>
    <s v="NEW"/>
    <n v="1900472.29"/>
    <n v="97287.75"/>
    <m/>
    <n v="0"/>
    <d v="2025-03-07T12:38:00"/>
    <d v="2025-03-13T15:25:00"/>
    <d v="2025-03-11T00:00:00"/>
    <m/>
    <m/>
    <m/>
    <n v="-45723.526388888888"/>
    <n v="-45729.642361111109"/>
    <n v="0"/>
    <d v="2025-03-29T09:28:32"/>
    <d v="2025-04-08T00:38:00"/>
    <d v="2025-04-26T12:38:00"/>
    <n v="-1378.9634942680773"/>
    <n v="0"/>
    <n v="28"/>
    <n v="36"/>
    <n v="24.868421052631579"/>
    <n v="31.499999999999996"/>
    <n v="21.868421052631579"/>
    <n v="46"/>
    <n v="36.800000000000004"/>
    <n v="31.800000000000004"/>
    <d v="1900-02-04T19:12:00"/>
    <d v="1900-01-30T19:12:00"/>
    <m/>
    <m/>
    <m/>
    <m/>
    <m/>
    <m/>
    <m/>
    <m/>
    <x v="0"/>
  </r>
  <r>
    <s v="X25010318884"/>
    <s v="D88 BOULEVARD RESTOBAR"/>
    <s v="MOLINO, NIOG III, BACOOR"/>
    <s v="BACOOR CITY"/>
    <s v="DASMA"/>
    <m/>
    <m/>
    <x v="5"/>
    <s v="FCOMP"/>
    <x v="2"/>
    <n v="53.278700000000008"/>
    <n v="94.97"/>
    <n v="5"/>
    <s v="NEW"/>
    <n v="337200.19"/>
    <n v="56906.67"/>
    <m/>
    <n v="0"/>
    <d v="2025-03-07T16:44:00"/>
    <d v="2025-03-13T15:15:00"/>
    <d v="2025-03-12T00:00:00"/>
    <m/>
    <d v="2025-04-02T00:00:00"/>
    <m/>
    <n v="25.302777777775191"/>
    <n v="19.364583333335759"/>
    <n v="-45749"/>
    <d v="2025-03-27T18:47:07"/>
    <d v="2025-04-05T22:31:57"/>
    <d v="2025-04-26T16:44:00"/>
    <n v="0.82203468867409746"/>
    <n v="-1089.2619047619048"/>
    <n v="23"/>
    <n v="36"/>
    <n v="23.085501858736059"/>
    <n v="29.241635687732341"/>
    <n v="20.085501858736059"/>
    <n v="42"/>
    <n v="33.6"/>
    <n v="28.6"/>
    <d v="2025-05-05T14:24:00"/>
    <d v="2025-04-30T14:24:00"/>
    <m/>
    <m/>
    <m/>
    <m/>
    <m/>
    <m/>
    <m/>
    <m/>
    <x v="1"/>
  </r>
  <r>
    <s v="X25010318012"/>
    <s v="REBACE REAL ESTATE AND DEVELOPMENT (REBACE) CORP."/>
    <s v="REBACE BACOOR RESIDENCES, BACOOR"/>
    <s v="BACOOR CITY"/>
    <s v="DASMA"/>
    <m/>
    <m/>
    <x v="4"/>
    <s v="SCHED"/>
    <x v="1"/>
    <n v="202.26939999999996"/>
    <n v="366.87"/>
    <n v="24"/>
    <s v="NEW"/>
    <n v="1005969.01"/>
    <n v="202858.23"/>
    <m/>
    <n v="0"/>
    <d v="2025-03-07T16:48:00"/>
    <d v="2025-03-13T15:23:00"/>
    <d v="2025-03-12T00:00:00"/>
    <m/>
    <m/>
    <m/>
    <n v="-45723.7"/>
    <n v="-45729.640972222223"/>
    <n v="0"/>
    <d v="2025-03-30T04:07:15"/>
    <d v="2025-04-08T23:08:23"/>
    <d v="2025-04-26T16:48:00"/>
    <n v="-1346.3089444444443"/>
    <n v="0"/>
    <n v="30"/>
    <n v="36"/>
    <n v="25.471698113207545"/>
    <n v="32.264150943396224"/>
    <n v="22.471698113207545"/>
    <n v="48"/>
    <n v="38.400000000000006"/>
    <n v="33.400000000000006"/>
    <d v="1900-02-06T09:36:00"/>
    <d v="1900-02-01T09:36:00"/>
    <m/>
    <m/>
    <m/>
    <m/>
    <m/>
    <m/>
    <m/>
    <m/>
    <x v="0"/>
  </r>
  <r>
    <s v="X24083217792"/>
    <s v="L.T. SOUTHVILLE SCHOOL, INC."/>
    <s v="LUXEMBOURG, BF HOMES, LAS PINAS CITY"/>
    <s v="LAS PIÑAS CITY"/>
    <s v="PARAÑAQUE"/>
    <m/>
    <m/>
    <x v="2"/>
    <s v="SCHED"/>
    <x v="2"/>
    <n v="151.47400000000005"/>
    <n v="339.35"/>
    <n v="492"/>
    <s v="MODIFICATION"/>
    <n v="1535974.57"/>
    <n v="197109.85"/>
    <m/>
    <n v="0"/>
    <d v="2025-03-10T12:00:00"/>
    <d v="2025-03-17T09:55:00"/>
    <d v="2025-03-12T00:00:00"/>
    <m/>
    <m/>
    <m/>
    <n v="-45726.5"/>
    <n v="-45733.413194444445"/>
    <n v="0"/>
    <d v="2025-03-27T19:30:00"/>
    <d v="2025-04-05T05:30:00"/>
    <d v="2025-04-29T12:00:00"/>
    <n v="-1688.3630769230767"/>
    <n v="0"/>
    <n v="30"/>
    <n v="26"/>
    <n v="20.312500000000004"/>
    <n v="25.729166666666668"/>
    <n v="17.312500000000004"/>
    <n v="48"/>
    <n v="38.400000000000006"/>
    <n v="33.400000000000006"/>
    <d v="1900-02-06T09:36:00"/>
    <d v="1900-02-01T09:36:00"/>
    <m/>
    <m/>
    <m/>
    <m/>
    <m/>
    <m/>
    <m/>
    <m/>
    <x v="0"/>
  </r>
  <r>
    <s v="X24093485695"/>
    <s v="POSH PROPERTIES DEVELOPMENT CORPORATION"/>
    <s v="BELLE, ASEANA BUSINESS PARK, PARANAQUE"/>
    <s v="PARAÑAQUE CITY"/>
    <s v="PARAÑAQUE"/>
    <m/>
    <m/>
    <x v="1"/>
    <s v="FCOMP"/>
    <x v="1"/>
    <n v="35.618499999999997"/>
    <n v="72.180000000000007"/>
    <n v="1062"/>
    <s v="NEW"/>
    <n v="149903.73000000001"/>
    <n v="41002.370000000003"/>
    <m/>
    <n v="0"/>
    <d v="2025-03-10T16:59:00"/>
    <d v="2025-03-17T08:24:00"/>
    <d v="2025-03-12T00:00:00"/>
    <m/>
    <d v="2025-04-12T00:00:00"/>
    <m/>
    <n v="32.292361111110949"/>
    <n v="25.650000000001455"/>
    <n v="-45759"/>
    <d v="2025-03-23T07:38:38"/>
    <d v="2025-03-30T11:33:12"/>
    <d v="2025-04-29T16:59:00"/>
    <n v="1.5514373490338085"/>
    <n v="-1089.5"/>
    <n v="23"/>
    <n v="20"/>
    <n v="15.610859728506789"/>
    <n v="19.773755656108598"/>
    <n v="12.610859728506789"/>
    <n v="42"/>
    <n v="33.6"/>
    <n v="28.6"/>
    <d v="2025-05-15T14:24:00"/>
    <d v="2025-05-10T14:24:00"/>
    <m/>
    <m/>
    <m/>
    <m/>
    <m/>
    <m/>
    <m/>
    <m/>
    <x v="4"/>
  </r>
  <r>
    <s v="X25010269534"/>
    <s v="AMVEL LAND DEVELOPMENT CORP.,"/>
    <s v="PHASE 2 ACCESS ROAD, AMVEL COMMERCIAL COMPLEX, PARANAQUE"/>
    <s v="PARAÑAQUE CITY"/>
    <s v="PARAÑAQUE"/>
    <m/>
    <m/>
    <x v="3"/>
    <s v="FCOMP"/>
    <x v="3"/>
    <n v="7.97"/>
    <n v="70.599999999999994"/>
    <n v="21"/>
    <s v="MODIFICATION"/>
    <n v="41565.68"/>
    <n v="36542.85"/>
    <m/>
    <n v="0"/>
    <d v="2025-03-10T17:02:00"/>
    <d v="2025-03-13T14:32:00"/>
    <d v="2025-03-12T00:00:00"/>
    <m/>
    <d v="2025-03-31T09:28:00"/>
    <m/>
    <n v="20.684722222220444"/>
    <n v="17.788888888884685"/>
    <n v="-45747.394444444442"/>
    <d v="2025-03-30T19:05:07"/>
    <d v="2025-04-08T22:49:57"/>
    <d v="2025-04-29T17:02:00"/>
    <n v="0.67200365673638873"/>
    <n v="-1089.2236772486772"/>
    <n v="23"/>
    <n v="36"/>
    <n v="23.085501858736059"/>
    <n v="29.241635687732341"/>
    <n v="20.085501858736059"/>
    <n v="42"/>
    <n v="33.6"/>
    <n v="28.6"/>
    <d v="2025-05-03T23:52:00"/>
    <d v="2025-04-28T23:52:00"/>
    <m/>
    <m/>
    <m/>
    <m/>
    <m/>
    <m/>
    <m/>
    <m/>
    <x v="4"/>
  </r>
  <r>
    <s v="X25020477740"/>
    <s v="ECEAS CORPORATION"/>
    <s v="FRANCE, BETTER LIVING SUBD, PARANAQUE"/>
    <s v="PARAÑAQUE CITY"/>
    <s v="PARAÑAQUE"/>
    <m/>
    <m/>
    <x v="2"/>
    <s v="SCHED"/>
    <x v="2"/>
    <n v="36.509499999999996"/>
    <n v="88.77"/>
    <n v="54"/>
    <s v="NEW"/>
    <n v="307792.24"/>
    <n v="47727.65"/>
    <m/>
    <n v="0"/>
    <d v="2025-03-10T17:04:00"/>
    <d v="2025-03-17T09:55:00"/>
    <d v="2025-03-12T00:00:00"/>
    <m/>
    <m/>
    <m/>
    <n v="-45726.711111111108"/>
    <n v="-45733.413194444445"/>
    <n v="0"/>
    <d v="2025-03-30T00:16:33"/>
    <d v="2025-04-07T22:59:54"/>
    <d v="2025-04-29T17:04:00"/>
    <n v="-1537.8676499005398"/>
    <n v="0"/>
    <n v="23"/>
    <n v="34"/>
    <n v="22.300380228136884"/>
    <n v="28.247148288973385"/>
    <n v="19.300380228136884"/>
    <n v="42"/>
    <n v="33.6"/>
    <n v="28.6"/>
    <d v="1900-02-01T14:24:00"/>
    <d v="1900-01-27T14:24:00"/>
    <m/>
    <m/>
    <m/>
    <m/>
    <m/>
    <m/>
    <m/>
    <m/>
    <x v="0"/>
  </r>
  <r>
    <s v="X24041002125"/>
    <s v="CDC REALTY INC."/>
    <s v="STREET, STA. ANA, SUN VALLEY SUBD, PARANAQUE"/>
    <s v="PARAÑAQUE CITY"/>
    <s v="PARAÑAQUE"/>
    <m/>
    <m/>
    <x v="4"/>
    <s v="FCOMP"/>
    <x v="1"/>
    <n v="11.450000000000001"/>
    <n v="26.35"/>
    <s v=" -   "/>
    <s v="TERMINATION"/>
    <n v="24195.919999999998"/>
    <n v="16660.359999999997"/>
    <m/>
    <n v="0"/>
    <d v="2025-03-10T17:13:00"/>
    <d v="2025-03-17T09:53:00"/>
    <m/>
    <m/>
    <d v="2025-03-31T00:00:00"/>
    <m/>
    <n v="20.28263888888614"/>
    <n v="13.588194444440887"/>
    <n v="-45747"/>
    <d v="2025-03-22T17:13:00"/>
    <d v="2025-03-29T17:13:00"/>
    <d v="2025-04-29T17:13:00"/>
    <n v="1.0141319444443071"/>
    <n v="-1143.675"/>
    <n v="20"/>
    <n v="20"/>
    <n v="15.000000000000002"/>
    <n v="19"/>
    <n v="12.000000000000002"/>
    <n v="40"/>
    <n v="32"/>
    <n v="27"/>
    <d v="2025-05-02T00:00:00"/>
    <d v="2025-04-27T00:00:00"/>
    <m/>
    <m/>
    <m/>
    <m/>
    <m/>
    <m/>
    <m/>
    <m/>
    <x v="1"/>
  </r>
  <r>
    <s v="X25020583083"/>
    <s v="DAVID'S FUSION INT'L. FOOD INC. DOING BUSINESS UND"/>
    <s v="STREET, QUIRINO, TAMBO, PARANAQUE"/>
    <s v="PARAÑAQUE CITY"/>
    <s v="PARAÑAQUE"/>
    <m/>
    <m/>
    <x v="5"/>
    <s v="SCHED"/>
    <x v="2"/>
    <n v="20.170000000000002"/>
    <n v="37.65"/>
    <s v=" -   "/>
    <s v="TERMINATION"/>
    <n v="29537.03"/>
    <n v="23757.59"/>
    <m/>
    <n v="0"/>
    <d v="2025-03-11T10:50:00"/>
    <d v="2025-03-17T10:21:00"/>
    <d v="2025-03-12T00:00:00"/>
    <m/>
    <m/>
    <m/>
    <n v="-45727.451388888891"/>
    <n v="-45733.431250000001"/>
    <n v="0"/>
    <d v="2025-03-23T10:50:00"/>
    <d v="2025-03-30T10:50:00"/>
    <d v="2025-04-30T10:50:00"/>
    <n v="-2286.3725694444447"/>
    <n v="0"/>
    <n v="20"/>
    <n v="20"/>
    <n v="15.000000000000002"/>
    <n v="19"/>
    <n v="12.000000000000002"/>
    <n v="40"/>
    <n v="32"/>
    <n v="27"/>
    <d v="1900-01-31T00:00:00"/>
    <d v="1900-01-26T00:00:00"/>
    <m/>
    <m/>
    <m/>
    <m/>
    <m/>
    <m/>
    <m/>
    <m/>
    <x v="0"/>
  </r>
  <r>
    <s v="X24104308728"/>
    <s v=" JOHN GABRIEL FERRER VERGEL"/>
    <s v="BAYABAS, GOLDEN ACRES SUBD, LAS PINAS CITY"/>
    <s v="LAS PIÑAS CITY"/>
    <s v="PARAÑAQUE"/>
    <m/>
    <m/>
    <x v="4"/>
    <s v="FCOMP"/>
    <x v="1"/>
    <n v="15.5528"/>
    <n v="48.47"/>
    <n v="56"/>
    <s v="NEW"/>
    <n v="366702.33"/>
    <n v="30500.21"/>
    <m/>
    <n v="0"/>
    <d v="2025-03-11T13:44:00"/>
    <d v="2025-03-17T10:21:00"/>
    <d v="2025-03-14T00:00:00"/>
    <m/>
    <d v="2025-03-25T00:00:00"/>
    <m/>
    <n v="13.427777777775191"/>
    <n v="7.5687499999985448"/>
    <n v="-45741"/>
    <d v="2025-03-29T15:31:06"/>
    <d v="2025-04-07T06:23:40"/>
    <d v="2025-04-30T13:44:00"/>
    <n v="0.47787091503258772"/>
    <n v="-1143.5250000000001"/>
    <n v="20"/>
    <n v="34"/>
    <n v="21.074380165289259"/>
    <n v="26.694214876033058"/>
    <n v="18.074380165289259"/>
    <n v="40"/>
    <n v="32"/>
    <n v="27"/>
    <d v="2025-04-26T00:00:00"/>
    <d v="2025-04-21T00:00:00"/>
    <m/>
    <m/>
    <m/>
    <m/>
    <m/>
    <m/>
    <m/>
    <m/>
    <x v="1"/>
  </r>
  <r>
    <s v="X25020594777"/>
    <s v="CITY GOVERNMENT OF MUNTINLUPA"/>
    <s v="FILINVEST SOCIALIZED HOUSING, FILINVEST SOCIALIZED HOUSING, MUNTINLUPA"/>
    <s v="MUNTINLUPA CITY"/>
    <s v="PARAÑAQUE"/>
    <m/>
    <m/>
    <x v="2"/>
    <s v="SCHED"/>
    <x v="2"/>
    <n v="57.366599999999991"/>
    <n v="120.17"/>
    <n v="60"/>
    <s v="MODIFICATION"/>
    <n v="439898.81"/>
    <n v="70527.929999999993"/>
    <m/>
    <n v="0"/>
    <d v="2025-03-11T13:54:00"/>
    <d v="2025-03-17T10:20:00"/>
    <d v="2025-03-14T00:00:00"/>
    <m/>
    <m/>
    <m/>
    <n v="-45727.57916666667"/>
    <n v="-45733.430555555555"/>
    <n v="0"/>
    <d v="2025-03-31T22:10:54"/>
    <d v="2025-04-10T03:35:25"/>
    <d v="2025-04-30T13:54:00"/>
    <n v="-1469.076072775264"/>
    <n v="0"/>
    <n v="26"/>
    <n v="34"/>
    <n v="23.345070422535212"/>
    <n v="29.570422535211268"/>
    <n v="20.345070422535212"/>
    <n v="44"/>
    <n v="35.200000000000003"/>
    <n v="30.200000000000003"/>
    <d v="1900-02-03T04:48:00"/>
    <d v="1900-01-29T04:48:00"/>
    <m/>
    <m/>
    <m/>
    <m/>
    <m/>
    <m/>
    <m/>
    <m/>
    <x v="0"/>
  </r>
  <r>
    <s v="X25030761116"/>
    <s v="RIGUERA REALTY &amp; DEV'T CORP."/>
    <s v="CYPRESS, PILAR VILL, LAS PINAS CITY"/>
    <s v="LAS PIÑAS CITY"/>
    <s v="PARAÑAQUE"/>
    <m/>
    <m/>
    <x v="4"/>
    <s v="FCOMP"/>
    <x v="1"/>
    <n v="0.33"/>
    <n v="1.35"/>
    <n v="10.5"/>
    <s v="NEW"/>
    <n v="13519"/>
    <n v="850.62"/>
    <m/>
    <n v="0"/>
    <d v="2025-03-11T15:32:00"/>
    <d v="2025-03-17T10:20:00"/>
    <d v="2025-03-14T00:00:00"/>
    <m/>
    <d v="2025-04-11T00:00:00"/>
    <m/>
    <n v="30.352777777778101"/>
    <n v="24.569444444445253"/>
    <n v="-45758"/>
    <d v="2025-03-30T10:06:50"/>
    <d v="2025-04-08T05:28:08"/>
    <d v="2025-04-30T15:32:00"/>
    <n v="1.0454845679012457"/>
    <n v="-1143.95"/>
    <n v="20"/>
    <n v="36"/>
    <n v="21.774193548387096"/>
    <n v="27.58064516129032"/>
    <n v="18.774193548387096"/>
    <n v="40"/>
    <n v="32"/>
    <n v="27"/>
    <d v="2025-05-13T00:00:00"/>
    <d v="2025-05-08T00:00:00"/>
    <m/>
    <m/>
    <m/>
    <m/>
    <m/>
    <m/>
    <m/>
    <m/>
    <x v="1"/>
  </r>
  <r>
    <s v="X25020672144"/>
    <s v="SYNERGYAUTO VENTURES CORPORATION"/>
    <s v="DR. A. SANTOS, BF HOMES, PARANAQUE"/>
    <s v="PARAÑAQUE CITY"/>
    <s v="PARAÑAQUE"/>
    <m/>
    <m/>
    <x v="8"/>
    <s v="FCOMP"/>
    <x v="7"/>
    <n v="59.97"/>
    <n v="59.95"/>
    <n v="97"/>
    <s v="NEW"/>
    <n v="456559.35999999999"/>
    <n v="43236.61"/>
    <m/>
    <n v="0"/>
    <d v="2025-03-12T12:48:00"/>
    <d v="2025-03-17T10:23:00"/>
    <d v="2025-03-14T00:00:00"/>
    <m/>
    <d v="2025-03-31T00:00:00"/>
    <m/>
    <n v="18.466666666667152"/>
    <n v="13.567361111112405"/>
    <n v="-45747"/>
    <d v="2025-03-31T20:00:33"/>
    <d v="2025-04-09T18:43:54"/>
    <d v="2025-05-01T12:48:00"/>
    <n v="0.62106564364878014"/>
    <n v="-1089.2142857142858"/>
    <n v="23"/>
    <n v="34"/>
    <n v="22.300380228136884"/>
    <n v="28.247148288973385"/>
    <n v="19.300380228136884"/>
    <n v="42"/>
    <n v="33.6"/>
    <n v="28.6"/>
    <d v="2025-05-03T14:24:00"/>
    <d v="2025-04-28T14:24:00"/>
    <m/>
    <m/>
    <m/>
    <m/>
    <m/>
    <m/>
    <m/>
    <m/>
    <x v="4"/>
  </r>
  <r>
    <s v="R23910052"/>
    <s v="SOLIVA PETER PAUL ACHURRA"/>
    <s v="SAPLUNGAN, MEADOWOOD EXEC. VILLAGE PHASE 3B, BACOOR"/>
    <s v="BACOOR CITY"/>
    <s v="DASMA"/>
    <m/>
    <m/>
    <x v="5"/>
    <s v="SCHED"/>
    <x v="2"/>
    <n v="15.272299999999998"/>
    <n v="23.32"/>
    <s v=" -   "/>
    <s v="RELOC"/>
    <n v="30551.07"/>
    <n v="14685.110000000002"/>
    <m/>
    <n v="0"/>
    <d v="2025-03-13T13:31:00"/>
    <d v="2025-03-20T09:01:00"/>
    <d v="2025-03-14T00:00:00"/>
    <m/>
    <m/>
    <m/>
    <n v="-45729.563194444447"/>
    <n v="-45736.375694444447"/>
    <n v="0"/>
    <d v="2025-03-25T13:31:00"/>
    <d v="2025-04-01T13:31:00"/>
    <d v="2025-05-02T13:31:00"/>
    <n v="-2286.4781597222218"/>
    <n v="0"/>
    <n v="20"/>
    <n v="20"/>
    <n v="15.000000000000002"/>
    <n v="19"/>
    <n v="12.000000000000002"/>
    <n v="40"/>
    <n v="32"/>
    <n v="27"/>
    <d v="1900-01-31T00:00:00"/>
    <d v="1900-01-26T00:00:00"/>
    <m/>
    <m/>
    <m/>
    <m/>
    <m/>
    <m/>
    <m/>
    <m/>
    <x v="0"/>
  </r>
  <r>
    <s v="R23462615"/>
    <s v="UNIOIL PETROLEUM INC"/>
    <s v="DONA SOLEDAD EXTN, BETTER LIVING SUBD, PARANAQUE"/>
    <s v="PARAÑAQUE CITY"/>
    <s v="PARAÑAQUE"/>
    <m/>
    <m/>
    <x v="2"/>
    <s v="SCHED"/>
    <x v="2"/>
    <n v="49.665199999999999"/>
    <n v="104.4"/>
    <s v=" -   "/>
    <s v="RELOC"/>
    <n v="212124.87"/>
    <n v="48759.62"/>
    <m/>
    <n v="0"/>
    <d v="2025-03-13T13:33:00"/>
    <d v="2025-03-20T09:01:00"/>
    <d v="2025-03-14T00:00:00"/>
    <m/>
    <m/>
    <m/>
    <n v="-45729.564583333333"/>
    <n v="-45736.375694444447"/>
    <n v="0"/>
    <d v="2025-03-26T16:19:37"/>
    <d v="2025-04-02T23:28:02"/>
    <d v="2025-05-02T13:33:00"/>
    <n v="-2128.1835825320513"/>
    <n v="0"/>
    <n v="26"/>
    <n v="20"/>
    <n v="16.115702479338843"/>
    <n v="20.41322314049587"/>
    <n v="13.115702479338843"/>
    <n v="44"/>
    <n v="35.200000000000003"/>
    <n v="30.200000000000003"/>
    <d v="1900-02-03T04:48:00"/>
    <d v="1900-01-29T04:48:00"/>
    <m/>
    <m/>
    <m/>
    <m/>
    <m/>
    <m/>
    <m/>
    <m/>
    <x v="0"/>
  </r>
  <r>
    <s v="X24093522671"/>
    <s v="A &amp; T RESOURCES &amp; DEV'T"/>
    <s v="CORREGIDOR, TIERRA NUEVA SUBD, MUNTINLUPA"/>
    <s v="MUNTINLUPA CITY"/>
    <s v="PARAÑAQUE"/>
    <m/>
    <m/>
    <x v="3"/>
    <s v="FCOMP"/>
    <x v="3"/>
    <n v="36.669499999999985"/>
    <n v="64.3"/>
    <n v="83"/>
    <s v="NEW"/>
    <n v="368913.31"/>
    <n v="35655.359999999993"/>
    <m/>
    <n v="0"/>
    <d v="2025-03-13T16:30:00"/>
    <d v="2025-03-20T09:01:00"/>
    <d v="2025-03-14T00:00:00"/>
    <m/>
    <d v="2025-05-07T09:27:00"/>
    <m/>
    <n v="54.70625000000291"/>
    <n v="48.018055555556202"/>
    <n v="-45784.393750000003"/>
    <d v="2025-04-01T23:42:33"/>
    <d v="2025-04-10T22:25:54"/>
    <d v="2025-05-02T16:30:00"/>
    <n v="1.8398649296676171"/>
    <n v="-1090.1046130952382"/>
    <n v="23"/>
    <n v="34"/>
    <n v="22.300380228136884"/>
    <n v="28.247148288973385"/>
    <n v="19.300380228136884"/>
    <n v="42"/>
    <n v="33.6"/>
    <n v="28.6"/>
    <d v="2025-06-09T23:51:00"/>
    <d v="2025-06-04T23:51:00"/>
    <m/>
    <m/>
    <m/>
    <m/>
    <m/>
    <m/>
    <m/>
    <m/>
    <x v="1"/>
  </r>
  <r>
    <s v="X24051834109"/>
    <s v="MOBILITY GROUP CORP."/>
    <s v="MOLINO-PALIPARAN, MOLINO IV, BACOOR"/>
    <s v="BACOOR CITY"/>
    <s v="DASMA"/>
    <m/>
    <m/>
    <x v="5"/>
    <s v="FCOMP"/>
    <x v="2"/>
    <n v="10.642799999999999"/>
    <n v="17.88"/>
    <n v="24"/>
    <s v="NEW"/>
    <n v="139650.67000000001"/>
    <n v="11374.740000000002"/>
    <m/>
    <n v="0"/>
    <d v="2025-03-14T16:05:00"/>
    <d v="2025-03-25T14:48:00"/>
    <d v="2025-03-20T00:00:00"/>
    <m/>
    <d v="2025-04-30T00:00:00"/>
    <m/>
    <n v="46.329861111109494"/>
    <n v="35.383333333331393"/>
    <n v="-45777"/>
    <d v="2025-04-02T10:39:50"/>
    <d v="2025-04-11T06:01:08"/>
    <d v="2025-05-03T16:05:00"/>
    <n v="1.5958063271604379"/>
    <n v="-1144.425"/>
    <n v="20"/>
    <n v="36"/>
    <n v="21.774193548387096"/>
    <n v="27.58064516129032"/>
    <n v="18.774193548387096"/>
    <n v="40"/>
    <n v="32"/>
    <n v="27"/>
    <d v="2025-06-01T00:00:00"/>
    <d v="2025-05-27T00:00:00"/>
    <m/>
    <m/>
    <m/>
    <m/>
    <m/>
    <m/>
    <m/>
    <m/>
    <x v="1"/>
  </r>
  <r>
    <s v="X25020478582"/>
    <s v="NESTOR R LLORCA"/>
    <s v="PINAGKAISA, PUROK 1A, TAGUIG CITY"/>
    <s v="TAGUIG CITY"/>
    <s v="PARAÑAQUE"/>
    <m/>
    <m/>
    <x v="2"/>
    <s v="SCHED"/>
    <x v="2"/>
    <n v="950.74769999999967"/>
    <n v="563.78"/>
    <n v="45"/>
    <s v="NEW"/>
    <n v="1710317.87"/>
    <n v="627471.26999999932"/>
    <m/>
    <n v="0"/>
    <d v="2025-03-14T16:11:00"/>
    <d v="2025-03-25T14:51:00"/>
    <d v="2025-03-20T00:00:00"/>
    <m/>
    <m/>
    <m/>
    <n v="-45730.674305555556"/>
    <n v="-45741.618750000001"/>
    <n v="0"/>
    <d v="2025-04-08T12:13:28"/>
    <d v="2025-04-18T22:22:08"/>
    <d v="2025-05-03T16:11:00"/>
    <n v="-1232.1876132330246"/>
    <n v="0"/>
    <n v="40"/>
    <n v="36"/>
    <n v="27.835051546391753"/>
    <n v="35.257731958762882"/>
    <n v="24.835051546391753"/>
    <n v="55"/>
    <n v="44"/>
    <n v="39"/>
    <d v="1900-02-12T00:00:00"/>
    <d v="1900-02-07T00:00:00"/>
    <m/>
    <m/>
    <m/>
    <m/>
    <m/>
    <m/>
    <m/>
    <m/>
    <x v="0"/>
  </r>
  <r>
    <s v="X24072839965"/>
    <s v="LOLA NENA'S PICHI PICHI, INC."/>
    <s v="MOLINO ROAD, MOLINO III, BACOOR"/>
    <s v="BACOOR CITY"/>
    <s v="DASMA"/>
    <m/>
    <m/>
    <x v="5"/>
    <s v="FCOMP"/>
    <x v="2"/>
    <n v="14.322800000000001"/>
    <n v="55.12"/>
    <n v="54"/>
    <s v="NEW"/>
    <n v="373305.64"/>
    <n v="34825.53"/>
    <m/>
    <n v="0"/>
    <d v="2025-03-17T12:26:00"/>
    <d v="2025-03-25T15:10:00"/>
    <d v="2025-03-20T00:00:00"/>
    <m/>
    <d v="2025-04-30T00:00:00"/>
    <m/>
    <n v="43.481944444443798"/>
    <n v="35.368055555554747"/>
    <n v="-45777"/>
    <d v="2025-04-05T19:38:33"/>
    <d v="2025-04-14T18:21:54"/>
    <d v="2025-05-06T12:26:00"/>
    <n v="1.4623723003694011"/>
    <n v="-1089.9285714285713"/>
    <n v="23"/>
    <n v="34"/>
    <n v="22.300380228136884"/>
    <n v="28.247148288973385"/>
    <n v="19.300380228136884"/>
    <n v="42"/>
    <n v="33.6"/>
    <n v="28.6"/>
    <d v="2025-06-02T14:24:00"/>
    <d v="2025-05-28T14:24:00"/>
    <m/>
    <m/>
    <m/>
    <m/>
    <m/>
    <m/>
    <m/>
    <m/>
    <x v="1"/>
  </r>
  <r>
    <s v="X24114473729"/>
    <s v="GREENLAND NEW LOWER BICUTAN NEIGHBORHOOD ASSOCIATI"/>
    <s v="STO NIÑO, PUROK 1A, TAGUIG CITY"/>
    <s v="TAGUIG CITY"/>
    <s v="PARAÑAQUE"/>
    <m/>
    <m/>
    <x v="1"/>
    <s v="SCHED"/>
    <x v="1"/>
    <n v="218.27819999999986"/>
    <n v="586.02"/>
    <n v="60"/>
    <s v="NEW"/>
    <n v="2078054.38"/>
    <n v="253118.34"/>
    <m/>
    <n v="0"/>
    <d v="2025-03-19T10:47:00"/>
    <d v="2025-03-25T15:13:00"/>
    <d v="2025-03-20T00:00:00"/>
    <m/>
    <m/>
    <m/>
    <n v="-45735.449305555558"/>
    <n v="-45741.634027777778"/>
    <n v="0"/>
    <d v="2025-04-12T03:37:16"/>
    <d v="2025-04-22T06:30:40"/>
    <d v="2025-05-08T10:47:00"/>
    <n v="-1284.6280613766339"/>
    <n v="0"/>
    <n v="40"/>
    <n v="34"/>
    <n v="26.701570680628272"/>
    <n v="33.821989528795811"/>
    <n v="23.701570680628272"/>
    <n v="55"/>
    <n v="44"/>
    <n v="39"/>
    <d v="1900-02-12T00:00:00"/>
    <d v="1900-02-07T00:00:00"/>
    <m/>
    <m/>
    <m/>
    <m/>
    <m/>
    <m/>
    <m/>
    <m/>
    <x v="0"/>
  </r>
  <r>
    <s v="X24114473614"/>
    <s v="GREENLAND NEW LOWER BICUTAN NEIGHBORHOOD ASSOCIATI"/>
    <s v="RANGER, PUROK 1A, TAGUIG CITY"/>
    <s v="TAGUIG CITY"/>
    <s v="PARAÑAQUE"/>
    <m/>
    <m/>
    <x v="1"/>
    <s v="SCHED"/>
    <x v="1"/>
    <n v="109.08740000000003"/>
    <n v="257.63"/>
    <n v="60"/>
    <s v="NEW"/>
    <n v="963714.39"/>
    <n v="111642.05000000002"/>
    <m/>
    <n v="0"/>
    <d v="2025-03-19T10:51:00"/>
    <d v="2025-03-25T15:11:00"/>
    <d v="2025-03-20T00:00:00"/>
    <m/>
    <m/>
    <m/>
    <n v="-45735.45208333333"/>
    <n v="-45741.632638888892"/>
    <n v="0"/>
    <d v="2025-04-09T09:53:01"/>
    <d v="2025-04-18T19:13:33"/>
    <d v="2025-05-08T10:51:00"/>
    <n v="-1431.6349496673668"/>
    <n v="0"/>
    <n v="28"/>
    <n v="34"/>
    <n v="23.959731543624162"/>
    <n v="30.348993288590602"/>
    <n v="20.959731543624162"/>
    <n v="46"/>
    <n v="36.800000000000004"/>
    <n v="31.800000000000004"/>
    <d v="1900-02-04T19:12:00"/>
    <d v="1900-01-30T19:12:00"/>
    <m/>
    <m/>
    <m/>
    <m/>
    <m/>
    <m/>
    <m/>
    <m/>
    <x v="0"/>
  </r>
  <r>
    <s v="X25030837914"/>
    <s v="BARANGAY ALABANG"/>
    <s v="MONTILLANO, ALABANG, MUNTINLUPA"/>
    <s v="MUNTINLUPA CITY"/>
    <s v="PARAÑAQUE"/>
    <s v="Executed 3/23/25"/>
    <m/>
    <x v="3"/>
    <s v="FCOMP"/>
    <x v="3"/>
    <n v="5.92"/>
    <n v="104.07"/>
    <n v="76"/>
    <s v="NEW"/>
    <n v="153594.65"/>
    <n v="65266.75"/>
    <m/>
    <n v="0"/>
    <d v="2025-03-19T11:02:00"/>
    <d v="2025-03-20T12:13:00"/>
    <d v="2025-03-20T00:00:00"/>
    <m/>
    <d v="2025-03-27T08:30:00"/>
    <m/>
    <n v="7.8944444444423425"/>
    <n v="6.8451388888861402"/>
    <n v="-45743.354166666664"/>
    <d v="2025-04-08T19:18:54"/>
    <d v="2025-04-18T00:43:25"/>
    <d v="2025-05-08T11:02:00"/>
    <n v="0.25362242332823814"/>
    <n v="-1039.6216856060605"/>
    <n v="26"/>
    <n v="34"/>
    <n v="23.345070422535212"/>
    <n v="29.570422535211268"/>
    <n v="20.345070422535212"/>
    <n v="44"/>
    <n v="35.200000000000003"/>
    <n v="30.200000000000003"/>
    <d v="2025-05-01T13:18:00"/>
    <d v="2025-04-26T13:18:00"/>
    <m/>
    <m/>
    <m/>
    <m/>
    <m/>
    <m/>
    <m/>
    <m/>
    <x v="4"/>
  </r>
  <r>
    <s v="X25020617611"/>
    <s v="CONNIE LAO YU"/>
    <s v="N. ARMSTRONG, MOONWALK, PARANAQUE"/>
    <s v="PARAÑAQUE CITY"/>
    <s v="PARAÑAQUE"/>
    <m/>
    <m/>
    <x v="2"/>
    <s v="FCOMP"/>
    <x v="2"/>
    <n v="1.86"/>
    <n v="5.87"/>
    <n v="12"/>
    <s v="NEW"/>
    <n v="20856.59"/>
    <n v="3737.67"/>
    <m/>
    <n v="0"/>
    <d v="2025-03-19T17:12:00"/>
    <d v="2025-03-25T15:11:00"/>
    <d v="2025-03-20T00:00:00"/>
    <m/>
    <d v="2025-04-15T00:00:00"/>
    <m/>
    <n v="26.283333333332848"/>
    <n v="20.367361111108039"/>
    <n v="-45762"/>
    <d v="2025-04-07T11:46:50"/>
    <d v="2025-04-16T07:08:08"/>
    <d v="2025-05-08T17:12:00"/>
    <n v="0.90531481481479803"/>
    <n v="-1144.05"/>
    <n v="20"/>
    <n v="36"/>
    <n v="21.774193548387096"/>
    <n v="27.58064516129032"/>
    <n v="18.774193548387096"/>
    <n v="40"/>
    <n v="32"/>
    <n v="27"/>
    <d v="2025-05-17T00:00:00"/>
    <d v="2025-05-12T00:00:00"/>
    <m/>
    <m/>
    <m/>
    <m/>
    <m/>
    <m/>
    <m/>
    <m/>
    <x v="4"/>
  </r>
  <r>
    <s v="X24114614743"/>
    <s v="PTR PREMIER HOLDINGS INC."/>
    <s v="ST. JOSEPH, ST. JOSEPH SUBD, LAS PINAS CITY"/>
    <s v="LAS PIÑAS CITY"/>
    <s v="PARAÑAQUE"/>
    <m/>
    <m/>
    <x v="3"/>
    <s v="SCHED"/>
    <x v="3"/>
    <n v="42.445499999999996"/>
    <n v="82.92"/>
    <n v="77"/>
    <s v="NEW"/>
    <n v="395516.39"/>
    <n v="48111.19"/>
    <m/>
    <n v="0"/>
    <d v="2025-03-20T15:14:00"/>
    <d v="2025-03-28T10:34:00"/>
    <d v="2025-03-26T00:00:00"/>
    <m/>
    <m/>
    <m/>
    <n v="-45736.634722222225"/>
    <n v="-45744.44027777778"/>
    <n v="0"/>
    <d v="2025-04-08T22:26:33"/>
    <d v="2025-04-17T21:09:54"/>
    <d v="2025-05-09T15:14:00"/>
    <n v="-1538.20139794686"/>
    <n v="0"/>
    <n v="23"/>
    <n v="34"/>
    <n v="22.300380228136884"/>
    <n v="28.247148288973385"/>
    <n v="19.300380228136884"/>
    <n v="42"/>
    <n v="33.6"/>
    <n v="28.6"/>
    <d v="1900-02-01T14:24:00"/>
    <d v="1900-01-27T14:24:00"/>
    <m/>
    <m/>
    <m/>
    <m/>
    <m/>
    <m/>
    <m/>
    <m/>
    <x v="0"/>
  </r>
  <r>
    <s v="R23858401"/>
    <s v="ACTIVE REALTY &amp; DEVELOPMENT CORPORATION,, HMB"/>
    <s v="GUADARAMA, TOWN AND COUNTRY WEST SUBD, BACOOR"/>
    <s v="BACOOR CITY"/>
    <s v="DASMA"/>
    <m/>
    <m/>
    <x v="5"/>
    <s v="SCHED"/>
    <x v="2"/>
    <n v="13.4041"/>
    <n v="23"/>
    <s v=" -   "/>
    <s v="RELOC"/>
    <n v="38725.93"/>
    <n v="14335.24"/>
    <m/>
    <n v="0"/>
    <d v="2025-03-20T15:49:00"/>
    <d v="2025-03-28T10:36:00"/>
    <d v="2025-03-26T00:00:00"/>
    <m/>
    <m/>
    <m/>
    <n v="-45736.65902777778"/>
    <n v="-45744.441666666666"/>
    <n v="0"/>
    <d v="2025-04-01T15:49:00"/>
    <d v="2025-04-08T15:49:00"/>
    <d v="2025-05-09T15:49:00"/>
    <n v="-2286.8329513888889"/>
    <n v="0"/>
    <n v="20"/>
    <n v="20"/>
    <n v="15.000000000000002"/>
    <n v="19"/>
    <n v="12.000000000000002"/>
    <n v="40"/>
    <n v="32"/>
    <n v="27"/>
    <d v="1900-01-31T00:00:00"/>
    <d v="1900-01-26T00:00:00"/>
    <m/>
    <m/>
    <m/>
    <m/>
    <m/>
    <m/>
    <m/>
    <m/>
    <x v="0"/>
  </r>
  <r>
    <s v="X25020498390"/>
    <s v="MANUKA REALTY, INC."/>
    <s v="TALISAY, AYALA-ALABANG VILL, MUNTINLUPA"/>
    <s v="MUNTINLUPA CITY"/>
    <s v="PARAÑAQUE"/>
    <m/>
    <m/>
    <x v="3"/>
    <s v="FCOMP"/>
    <x v="3"/>
    <n v="59.212099999999992"/>
    <n v="104"/>
    <n v="80"/>
    <s v="NEW"/>
    <n v="427747.65"/>
    <n v="61024.149999999987"/>
    <m/>
    <n v="0"/>
    <d v="2025-03-21T09:51:00"/>
    <d v="2025-03-28T10:40:00"/>
    <d v="2025-03-26T00:00:00"/>
    <m/>
    <d v="2025-05-15T16:35:00"/>
    <m/>
    <n v="55.280555555553292"/>
    <n v="48.246527777773736"/>
    <n v="-45792.690972222219"/>
    <d v="2025-04-10T18:07:54"/>
    <d v="2025-04-19T23:32:25"/>
    <d v="2025-05-10T09:51:00"/>
    <n v="1.7759816490698115"/>
    <n v="-1040.7429766414141"/>
    <n v="26"/>
    <n v="34"/>
    <n v="23.345070422535212"/>
    <n v="29.570422535211268"/>
    <n v="20.345070422535212"/>
    <n v="44"/>
    <n v="35.200000000000003"/>
    <n v="30.200000000000003"/>
    <d v="2025-06-19T21:23:00"/>
    <d v="2025-06-14T21:23:00"/>
    <m/>
    <m/>
    <m/>
    <m/>
    <m/>
    <m/>
    <m/>
    <m/>
    <x v="1"/>
  </r>
  <r>
    <s v="X25030873001"/>
    <s v="JEIKA PROPERTIES CORPORATION"/>
    <s v="BLOCK 6, KATHLEEN PLACE 5 SUBD, BACOOR"/>
    <s v="BACOOR CITY"/>
    <s v="DASMA"/>
    <m/>
    <m/>
    <x v="5"/>
    <s v="SCHED"/>
    <x v="2"/>
    <n v="8.370000000000001"/>
    <n v="18.7"/>
    <n v="1.5"/>
    <s v="NEW"/>
    <n v="27968.07"/>
    <n v="11720.04"/>
    <m/>
    <n v="0"/>
    <d v="2025-03-21T12:27:00"/>
    <d v="2025-03-28T10:44:00"/>
    <d v="2025-03-26T00:00:00"/>
    <m/>
    <m/>
    <m/>
    <n v="-45737.518750000003"/>
    <n v="-45744.447222222225"/>
    <n v="0"/>
    <d v="2025-04-09T07:01:50"/>
    <d v="2025-04-18T02:23:08"/>
    <d v="2025-05-10T12:27:00"/>
    <n v="-1575.4034236111111"/>
    <n v="0"/>
    <n v="20"/>
    <n v="36"/>
    <n v="21.774193548387096"/>
    <n v="27.58064516129032"/>
    <n v="18.774193548387096"/>
    <n v="40"/>
    <n v="32"/>
    <n v="27"/>
    <d v="1900-01-31T00:00:00"/>
    <d v="1900-01-26T00:00:00"/>
    <m/>
    <m/>
    <m/>
    <m/>
    <m/>
    <m/>
    <m/>
    <m/>
    <x v="0"/>
  </r>
  <r>
    <s v="X25030858073"/>
    <s v="CENTURY LIMITLESS CORPORATION,"/>
    <s v="WEST SERVICE, MARCELO GREEN VILL, PARANAQUE"/>
    <s v="PARAÑAQUE CITY"/>
    <s v="PARAÑAQUE"/>
    <m/>
    <m/>
    <x v="2"/>
    <s v="FCOMP"/>
    <x v="2"/>
    <n v="88.070700000000016"/>
    <n v="131.33000000000001"/>
    <s v=" -   "/>
    <s v="TERMINATION"/>
    <n v="81510.350000000006"/>
    <n v="82512.060000000012"/>
    <m/>
    <n v="0"/>
    <d v="2025-03-24T14:06:00"/>
    <d v="2025-03-28T10:45:00"/>
    <d v="2025-03-26T00:00:00"/>
    <m/>
    <d v="2025-04-22T00:00:00"/>
    <m/>
    <n v="28.412499999998545"/>
    <n v="24.552083333335759"/>
    <n v="-45769"/>
    <d v="2025-04-06T16:52:37"/>
    <d v="2025-04-14T00:01:02"/>
    <d v="2025-05-13T14:06:00"/>
    <n v="1.3222740384614706"/>
    <n v="-1040.2045454545455"/>
    <n v="26"/>
    <n v="20"/>
    <n v="16.115702479338843"/>
    <n v="20.41322314049587"/>
    <n v="13.115702479338843"/>
    <n v="44"/>
    <n v="35.200000000000003"/>
    <n v="30.200000000000003"/>
    <d v="2025-05-27T04:48:00"/>
    <d v="2025-05-22T04:48:00"/>
    <m/>
    <m/>
    <m/>
    <m/>
    <m/>
    <m/>
    <m/>
    <m/>
    <x v="1"/>
  </r>
  <r>
    <s v="X25020466847"/>
    <s v="NADINE G ABELA"/>
    <s v=" LUZON, AYALA-ALABANG VILL, MUNTINLUPA"/>
    <s v="MUNTINLUPA CITY"/>
    <s v="PARAÑAQUE"/>
    <s v="For execution 3/26/25"/>
    <m/>
    <x v="3"/>
    <s v="FCOMP"/>
    <x v="3"/>
    <n v="13.1828"/>
    <n v="40.25"/>
    <n v="46"/>
    <s v="MODIFICATION"/>
    <n v="222665.25"/>
    <n v="25003.23"/>
    <m/>
    <n v="0"/>
    <d v="2025-03-25T11:06:00"/>
    <d v="2025-03-25T12:32:00"/>
    <d v="2025-03-26T00:00:00"/>
    <m/>
    <d v="2025-04-04T00:00:00"/>
    <m/>
    <n v="9.5374999999985448"/>
    <n v="9.4777777777781012"/>
    <n v="-45751"/>
    <d v="2025-04-13T05:40:50"/>
    <d v="2025-04-22T01:02:08"/>
    <d v="2025-05-14T11:06:00"/>
    <n v="0.32851388888883876"/>
    <n v="-1143.7750000000001"/>
    <n v="20"/>
    <n v="36"/>
    <n v="21.774193548387096"/>
    <n v="27.58064516129032"/>
    <n v="18.774193548387096"/>
    <n v="40"/>
    <n v="32"/>
    <n v="27"/>
    <d v="2025-05-06T00:00:00"/>
    <d v="2025-05-01T00:00:00"/>
    <m/>
    <m/>
    <m/>
    <m/>
    <m/>
    <m/>
    <m/>
    <m/>
    <x v="4"/>
  </r>
  <r>
    <s v="X25010330816"/>
    <s v="GOLDILOCKS BAKESHOP, INC."/>
    <s v="ST. FRANCIS, SAN AGUSTIN VILL, PARANAQUE"/>
    <s v="PARAÑAQUE CITY"/>
    <s v="PARAÑAQUE"/>
    <m/>
    <m/>
    <x v="4"/>
    <s v="SCHED"/>
    <x v="1"/>
    <n v="1.73"/>
    <n v="6.95"/>
    <n v="19"/>
    <s v="NEW"/>
    <n v="23015.62"/>
    <n v="4364.9699999999993"/>
    <m/>
    <n v="0"/>
    <d v="2025-03-25T15:43:00"/>
    <d v="2025-03-31T12:28:00"/>
    <d v="2025-03-28T00:00:00"/>
    <m/>
    <m/>
    <m/>
    <n v="-45741.654861111114"/>
    <n v="-45747.519444444442"/>
    <n v="0"/>
    <d v="2025-04-13T10:17:50"/>
    <d v="2025-04-22T05:39:08"/>
    <d v="2025-05-14T15:43:00"/>
    <n v="-1575.5458896604937"/>
    <n v="0"/>
    <n v="20"/>
    <n v="36"/>
    <n v="21.774193548387096"/>
    <n v="27.58064516129032"/>
    <n v="18.774193548387096"/>
    <n v="40"/>
    <n v="32"/>
    <n v="27"/>
    <d v="1900-01-31T00:00:00"/>
    <d v="1900-01-26T00:00:00"/>
    <m/>
    <m/>
    <m/>
    <m/>
    <m/>
    <m/>
    <m/>
    <m/>
    <x v="0"/>
  </r>
  <r>
    <s v="X25010076395"/>
    <s v="ANANTA REALTY CORP."/>
    <s v="PASAMANCA, SOUTH GREEN PARK SUBD, PARANAQUE"/>
    <s v="PARAÑAQUE CITY"/>
    <s v="PARAÑAQUE"/>
    <m/>
    <m/>
    <x v="1"/>
    <s v="FCOMP"/>
    <x v="1"/>
    <n v="190.69139999999999"/>
    <n v="345.6"/>
    <n v="120"/>
    <s v="NEW"/>
    <n v="1004604.96"/>
    <n v="207420.67000000007"/>
    <m/>
    <n v="0"/>
    <d v="2025-03-25T23:02:00"/>
    <d v="2025-03-31T12:30:00"/>
    <d v="2025-03-28T00:00:00"/>
    <m/>
    <d v="2025-04-28T10:50:00"/>
    <m/>
    <n v="33.491666666668607"/>
    <n v="27.930555555554747"/>
    <n v="-45775.451388888891"/>
    <d v="2025-04-15T11:44:21"/>
    <d v="2025-04-24T18:19:39"/>
    <d v="2025-05-14T23:02:00"/>
    <n v="1.0675468750000618"/>
    <n v="-953.65523726851859"/>
    <n v="30"/>
    <n v="32"/>
    <n v="23.52941176470588"/>
    <n v="29.803921568627448"/>
    <n v="20.52941176470588"/>
    <n v="48"/>
    <n v="38.400000000000006"/>
    <n v="33.400000000000006"/>
    <d v="2025-06-05T20:26:00"/>
    <d v="2025-05-31T20:26:00"/>
    <m/>
    <m/>
    <m/>
    <m/>
    <m/>
    <m/>
    <m/>
    <m/>
    <x v="1"/>
  </r>
  <r>
    <s v="X25010329960"/>
    <s v="RODRIGO SANGALANG LA TORRE"/>
    <s v="TOPAZ, SEVERINA DIAMOND SUBD, PARANAQUE"/>
    <s v="PARAÑAQUE CITY"/>
    <s v="PARAÑAQUE"/>
    <m/>
    <m/>
    <x v="2"/>
    <s v="FCOMP"/>
    <x v="2"/>
    <n v="36.029999999999987"/>
    <n v="93.22"/>
    <n v="66"/>
    <s v="NEW"/>
    <n v="359972.84"/>
    <n v="54526.820000000007"/>
    <m/>
    <n v="0"/>
    <d v="2025-03-25T23:02:00"/>
    <d v="2025-03-28T10:51:00"/>
    <d v="2025-03-28T00:00:00"/>
    <m/>
    <d v="2025-04-22T00:00:00"/>
    <m/>
    <n v="27.040277777778101"/>
    <n v="24.547916666670062"/>
    <n v="-45769"/>
    <d v="2025-04-14T06:14:33"/>
    <d v="2025-04-23T04:57:54"/>
    <d v="2025-05-14T23:02:00"/>
    <n v="0.90941087666951914"/>
    <n v="-1089.7380952380952"/>
    <n v="23"/>
    <n v="34"/>
    <n v="22.300380228136884"/>
    <n v="28.247148288973385"/>
    <n v="19.300380228136884"/>
    <n v="42"/>
    <n v="33.6"/>
    <n v="28.6"/>
    <d v="2025-05-25T14:24:00"/>
    <d v="2025-05-20T14:24:00"/>
    <m/>
    <m/>
    <m/>
    <m/>
    <m/>
    <m/>
    <m/>
    <m/>
    <x v="1"/>
  </r>
  <r>
    <s v="X25010249951"/>
    <s v="ALEX JUSTINIANO CLAVERIA"/>
    <s v="SANTIAGO LOOP, AYALA-ALABANG VILL, MUNTINLUPA"/>
    <s v="MUNTINLUPA CITY"/>
    <s v="PARAÑAQUE"/>
    <m/>
    <m/>
    <x v="3"/>
    <s v="FCOMP"/>
    <x v="3"/>
    <n v="56.1126"/>
    <n v="100.17"/>
    <n v="110"/>
    <s v="NEW"/>
    <n v="417348.14"/>
    <n v="59036.1"/>
    <m/>
    <n v="0"/>
    <d v="2025-03-26T10:00:00"/>
    <d v="2025-03-28T10:46:00"/>
    <d v="2025-03-27T00:00:00"/>
    <m/>
    <d v="2025-04-15T14:12:00"/>
    <m/>
    <n v="20.17500000000291"/>
    <n v="18.143055555556202"/>
    <n v="-45762.591666666667"/>
    <d v="2025-04-13T21:29:11"/>
    <d v="2025-04-22T14:56:58"/>
    <d v="2025-05-15T10:00:00"/>
    <n v="0.70448029891314512"/>
    <n v="-1089.585515873016"/>
    <n v="23"/>
    <n v="32"/>
    <n v="21.478599221789885"/>
    <n v="27.206225680933851"/>
    <n v="18.478599221789885"/>
    <n v="42"/>
    <n v="33.6"/>
    <n v="28.6"/>
    <d v="2025-05-19T04:36:00"/>
    <d v="2025-05-14T04:36:00"/>
    <m/>
    <m/>
    <m/>
    <m/>
    <m/>
    <m/>
    <m/>
    <m/>
    <x v="4"/>
  </r>
  <r>
    <s v="X24083316199"/>
    <s v="ADEL MUNDAN BALOGO"/>
    <s v="SAUDI ARABIA, BETTER LIVING SUBD, PARANAQUE"/>
    <s v="PARAÑAQUE CITY"/>
    <s v="PARAÑAQUE"/>
    <m/>
    <m/>
    <x v="1"/>
    <s v="FCOMP"/>
    <x v="1"/>
    <n v="37.968499999999999"/>
    <n v="74.12"/>
    <n v="60"/>
    <s v="NEW"/>
    <n v="391146.94"/>
    <n v="43717.180000000008"/>
    <m/>
    <n v="0"/>
    <d v="2025-03-26T16:23:00"/>
    <d v="2025-03-31T12:32:00"/>
    <d v="2025-03-28T00:00:00"/>
    <m/>
    <d v="2025-04-29T00:00:00"/>
    <m/>
    <n v="33.317361111112405"/>
    <n v="28.477777777778101"/>
    <n v="-45776"/>
    <d v="2025-04-14T23:35:33"/>
    <d v="2025-04-23T22:18:54"/>
    <d v="2025-05-15T16:23:00"/>
    <n v="1.1205199452970027"/>
    <n v="-1089.9047619047619"/>
    <n v="23"/>
    <n v="34"/>
    <n v="22.300380228136884"/>
    <n v="28.247148288973385"/>
    <n v="19.300380228136884"/>
    <n v="42"/>
    <n v="33.6"/>
    <n v="28.6"/>
    <d v="2025-06-01T14:24:00"/>
    <d v="2025-05-27T14:24:00"/>
    <m/>
    <m/>
    <m/>
    <m/>
    <m/>
    <m/>
    <m/>
    <m/>
    <x v="1"/>
  </r>
  <r>
    <s v="X24124723768"/>
    <s v="BRGY. MARCELO GREEN"/>
    <s v="MARCELO, MARCELO GREEN VILL, PARANAQUE"/>
    <s v="PARAÑAQUE CITY"/>
    <s v="PARAÑAQUE"/>
    <m/>
    <m/>
    <x v="5"/>
    <s v="SCHED"/>
    <x v="2"/>
    <n v="66.286000000000001"/>
    <n v="132.35"/>
    <n v="35"/>
    <s v="MODIFICATION"/>
    <n v="381652.72"/>
    <n v="66357.209999999992"/>
    <m/>
    <n v="0"/>
    <d v="2025-03-26T16:23:00"/>
    <d v="2025-03-31T12:33:00"/>
    <d v="2025-03-28T00:00:00"/>
    <m/>
    <m/>
    <m/>
    <n v="-45742.682638888888"/>
    <n v="-45747.522916666669"/>
    <n v="0"/>
    <d v="2025-04-16T21:20:56"/>
    <d v="2025-04-26T08:16:23"/>
    <d v="2025-05-15T16:23:00"/>
    <n v="-1417.2412356066002"/>
    <n v="0"/>
    <n v="26"/>
    <n v="36"/>
    <n v="24.206896551724139"/>
    <n v="30.662068965517239"/>
    <n v="21.206896551724139"/>
    <n v="44"/>
    <n v="35.200000000000003"/>
    <n v="30.200000000000003"/>
    <d v="1900-02-03T04:48:00"/>
    <d v="1900-01-29T04:48:00"/>
    <m/>
    <m/>
    <m/>
    <m/>
    <m/>
    <m/>
    <m/>
    <m/>
    <x v="0"/>
  </r>
  <r>
    <s v="X25010066825"/>
    <s v="JOE VINCENT J. ABIERA"/>
    <s v="BULUSAN, AYALA-ALABANG VILL, MUNTINLUPA"/>
    <s v="MUNTINLUPA CITY"/>
    <s v="PARAÑAQUE"/>
    <m/>
    <m/>
    <x v="3"/>
    <s v="FCOMP"/>
    <x v="3"/>
    <n v="63.102600000000002"/>
    <n v="131.69999999999999"/>
    <n v="90"/>
    <s v="NEW"/>
    <n v="474663.13"/>
    <n v="78962.679999999978"/>
    <m/>
    <n v="0"/>
    <d v="2025-03-26T16:23:00"/>
    <d v="2025-03-28T10:53:00"/>
    <d v="2025-03-28T00:00:00"/>
    <m/>
    <d v="2025-05-06T08:29:00"/>
    <m/>
    <n v="40.670833333337214"/>
    <n v="38.900000000001455"/>
    <n v="-45783.353472222225"/>
    <d v="2025-04-16T00:39:54"/>
    <d v="2025-04-25T06:04:25"/>
    <d v="2025-05-15T16:23:00"/>
    <n v="1.3066195324284806"/>
    <n v="-1040.5307607323232"/>
    <n v="26"/>
    <n v="34"/>
    <n v="23.345070422535212"/>
    <n v="29.570422535211268"/>
    <n v="20.345070422535212"/>
    <n v="44"/>
    <n v="35.200000000000003"/>
    <n v="30.200000000000003"/>
    <d v="2025-06-10T13:17:00"/>
    <d v="2025-06-05T13:17:00"/>
    <m/>
    <m/>
    <m/>
    <m/>
    <m/>
    <m/>
    <m/>
    <m/>
    <x v="1"/>
  </r>
  <r>
    <s v="X25030802747"/>
    <s v="KATHRYN ANG ZARATE"/>
    <s v="ROSEMALLOW, SUN VALLEY SUBD, PARANAQUE"/>
    <s v="PARAÑAQUE CITY"/>
    <s v="PARAÑAQUE"/>
    <m/>
    <m/>
    <x v="1"/>
    <s v="SCHED"/>
    <x v="1"/>
    <n v="91.472899999999981"/>
    <n v="171.05"/>
    <n v="66.62"/>
    <s v="MODIFICATION"/>
    <n v="561135.26"/>
    <n v="95917.15"/>
    <m/>
    <n v="0"/>
    <d v="2025-03-26T16:28:00"/>
    <d v="2025-03-31T12:31:00"/>
    <d v="2025-03-28T00:00:00"/>
    <m/>
    <m/>
    <m/>
    <n v="-45742.686111111114"/>
    <n v="-45747.521527777775"/>
    <n v="0"/>
    <d v="2025-04-16T00:44:54"/>
    <d v="2025-04-25T06:09:25"/>
    <d v="2025-05-15T16:28:00"/>
    <n v="-1469.5614089994972"/>
    <n v="0"/>
    <n v="26"/>
    <n v="34"/>
    <n v="23.345070422535212"/>
    <n v="29.570422535211268"/>
    <n v="20.345070422535212"/>
    <n v="44"/>
    <n v="35.200000000000003"/>
    <n v="30.200000000000003"/>
    <d v="1900-02-03T04:48:00"/>
    <d v="1900-01-29T04:48:00"/>
    <m/>
    <m/>
    <m/>
    <m/>
    <m/>
    <m/>
    <m/>
    <m/>
    <x v="0"/>
  </r>
  <r>
    <s v="X24041299813"/>
    <s v="MAXWELL PATRICK JOVEN ALVAREZ"/>
    <s v="ST. PETER, SAN JOSE SUBD, MUNTINLUPA"/>
    <s v="MUNTINLUPA CITY"/>
    <s v="PARAÑAQUE"/>
    <m/>
    <m/>
    <x v="4"/>
    <s v="FCOMP"/>
    <x v="1"/>
    <n v="41.139499999999998"/>
    <n v="77.52"/>
    <n v="80"/>
    <s v="MODIFICATION"/>
    <n v="383978.78"/>
    <n v="41823.950000000004"/>
    <m/>
    <n v="0"/>
    <d v="2025-03-26T17:13:00"/>
    <d v="2025-03-28T10:50:00"/>
    <d v="2025-03-28T00:00:00"/>
    <m/>
    <d v="2025-03-21T00:00:00"/>
    <m/>
    <n v="-5.7173611111138598"/>
    <n v="-7.4513888888905058"/>
    <n v="-45737"/>
    <d v="2025-04-15T00:25:33"/>
    <d v="2025-04-23T23:08:54"/>
    <d v="2025-05-15T17:13:00"/>
    <n v="-0.19228465117940474"/>
    <n v="-1088.9761904761904"/>
    <n v="23"/>
    <n v="34"/>
    <n v="22.300380228136884"/>
    <n v="28.247148288973385"/>
    <n v="19.300380228136884"/>
    <n v="42"/>
    <n v="33.6"/>
    <n v="28.6"/>
    <d v="2025-04-23T14:24:00"/>
    <d v="2025-04-18T14:24:00"/>
    <m/>
    <m/>
    <m/>
    <m/>
    <m/>
    <m/>
    <m/>
    <m/>
    <x v="1"/>
  </r>
  <r>
    <s v="X24010242621"/>
    <s v="MICHELLE MARTELINO YU"/>
    <s v="OXFORD, HILLSBOROUGH SUBD, MUNTINLUPA"/>
    <s v="MUNTINLUPA CITY"/>
    <s v="PARAÑAQUE"/>
    <m/>
    <m/>
    <x v="4"/>
    <s v="SCHED"/>
    <x v="1"/>
    <n v="127.88"/>
    <n v="236.7"/>
    <n v="80"/>
    <s v="NEW "/>
    <n v="663984"/>
    <n v="136862.39999999999"/>
    <m/>
    <n v="0"/>
    <d v="2025-03-27T00:00:00"/>
    <d v="2025-04-03T14:59:00"/>
    <d v="2025-04-01T00:00:00"/>
    <m/>
    <m/>
    <m/>
    <n v="-45743"/>
    <n v="-45750.624305555553"/>
    <n v="0"/>
    <d v="2025-04-16T23:02:01"/>
    <d v="2025-04-26T08:22:33"/>
    <d v="2025-05-16T00:00:00"/>
    <n v="-1431.8712184873948"/>
    <n v="0"/>
    <n v="28"/>
    <n v="34"/>
    <n v="23.959731543624162"/>
    <n v="30.348993288590602"/>
    <n v="20.959731543624162"/>
    <n v="46"/>
    <n v="36.800000000000004"/>
    <n v="31.800000000000004"/>
    <d v="1900-02-04T19:12:00"/>
    <d v="1900-01-30T19:12:00"/>
    <m/>
    <m/>
    <m/>
    <m/>
    <m/>
    <m/>
    <m/>
    <m/>
    <x v="0"/>
  </r>
  <r>
    <s v="X25020421060"/>
    <s v="MARK CHRISTIANE D. MIJARES"/>
    <s v="DIEGO SILANG, AFP OVAI PHASE IV, TAGUIG CITY"/>
    <s v="TAGUIG CITY"/>
    <s v="PARAÑAQUE"/>
    <m/>
    <m/>
    <x v="1"/>
    <s v="FCOMP"/>
    <x v="1"/>
    <n v="10.58"/>
    <n v="19.22"/>
    <n v="16"/>
    <s v="NEW "/>
    <n v="146020.44"/>
    <n v="12224.56"/>
    <m/>
    <n v="0"/>
    <d v="2025-03-27T00:00:00"/>
    <d v="2025-04-03T14:56:00"/>
    <d v="2025-04-01T00:00:00"/>
    <m/>
    <d v="2025-04-10T09:28:00"/>
    <m/>
    <n v="14.394444444442343"/>
    <n v="6.7722222222218988"/>
    <n v="-45757.394444444442"/>
    <d v="2025-04-14T18:34:50"/>
    <d v="2025-04-23T13:56:08"/>
    <d v="2025-05-16T00:00:00"/>
    <n v="0.49580864197523622"/>
    <n v="-1143.9348611111111"/>
    <n v="20"/>
    <n v="36"/>
    <n v="21.774193548387096"/>
    <n v="27.58064516129032"/>
    <n v="18.774193548387096"/>
    <n v="40"/>
    <n v="32"/>
    <n v="27"/>
    <d v="2025-05-12T09:28:00"/>
    <d v="2025-05-07T09:28:00"/>
    <m/>
    <m/>
    <m/>
    <m/>
    <m/>
    <m/>
    <m/>
    <m/>
    <x v="1"/>
  </r>
  <r>
    <s v="X24124844490"/>
    <s v="JEROME CASIO DIANO"/>
    <s v="MOLINO, NIOG III, BACOOR"/>
    <s v="BACOOR CITY"/>
    <s v="DASMA"/>
    <m/>
    <m/>
    <x v="5"/>
    <s v="FCOMP"/>
    <x v="2"/>
    <n v="10.93"/>
    <n v="27.4"/>
    <n v="26"/>
    <s v="NEW "/>
    <n v="163905.51999999999"/>
    <n v="17280.28"/>
    <m/>
    <n v="0"/>
    <d v="2025-03-27T00:00:00"/>
    <d v="2025-04-03T14:58:00"/>
    <d v="2025-04-01T00:00:00"/>
    <m/>
    <d v="2025-04-30T00:00:00"/>
    <m/>
    <n v="34"/>
    <n v="26.37638888888614"/>
    <n v="-45777"/>
    <d v="2025-04-14T18:34:50"/>
    <d v="2025-04-23T13:56:08"/>
    <d v="2025-05-16T00:00:00"/>
    <n v="1.1711111111111112"/>
    <n v="-1144.425"/>
    <n v="20"/>
    <n v="36"/>
    <n v="21.774193548387096"/>
    <n v="27.58064516129032"/>
    <n v="18.774193548387096"/>
    <n v="40"/>
    <n v="32"/>
    <n v="27"/>
    <d v="2025-06-01T00:00:00"/>
    <d v="2025-05-27T00:00:00"/>
    <m/>
    <m/>
    <m/>
    <m/>
    <m/>
    <m/>
    <m/>
    <m/>
    <x v="1"/>
  </r>
  <r>
    <s v="X24062169287"/>
    <s v="ALFAMART TRADING PHILIPPINES, INC."/>
    <s v="MADRID, TOWN AND COUNTRY WEST SUBD, BACOOR"/>
    <s v="BACOOR CITY"/>
    <s v="DASMA"/>
    <m/>
    <m/>
    <x v="5"/>
    <s v="FCOMP"/>
    <x v="2"/>
    <n v="10.9328"/>
    <n v="47.35"/>
    <n v="28"/>
    <s v="NEW"/>
    <n v="229386.46"/>
    <n v="29815.7"/>
    <m/>
    <n v="0"/>
    <d v="2025-03-27T12:42:00"/>
    <d v="2025-04-03T14:52:00"/>
    <d v="2025-03-28T00:00:00"/>
    <d v="2025-04-29T00:00:00"/>
    <d v="2025-04-30T00:00:00"/>
    <m/>
    <n v="33.470833333332848"/>
    <n v="26.380555555559113"/>
    <n v="-45777"/>
    <d v="2025-04-15T07:16:50"/>
    <d v="2025-04-24T02:38:08"/>
    <d v="2025-05-16T12:42:00"/>
    <n v="1.1528842592592425"/>
    <n v="-1144.425"/>
    <n v="20"/>
    <n v="36"/>
    <n v="21.774193548387096"/>
    <n v="27.58064516129032"/>
    <n v="18.774193548387096"/>
    <n v="40"/>
    <n v="32"/>
    <n v="27"/>
    <d v="2025-06-01T00:00:00"/>
    <d v="2025-05-27T00:00:00"/>
    <m/>
    <m/>
    <m/>
    <m/>
    <m/>
    <m/>
    <m/>
    <m/>
    <x v="1"/>
  </r>
  <r>
    <s v="X25030941835"/>
    <s v="YIQUN YANG"/>
    <s v="MANILA DOCTOR VILL, ALMANZA I, LAS PINAS CITY"/>
    <s v="LAS PIÑAS CITY"/>
    <s v="PARAÑAQUE"/>
    <m/>
    <m/>
    <x v="4"/>
    <s v="SCHED"/>
    <x v="1"/>
    <n v="89.25"/>
    <n v="168.43"/>
    <s v=" -   "/>
    <s v=" TERMINATION "/>
    <n v="101812.28"/>
    <n v="105926"/>
    <m/>
    <n v="0"/>
    <d v="2025-03-28T00:00:00"/>
    <d v="2025-04-03T15:06:00"/>
    <d v="2025-04-01T00:00:00"/>
    <m/>
    <m/>
    <m/>
    <n v="-45744"/>
    <n v="-45750.629166666666"/>
    <n v="0"/>
    <d v="2025-04-10T02:46:37"/>
    <d v="2025-04-17T09:55:02"/>
    <d v="2025-05-17T00:00:00"/>
    <n v="-2128.8553846153845"/>
    <n v="0"/>
    <n v="26"/>
    <n v="20"/>
    <n v="16.115702479338843"/>
    <n v="20.41322314049587"/>
    <n v="13.115702479338843"/>
    <n v="44"/>
    <n v="35.200000000000003"/>
    <n v="30.200000000000003"/>
    <d v="1900-02-03T04:48:00"/>
    <d v="1900-01-29T04:48:00"/>
    <m/>
    <m/>
    <m/>
    <m/>
    <m/>
    <m/>
    <m/>
    <m/>
    <x v="0"/>
  </r>
  <r>
    <s v="X25030955124"/>
    <s v="TIN PHO LIM"/>
    <s v="CADENA DE AMOR, AYALA-ALABANG VILL, MUNTINLUPA"/>
    <s v="MUNTINLUPA CITY"/>
    <s v="PARAÑAQUE"/>
    <m/>
    <m/>
    <x v="3"/>
    <s v="SCHED"/>
    <x v="3"/>
    <n v="104.55"/>
    <n v="190.55"/>
    <n v="150"/>
    <s v=" MODIFICATION "/>
    <n v="686686.21"/>
    <n v="113331.9"/>
    <m/>
    <n v="0"/>
    <d v="2025-03-28T00:00:00"/>
    <d v="2025-04-03T15:07:00"/>
    <d v="2025-04-01T00:00:00"/>
    <m/>
    <m/>
    <m/>
    <n v="-45744"/>
    <n v="-45750.629861111112"/>
    <n v="0"/>
    <d v="2025-04-16T10:42:18"/>
    <d v="2025-04-25T10:21:35"/>
    <d v="2025-05-17T00:00:00"/>
    <n v="-1528.4653846153847"/>
    <n v="0"/>
    <n v="26"/>
    <n v="32"/>
    <n v="22.446043165467625"/>
    <n v="28.431654676258994"/>
    <n v="19.446043165467625"/>
    <n v="44"/>
    <n v="35.200000000000003"/>
    <n v="30.200000000000003"/>
    <d v="1900-02-03T04:48:00"/>
    <d v="1900-01-29T04:48:00"/>
    <m/>
    <m/>
    <m/>
    <m/>
    <m/>
    <m/>
    <m/>
    <m/>
    <x v="0"/>
  </r>
  <r>
    <s v="X25010271934"/>
    <s v="DANILO FLORES TARRIELA"/>
    <s v="BATANGAS SOUTH, AYALA-ALABANG VILL, MUNTINLUPA"/>
    <s v="MUNTINLUPA CITY"/>
    <s v="PARAÑAQUE"/>
    <m/>
    <m/>
    <x v="3"/>
    <s v="SCHED"/>
    <x v="3"/>
    <n v="74.989999999999995"/>
    <n v="172.17"/>
    <n v="80"/>
    <s v=" MODIFICATION "/>
    <n v="535624.28"/>
    <n v="105279.94"/>
    <m/>
    <n v="0"/>
    <d v="2025-03-28T00:00:00"/>
    <d v="2025-04-03T15:07:00"/>
    <d v="2025-04-01T00:00:00"/>
    <m/>
    <m/>
    <m/>
    <n v="-45744"/>
    <n v="-45750.629861111112"/>
    <n v="0"/>
    <d v="2025-04-17T08:16:54"/>
    <d v="2025-04-26T13:41:25"/>
    <d v="2025-05-17T00:00:00"/>
    <n v="-1469.6036199095022"/>
    <n v="0"/>
    <n v="26"/>
    <n v="34"/>
    <n v="23.345070422535212"/>
    <n v="29.570422535211268"/>
    <n v="20.345070422535212"/>
    <n v="44"/>
    <n v="35.200000000000003"/>
    <n v="30.200000000000003"/>
    <d v="1900-02-03T04:48:00"/>
    <d v="1900-01-29T04:48:00"/>
    <m/>
    <m/>
    <m/>
    <m/>
    <m/>
    <m/>
    <m/>
    <m/>
    <x v="0"/>
  </r>
  <r>
    <s v="X25010350650"/>
    <s v="ICE &amp; WATER STOP, INC."/>
    <s v="SAN ANTONIO VALLEY 1, SAN ANTONIO VALLEY 1, PARANAQUE"/>
    <s v="PARAÑAQUE CITY"/>
    <s v="PARAÑAQUE"/>
    <m/>
    <m/>
    <x v="3"/>
    <s v="FCOMP"/>
    <x v="3"/>
    <n v="120.88"/>
    <n v="316.67"/>
    <n v="456"/>
    <s v=" MODIFICATION "/>
    <n v="1392661.74"/>
    <n v="194181.44"/>
    <m/>
    <n v="0"/>
    <d v="2025-03-28T00:00:00"/>
    <d v="2025-04-02T10:21:00"/>
    <d v="2025-04-01T00:00:00"/>
    <m/>
    <d v="2025-04-16T09:45:00"/>
    <m/>
    <n v="19.40625"/>
    <n v="13.974999999998545"/>
    <n v="-45763.40625"/>
    <d v="2025-04-14T07:30:00"/>
    <d v="2025-04-22T17:30:00"/>
    <d v="2025-05-17T00:00:00"/>
    <n v="0.71653846153846146"/>
    <n v="-953.404296875"/>
    <n v="30"/>
    <n v="26"/>
    <n v="20.312500000000004"/>
    <n v="25.729166666666668"/>
    <n v="17.312500000000004"/>
    <n v="48"/>
    <n v="38.400000000000006"/>
    <n v="33.400000000000006"/>
    <d v="2025-05-24T19:21:00"/>
    <d v="2025-05-19T19:21:00"/>
    <m/>
    <m/>
    <m/>
    <m/>
    <m/>
    <m/>
    <m/>
    <m/>
    <x v="4"/>
  </r>
  <r>
    <s v="X25030745343"/>
    <s v="OLIVAREZ REALTY CORPORATION"/>
    <s v="DR. A SANTOS, SAN DIONISIO, PARANAQUE"/>
    <s v="PARAÑAQUE CITY"/>
    <s v="PARAÑAQUE"/>
    <m/>
    <m/>
    <x v="1"/>
    <s v="SCHED"/>
    <x v="1"/>
    <n v="36.78"/>
    <n v="163.63"/>
    <n v="97"/>
    <s v="NEW "/>
    <n v="492628.15"/>
    <n v="103760.22"/>
    <m/>
    <n v="0"/>
    <d v="2025-03-28T00:00:00"/>
    <d v="2025-04-03T15:03:00"/>
    <d v="2025-04-01T00:00:00"/>
    <m/>
    <m/>
    <m/>
    <n v="-45744"/>
    <n v="-45750.627083333333"/>
    <n v="0"/>
    <d v="2025-04-17T08:16:54"/>
    <d v="2025-04-26T13:41:25"/>
    <d v="2025-05-17T00:00:00"/>
    <n v="-1469.6036199095022"/>
    <n v="0"/>
    <n v="26"/>
    <n v="34"/>
    <n v="23.345070422535212"/>
    <n v="29.570422535211268"/>
    <n v="20.345070422535212"/>
    <n v="44"/>
    <n v="35.200000000000003"/>
    <n v="30.200000000000003"/>
    <d v="1900-02-03T04:48:00"/>
    <d v="1900-01-29T04:48:00"/>
    <m/>
    <m/>
    <m/>
    <m/>
    <m/>
    <m/>
    <m/>
    <m/>
    <x v="0"/>
  </r>
  <r>
    <s v="X25030933327"/>
    <s v="JHOY MEDINA MATILLA"/>
    <s v="ROSAL, T.S. CRUZ SUBD, LAS PINAS CITY"/>
    <s v="LAS PIÑAS CITY"/>
    <s v="PARAÑAQUE"/>
    <m/>
    <m/>
    <x v="2"/>
    <s v="SCHED"/>
    <x v="2"/>
    <n v="18.52"/>
    <n v="84.57"/>
    <s v=" -   "/>
    <s v=" TERMINATION "/>
    <n v="62981.53"/>
    <n v="53438.1"/>
    <m/>
    <n v="0"/>
    <d v="2025-03-28T00:00:00"/>
    <d v="2025-04-03T15:04:00"/>
    <d v="2025-04-01T00:00:00"/>
    <m/>
    <m/>
    <m/>
    <n v="-45744"/>
    <n v="-45750.62777777778"/>
    <n v="0"/>
    <d v="2025-04-09T14:39:38"/>
    <d v="2025-04-16T18:34:12"/>
    <d v="2025-05-17T00:00:00"/>
    <n v="-2197.7008695652171"/>
    <n v="0"/>
    <n v="23"/>
    <n v="20"/>
    <n v="15.610859728506789"/>
    <n v="19.773755656108598"/>
    <n v="12.610859728506789"/>
    <n v="42"/>
    <n v="33.6"/>
    <n v="28.6"/>
    <d v="1900-02-01T14:24:00"/>
    <d v="1900-01-27T14:24:00"/>
    <m/>
    <m/>
    <m/>
    <m/>
    <m/>
    <m/>
    <m/>
    <m/>
    <x v="0"/>
  </r>
  <r>
    <s v="X24114372683"/>
    <s v="ALEXANDER SY CO JR"/>
    <s v="ALABANG-ZAPOTE, TALON I, LAS PINAS CITY"/>
    <s v="LAS PIÑAS CITY"/>
    <s v="PARAÑAQUE"/>
    <m/>
    <m/>
    <x v="5"/>
    <s v="SCHED"/>
    <x v="2"/>
    <n v="75.790000000000006"/>
    <n v="203.7"/>
    <n v="153"/>
    <s v="NEW "/>
    <n v="799778.14"/>
    <n v="111130.79"/>
    <m/>
    <n v="0"/>
    <d v="2025-03-28T00:00:00"/>
    <d v="2025-04-03T15:02:00"/>
    <d v="2025-04-01T00:00:00"/>
    <m/>
    <m/>
    <m/>
    <n v="-45744"/>
    <n v="-45750.626388888886"/>
    <n v="0"/>
    <d v="2025-04-17T00:19:44"/>
    <d v="2025-04-26T03:36:59"/>
    <d v="2025-05-17T00:00:00"/>
    <n v="-1490.7642857142857"/>
    <n v="0"/>
    <n v="28"/>
    <n v="32"/>
    <n v="23.013698630136989"/>
    <n v="29.150684931506852"/>
    <n v="20.013698630136989"/>
    <n v="46"/>
    <n v="36.800000000000004"/>
    <n v="31.800000000000004"/>
    <d v="1900-02-04T19:12:00"/>
    <d v="1900-01-30T19:12:00"/>
    <m/>
    <m/>
    <m/>
    <m/>
    <m/>
    <m/>
    <m/>
    <m/>
    <x v="0"/>
  </r>
  <r>
    <s v="X24124706560"/>
    <s v="A2Z REAL ESTATE CORPORATION"/>
    <s v="MADRIGAL, AYALA-ALABANG VILL, MUNTINLUPA"/>
    <s v="MUNTINLUPA CITY"/>
    <s v="PARAÑAQUE"/>
    <m/>
    <m/>
    <x v="5"/>
    <s v="SCHED"/>
    <x v="2"/>
    <n v="80.705699999999993"/>
    <n v="222.33"/>
    <n v="84.4"/>
    <s v="MODIFICATION"/>
    <n v="706651.19"/>
    <n v="123699.74000000003"/>
    <m/>
    <n v="0"/>
    <d v="2025-03-31T14:39:00"/>
    <d v="2025-04-10T06:43:00"/>
    <d v="2025-04-04T00:00:00"/>
    <m/>
    <m/>
    <m/>
    <n v="-45747.61041666667"/>
    <n v="-45757.279861111114"/>
    <n v="0"/>
    <d v="2025-04-21T13:41:01"/>
    <d v="2025-04-30T23:01:33"/>
    <d v="2025-05-20T14:39:00"/>
    <n v="-1432.015536151961"/>
    <n v="0"/>
    <n v="28"/>
    <n v="34"/>
    <n v="23.959731543624162"/>
    <n v="30.348993288590602"/>
    <n v="20.959731543624162"/>
    <n v="46"/>
    <n v="36.800000000000004"/>
    <n v="31.800000000000004"/>
    <d v="1900-02-04T19:12:00"/>
    <d v="1900-01-30T19:12:00"/>
    <m/>
    <m/>
    <m/>
    <m/>
    <m/>
    <m/>
    <m/>
    <m/>
    <x v="0"/>
  </r>
  <r>
    <s v="X25010222514"/>
    <s v="PHILIPPINE SEVEN CORPORATION"/>
    <s v="MAHOGANY, VICTORIA HOMES-PEARL HTS SUBD, MUNTINLUPA"/>
    <s v="MUNTINLUPA CITY"/>
    <s v="PARAÑAQUE"/>
    <m/>
    <m/>
    <x v="3"/>
    <s v="FCOMP"/>
    <x v="3"/>
    <n v="11.642799999999999"/>
    <n v="33.479999999999997"/>
    <n v="38"/>
    <s v="NEW"/>
    <n v="216246.34"/>
    <n v="21087.550000000003"/>
    <m/>
    <n v="0"/>
    <d v="2025-03-31T14:45:00"/>
    <d v="2025-04-10T06:41:00"/>
    <d v="2025-04-04T00:00:00"/>
    <m/>
    <d v="2025-04-14T00:00:00"/>
    <m/>
    <n v="13.385416666664241"/>
    <n v="3.7215277777795563"/>
    <n v="-45761"/>
    <d v="2025-04-19T09:19:50"/>
    <d v="2025-04-28T04:41:08"/>
    <d v="2025-05-20T14:45:00"/>
    <n v="0.46105324074065718"/>
    <n v="-1144.0250000000001"/>
    <n v="20"/>
    <n v="36"/>
    <n v="21.774193548387096"/>
    <n v="27.58064516129032"/>
    <n v="18.774193548387096"/>
    <n v="40"/>
    <n v="32"/>
    <n v="27"/>
    <d v="2025-05-16T00:00:00"/>
    <d v="2025-05-11T00:00:00"/>
    <m/>
    <m/>
    <m/>
    <m/>
    <m/>
    <m/>
    <m/>
    <m/>
    <x v="4"/>
  </r>
  <r>
    <s v="X25010234795"/>
    <s v="HERLENE SANTOS TAN"/>
    <s v="R.M.T. INDUSTRIAL COMPLEX, R.M.T. INDUSTRIAL COMPLEX, MUNTINLUPA"/>
    <s v="MUNTINLUPA CITY"/>
    <s v="PARAÑAQUE"/>
    <m/>
    <m/>
    <x v="3"/>
    <s v="FCOMP"/>
    <x v="3"/>
    <n v="15.183300000000001"/>
    <n v="31.77"/>
    <n v="8"/>
    <s v="NEW"/>
    <n v="165644.54999999999"/>
    <n v="17825.95"/>
    <m/>
    <n v="0"/>
    <d v="2025-03-31T14:49:00"/>
    <d v="2025-04-10T06:44:00"/>
    <d v="2025-04-04T00:00:00"/>
    <m/>
    <d v="2025-05-06T08:24:00"/>
    <m/>
    <n v="35.732638888890506"/>
    <n v="26.069444444445253"/>
    <n v="-45783.35"/>
    <d v="2025-04-19T09:23:50"/>
    <d v="2025-04-28T04:45:08"/>
    <d v="2025-05-20T14:49:00"/>
    <n v="1.2307908950617841"/>
    <n v="-1144.58375"/>
    <n v="20"/>
    <n v="36"/>
    <n v="21.774193548387096"/>
    <n v="27.58064516129032"/>
    <n v="18.774193548387096"/>
    <n v="40"/>
    <n v="32"/>
    <n v="27"/>
    <d v="2025-06-07T08:24:00"/>
    <d v="2025-06-02T08:24:00"/>
    <m/>
    <m/>
    <m/>
    <m/>
    <m/>
    <m/>
    <m/>
    <m/>
    <x v="1"/>
  </r>
  <r>
    <s v="X25010341987"/>
    <s v="THE PLASTIC FLAMINGO PHILIPPINES INC."/>
    <s v="R.M.T. INDUSTRIAL COMPLEX, R.M.T. INDUSTRIAL COMPLEX, MUNTINLUPA"/>
    <s v="MUNTINLUPA CITY"/>
    <s v="PARAÑAQUE"/>
    <m/>
    <m/>
    <x v="3"/>
    <s v="FCOMP"/>
    <x v="3"/>
    <n v="123.13660000000002"/>
    <n v="350.03"/>
    <n v="695"/>
    <s v="MODIFICATION"/>
    <n v="2063465.67"/>
    <n v="219675.44000000006"/>
    <m/>
    <n v="0"/>
    <d v="2025-03-31T14:52:00"/>
    <d v="2025-04-10T06:45:00"/>
    <d v="2025-04-04T00:00:00"/>
    <m/>
    <d v="2025-05-07T09:13:00"/>
    <m/>
    <n v="36.764583333337214"/>
    <n v="27.102777777778101"/>
    <n v="-45784.384027777778"/>
    <d v="2025-04-16T04:01:41"/>
    <d v="2025-04-24T02:44:15"/>
    <d v="2025-05-20T14:52:00"/>
    <n v="1.4865679347827654"/>
    <n v="-953.84133391203704"/>
    <n v="30"/>
    <n v="23"/>
    <n v="18.548387096774192"/>
    <n v="23.494623655913976"/>
    <n v="15.548387096774192"/>
    <n v="48"/>
    <n v="38.400000000000006"/>
    <n v="33.400000000000006"/>
    <d v="2025-06-14T18:49:00"/>
    <d v="2025-06-09T18:49:00"/>
    <m/>
    <m/>
    <m/>
    <m/>
    <m/>
    <m/>
    <m/>
    <m/>
    <x v="1"/>
  </r>
  <r>
    <s v="X24051959665"/>
    <s v="PHINMA PROPERTY HOLDINGS CORPORATION"/>
    <s v="VILLONGCO, VILLONGCO, MUNTINLUPA"/>
    <s v="MUNTINLUPA CITY"/>
    <s v="PARAÑAQUE"/>
    <m/>
    <m/>
    <x v="3"/>
    <s v="FCOMP"/>
    <x v="3"/>
    <n v="85.413899999999998"/>
    <n v="120.67"/>
    <n v="51"/>
    <s v="NEW"/>
    <n v="465236.61"/>
    <n v="73415.59"/>
    <m/>
    <n v="0"/>
    <d v="2025-03-31T15:02:00"/>
    <d v="2025-04-10T06:46:00"/>
    <d v="2025-04-04T00:00:00"/>
    <m/>
    <d v="2025-05-20T00:00:00"/>
    <m/>
    <n v="49.37361111111386"/>
    <n v="39.718055555553292"/>
    <n v="-45797"/>
    <d v="2025-04-20T23:18:54"/>
    <d v="2025-04-30T04:43:25"/>
    <d v="2025-05-20T15:02:00"/>
    <n v="1.5862110356964181"/>
    <n v="-1040.840909090909"/>
    <n v="26"/>
    <n v="34"/>
    <n v="23.345070422535212"/>
    <n v="29.570422535211268"/>
    <n v="20.345070422535212"/>
    <n v="44"/>
    <n v="35.200000000000003"/>
    <n v="30.200000000000003"/>
    <d v="2025-06-24T04:48:00"/>
    <d v="2025-06-19T04:48:00"/>
    <m/>
    <m/>
    <m/>
    <m/>
    <m/>
    <m/>
    <m/>
    <m/>
    <x v="1"/>
  </r>
  <r>
    <s v="R23852881"/>
    <s v="PALAGANAS, GRACE B, HMB"/>
    <s v="APITONG, AYALA-ALABANG VILL, MUNTINLUPA"/>
    <s v="MUNTINLUPA CITY"/>
    <s v="PARAÑAQUE"/>
    <m/>
    <m/>
    <x v="5"/>
    <s v="SCHED"/>
    <x v="2"/>
    <n v="119.17990000000003"/>
    <n v="193.13"/>
    <s v=" -   "/>
    <s v="RELOC"/>
    <n v="411270.88"/>
    <n v="112337.44000000005"/>
    <m/>
    <n v="0"/>
    <d v="2025-03-31T16:22:00"/>
    <d v="2025-04-08T15:55:00"/>
    <d v="2025-04-04T00:00:00"/>
    <m/>
    <m/>
    <m/>
    <n v="-45747.681944444441"/>
    <n v="-45755.663194444445"/>
    <n v="0"/>
    <d v="2025-04-13T19:08:37"/>
    <d v="2025-04-21T02:17:02"/>
    <d v="2025-05-20T16:22:00"/>
    <n v="-2129.026736645299"/>
    <n v="0"/>
    <n v="26"/>
    <n v="20"/>
    <n v="16.115702479338843"/>
    <n v="20.41322314049587"/>
    <n v="13.115702479338843"/>
    <n v="44"/>
    <n v="35.200000000000003"/>
    <n v="30.200000000000003"/>
    <d v="1900-02-03T04:48:00"/>
    <d v="1900-01-29T04:48:00"/>
    <m/>
    <m/>
    <m/>
    <m/>
    <m/>
    <m/>
    <m/>
    <m/>
    <x v="0"/>
  </r>
  <r>
    <s v="X25020497025"/>
    <s v="CITY GOVERNMENT OF PARANAQUE"/>
    <s v="COL. E. DE LEON, STO. NINO, PARANAQUE"/>
    <s v="PARAÑAQUE CITY"/>
    <s v="PARAÑAQUE"/>
    <m/>
    <m/>
    <x v="1"/>
    <s v="FCOMP"/>
    <x v="1"/>
    <n v="55.882599999999996"/>
    <n v="123.28"/>
    <s v=" -   "/>
    <s v="NEW"/>
    <n v="634279.82999999996"/>
    <n v="72144.73"/>
    <m/>
    <n v="0"/>
    <d v="2025-04-01T01:17:00"/>
    <d v="2025-04-08T15:54:00"/>
    <d v="2025-04-04T00:00:00"/>
    <m/>
    <d v="2025-05-09T00:00:00"/>
    <m/>
    <n v="37.946527777778101"/>
    <n v="30.337500000001455"/>
    <n v="-45786"/>
    <d v="2025-04-14T04:03:37"/>
    <d v="2025-04-21T11:12:02"/>
    <d v="2025-05-21T01:17:00"/>
    <n v="1.7659730235042885"/>
    <n v="-1040.590909090909"/>
    <n v="26"/>
    <n v="20"/>
    <n v="16.115702479338843"/>
    <n v="20.41322314049587"/>
    <n v="13.115702479338843"/>
    <n v="44"/>
    <n v="35.200000000000003"/>
    <n v="30.200000000000003"/>
    <d v="2025-06-13T04:48:00"/>
    <d v="2025-06-08T04:48:00"/>
    <m/>
    <m/>
    <m/>
    <m/>
    <m/>
    <m/>
    <m/>
    <m/>
    <x v="1"/>
  </r>
  <r>
    <s v="X25030779813"/>
    <s v="SUYOSA CORP,"/>
    <s v="R.M.T. INDUSTRIAL COMPLEX, R.M.T. INDUSTRIAL COMPLEX, MUNTINLUPA"/>
    <s v="MUNTINLUPA CITY"/>
    <s v="PARAÑAQUE"/>
    <m/>
    <m/>
    <x v="3"/>
    <s v="FCOMP"/>
    <x v="3"/>
    <n v="90.73"/>
    <n v="126.43"/>
    <s v=" -   "/>
    <s v="TERMINATION"/>
    <n v="79917.759999999995"/>
    <n v="79289.360000000015"/>
    <m/>
    <n v="0"/>
    <d v="2025-04-01T13:46:00"/>
    <d v="2025-04-10T08:09:00"/>
    <d v="2025-04-04T00:00:00"/>
    <m/>
    <d v="2025-05-06T08:23:00"/>
    <m/>
    <n v="34.775694444448163"/>
    <n v="26.009722222224809"/>
    <n v="-45783.349305555559"/>
    <d v="2025-04-14T16:32:37"/>
    <d v="2025-04-21T23:41:02"/>
    <d v="2025-05-21T13:46:00"/>
    <n v="1.6184073183762413"/>
    <n v="-1040.5306660353535"/>
    <n v="26"/>
    <n v="20"/>
    <n v="16.115702479338843"/>
    <n v="20.41322314049587"/>
    <n v="13.115702479338843"/>
    <n v="44"/>
    <n v="35.200000000000003"/>
    <n v="30.200000000000003"/>
    <d v="2025-06-10T13:11:00"/>
    <d v="2025-06-05T13:11:00"/>
    <m/>
    <m/>
    <m/>
    <m/>
    <m/>
    <m/>
    <m/>
    <m/>
    <x v="1"/>
  </r>
  <r>
    <s v="X25020687800"/>
    <s v="STEVE LAURENCE UY CHAN"/>
    <s v="CAMBRIDGE, BF HOMES, PARANAQUE"/>
    <s v="PARAÑAQUE CITY"/>
    <s v="PARAÑAQUE"/>
    <m/>
    <m/>
    <x v="1"/>
    <s v="FCOMP"/>
    <x v="1"/>
    <n v="39.728499999999997"/>
    <n v="76.42"/>
    <n v="80"/>
    <s v="NEW"/>
    <n v="391425.78"/>
    <n v="44523.530000000006"/>
    <m/>
    <n v="0"/>
    <d v="2025-04-02T10:32:00"/>
    <d v="2025-04-10T08:17:00"/>
    <d v="2025-04-04T00:00:00"/>
    <m/>
    <d v="2025-05-17T10:04:00"/>
    <m/>
    <n v="44.980555555557657"/>
    <n v="37.074305555557657"/>
    <n v="-45794.419444444444"/>
    <d v="2025-04-21T17:44:33"/>
    <d v="2025-04-30T16:27:54"/>
    <d v="2025-05-22T10:32:00"/>
    <n v="1.5127731599887038"/>
    <n v="-1090.3433201058201"/>
    <n v="23"/>
    <n v="34"/>
    <n v="22.300380228136884"/>
    <n v="28.247148288973385"/>
    <n v="19.300380228136884"/>
    <n v="42"/>
    <n v="33.6"/>
    <n v="28.6"/>
    <d v="2025-06-20T00:28:00"/>
    <d v="2025-06-15T00:28:00"/>
    <m/>
    <m/>
    <m/>
    <m/>
    <m/>
    <m/>
    <m/>
    <m/>
    <x v="0"/>
  </r>
  <r>
    <s v="X25020551884"/>
    <s v="VAS SOLUTIONS INC."/>
    <s v="PHASE 2 ACCESS ROAD, AMVEL COMMERCIAL COMPLEX, PARANAQUE"/>
    <s v="PARAÑAQUE CITY"/>
    <s v="PARAÑAQUE"/>
    <m/>
    <m/>
    <x v="4"/>
    <s v="FCOMP"/>
    <x v="1"/>
    <n v="14.322799999999999"/>
    <n v="44.67"/>
    <n v="42"/>
    <s v="NEW"/>
    <n v="364286.5"/>
    <n v="28180.259999999995"/>
    <m/>
    <n v="0"/>
    <d v="2025-04-02T12:59:00"/>
    <d v="2025-04-08T15:50:00"/>
    <d v="2025-04-04T00:00:00"/>
    <m/>
    <d v="2025-05-12T09:03:00"/>
    <m/>
    <n v="39.836111111108039"/>
    <n v="33.71736111111386"/>
    <n v="-45789.377083333333"/>
    <d v="2025-04-21T07:33:50"/>
    <d v="2025-04-30T02:55:08"/>
    <d v="2025-05-22T12:59:00"/>
    <n v="1.3721327160492769"/>
    <n v="-1144.7344270833332"/>
    <n v="20"/>
    <n v="36"/>
    <n v="21.774193548387096"/>
    <n v="27.58064516129032"/>
    <n v="18.774193548387096"/>
    <n v="40"/>
    <n v="32"/>
    <n v="27"/>
    <d v="2025-06-13T09:03:00"/>
    <d v="2025-06-08T09:03:00"/>
    <m/>
    <m/>
    <m/>
    <m/>
    <m/>
    <m/>
    <m/>
    <m/>
    <x v="1"/>
  </r>
  <r>
    <s v="X25030745130"/>
    <s v="ENRIQUE FELIPE OLIVA GUSTILO"/>
    <s v="GNG. ELSIE GACHES, BF HOMES, PARANAQUE"/>
    <s v="PARAÑAQUE CITY"/>
    <s v="PARAÑAQUE"/>
    <m/>
    <m/>
    <x v="1"/>
    <s v="FCOMP"/>
    <x v="1"/>
    <n v="82.04000000000002"/>
    <n v="183.02"/>
    <n v="517"/>
    <s v="NEW"/>
    <n v="1246883.75"/>
    <n v="114887.14"/>
    <m/>
    <n v="0"/>
    <d v="2025-04-02T13:01:00"/>
    <d v="2025-04-10T08:13:00"/>
    <d v="2025-04-04T00:00:00"/>
    <m/>
    <d v="2025-05-17T10:10:00"/>
    <m/>
    <n v="44.881249999998545"/>
    <n v="37.081249999995634"/>
    <n v="-45794.423611111109"/>
    <d v="2025-04-17T09:51:41"/>
    <d v="2025-04-25T04:13:11"/>
    <d v="2025-05-22T13:01:00"/>
    <n v="1.8838116638795377"/>
    <n v="-1040.7823547979797"/>
    <n v="26"/>
    <n v="23"/>
    <n v="17.868525896414344"/>
    <n v="22.633466135458168"/>
    <n v="14.868525896414344"/>
    <n v="44"/>
    <n v="35.200000000000003"/>
    <n v="30.200000000000003"/>
    <d v="2025-06-21T14:58:00"/>
    <d v="2025-06-16T14:58:00"/>
    <m/>
    <m/>
    <m/>
    <m/>
    <m/>
    <m/>
    <m/>
    <m/>
    <x v="0"/>
  </r>
  <r>
    <s v="X25030745122"/>
    <s v="ENRIQUE FELIPE OLIVA GUSTILO"/>
    <s v="GNG. ELSIE GACHES, BF HOMES, PARANAQUE"/>
    <s v="PARAÑAQUE CITY"/>
    <s v="PARAÑAQUE"/>
    <m/>
    <m/>
    <x v="1"/>
    <s v="FCOMP"/>
    <x v="1"/>
    <n v="140.9845"/>
    <n v="324"/>
    <n v="517"/>
    <s v="NEW"/>
    <n v="603710.93999999994"/>
    <n v="195261.37000000005"/>
    <m/>
    <n v="0"/>
    <d v="2025-04-02T13:12:00"/>
    <d v="2025-04-10T08:11:00"/>
    <d v="2025-04-04T00:00:00"/>
    <m/>
    <d v="2025-05-17T10:08:00"/>
    <m/>
    <n v="44.872222222220444"/>
    <n v="37.08125000000291"/>
    <n v="-45794.422222222223"/>
    <d v="2025-04-18T02:21:41"/>
    <d v="2025-04-26T01:04:15"/>
    <d v="2025-05-22T13:12:00"/>
    <n v="1.8143985507245659"/>
    <n v="-954.05046296296302"/>
    <n v="30"/>
    <n v="23"/>
    <n v="18.548387096774192"/>
    <n v="23.494623655913976"/>
    <n v="15.548387096774192"/>
    <n v="48"/>
    <n v="38.400000000000006"/>
    <n v="33.400000000000006"/>
    <d v="2025-06-24T19:44:00"/>
    <d v="2025-06-19T19:44:00"/>
    <m/>
    <m/>
    <m/>
    <m/>
    <m/>
    <m/>
    <m/>
    <m/>
    <x v="0"/>
  </r>
  <r>
    <s v="X24104306412"/>
    <s v="DON ANTONIO ROXAS CHUA FOUNDATION. INC."/>
    <s v="A.R. CHUA, PACIFIC VILL, MUNTINLUPA"/>
    <s v="MUNTINLUPA CITY"/>
    <s v="PARAÑAQUE"/>
    <m/>
    <m/>
    <x v="4"/>
    <s v="SCHED"/>
    <x v="1"/>
    <n v="43.490200000000002"/>
    <n v="97.03"/>
    <n v="32"/>
    <s v="NEW"/>
    <n v="320989.74"/>
    <n v="61295.490000000005"/>
    <m/>
    <n v="0"/>
    <d v="2025-04-02T14:21:00"/>
    <d v="2025-04-10T08:15:00"/>
    <d v="2025-04-04T00:00:00"/>
    <m/>
    <m/>
    <m/>
    <n v="-45749.597916666666"/>
    <n v="-45757.34375"/>
    <n v="0"/>
    <d v="2025-04-22T16:24:07"/>
    <d v="2025-05-01T20:08:57"/>
    <d v="2025-05-22T14:21:00"/>
    <n v="-1486.3094009158613"/>
    <n v="0"/>
    <n v="23"/>
    <n v="36"/>
    <n v="23.085501858736059"/>
    <n v="29.241635687732341"/>
    <n v="20.085501858736059"/>
    <n v="42"/>
    <n v="33.6"/>
    <n v="28.6"/>
    <d v="1900-02-01T14:24:00"/>
    <d v="1900-01-27T14:24:00"/>
    <m/>
    <m/>
    <m/>
    <m/>
    <m/>
    <m/>
    <m/>
    <m/>
    <x v="0"/>
  </r>
  <r>
    <s v="X24072739034"/>
    <s v="DITO TELECOMMUNITY CORPORATION"/>
    <s v="NARRA, AYALA-ALABANG VILL, MUNTINLUPA"/>
    <s v="MUNTINLUPA CITY"/>
    <s v="PARAÑAQUE"/>
    <m/>
    <m/>
    <x v="5"/>
    <s v="FCOMP"/>
    <x v="2"/>
    <n v="13.0428"/>
    <n v="33.119999999999997"/>
    <n v="31"/>
    <s v="NEW"/>
    <n v="211117.13"/>
    <n v="20380.93"/>
    <m/>
    <n v="0"/>
    <d v="2025-04-02T16:24:00"/>
    <d v="2025-04-10T08:14:00"/>
    <d v="2025-04-04T00:00:00"/>
    <m/>
    <d v="2025-04-30T00:00:00"/>
    <m/>
    <n v="27.316666666665697"/>
    <n v="19.656944444446708"/>
    <n v="-45777"/>
    <d v="2025-04-21T10:58:50"/>
    <d v="2025-04-30T06:20:08"/>
    <d v="2025-05-22T16:24:00"/>
    <n v="0.940907407407374"/>
    <n v="-1144.425"/>
    <n v="20"/>
    <n v="36"/>
    <n v="21.774193548387096"/>
    <n v="27.58064516129032"/>
    <n v="18.774193548387096"/>
    <n v="40"/>
    <n v="32"/>
    <n v="27"/>
    <d v="2025-06-01T00:00:00"/>
    <d v="2025-05-27T00:00:00"/>
    <m/>
    <m/>
    <m/>
    <m/>
    <m/>
    <m/>
    <m/>
    <m/>
    <x v="1"/>
  </r>
  <r>
    <s v="X25031001944"/>
    <s v="CROWN-PHILS,"/>
    <s v="GEN. EMILIO AGUINALDO, PANAPAAN VII, BACOOR"/>
    <s v="BACOOR CITY"/>
    <s v="DASMA"/>
    <m/>
    <m/>
    <x v="5"/>
    <s v="FCOMP"/>
    <x v="2"/>
    <n v="15.92"/>
    <n v="24.65"/>
    <s v=" -   "/>
    <s v="TERMINATION"/>
    <n v="22049.65"/>
    <n v="15732.429999999997"/>
    <m/>
    <n v="0"/>
    <d v="2025-04-02T17:56:00"/>
    <d v="2025-04-10T08:16:00"/>
    <d v="2025-04-04T00:00:00"/>
    <m/>
    <d v="2025-05-02T00:00:00"/>
    <m/>
    <n v="29.252777777779556"/>
    <n v="21.655555555553292"/>
    <n v="-45779"/>
    <d v="2025-04-14T17:56:00"/>
    <d v="2025-04-21T17:56:00"/>
    <d v="2025-05-22T17:56:00"/>
    <n v="1.4626388888889779"/>
    <n v="-1144.4749999999999"/>
    <n v="20"/>
    <n v="20"/>
    <n v="15.000000000000002"/>
    <n v="19"/>
    <n v="12.000000000000002"/>
    <n v="40"/>
    <n v="32"/>
    <n v="27"/>
    <d v="2025-06-03T00:00:00"/>
    <d v="2025-05-29T00:00:00"/>
    <m/>
    <m/>
    <m/>
    <m/>
    <m/>
    <m/>
    <m/>
    <m/>
    <x v="1"/>
  </r>
  <r>
    <s v="X25030817116"/>
    <s v="LLOYD ELGENE ASUNCION APOSTOL"/>
    <s v="LINDENWOOD RESIDENCES, MUNTINLUPA"/>
    <s v="MUNTINLUPA CITY"/>
    <s v="PARAÑAQUE"/>
    <m/>
    <m/>
    <x v="3"/>
    <s v="FCOMP"/>
    <x v="3"/>
    <n v="15.482799999999999"/>
    <n v="48.43"/>
    <n v="84"/>
    <s v="MODIFICATION"/>
    <n v="274127.23"/>
    <n v="30442.880000000005"/>
    <m/>
    <n v="0"/>
    <d v="2025-04-03T09:38:00"/>
    <d v="2025-04-14T15:03:00"/>
    <d v="2025-04-10T00:00:00"/>
    <m/>
    <d v="2025-04-14T00:00:00"/>
    <m/>
    <n v="10.598611111112405"/>
    <n v="-0.62708333333284827"/>
    <n v="-45761"/>
    <d v="2025-04-21T11:25:06"/>
    <d v="2025-04-30T02:17:40"/>
    <d v="2025-05-23T09:38:00"/>
    <n v="0.37718586601311788"/>
    <n v="-1144.0250000000001"/>
    <n v="20"/>
    <n v="34"/>
    <n v="21.074380165289259"/>
    <n v="26.694214876033058"/>
    <n v="18.074380165289259"/>
    <n v="40"/>
    <n v="32"/>
    <n v="27"/>
    <d v="2025-05-16T00:00:00"/>
    <d v="2025-05-11T00:00:00"/>
    <m/>
    <m/>
    <m/>
    <m/>
    <m/>
    <m/>
    <m/>
    <m/>
    <x v="1"/>
  </r>
  <r>
    <s v="X24103952853"/>
    <s v="ANITA JALANDONI FERRER"/>
    <s v="BLOCK 19, CUEVASVILLE SUBD., BACOOR"/>
    <s v="BACOOR CITY"/>
    <s v="DASMA"/>
    <m/>
    <m/>
    <x v="5"/>
    <s v="SCHED"/>
    <x v="2"/>
    <n v="40.018699999999988"/>
    <n v="78.48"/>
    <n v="5"/>
    <s v="NEW"/>
    <n v="254891.8"/>
    <n v="40502.959999999999"/>
    <m/>
    <n v="0"/>
    <d v="2025-04-03T15:52:00"/>
    <d v="2025-04-14T06:26:00"/>
    <d v="2025-04-10T00:00:00"/>
    <m/>
    <m/>
    <m/>
    <n v="-45750.661111111112"/>
    <n v="-45761.268055555556"/>
    <n v="0"/>
    <d v="2025-04-23T17:55:07"/>
    <d v="2025-05-02T21:39:57"/>
    <d v="2025-05-23T15:52:00"/>
    <n v="-1486.3439418947933"/>
    <n v="0"/>
    <n v="23"/>
    <n v="36"/>
    <n v="23.085501858736059"/>
    <n v="29.241635687732341"/>
    <n v="20.085501858736059"/>
    <n v="42"/>
    <n v="33.6"/>
    <n v="28.6"/>
    <d v="1900-02-01T14:24:00"/>
    <d v="1900-01-27T14:24:00"/>
    <m/>
    <m/>
    <m/>
    <m/>
    <m/>
    <m/>
    <m/>
    <m/>
    <x v="0"/>
  </r>
  <r>
    <s v="X24083326772"/>
    <s v="JONALYN PICAHE"/>
    <s v="CATTLEYA, SOUTH GREENPARK SUBD, PARANAQUE"/>
    <s v="PARAÑAQUE CITY"/>
    <s v="PARAÑAQUE"/>
    <m/>
    <m/>
    <x v="1"/>
    <s v="SCHED"/>
    <x v="1"/>
    <n v="35.189500000000002"/>
    <n v="62.6"/>
    <n v="40"/>
    <s v="MODIFICATION"/>
    <n v="285332.49"/>
    <n v="32433.239999999998"/>
    <m/>
    <n v="0"/>
    <d v="2025-04-03T23:27:00"/>
    <d v="2025-04-14T15:07:00"/>
    <d v="2025-04-10T00:00:00"/>
    <m/>
    <m/>
    <m/>
    <n v="-45750.977083333331"/>
    <n v="-45761.629861111112"/>
    <n v="0"/>
    <d v="2025-04-24T01:30:07"/>
    <d v="2025-05-03T05:14:57"/>
    <d v="2025-05-23T23:27:00"/>
    <n v="-1486.3542071759257"/>
    <n v="0"/>
    <n v="23"/>
    <n v="36"/>
    <n v="23.085501858736059"/>
    <n v="29.241635687732341"/>
    <n v="20.085501858736059"/>
    <n v="42"/>
    <n v="33.6"/>
    <n v="28.6"/>
    <d v="1900-02-01T14:24:00"/>
    <d v="1900-01-27T14:24:00"/>
    <m/>
    <m/>
    <m/>
    <m/>
    <m/>
    <m/>
    <m/>
    <m/>
    <x v="0"/>
  </r>
  <r>
    <s v="X25030992057"/>
    <s v="ANTONITA MOYNIHAN DAYRIT"/>
    <s v="YELLOW STONE, SOUTH GREEN PARK SUBD, PARANAQUE"/>
    <s v="PARAÑAQUE CITY"/>
    <s v="PARAÑAQUE"/>
    <m/>
    <m/>
    <x v="1"/>
    <s v="FCOMP"/>
    <x v="1"/>
    <n v="160.57790000000003"/>
    <n v="297.52"/>
    <n v="85"/>
    <s v="NEW"/>
    <n v="873159.92"/>
    <n v="175896.21"/>
    <m/>
    <n v="0"/>
    <d v="2025-04-03T23:29:00"/>
    <d v="2025-04-08T17:36:00"/>
    <d v="2025-04-10T00:00:00"/>
    <m/>
    <d v="2025-04-30T00:00:00"/>
    <m/>
    <n v="26.021527777775191"/>
    <n v="21.266666666670062"/>
    <n v="-45777"/>
    <d v="2025-04-24T22:31:01"/>
    <d v="2025-05-04T07:51:33"/>
    <d v="2025-05-23T23:29:00"/>
    <n v="0.81453941993455947"/>
    <n v="-995.1521739130435"/>
    <n v="28"/>
    <n v="34"/>
    <n v="23.959731543624162"/>
    <n v="30.348993288590602"/>
    <n v="20.959731543624162"/>
    <n v="46"/>
    <n v="36.800000000000004"/>
    <n v="31.800000000000004"/>
    <d v="2025-06-05T19:12:00"/>
    <d v="2025-05-31T19:12:00"/>
    <m/>
    <m/>
    <m/>
    <m/>
    <m/>
    <m/>
    <m/>
    <m/>
    <x v="1"/>
  </r>
  <r>
    <s v="X24114461949"/>
    <s v="DITO TELECOMMUNITY CORPORATION"/>
    <s v="BLOCK 1, AGUAHAN VILLAGE, TAGUIG CITY"/>
    <s v="TAGUIG CITY"/>
    <s v="PARAÑAQUE"/>
    <m/>
    <m/>
    <x v="2"/>
    <s v="SCHED"/>
    <x v="2"/>
    <n v="235.39200000000002"/>
    <n v="202.73"/>
    <n v="31"/>
    <s v="NEW"/>
    <n v="1960706.97"/>
    <n v="921156.77999999968"/>
    <m/>
    <n v="0"/>
    <d v="2025-04-04T08:23:00"/>
    <d v="2025-04-14T15:12:00"/>
    <d v="2025-04-10T00:00:00"/>
    <m/>
    <m/>
    <m/>
    <n v="-45751.349305555559"/>
    <n v="-45761.633333333331"/>
    <n v="0"/>
    <d v="2025-04-26T05:13:32"/>
    <d v="2025-05-05T20:23:00"/>
    <d v="2025-05-24T08:23:00"/>
    <n v="-1379.8025981040564"/>
    <n v="0"/>
    <n v="28"/>
    <n v="36"/>
    <n v="24.868421052631579"/>
    <n v="31.499999999999996"/>
    <n v="21.868421052631579"/>
    <n v="46"/>
    <n v="36.800000000000004"/>
    <n v="31.800000000000004"/>
    <d v="1900-02-04T19:12:00"/>
    <d v="1900-01-30T19:12:00"/>
    <m/>
    <m/>
    <m/>
    <m/>
    <m/>
    <m/>
    <m/>
    <m/>
    <x v="0"/>
  </r>
  <r>
    <s v="X24104075973"/>
    <s v="TOTAL GAMEZONE XTREME INCORPORATED"/>
    <s v="WEST SERVICE, MERVILLE SUBD, PARANAQUE"/>
    <s v="PARAÑAQUE CITY"/>
    <s v="PARAÑAQUE"/>
    <m/>
    <m/>
    <x v="3"/>
    <s v="FCOMP"/>
    <x v="3"/>
    <n v="83.763300000000001"/>
    <n v="348.27"/>
    <n v="2530"/>
    <s v="MODIFICATION"/>
    <n v="1070121.1599999999"/>
    <n v="112876.91"/>
    <m/>
    <n v="0"/>
    <d v="2025-04-04T15:13:00"/>
    <d v="2025-04-04T15:13:00"/>
    <d v="2025-04-08T00:00:00"/>
    <m/>
    <d v="2025-04-11T00:00:00"/>
    <m/>
    <n v="6.3659722222218988"/>
    <n v="6.3659722222218988"/>
    <n v="-45758"/>
    <d v="2025-04-18T07:13:00"/>
    <d v="2025-04-25T17:53:00"/>
    <d v="2025-05-24T15:13:00"/>
    <n v="0.28646874999998539"/>
    <n v="-953.29166666666663"/>
    <n v="30"/>
    <n v="20"/>
    <n v="16.666666666666668"/>
    <n v="21.111111111111111"/>
    <n v="13.666666666666668"/>
    <n v="48"/>
    <n v="38.400000000000006"/>
    <n v="33.400000000000006"/>
    <d v="2025-05-19T09:36:00"/>
    <d v="2025-05-14T09:36:00"/>
    <m/>
    <m/>
    <m/>
    <m/>
    <m/>
    <m/>
    <m/>
    <m/>
    <x v="4"/>
  </r>
  <r>
    <s v="X25010307845"/>
    <s v="REYEL CRUZ SANTOS"/>
    <s v="GALAXY, BRICKTOWN PH 3 SUBD, PARANAQUE"/>
    <s v="PARAÑAQUE CITY"/>
    <s v="PARAÑAQUE"/>
    <m/>
    <m/>
    <x v="4"/>
    <s v="SCHED"/>
    <x v="1"/>
    <n v="179.07750000000001"/>
    <n v="374"/>
    <n v="36"/>
    <s v="MODIFICATION"/>
    <n v="961178.65"/>
    <n v="221450.98000000004"/>
    <m/>
    <n v="0"/>
    <d v="2025-04-04T17:51:00"/>
    <d v="2025-04-14T15:10:00"/>
    <d v="2025-04-10T00:00:00"/>
    <m/>
    <m/>
    <m/>
    <n v="-45751.743750000001"/>
    <n v="-45761.631944444445"/>
    <n v="0"/>
    <d v="2025-04-27T05:10:15"/>
    <d v="2025-05-07T00:11:23"/>
    <d v="2025-05-24T17:51:00"/>
    <n v="-1347.1346770833334"/>
    <n v="0"/>
    <n v="30"/>
    <n v="36"/>
    <n v="25.471698113207545"/>
    <n v="32.264150943396224"/>
    <n v="22.471698113207545"/>
    <n v="48"/>
    <n v="38.400000000000006"/>
    <n v="33.400000000000006"/>
    <d v="1900-02-06T09:36:00"/>
    <d v="1900-02-01T09:36:00"/>
    <m/>
    <m/>
    <m/>
    <m/>
    <m/>
    <m/>
    <m/>
    <m/>
    <x v="0"/>
  </r>
  <r>
    <s v="X24083428939"/>
    <s v="ROBERTO C VASQUEZ"/>
    <s v="PRES. AGUINALDO, TEOVILLE SUBD EAST, PARANAQUE"/>
    <s v="PARAÑAQUE CITY"/>
    <s v="PARAÑAQUE"/>
    <m/>
    <m/>
    <x v="3"/>
    <s v="SCHED"/>
    <x v="3"/>
    <n v="203.79339999999988"/>
    <n v="341.35"/>
    <n v="55"/>
    <s v="MODIFICATION"/>
    <n v="722190.92"/>
    <n v="202879.53999999998"/>
    <m/>
    <n v="0"/>
    <d v="2025-04-04T17:52:00"/>
    <d v="2025-04-14T15:37:00"/>
    <d v="2025-04-10T00:00:00"/>
    <m/>
    <m/>
    <m/>
    <n v="-45751.744444444441"/>
    <n v="-45761.650694444441"/>
    <n v="0"/>
    <d v="2025-04-26T06:19:42"/>
    <d v="2025-05-05T19:15:05"/>
    <d v="2025-05-24T17:52:00"/>
    <n v="-1399.4651241830065"/>
    <n v="0"/>
    <n v="30"/>
    <n v="34"/>
    <n v="24.51923076923077"/>
    <n v="31.057692307692307"/>
    <n v="21.51923076923077"/>
    <n v="48"/>
    <n v="38.400000000000006"/>
    <n v="33.400000000000006"/>
    <d v="1900-02-06T09:36:00"/>
    <d v="1900-02-01T09:36:00"/>
    <m/>
    <m/>
    <m/>
    <m/>
    <m/>
    <m/>
    <m/>
    <m/>
    <x v="0"/>
  </r>
  <r>
    <s v="X25010249268"/>
    <s v="SITIO SUNRISE NEIGHBORHOOD ASS"/>
    <s v="GALAXY, BRICKTOWN PH 3 SUBD, PARANAQUE"/>
    <s v="PARAÑAQUE CITY"/>
    <s v="PARAÑAQUE"/>
    <m/>
    <m/>
    <x v="4"/>
    <s v="SCHED"/>
    <x v="1"/>
    <n v="114.5162"/>
    <n v="218.4"/>
    <n v="90"/>
    <s v="NEW"/>
    <n v="631365.34"/>
    <n v="128587.98000000004"/>
    <m/>
    <n v="0"/>
    <d v="2025-04-04T17:53:00"/>
    <d v="2025-04-14T15:09:00"/>
    <d v="2025-04-10T00:00:00"/>
    <m/>
    <m/>
    <m/>
    <n v="-45751.745138888888"/>
    <n v="-45761.631249999999"/>
    <n v="0"/>
    <d v="2025-04-25T16:55:01"/>
    <d v="2025-05-05T02:15:33"/>
    <d v="2025-05-24T17:53:00"/>
    <n v="-1432.1449633811856"/>
    <n v="0"/>
    <n v="28"/>
    <n v="34"/>
    <n v="23.959731543624162"/>
    <n v="30.348993288590602"/>
    <n v="20.959731543624162"/>
    <n v="46"/>
    <n v="36.800000000000004"/>
    <n v="31.800000000000004"/>
    <d v="1900-02-04T19:12:00"/>
    <d v="1900-01-30T19:12:00"/>
    <m/>
    <m/>
    <m/>
    <m/>
    <m/>
    <m/>
    <m/>
    <m/>
    <x v="0"/>
  </r>
  <r>
    <s v="X25030863021"/>
    <s v="S3A UNITED INC."/>
    <s v="PACIFIC AVE, MARINA SUBD, PARANAQUE"/>
    <s v="PARAÑAQUE CITY"/>
    <s v="PARAÑAQUE"/>
    <m/>
    <m/>
    <x v="5"/>
    <s v="FCOMP"/>
    <x v="2"/>
    <n v="14.372799999999998"/>
    <n v="68.75"/>
    <n v="133.5"/>
    <s v="NEW"/>
    <n v="395842.01"/>
    <n v="43192.67"/>
    <m/>
    <n v="0"/>
    <d v="2025-04-04T17:54:00"/>
    <d v="2025-04-14T00:00:00"/>
    <d v="2025-04-10T00:00:00"/>
    <d v="2025-05-05T00:00:00"/>
    <d v="2025-05-05T00:00:00"/>
    <m/>
    <n v="30.254166666665697"/>
    <n v="21"/>
    <n v="-45782"/>
    <d v="2025-04-23T05:23:11"/>
    <d v="2025-05-01T22:50:58"/>
    <d v="2025-05-24T17:54:00"/>
    <n v="1.0564294610506908"/>
    <n v="-1090.047619047619"/>
    <n v="23"/>
    <n v="32"/>
    <n v="21.478599221789885"/>
    <n v="27.206225680933851"/>
    <n v="18.478599221789885"/>
    <n v="42"/>
    <n v="33.6"/>
    <n v="28.6"/>
    <d v="2025-06-07T14:24:00"/>
    <d v="2025-06-02T14:24:00"/>
    <m/>
    <m/>
    <m/>
    <m/>
    <m/>
    <m/>
    <m/>
    <m/>
    <x v="1"/>
  </r>
  <r>
    <s v="X25030881259"/>
    <s v="HEIDELBERG BORJA CRUZ"/>
    <s v="HERRERA ST., TOWN AND COUNTRY WEST SUBD, BACOOR"/>
    <s v="BACOOR CITY"/>
    <s v="DASMA"/>
    <m/>
    <m/>
    <x v="5"/>
    <s v="SCHED"/>
    <x v="2"/>
    <n v="77.123100000000022"/>
    <n v="128.35"/>
    <n v="15"/>
    <s v="NEW"/>
    <n v="375527.67"/>
    <n v="77719.679999999993"/>
    <m/>
    <n v="0"/>
    <d v="2025-04-07T09:18:00"/>
    <d v="2025-04-15T13:00:00"/>
    <d v="2025-04-10T00:00:00"/>
    <m/>
    <m/>
    <m/>
    <n v="-45754.387499999997"/>
    <n v="-45762.541666666664"/>
    <n v="0"/>
    <d v="2025-04-28T14:15:56"/>
    <d v="2025-05-08T01:11:23"/>
    <d v="2025-05-27T09:18:00"/>
    <n v="-1417.6038862179485"/>
    <n v="0"/>
    <n v="26"/>
    <n v="36"/>
    <n v="24.206896551724139"/>
    <n v="30.662068965517239"/>
    <n v="21.206896551724139"/>
    <n v="44"/>
    <n v="35.200000000000003"/>
    <n v="30.200000000000003"/>
    <d v="1900-02-03T04:48:00"/>
    <d v="1900-01-29T04:48:00"/>
    <m/>
    <m/>
    <m/>
    <m/>
    <m/>
    <m/>
    <m/>
    <m/>
    <x v="0"/>
  </r>
  <r>
    <s v="X25030890010"/>
    <s v="STO. CRISTO PROPERTIES AND HOLDINGS CORP."/>
    <s v="PASCUAL, PARANAQUE GREEN HEIGHTS, PARANAQUE"/>
    <s v="PARAÑAQUE CITY"/>
    <s v="PARAÑAQUE"/>
    <m/>
    <m/>
    <x v="3"/>
    <s v="SCHED"/>
    <x v="3"/>
    <n v="7.67"/>
    <n v="11.13"/>
    <s v=" -   "/>
    <s v="TERMINATION"/>
    <n v="18349.78"/>
    <n v="7105.76"/>
    <m/>
    <n v="0"/>
    <d v="2025-04-07T13:24:00"/>
    <d v="2025-04-15T12:59:00"/>
    <d v="2025-04-10T00:00:00"/>
    <m/>
    <m/>
    <m/>
    <n v="-45754.558333333334"/>
    <n v="-45762.540972222225"/>
    <n v="0"/>
    <d v="2025-04-19T13:24:00"/>
    <d v="2025-04-26T13:24:00"/>
    <d v="2025-05-27T13:24:00"/>
    <n v="-2287.7279166666667"/>
    <n v="0"/>
    <n v="20"/>
    <n v="20"/>
    <n v="15.000000000000002"/>
    <n v="19"/>
    <n v="12.000000000000002"/>
    <n v="40"/>
    <n v="32"/>
    <n v="27"/>
    <d v="1900-01-31T00:00:00"/>
    <d v="1900-01-26T00:00:00"/>
    <m/>
    <m/>
    <m/>
    <m/>
    <m/>
    <m/>
    <m/>
    <m/>
    <x v="0"/>
  </r>
  <r>
    <s v="X25031039951"/>
    <s v="YEUNG MARINE PRODUCTS, INC."/>
    <s v="D. CAMPOS, DON GALO, PARANAQUE"/>
    <s v="PARAÑAQUE CITY"/>
    <s v="PARAÑAQUE"/>
    <m/>
    <m/>
    <x v="5"/>
    <s v="SCHED"/>
    <x v="2"/>
    <n v="105.68070000000002"/>
    <n v="256.72000000000003"/>
    <s v=" -   "/>
    <s v="TERMINATION"/>
    <n v="141776.26"/>
    <n v="161328.84000000003"/>
    <m/>
    <n v="0"/>
    <d v="2025-04-07T13:27:00"/>
    <d v="2025-04-15T12:55:00"/>
    <d v="2025-04-10T00:00:00"/>
    <m/>
    <m/>
    <m/>
    <n v="-45754.560416666667"/>
    <n v="-45762.538194444445"/>
    <n v="0"/>
    <d v="2025-04-20T23:12:00"/>
    <d v="2025-04-28T08:12:00"/>
    <d v="2025-05-27T13:27:00"/>
    <n v="-2091.6370476190473"/>
    <n v="0"/>
    <n v="28"/>
    <n v="20"/>
    <n v="16.406250000000004"/>
    <n v="20.781250000000004"/>
    <n v="13.406250000000004"/>
    <n v="46"/>
    <n v="36.800000000000004"/>
    <n v="31.800000000000004"/>
    <d v="1900-02-04T19:12:00"/>
    <d v="1900-01-30T19:12:00"/>
    <m/>
    <m/>
    <m/>
    <m/>
    <m/>
    <m/>
    <m/>
    <m/>
    <x v="0"/>
  </r>
  <r>
    <s v="X25031039757"/>
    <s v="R &amp; G CONSTRUCTION DEVELOPMENT"/>
    <s v="DR. A. SANTOS, SEACOM CPD, PARANAQUE"/>
    <s v="PARAÑAQUE CITY"/>
    <s v="PARAÑAQUE"/>
    <m/>
    <m/>
    <x v="1"/>
    <s v="FCOMP"/>
    <x v="1"/>
    <n v="16.71"/>
    <n v="50.08"/>
    <s v=" -   "/>
    <s v="TERMINATION"/>
    <n v="34903.08"/>
    <n v="31748.350000000002"/>
    <m/>
    <n v="0"/>
    <d v="2025-04-07T13:29:00"/>
    <d v="2025-04-14T12:10:00"/>
    <d v="2025-04-10T00:00:00"/>
    <m/>
    <d v="2025-04-22T00:00:00"/>
    <m/>
    <n v="14.438194444446708"/>
    <n v="7.4930555555547471"/>
    <n v="-45769"/>
    <d v="2025-04-19T13:29:00"/>
    <d v="2025-04-26T13:29:00"/>
    <d v="2025-05-27T13:29:00"/>
    <n v="0.7219097222223354"/>
    <n v="-1144.2249999999999"/>
    <n v="20"/>
    <n v="20"/>
    <n v="15.000000000000002"/>
    <n v="19"/>
    <n v="12.000000000000002"/>
    <n v="40"/>
    <n v="32"/>
    <n v="27"/>
    <d v="2025-05-24T00:00:00"/>
    <d v="2025-05-19T00:00:00"/>
    <m/>
    <m/>
    <m/>
    <m/>
    <m/>
    <m/>
    <m/>
    <m/>
    <x v="1"/>
  </r>
  <r>
    <s v="X25031040315"/>
    <s v="FIRST ASSOCIATED MEDICAL DISTRIBUTION CO.,INC.,"/>
    <s v="PHILIP, MULTINATIONAL VILL, PARANAQUE"/>
    <s v="PARAÑAQUE CITY"/>
    <s v="PARAÑAQUE"/>
    <m/>
    <m/>
    <x v="4"/>
    <s v="SCHED"/>
    <x v="1"/>
    <n v="2.04"/>
    <n v="6.78"/>
    <s v=" -   "/>
    <s v="TERMINATION"/>
    <n v="15000.91"/>
    <n v="4244.5200000000004"/>
    <m/>
    <n v="0"/>
    <d v="2025-04-07T13:31:00"/>
    <d v="2025-04-15T12:57:00"/>
    <d v="2025-04-10T00:00:00"/>
    <m/>
    <m/>
    <m/>
    <n v="-45754.563194444447"/>
    <n v="-45762.539583333331"/>
    <n v="0"/>
    <d v="2025-04-19T13:31:00"/>
    <d v="2025-04-26T13:31:00"/>
    <d v="2025-05-27T13:31:00"/>
    <n v="-2287.7281597222218"/>
    <n v="0"/>
    <n v="20"/>
    <n v="20"/>
    <n v="15.000000000000002"/>
    <n v="19"/>
    <n v="12.000000000000002"/>
    <n v="40"/>
    <n v="32"/>
    <n v="27"/>
    <d v="1900-01-31T00:00:00"/>
    <d v="1900-01-26T00:00:00"/>
    <m/>
    <m/>
    <m/>
    <m/>
    <m/>
    <m/>
    <m/>
    <m/>
    <x v="0"/>
  </r>
  <r>
    <s v="X25031038391"/>
    <s v="DONG FANG JITUAN CORPORATION"/>
    <s v="BRADCO, ASEANA BUSINESS PARK, PARANAQUE"/>
    <s v="PARAÑAQUE CITY"/>
    <s v="PARAÑAQUE"/>
    <s v="Transfer to VJC"/>
    <m/>
    <x v="1"/>
    <s v="SCHED"/>
    <x v="1"/>
    <n v="39.723399999999998"/>
    <n v="79.78"/>
    <s v=" -   "/>
    <s v="TERMINATION"/>
    <n v="50172.66"/>
    <n v="44676.99"/>
    <m/>
    <n v="0"/>
    <d v="2025-04-07T13:34:00"/>
    <d v="2025-04-10T06:23:00"/>
    <d v="2025-04-10T00:00:00"/>
    <m/>
    <m/>
    <m/>
    <n v="-45754.56527777778"/>
    <n v="-45757.265972222223"/>
    <n v="0"/>
    <d v="2025-04-20T04:13:38"/>
    <d v="2025-04-27T08:08:12"/>
    <d v="2025-05-27T13:34:00"/>
    <n v="-2198.2084622584543"/>
    <n v="0"/>
    <n v="23"/>
    <n v="20"/>
    <n v="15.610859728506789"/>
    <n v="19.773755656108598"/>
    <n v="12.610859728506789"/>
    <n v="42"/>
    <n v="33.6"/>
    <n v="28.6"/>
    <d v="1900-02-01T14:24:00"/>
    <d v="1900-01-27T14:24:00"/>
    <m/>
    <m/>
    <m/>
    <m/>
    <m/>
    <m/>
    <m/>
    <m/>
    <x v="0"/>
  </r>
  <r>
    <s v="X25031040438"/>
    <s v="CSE DRAGON VENEER CORPORATION,"/>
    <s v="WEST SERVICE, MARCELO GREEN VILL, PARANAQUE"/>
    <s v="PARAÑAQUE CITY"/>
    <s v="PARAÑAQUE"/>
    <m/>
    <m/>
    <x v="1"/>
    <s v="FCOMP"/>
    <x v="1"/>
    <n v="21.1067"/>
    <n v="68.400000000000006"/>
    <s v=" -   "/>
    <s v="TERMINATION"/>
    <n v="56610.84"/>
    <n v="43081.66"/>
    <m/>
    <n v="0"/>
    <d v="2025-04-07T13:38:00"/>
    <d v="2025-04-15T12:56:00"/>
    <d v="2025-04-10T00:00:00"/>
    <m/>
    <d v="2025-04-26T00:00:00"/>
    <m/>
    <n v="18.431944444440887"/>
    <n v="10.461111111108039"/>
    <n v="-45773"/>
    <d v="2025-04-20T04:17:38"/>
    <d v="2025-04-27T08:12:12"/>
    <d v="2025-05-27T13:38:00"/>
    <n v="0.88553472222205132"/>
    <n v="-1089.8333333333333"/>
    <n v="23"/>
    <n v="20"/>
    <n v="15.610859728506789"/>
    <n v="19.773755656108598"/>
    <n v="12.610859728506789"/>
    <n v="42"/>
    <n v="33.6"/>
    <n v="28.6"/>
    <d v="2025-05-29T14:24:00"/>
    <d v="2025-05-24T14:24:00"/>
    <m/>
    <m/>
    <m/>
    <m/>
    <m/>
    <m/>
    <m/>
    <m/>
    <x v="1"/>
  </r>
  <r>
    <s v="X25031040100"/>
    <s v="SUNSHINE TRANSPORTATION INCORPORATED,"/>
    <s v="SANTOS CPD, KAINGIN, PARANAQUE"/>
    <s v="PARAÑAQUE CITY"/>
    <s v="PARAÑAQUE"/>
    <m/>
    <m/>
    <x v="4"/>
    <s v="SCHED"/>
    <x v="1"/>
    <n v="3.33"/>
    <n v="21.93"/>
    <s v=" -   "/>
    <s v="TERMINATION"/>
    <n v="20762.45"/>
    <n v="13781.96"/>
    <m/>
    <n v="0"/>
    <d v="2025-04-07T13:39:00"/>
    <d v="2025-04-15T12:58:00"/>
    <d v="2025-04-10T00:00:00"/>
    <m/>
    <m/>
    <m/>
    <n v="-45754.568749999999"/>
    <n v="-45762.540277777778"/>
    <n v="0"/>
    <d v="2025-04-19T13:39:00"/>
    <d v="2025-04-26T13:39:00"/>
    <d v="2025-05-27T13:39:00"/>
    <n v="-2287.7284374999999"/>
    <n v="0"/>
    <n v="20"/>
    <n v="20"/>
    <n v="15.000000000000002"/>
    <n v="19"/>
    <n v="12.000000000000002"/>
    <n v="40"/>
    <n v="32"/>
    <n v="27"/>
    <d v="1900-01-31T00:00:00"/>
    <d v="1900-01-26T00:00:00"/>
    <m/>
    <m/>
    <m/>
    <m/>
    <m/>
    <m/>
    <m/>
    <m/>
    <x v="0"/>
  </r>
  <r>
    <s v="X25030992093"/>
    <s v="MARCO ANGELO FELIX LIM LOPEZ"/>
    <s v="YELLOW STONE, SOUTH GREEN PARK SUBD, PARANAQUE"/>
    <s v="PARAÑAQUE CITY"/>
    <s v="PARAÑAQUE"/>
    <m/>
    <m/>
    <x v="1"/>
    <s v="FCOMP"/>
    <x v="1"/>
    <n v="1.73"/>
    <n v="5.92"/>
    <n v="31"/>
    <s v="MODIFICATION"/>
    <n v="20761.28"/>
    <n v="3703.32"/>
    <m/>
    <n v="0"/>
    <d v="2025-04-07T13:43:00"/>
    <d v="2025-04-08T17:38:00"/>
    <d v="2025-04-10T00:00:00"/>
    <m/>
    <d v="2025-04-30T00:00:00"/>
    <m/>
    <n v="22.428472222221899"/>
    <n v="21.265277777776646"/>
    <n v="-45777"/>
    <d v="2025-04-26T08:17:50"/>
    <d v="2025-05-05T03:39:08"/>
    <d v="2025-05-27T13:43:00"/>
    <n v="0.77253626543208753"/>
    <n v="-1144.425"/>
    <n v="20"/>
    <n v="36"/>
    <n v="21.774193548387096"/>
    <n v="27.58064516129032"/>
    <n v="18.774193548387096"/>
    <n v="40"/>
    <n v="32"/>
    <n v="27"/>
    <d v="2025-06-01T00:00:00"/>
    <d v="2025-05-27T00:00:00"/>
    <m/>
    <m/>
    <m/>
    <m/>
    <m/>
    <m/>
    <m/>
    <m/>
    <x v="4"/>
  </r>
  <r>
    <s v="X25010349367"/>
    <s v="FLORANTE CRUZ DEL MUNDO"/>
    <s v="PRESIDENT'S, BF HOMES, PARANAQUE"/>
    <s v="PARAÑAQUE CITY"/>
    <s v="PARAÑAQUE"/>
    <m/>
    <m/>
    <x v="3"/>
    <s v="SCHED"/>
    <x v="3"/>
    <n v="1.73"/>
    <n v="5.62"/>
    <n v="16"/>
    <s v="NEW"/>
    <n v="20046.55"/>
    <n v="3522.87"/>
    <m/>
    <n v="0"/>
    <d v="2025-04-08T09:38:00"/>
    <d v="2025-04-15T13:05:00"/>
    <d v="2025-04-10T00:00:00"/>
    <m/>
    <m/>
    <m/>
    <n v="-45755.401388888888"/>
    <n v="-45762.545138888891"/>
    <n v="0"/>
    <d v="2025-04-27T04:12:50"/>
    <d v="2025-05-05T23:34:08"/>
    <d v="2025-05-28T09:38:00"/>
    <n v="-1576.0193811728393"/>
    <n v="0"/>
    <n v="20"/>
    <n v="36"/>
    <n v="21.774193548387096"/>
    <n v="27.58064516129032"/>
    <n v="18.774193548387096"/>
    <n v="40"/>
    <n v="32"/>
    <n v="27"/>
    <d v="1900-01-31T00:00:00"/>
    <d v="1900-01-26T00:00:00"/>
    <m/>
    <m/>
    <m/>
    <m/>
    <m/>
    <m/>
    <m/>
    <m/>
    <x v="0"/>
  </r>
  <r>
    <s v="X24114389576"/>
    <s v="PYC FOODS CORPORATION"/>
    <s v="DAANG HARI, ALABANG WEST, LAS PINAS CITY"/>
    <s v="LAS PIÑAS CITY"/>
    <s v="PARAÑAQUE"/>
    <m/>
    <m/>
    <x v="5"/>
    <s v="FCOMP"/>
    <x v="2"/>
    <n v="140.52530000000004"/>
    <n v="300.32"/>
    <n v="324"/>
    <s v="NEW"/>
    <n v="1571457.38"/>
    <n v="181137.63"/>
    <m/>
    <n v="0"/>
    <d v="2025-04-08T10:49:00"/>
    <d v="2025-04-15T13:10:00"/>
    <d v="2025-04-10T00:00:00"/>
    <m/>
    <d v="2025-04-22T00:00:00"/>
    <m/>
    <n v="13.549305555556202"/>
    <n v="6.4513888888905058"/>
    <n v="-45769"/>
    <d v="2025-04-26T10:49:00"/>
    <d v="2025-05-05T01:13:00"/>
    <d v="2025-05-28T10:49:00"/>
    <n v="0.48390376984129291"/>
    <n v="-994.97826086956525"/>
    <n v="28"/>
    <n v="28"/>
    <n v="21"/>
    <n v="26.6"/>
    <n v="18"/>
    <n v="46"/>
    <n v="36.800000000000004"/>
    <n v="31.800000000000004"/>
    <d v="2025-05-28T19:12:00"/>
    <d v="2025-05-23T19:12:00"/>
    <m/>
    <m/>
    <m/>
    <m/>
    <m/>
    <m/>
    <m/>
    <m/>
    <x v="1"/>
  </r>
  <r>
    <s v="X25010311115"/>
    <s v="EFRAIM MARONILLA OLAN"/>
    <s v="MELANIE MARQUEZ, BF RESORT VILL, LAS PINAS CITY"/>
    <s v="LAS PIÑAS CITY"/>
    <s v="PARAÑAQUE"/>
    <m/>
    <m/>
    <x v="4"/>
    <s v="SCHED"/>
    <x v="1"/>
    <n v="114.39569999999998"/>
    <n v="72.599999999999994"/>
    <n v="28"/>
    <s v="MODIFICATION"/>
    <n v="308349.94"/>
    <n v="76260.97"/>
    <m/>
    <n v="0"/>
    <d v="2025-04-08T10:59:00"/>
    <d v="2025-04-15T13:07:00"/>
    <d v="2025-04-10T00:00:00"/>
    <m/>
    <m/>
    <m/>
    <n v="-45755.457638888889"/>
    <n v="-45762.546527777777"/>
    <n v="0"/>
    <d v="2025-04-28T13:02:07"/>
    <d v="2025-05-07T16:46:57"/>
    <d v="2025-05-28T10:59:00"/>
    <n v="-1486.4997711184915"/>
    <n v="0"/>
    <n v="23"/>
    <n v="36"/>
    <n v="23.085501858736059"/>
    <n v="29.241635687732341"/>
    <n v="20.085501858736059"/>
    <n v="42"/>
    <n v="33.6"/>
    <n v="28.6"/>
    <d v="1900-02-01T14:24:00"/>
    <d v="1900-01-27T14:24:00"/>
    <m/>
    <m/>
    <m/>
    <m/>
    <m/>
    <m/>
    <m/>
    <m/>
    <x v="0"/>
  </r>
  <r>
    <s v="X25020394464"/>
    <s v="PINESBEL MFG. &amp; TRADING CORP."/>
    <s v="BAES, PERPETUAL VILLAGE, TAGUIG CITY"/>
    <s v="TAGUIG CITY"/>
    <s v="PARAÑAQUE"/>
    <m/>
    <m/>
    <x v="1"/>
    <s v="FCOMP"/>
    <x v="1"/>
    <n v="138.80730000000003"/>
    <n v="374.45"/>
    <n v="765"/>
    <s v="MODIFICATION"/>
    <n v="2026310.46"/>
    <n v="230313.24000000002"/>
    <m/>
    <n v="0"/>
    <d v="2025-04-08T16:52:00"/>
    <d v="2025-04-15T13:09:00"/>
    <d v="2025-04-15T00:00:00"/>
    <d v="2025-05-02T00:00:00"/>
    <d v="2025-05-02T07:30:00"/>
    <m/>
    <n v="23.609722222223354"/>
    <n v="16.764583333329938"/>
    <n v="-45779.3125"/>
    <d v="2025-04-24T06:01:41"/>
    <d v="2025-05-02T04:44:15"/>
    <d v="2025-05-28T16:52:00"/>
    <n v="0.95465398550729208"/>
    <n v="-953.73567708333337"/>
    <n v="30"/>
    <n v="23"/>
    <n v="18.548387096774192"/>
    <n v="23.494623655913976"/>
    <n v="15.548387096774192"/>
    <n v="48"/>
    <n v="38.400000000000006"/>
    <n v="33.400000000000006"/>
    <d v="2025-06-09T17:06:00"/>
    <d v="2025-06-04T17:06:00"/>
    <m/>
    <m/>
    <m/>
    <m/>
    <m/>
    <m/>
    <m/>
    <m/>
    <x v="4"/>
  </r>
  <r>
    <s v="X25030854781"/>
    <s v="THE LOOK (ASIA) INC."/>
    <s v="PERPECTO DR, BAGUMBAYAN, TAGUIG CITY"/>
    <s v="TAGUIG CITY"/>
    <s v="PARAÑAQUE"/>
    <m/>
    <m/>
    <x v="5"/>
    <s v="SCHED"/>
    <x v="2"/>
    <n v="18.112799999999996"/>
    <n v="93.02"/>
    <n v="124"/>
    <s v="NEW"/>
    <n v="488486"/>
    <n v="58511.06"/>
    <m/>
    <n v="0"/>
    <d v="2025-04-08T16:55:00"/>
    <d v="2025-04-15T13:08:00"/>
    <d v="2025-04-15T00:00:00"/>
    <m/>
    <m/>
    <m/>
    <n v="-45755.704861111109"/>
    <n v="-45762.547222222223"/>
    <n v="0"/>
    <d v="2025-04-27T04:24:11"/>
    <d v="2025-05-05T21:51:58"/>
    <d v="2025-05-28T16:55:00"/>
    <n v="-1597.719585503472"/>
    <n v="0"/>
    <n v="23"/>
    <n v="32"/>
    <n v="21.478599221789885"/>
    <n v="27.206225680933851"/>
    <n v="18.478599221789885"/>
    <n v="42"/>
    <n v="33.6"/>
    <n v="28.6"/>
    <d v="1900-02-01T14:24:00"/>
    <d v="1900-01-27T14:24:00"/>
    <m/>
    <m/>
    <m/>
    <m/>
    <m/>
    <m/>
    <m/>
    <m/>
    <x v="0"/>
  </r>
  <r>
    <s v="X24114426315"/>
    <s v="PYC FOODS CORPORATION"/>
    <s v="DAANG HARI, ALMANZA II, LAS PINAS CITY"/>
    <s v="LAS PIÑAS CITY"/>
    <s v="PARAÑAQUE"/>
    <m/>
    <m/>
    <x v="5"/>
    <s v="FCOMP"/>
    <x v="2"/>
    <n v="8.18"/>
    <n v="13.07"/>
    <s v=" -   "/>
    <s v="TERMINATION"/>
    <n v="21800.53"/>
    <n v="8437.5499999999993"/>
    <m/>
    <n v="0"/>
    <d v="2025-04-10T10:32:00"/>
    <d v="2025-04-15T13:11:00"/>
    <d v="2025-04-15T00:00:00"/>
    <m/>
    <d v="2025-05-02T13:31:00"/>
    <m/>
    <n v="22.124305555560568"/>
    <n v="17.013888888890506"/>
    <n v="-45779.563194444447"/>
    <d v="2025-04-22T10:32:00"/>
    <d v="2025-04-29T10:32:00"/>
    <d v="2025-05-30T10:32:00"/>
    <n v="1.1062152777780283"/>
    <n v="-1144.4890798611111"/>
    <n v="20"/>
    <n v="20"/>
    <n v="15.000000000000002"/>
    <n v="19"/>
    <n v="12.000000000000002"/>
    <n v="40"/>
    <n v="32"/>
    <n v="27"/>
    <d v="2025-06-03T13:31:00"/>
    <d v="2025-05-29T13:31:00"/>
    <m/>
    <m/>
    <m/>
    <m/>
    <m/>
    <m/>
    <m/>
    <m/>
    <x v="1"/>
  </r>
  <r>
    <s v="X24114531063"/>
    <s v="FRBPRIME INC."/>
    <s v="PALMA, TOWN AND COUNTRY WEST SUBD, BACOOR"/>
    <s v="BACOOR CITY"/>
    <s v="DASMA"/>
    <m/>
    <m/>
    <x v="5"/>
    <s v="SCHED"/>
    <x v="2"/>
    <n v="66.093599999999995"/>
    <n v="121.82"/>
    <n v="47"/>
    <s v="NEW"/>
    <n v="422919.26"/>
    <n v="72495.739999999991"/>
    <m/>
    <n v="0"/>
    <d v="2025-04-10T10:36:00"/>
    <d v="2025-04-15T13:16:00"/>
    <d v="2025-04-15T00:00:00"/>
    <m/>
    <m/>
    <m/>
    <n v="-45757.441666666666"/>
    <n v="-45762.552777777775"/>
    <n v="0"/>
    <d v="2025-05-01T15:33:56"/>
    <d v="2025-05-11T02:29:23"/>
    <d v="2025-05-30T10:36:00"/>
    <n v="-1417.698513176638"/>
    <n v="0"/>
    <n v="26"/>
    <n v="36"/>
    <n v="24.206896551724139"/>
    <n v="30.662068965517239"/>
    <n v="21.206896551724139"/>
    <n v="44"/>
    <n v="35.200000000000003"/>
    <n v="30.200000000000003"/>
    <d v="1900-02-03T04:48:00"/>
    <d v="1900-01-29T04:48:00"/>
    <m/>
    <m/>
    <m/>
    <m/>
    <m/>
    <m/>
    <m/>
    <m/>
    <x v="0"/>
  </r>
  <r>
    <s v="X25020623890"/>
    <s v="NILO REQUINTA PERFECTO"/>
    <s v="CONSTELLATION, MOONWALK VILL, LAS PINAS CITY"/>
    <s v="LAS PIÑAS CITY"/>
    <s v="PARAÑAQUE"/>
    <m/>
    <m/>
    <x v="4"/>
    <s v="SCHED"/>
    <x v="1"/>
    <n v="9.8533000000000008"/>
    <n v="16.27"/>
    <n v="33"/>
    <s v="MODIFICATION"/>
    <n v="143732.4"/>
    <n v="10219.08"/>
    <m/>
    <n v="0"/>
    <d v="2025-04-10T10:40:00"/>
    <d v="2025-04-15T13:16:00"/>
    <d v="2025-04-15T00:00:00"/>
    <m/>
    <m/>
    <m/>
    <n v="-45757.444444444445"/>
    <n v="-45762.552777777775"/>
    <n v="0"/>
    <d v="2025-04-29T05:14:50"/>
    <d v="2025-05-08T00:36:08"/>
    <d v="2025-05-30T10:40:00"/>
    <n v="-1576.0897530864197"/>
    <n v="0"/>
    <n v="20"/>
    <n v="36"/>
    <n v="21.774193548387096"/>
    <n v="27.58064516129032"/>
    <n v="18.774193548387096"/>
    <n v="40"/>
    <n v="32"/>
    <n v="27"/>
    <d v="1900-01-31T00:00:00"/>
    <d v="1900-01-26T00:00:00"/>
    <m/>
    <m/>
    <m/>
    <m/>
    <m/>
    <m/>
    <m/>
    <m/>
    <x v="0"/>
  </r>
  <r>
    <s v="X24114545156"/>
    <s v="ST. JAMES THE GREAT PARISH FOUNDATION, INC."/>
    <s v="IBAAN, AYALA-ALABANG VILL, MUNTINLUPA"/>
    <s v="MUNTINLUPA CITY"/>
    <s v="PARAÑAQUE"/>
    <m/>
    <m/>
    <x v="3"/>
    <s v="SCHED"/>
    <x v="3"/>
    <n v="44.196100000000001"/>
    <n v="171.45"/>
    <n v="233"/>
    <s v="NEW"/>
    <n v="855403.32"/>
    <n v="107882.38"/>
    <m/>
    <n v="0"/>
    <d v="2025-04-10T15:36:00"/>
    <d v="2025-04-15T13:14:00"/>
    <d v="2025-04-15T00:00:00"/>
    <m/>
    <m/>
    <m/>
    <n v="-45757.65"/>
    <n v="-45762.551388888889"/>
    <n v="0"/>
    <d v="2025-04-29T03:46:35"/>
    <d v="2025-05-07T21:25:25"/>
    <d v="2025-05-30T15:36:00"/>
    <n v="-1595.6513846153846"/>
    <n v="0"/>
    <n v="26"/>
    <n v="30"/>
    <n v="21.507352941176471"/>
    <n v="27.242647058823529"/>
    <n v="18.507352941176471"/>
    <n v="44"/>
    <n v="35.200000000000003"/>
    <n v="30.200000000000003"/>
    <d v="1900-02-03T04:48:00"/>
    <d v="1900-01-29T04:48:00"/>
    <m/>
    <m/>
    <m/>
    <m/>
    <m/>
    <m/>
    <m/>
    <m/>
    <x v="0"/>
  </r>
  <r>
    <s v="X25030752071"/>
    <s v="MICHAEL G. DAVID"/>
    <s v="BLOCK 7, DOÑA ROSARIO HEIGHTS SUBD, MUNTINLUPA"/>
    <s v="MUNTINLUPA CITY"/>
    <s v="PARAÑAQUE"/>
    <m/>
    <m/>
    <x v="3"/>
    <s v="SCHED"/>
    <x v="3"/>
    <n v="100.01430000000002"/>
    <n v="217.42"/>
    <n v="60"/>
    <s v="MODIFICATION"/>
    <n v="555158.87"/>
    <n v="129417.11000000004"/>
    <m/>
    <n v="0"/>
    <d v="2025-04-10T16:48:00"/>
    <d v="2025-04-15T13:15:00"/>
    <d v="2025-04-15T00:00:00"/>
    <m/>
    <m/>
    <m/>
    <n v="-45757.7"/>
    <n v="-45762.552083333336"/>
    <n v="0"/>
    <d v="2025-05-01T15:50:01"/>
    <d v="2025-05-11T01:10:33"/>
    <d v="2025-05-30T16:48:00"/>
    <n v="-1432.3313655462184"/>
    <n v="0"/>
    <n v="28"/>
    <n v="34"/>
    <n v="23.959731543624162"/>
    <n v="30.348993288590602"/>
    <n v="20.959731543624162"/>
    <n v="46"/>
    <n v="36.800000000000004"/>
    <n v="31.800000000000004"/>
    <d v="1900-02-04T19:12:00"/>
    <d v="1900-01-30T19:12:00"/>
    <m/>
    <m/>
    <m/>
    <m/>
    <m/>
    <m/>
    <m/>
    <m/>
    <x v="0"/>
  </r>
  <r>
    <s v="X25030872408"/>
    <s v="CITY GOVERNMENT OF TAGUIG"/>
    <s v="BLOCK 27, PINAGSAMA PH 2 VILL, TAGUIG CITY"/>
    <s v="TAGUIG CITY"/>
    <s v="PARAÑAQUE"/>
    <m/>
    <m/>
    <x v="1"/>
    <s v="FCOMP"/>
    <x v="1"/>
    <n v="53.539500000000004"/>
    <n v="135.65"/>
    <n v="173"/>
    <s v="NEW"/>
    <n v="840107.52000000002"/>
    <n v="73792.22"/>
    <m/>
    <n v="0"/>
    <d v="2025-04-11T07:43:00"/>
    <d v="2025-04-18T11:00:00"/>
    <d v="2025-04-19T00:00:00"/>
    <m/>
    <d v="2025-04-28T10:46:00"/>
    <m/>
    <n v="17.127083333332848"/>
    <n v="9.9902777777751908"/>
    <n v="-45775.448611111111"/>
    <d v="2025-04-30T18:25:18"/>
    <d v="2025-05-09T18:04:35"/>
    <d v="2025-05-31T07:43:00"/>
    <n v="0.57227514022434278"/>
    <n v="-1040.3511047979798"/>
    <n v="26"/>
    <n v="32"/>
    <n v="22.446043165467625"/>
    <n v="28.431654676258994"/>
    <n v="19.446043165467625"/>
    <n v="44"/>
    <n v="35.200000000000003"/>
    <n v="30.200000000000003"/>
    <d v="2025-06-02T15:34:00"/>
    <d v="2025-05-28T15:34:00"/>
    <m/>
    <m/>
    <m/>
    <m/>
    <m/>
    <m/>
    <m/>
    <m/>
    <x v="1"/>
  </r>
  <r>
    <s v="X24103988119"/>
    <s v="DITO TELECOMMUNITY CORPORATION"/>
    <s v="ARIAS CPD, TAMBO, PARANAQUE"/>
    <s v="PARAÑAQUE CITY"/>
    <s v="PARAÑAQUE"/>
    <m/>
    <m/>
    <x v="4"/>
    <s v="SCHED"/>
    <x v="1"/>
    <n v="3.3294999999999995"/>
    <n v="31.13"/>
    <n v="31"/>
    <s v="NEW"/>
    <n v="63373.46"/>
    <n v="19523.93"/>
    <m/>
    <n v="0"/>
    <d v="2025-04-11T09:29:00"/>
    <d v="2025-04-18T11:03:00"/>
    <d v="2025-04-19T00:00:00"/>
    <m/>
    <m/>
    <m/>
    <n v="-45758.395138888889"/>
    <n v="-45765.460416666669"/>
    <n v="0"/>
    <d v="2025-04-30T04:03:50"/>
    <d v="2025-05-08T23:25:08"/>
    <d v="2025-05-31T09:29:00"/>
    <n v="-1576.1224992283951"/>
    <n v="0"/>
    <n v="20"/>
    <n v="36"/>
    <n v="21.774193548387096"/>
    <n v="27.58064516129032"/>
    <n v="18.774193548387096"/>
    <n v="40"/>
    <n v="32"/>
    <n v="27"/>
    <d v="1900-01-31T00:00:00"/>
    <d v="1900-01-26T00:00:00"/>
    <m/>
    <m/>
    <m/>
    <m/>
    <m/>
    <m/>
    <m/>
    <m/>
    <x v="0"/>
  </r>
  <r>
    <s v="X25020504155"/>
    <s v="SHERWILL REALTY CORPORATION"/>
    <s v="TERESITA DRIVE, TAGUIG BAGUMBAYAN INDL ASS INC, TAGUIG CITY"/>
    <s v="TAGUIG CITY"/>
    <s v="PARAÑAQUE"/>
    <m/>
    <m/>
    <x v="1"/>
    <s v="FCOMP"/>
    <x v="1"/>
    <n v="23.489499999999996"/>
    <n v="75.900000000000006"/>
    <n v="79"/>
    <s v="NEW"/>
    <n v="474742.63"/>
    <n v="47716.19"/>
    <m/>
    <n v="0"/>
    <d v="2025-04-11T12:38:00"/>
    <d v="2025-04-18T10:59:00"/>
    <d v="2025-04-19T00:00:00"/>
    <m/>
    <d v="2025-05-02T07:28:00"/>
    <m/>
    <n v="20.784722222226264"/>
    <n v="13.853472222224809"/>
    <n v="-45779.311111111114"/>
    <d v="2025-04-30T19:50:33"/>
    <d v="2025-05-09T18:33:54"/>
    <d v="2025-05-31T12:38:00"/>
    <n v="0.69902582409789094"/>
    <n v="-1089.9835978835979"/>
    <n v="23"/>
    <n v="34"/>
    <n v="22.300380228136884"/>
    <n v="28.247148288973385"/>
    <n v="19.300380228136884"/>
    <n v="42"/>
    <n v="33.6"/>
    <n v="28.6"/>
    <d v="2025-06-04T21:52:00"/>
    <d v="2025-05-30T21:52:00"/>
    <m/>
    <m/>
    <m/>
    <m/>
    <m/>
    <m/>
    <m/>
    <m/>
    <x v="1"/>
  </r>
  <r>
    <s v="X25031070065"/>
    <s v="LANDBANK OF THE PHILIPPINES"/>
    <s v="GNG. ELSIE GACHES, BF HOMES, PARANAQUE"/>
    <s v="PARAÑAQUE CITY"/>
    <s v="PARAÑAQUE"/>
    <m/>
    <m/>
    <x v="1"/>
    <s v="SCHED"/>
    <x v="1"/>
    <n v="8.48"/>
    <n v="15.1"/>
    <s v=" -   "/>
    <s v="TERMINATION"/>
    <n v="19621.38"/>
    <n v="9485.9599999999991"/>
    <m/>
    <n v="0"/>
    <d v="2025-04-11T14:45:00"/>
    <d v="2025-04-18T11:00:00"/>
    <d v="2025-04-19T00:00:00"/>
    <m/>
    <m/>
    <m/>
    <n v="-45758.614583333336"/>
    <n v="-45765.458333333336"/>
    <n v="0"/>
    <d v="2025-04-23T14:45:00"/>
    <d v="2025-04-30T14:45:00"/>
    <d v="2025-05-31T14:45:00"/>
    <n v="-2287.9307291666669"/>
    <n v="0"/>
    <n v="20"/>
    <n v="20"/>
    <n v="15.000000000000002"/>
    <n v="19"/>
    <n v="12.000000000000002"/>
    <n v="40"/>
    <n v="32"/>
    <n v="27"/>
    <d v="1900-01-31T00:00:00"/>
    <d v="1900-01-26T00:00:00"/>
    <m/>
    <m/>
    <m/>
    <m/>
    <m/>
    <m/>
    <m/>
    <m/>
    <x v="0"/>
  </r>
  <r>
    <s v="X24020419372"/>
    <s v="CITY GOVERNMENT OF LAS PINAS"/>
    <s v="MALUNGGAY, CAA CPD PH 3, LAS PINAS CITY"/>
    <s v="LAS PIÑAS CITY"/>
    <s v="PARAÑAQUE"/>
    <m/>
    <m/>
    <x v="4"/>
    <s v="SCHED"/>
    <x v="1"/>
    <n v="440.6819999999999"/>
    <n v="1061.68"/>
    <n v="99.7"/>
    <s v="NEW"/>
    <n v="2734783.42"/>
    <n v="623962.88999999908"/>
    <m/>
    <n v="0"/>
    <d v="2025-04-11T15:42:00"/>
    <d v="2025-04-18T11:01:00"/>
    <d v="2025-04-19T00:00:00"/>
    <m/>
    <m/>
    <m/>
    <n v="-45758.654166666667"/>
    <n v="-45765.459027777775"/>
    <n v="0"/>
    <d v="2025-05-06T20:41:28"/>
    <d v="2025-05-17T09:13:20"/>
    <d v="2025-05-31T15:42:00"/>
    <n v="-1216.6418637254901"/>
    <n v="0"/>
    <n v="50"/>
    <n v="34"/>
    <n v="28.207964601769909"/>
    <n v="35.730088495575217"/>
    <n v="25.207964601769909"/>
    <n v="60"/>
    <n v="48"/>
    <n v="43"/>
    <d v="1900-02-16T00:00:00"/>
    <d v="1900-02-11T00:00:00"/>
    <m/>
    <m/>
    <m/>
    <m/>
    <m/>
    <m/>
    <m/>
    <m/>
    <x v="0"/>
  </r>
  <r>
    <s v="X25030884434"/>
    <s v="RONALD CARANAY CALINGAY"/>
    <s v="GREEN GRASS, GREEN VALLEY SUBD SECT A, BACOOR"/>
    <s v="BACOOR CITY"/>
    <s v="DASMA"/>
    <m/>
    <m/>
    <x v="5"/>
    <s v="SCHED"/>
    <x v="2"/>
    <n v="18.392799999999998"/>
    <n v="27.7"/>
    <n v="2"/>
    <s v="NEW"/>
    <n v="197328.6"/>
    <n v="60293.500000000007"/>
    <m/>
    <n v="0"/>
    <d v="2025-04-14T10:38:00"/>
    <d v="2025-04-23T14:42:00"/>
    <d v="2025-04-24T00:00:00"/>
    <m/>
    <m/>
    <m/>
    <n v="-45761.443055555559"/>
    <n v="-45770.612500000003"/>
    <n v="0"/>
    <d v="2025-05-03T05:12:50"/>
    <d v="2025-05-12T00:34:08"/>
    <d v="2025-06-03T10:38:00"/>
    <n v="-1576.2274830246913"/>
    <n v="0"/>
    <n v="20"/>
    <n v="36"/>
    <n v="21.774193548387096"/>
    <n v="27.58064516129032"/>
    <n v="18.774193548387096"/>
    <n v="40"/>
    <n v="32"/>
    <n v="27"/>
    <d v="1900-01-31T00:00:00"/>
    <d v="1900-01-26T00:00:00"/>
    <m/>
    <m/>
    <m/>
    <m/>
    <m/>
    <m/>
    <m/>
    <m/>
    <x v="0"/>
  </r>
  <r>
    <s v="X25041141247"/>
    <s v="ALABANG HILLS VILLAGE ASS INC"/>
    <s v="DOÑA INES, ALABANG HILLS SUBD PH 2, MUNTINLUPA"/>
    <s v="MUNTINLUPA CITY"/>
    <s v="PARAÑAQUE"/>
    <m/>
    <m/>
    <x v="4"/>
    <s v="SCHED"/>
    <x v="1"/>
    <n v="17.220000000000002"/>
    <n v="45.07"/>
    <s v=" -   "/>
    <s v="TERMINATION"/>
    <n v="35546.769999999997"/>
    <n v="28577.829999999998"/>
    <m/>
    <n v="0"/>
    <d v="2025-04-14T15:46:00"/>
    <d v="2025-04-23T14:46:00"/>
    <d v="2025-04-24T00:00:00"/>
    <m/>
    <m/>
    <m/>
    <n v="-45761.656944444447"/>
    <n v="-45770.615277777775"/>
    <n v="0"/>
    <d v="2025-04-26T15:46:00"/>
    <d v="2025-05-03T15:46:00"/>
    <d v="2025-06-03T15:46:00"/>
    <n v="-2288.0828472222224"/>
    <n v="0"/>
    <n v="20"/>
    <n v="20"/>
    <n v="15.000000000000002"/>
    <n v="19"/>
    <n v="12.000000000000002"/>
    <n v="40"/>
    <n v="32"/>
    <n v="27"/>
    <d v="1900-01-31T00:00:00"/>
    <d v="1900-01-26T00:00:00"/>
    <m/>
    <m/>
    <m/>
    <m/>
    <m/>
    <m/>
    <m/>
    <m/>
    <x v="0"/>
  </r>
  <r>
    <s v="X25010118641"/>
    <s v="HIJO GREENS, INC."/>
    <s v="EDISON, EDISON INDUSTRIAL COMPLEX, PARANAQUE"/>
    <s v="PARAÑAQUE CITY"/>
    <s v="PARAÑAQUE"/>
    <m/>
    <m/>
    <x v="2"/>
    <s v="FCOMP"/>
    <x v="1"/>
    <n v="80.917399999999986"/>
    <n v="215.9"/>
    <n v="183"/>
    <s v="NEW"/>
    <n v="911302.13"/>
    <n v="118917.61000000002"/>
    <m/>
    <n v="0"/>
    <d v="2025-04-15T10:51:00"/>
    <d v="2025-04-23T14:45:00"/>
    <d v="2025-04-24T00:00:00"/>
    <m/>
    <d v="2025-05-16T00:00:00"/>
    <m/>
    <n v="30.547916666670062"/>
    <n v="22.385416666664241"/>
    <n v="-45793"/>
    <d v="2025-05-05T11:10:44"/>
    <d v="2025-05-14T14:27:59"/>
    <d v="2025-06-04T10:51:00"/>
    <n v="0.99553478422630115"/>
    <n v="-995.5"/>
    <n v="28"/>
    <n v="32"/>
    <n v="23.013698630136989"/>
    <n v="29.150684931506852"/>
    <n v="20.013698630136989"/>
    <n v="46"/>
    <n v="36.800000000000004"/>
    <n v="31.800000000000004"/>
    <d v="2025-06-21T19:12:00"/>
    <d v="2025-06-16T19:12:00"/>
    <m/>
    <m/>
    <m/>
    <m/>
    <m/>
    <m/>
    <m/>
    <m/>
    <x v="1"/>
  </r>
  <r>
    <s v="X25020460575"/>
    <s v="LINAHEIM CORPORATE SERVICES, INC."/>
    <s v="KAINGIN RD., KAINGIN, PARANAQUE"/>
    <s v="PARAÑAQUE CITY"/>
    <s v="PARAÑAQUE"/>
    <m/>
    <m/>
    <x v="4"/>
    <s v="SCHED"/>
    <x v="1"/>
    <n v="103.6063"/>
    <n v="218.53"/>
    <n v="330"/>
    <s v="NEW"/>
    <n v="1348450.36"/>
    <n v="130058.28999999998"/>
    <m/>
    <n v="0"/>
    <d v="2025-04-15T13:57:00"/>
    <d v="2025-04-23T14:44:00"/>
    <d v="2025-04-24T00:00:00"/>
    <m/>
    <m/>
    <m/>
    <n v="-45762.581250000003"/>
    <n v="-45770.613888888889"/>
    <n v="0"/>
    <d v="2025-05-03T13:57:00"/>
    <d v="2025-05-12T04:21:00"/>
    <d v="2025-06-04T13:57:00"/>
    <n v="-1634.3779017857144"/>
    <n v="0"/>
    <n v="28"/>
    <n v="28"/>
    <n v="21"/>
    <n v="26.6"/>
    <n v="18"/>
    <n v="46"/>
    <n v="36.800000000000004"/>
    <n v="31.800000000000004"/>
    <d v="1900-02-04T19:12:00"/>
    <d v="1900-01-30T19:12:00"/>
    <m/>
    <m/>
    <m/>
    <m/>
    <m/>
    <m/>
    <m/>
    <m/>
    <x v="0"/>
  </r>
  <r>
    <s v="X25030992144"/>
    <s v="SONNY MACARAIG NG"/>
    <s v="LEYTE, MARINA SUBD, PARANAQUE"/>
    <s v="PARAÑAQUE CITY"/>
    <s v="PARAÑAQUE"/>
    <m/>
    <m/>
    <x v="2"/>
    <s v="FCOMP"/>
    <x v="2"/>
    <n v="45.209499999999991"/>
    <n v="102.83"/>
    <n v="82"/>
    <s v="MODIFICATION"/>
    <n v="367939.35"/>
    <n v="60293.500000000007"/>
    <m/>
    <n v="0"/>
    <d v="2025-04-15T13:57:00"/>
    <d v="2025-04-21T14:56:00"/>
    <d v="2025-04-22T00:00:00"/>
    <m/>
    <d v="2025-04-29T00:00:00"/>
    <m/>
    <n v="13.41874999999709"/>
    <n v="7.3777777777795563"/>
    <n v="-45776"/>
    <d v="2025-05-05T22:13:54"/>
    <d v="2025-05-15T03:38:25"/>
    <d v="2025-06-04T13:57:00"/>
    <n v="0.43110011312207841"/>
    <n v="-1040.3636363636363"/>
    <n v="26"/>
    <n v="34"/>
    <n v="23.345070422535212"/>
    <n v="29.570422535211268"/>
    <n v="20.345070422535212"/>
    <n v="44"/>
    <n v="35.200000000000003"/>
    <n v="30.200000000000003"/>
    <d v="2025-06-03T04:48:00"/>
    <d v="2025-05-29T04:48:00"/>
    <m/>
    <m/>
    <m/>
    <m/>
    <m/>
    <m/>
    <m/>
    <m/>
    <x v="1"/>
  </r>
  <r>
    <s v="X25020681892"/>
    <s v="HARD DISCOUNT PHILIPPINES, INC."/>
    <s v="DAANG HARI, PERPETUAL VILLAGE, TAGUIG CITY"/>
    <s v="TAGUIG CITY"/>
    <s v="PARAÑAQUE"/>
    <m/>
    <m/>
    <x v="4"/>
    <s v="SCHED"/>
    <x v="1"/>
    <n v="11.292800000000002"/>
    <n v="18.32"/>
    <n v="19"/>
    <s v="NEW"/>
    <n v="143125.62"/>
    <n v="11531.119999999999"/>
    <m/>
    <n v="0"/>
    <d v="2025-04-21T15:18:00"/>
    <d v="2025-04-28T00:00:00"/>
    <d v="2025-04-28T14:44:00"/>
    <m/>
    <m/>
    <m/>
    <n v="-45768.637499999997"/>
    <n v="-45775"/>
    <n v="0"/>
    <d v="2025-05-10T09:52:50"/>
    <d v="2025-05-19T05:14:08"/>
    <d v="2025-06-10T15:18:00"/>
    <n v="-1576.4752916666664"/>
    <n v="0"/>
    <n v="20"/>
    <n v="36"/>
    <n v="21.774193548387096"/>
    <n v="27.58064516129032"/>
    <n v="18.774193548387096"/>
    <n v="40"/>
    <n v="32"/>
    <n v="27"/>
    <d v="1900-01-31T00:00:00"/>
    <d v="1900-01-26T00:00:00"/>
    <m/>
    <m/>
    <m/>
    <m/>
    <m/>
    <m/>
    <m/>
    <m/>
    <x v="0"/>
  </r>
  <r>
    <s v="X25031010090"/>
    <s v="LILIA T. AMADOR"/>
    <s v="PRES. QUIRINO AVE, ZONE 6, TAGUIG CITY"/>
    <s v="TAGUIG CITY"/>
    <s v="PARAÑAQUE"/>
    <m/>
    <m/>
    <x v="3"/>
    <s v="SCHED"/>
    <x v="3"/>
    <n v="12.213300000000002"/>
    <n v="27.8"/>
    <n v="37"/>
    <s v="NEW"/>
    <s v=" 201,524.06_x000a_"/>
    <n v="16173.539999999999"/>
    <m/>
    <n v="0"/>
    <d v="2025-04-21T15:27:00"/>
    <d v="2025-04-28T14:43:00"/>
    <d v="2025-04-28T14:44:00"/>
    <m/>
    <m/>
    <m/>
    <n v="-45768.643750000003"/>
    <n v="-45775.613194444442"/>
    <n v="0"/>
    <d v="2025-05-10T10:01:50"/>
    <d v="2025-05-19T05:23:08"/>
    <d v="2025-06-10T15:27:00"/>
    <n v="-1576.4755069444445"/>
    <n v="0"/>
    <n v="20"/>
    <n v="36"/>
    <n v="21.774193548387096"/>
    <n v="27.58064516129032"/>
    <n v="18.774193548387096"/>
    <n v="40"/>
    <n v="32"/>
    <n v="27"/>
    <d v="1900-01-31T00:00:00"/>
    <d v="1900-01-26T00:00:00"/>
    <m/>
    <m/>
    <m/>
    <m/>
    <m/>
    <m/>
    <m/>
    <m/>
    <x v="0"/>
  </r>
  <r>
    <s v="X25031019727"/>
    <s v="CITY GOVERNMENT OF TAGUIG"/>
    <s v="CHAMPACA, STO. NINO, TAGUIG CITY"/>
    <s v="TAGUIG CITY"/>
    <s v="PARAÑAQUE"/>
    <m/>
    <m/>
    <x v="1"/>
    <s v="FCOMP"/>
    <x v="1"/>
    <n v="171.3066"/>
    <n v="526.5"/>
    <n v="896"/>
    <s v="NEW"/>
    <n v="2903581.15"/>
    <n v="323053.55999999994"/>
    <m/>
    <n v="0"/>
    <d v="2025-04-21T15:58:00"/>
    <d v="2025-04-22T06:55:00"/>
    <d v="2025-04-23T00:00:00"/>
    <m/>
    <d v="2025-04-28T10:39:00"/>
    <m/>
    <n v="6.7784722222204437"/>
    <n v="6.1555555555532919"/>
    <n v="-45775.443749999999"/>
    <d v="2025-05-08T10:27:55"/>
    <d v="2025-05-16T16:59:53"/>
    <d v="2025-06-10T15:58:00"/>
    <n v="0.25713987016901463"/>
    <n v="-832.28079545454545"/>
    <n v="40"/>
    <n v="23"/>
    <n v="19.770773638968482"/>
    <n v="25.04297994269341"/>
    <n v="16.770773638968482"/>
    <n v="55"/>
    <n v="44"/>
    <n v="39"/>
    <d v="2025-06-11T10:39:00"/>
    <d v="2025-06-06T10:39:00"/>
    <m/>
    <m/>
    <m/>
    <m/>
    <m/>
    <m/>
    <m/>
    <m/>
    <x v="1"/>
  </r>
  <r>
    <s v="X25020679066"/>
    <s v="WILFREDO URDAS ABUEVA"/>
    <s v="NIOG III, NIOG III, BACOOR"/>
    <s v="BACOOR CITY"/>
    <s v="DASMA"/>
    <m/>
    <m/>
    <x v="5"/>
    <s v="SCHED"/>
    <x v="2"/>
    <n v="3.66"/>
    <n v="50.13"/>
    <s v=" -   "/>
    <s v="TERMINATION"/>
    <n v="40059.870000000003"/>
    <n v="31524.93"/>
    <m/>
    <n v="0"/>
    <d v="2025-04-21T16:09:00"/>
    <d v="2025-04-28T14:45:00"/>
    <d v="2025-04-28T00:00:00"/>
    <m/>
    <m/>
    <m/>
    <n v="-45768.67291666667"/>
    <n v="-45775.614583333336"/>
    <n v="0"/>
    <d v="2025-05-03T16:09:00"/>
    <d v="2025-05-10T16:09:00"/>
    <d v="2025-06-10T16:09:00"/>
    <n v="-2288.4336458333337"/>
    <n v="0"/>
    <n v="20"/>
    <n v="20"/>
    <n v="15.000000000000002"/>
    <n v="19"/>
    <n v="12.000000000000002"/>
    <n v="40"/>
    <n v="32"/>
    <n v="27"/>
    <d v="1900-01-31T00:00:00"/>
    <d v="1900-01-26T00:00:00"/>
    <m/>
    <m/>
    <m/>
    <m/>
    <m/>
    <m/>
    <m/>
    <m/>
    <x v="0"/>
  </r>
  <r>
    <s v="R23928639"/>
    <s v="METALS INDUSTRY RESEARCH AND DEVELOPMENT CENTER"/>
    <s v="GEN. SANTOS, DOST CPD, TAGUIG CITY"/>
    <s v="TAGUIG CITY"/>
    <s v="PARAÑAQUE"/>
    <m/>
    <m/>
    <x v="4"/>
    <s v="SCHED"/>
    <x v="1"/>
    <n v="79.080800000000011"/>
    <s v="131.93_x000a_"/>
    <s v=" -   "/>
    <s v="RELOC"/>
    <n v="332492.52"/>
    <n v="78104.060000000012"/>
    <m/>
    <n v="0"/>
    <d v="2025-04-22T10:31:00"/>
    <d v="2025-04-30T12:59:00"/>
    <d v="2025-05-02T00:00:00"/>
    <m/>
    <m/>
    <m/>
    <n v="-45769.438194444447"/>
    <n v="-45777.540972222225"/>
    <n v="0"/>
    <d v="2025-05-07T17:32:28"/>
    <d v="2025-05-15T14:36:51"/>
    <d v="2025-06-11T10:31:00"/>
    <n v="-1876.5469659722221"/>
    <n v="0"/>
    <n v="50"/>
    <n v="20"/>
    <n v="18.292682926829272"/>
    <n v="23.170731707317074"/>
    <n v="15.292682926829272"/>
    <n v="60"/>
    <n v="48"/>
    <n v="43"/>
    <d v="1900-02-16T00:00:00"/>
    <d v="1900-02-11T00:00:00"/>
    <m/>
    <m/>
    <m/>
    <m/>
    <m/>
    <m/>
    <m/>
    <m/>
    <x v="0"/>
  </r>
  <r>
    <s v="X25020413672"/>
    <s v="DAJ PROPERTY HOLDINGS CORP."/>
    <s v="ANONAS, AYALA-ALABANG VILL, MUNTINLUPA"/>
    <s v="MUNTINLUPA CITY"/>
    <s v="PARAÑAQUE"/>
    <m/>
    <m/>
    <x v="3"/>
    <s v="FCOMP"/>
    <x v="3"/>
    <n v="93.252399999999994"/>
    <n v="238.28"/>
    <n v="157"/>
    <s v="NEW"/>
    <n v="949149.04"/>
    <n v="140114.53000000003"/>
    <m/>
    <n v="0"/>
    <d v="2025-04-22T12:16:00"/>
    <d v="2025-04-30T13:04:00"/>
    <d v="2025-05-02T00:00:00"/>
    <m/>
    <d v="2025-05-15T16:30:00"/>
    <m/>
    <n v="23.176388888889051"/>
    <n v="15.143055555556202"/>
    <n v="-45792.6875"/>
    <d v="2025-05-12T12:35:44"/>
    <d v="2025-05-21T15:52:59"/>
    <d v="2025-06-11T12:16:00"/>
    <n v="0.75530195932540201"/>
    <n v="-995.49320652173913"/>
    <n v="28"/>
    <n v="32"/>
    <n v="23.013698630136989"/>
    <n v="29.150684931506852"/>
    <n v="20.013698630136989"/>
    <n v="46"/>
    <n v="36.800000000000004"/>
    <n v="31.800000000000004"/>
    <d v="2025-06-21T11:42:00"/>
    <d v="2025-06-16T11:42:00"/>
    <m/>
    <m/>
    <m/>
    <m/>
    <m/>
    <m/>
    <m/>
    <m/>
    <x v="1"/>
  </r>
  <r>
    <s v="X25041184011"/>
    <s v="ELENA M KIKUCHI"/>
    <s v="ARAGON CPD, ARAGON CPD, BACOOR"/>
    <s v="BACOOR CITY"/>
    <s v="DASMA"/>
    <m/>
    <m/>
    <x v="5"/>
    <s v="SCHED"/>
    <x v="2"/>
    <n v="13.05"/>
    <n v="59.07"/>
    <n v="15"/>
    <s v="NEW"/>
    <n v="73226.16"/>
    <n v="37075.649999999994"/>
    <m/>
    <n v="0"/>
    <d v="2025-04-22T12:26:00"/>
    <d v="2025-04-30T13:02:00"/>
    <d v="2025-05-02T00:00:00"/>
    <m/>
    <m/>
    <m/>
    <n v="-45769.518055555556"/>
    <n v="-45777.543055555558"/>
    <n v="0"/>
    <d v="2025-05-12T14:29:07"/>
    <d v="2025-05-21T18:13:57"/>
    <d v="2025-06-11T12:26:00"/>
    <n v="-1486.9565648483626"/>
    <n v="0"/>
    <n v="23"/>
    <n v="36"/>
    <n v="23.085501858736059"/>
    <n v="29.241635687732341"/>
    <n v="20.085501858736059"/>
    <n v="42"/>
    <n v="33.6"/>
    <n v="28.6"/>
    <d v="1900-02-01T14:24:00"/>
    <d v="1900-01-27T14:24:00"/>
    <m/>
    <m/>
    <m/>
    <m/>
    <m/>
    <m/>
    <m/>
    <m/>
    <x v="0"/>
  </r>
  <r>
    <s v="X25010318160"/>
    <s v="METRO SOUTH PROPERTIES CORPORATION"/>
    <s v="RAVENGA, TOWN AND COUNTRY WEST SUBD, BACOOR"/>
    <s v="BACOOR CITY"/>
    <s v="DASMA"/>
    <m/>
    <m/>
    <x v="5"/>
    <s v="SCHED"/>
    <x v="2"/>
    <n v="236.46709999999985"/>
    <n v="473.53"/>
    <n v="100"/>
    <s v="NEW"/>
    <n v="1276315.3700000001"/>
    <n v="275877.52999999997"/>
    <m/>
    <n v="0"/>
    <d v="2025-04-22T13:18:00"/>
    <d v="2025-04-28T14:49:00"/>
    <d v="2025-04-28T14:44:00"/>
    <m/>
    <m/>
    <m/>
    <n v="-45769.554166666669"/>
    <n v="-45775.617361111108"/>
    <n v="0"/>
    <d v="2025-05-14T14:02:10"/>
    <d v="2025-05-24T06:13:57"/>
    <d v="2025-06-11T13:18:00"/>
    <n v="-1371.4039208026961"/>
    <n v="0"/>
    <n v="32"/>
    <n v="34"/>
    <n v="25.030674846625768"/>
    <n v="31.70552147239264"/>
    <n v="22.030674846625768"/>
    <n v="50"/>
    <n v="40"/>
    <n v="35"/>
    <d v="1900-02-08T00:00:00"/>
    <d v="1900-02-03T00:00:00"/>
    <m/>
    <m/>
    <m/>
    <m/>
    <m/>
    <m/>
    <m/>
    <m/>
    <x v="0"/>
  </r>
  <r>
    <s v="X25020671305"/>
    <s v="CITY GOVERNMENT OF TAGUIG"/>
    <s v="M.L. QUEZON, PUROK 4, TAGUIG CITY"/>
    <s v="TAGUIG CITY"/>
    <s v="PARAÑAQUE"/>
    <m/>
    <m/>
    <x v="1"/>
    <s v="FCOMP"/>
    <x v="1"/>
    <n v="65.636099999999999"/>
    <n v="143.69999999999999"/>
    <n v="173"/>
    <s v="NEW"/>
    <n v="862746.36"/>
    <n v="79457.509999999995"/>
    <m/>
    <n v="0"/>
    <d v="2025-04-22T15:16:00"/>
    <d v="2025-04-30T13:09:00"/>
    <d v="2025-05-02T00:00:00"/>
    <m/>
    <d v="2025-05-09T00:00:00"/>
    <m/>
    <n v="16.363888888889051"/>
    <n v="8.4520833333299379"/>
    <n v="-45786"/>
    <d v="2025-05-12T01:58:18"/>
    <d v="2025-05-21T01:37:35"/>
    <d v="2025-06-11T15:16:00"/>
    <n v="0.54677417200855238"/>
    <n v="-1040.590909090909"/>
    <n v="26"/>
    <n v="32"/>
    <n v="22.446043165467625"/>
    <n v="28.431654676258994"/>
    <n v="19.446043165467625"/>
    <n v="44"/>
    <n v="35.200000000000003"/>
    <n v="30.200000000000003"/>
    <d v="2025-06-13T04:48:00"/>
    <d v="2025-06-08T04:48:00"/>
    <m/>
    <m/>
    <m/>
    <m/>
    <m/>
    <m/>
    <m/>
    <m/>
    <x v="1"/>
  </r>
  <r>
    <s v="X25030844140"/>
    <s v="CITY GOVERNMENT OF TAGUIG"/>
    <s v="PINAGSAMA PH 1 VILL, PINAGSAMA PH 1 VILL, TAGUIG CITY"/>
    <s v="TAGUIG CITY"/>
    <s v="PARAÑAQUE"/>
    <m/>
    <m/>
    <x v="1"/>
    <s v="FCOMP"/>
    <x v="1"/>
    <n v="80.057500000000033"/>
    <n v="208.93"/>
    <n v="221"/>
    <s v="NEW"/>
    <n v="923476.79"/>
    <n v="125315.52000000002"/>
    <m/>
    <n v="0"/>
    <d v="2025-04-22T15:20:00"/>
    <d v="2025-04-28T14:52:00"/>
    <d v="2025-04-28T00:00:00"/>
    <m/>
    <d v="2025-05-09T00:00:00"/>
    <m/>
    <n v="16.361111111109494"/>
    <n v="10.380555555559113"/>
    <n v="-45786"/>
    <d v="2025-05-11T16:00:17"/>
    <d v="2025-05-20T12:59:01"/>
    <d v="2025-06-11T15:20:00"/>
    <n v="0.55705687830682327"/>
    <n v="-995.3478260869565"/>
    <n v="28"/>
    <n v="30"/>
    <n v="22.027972027972027"/>
    <n v="27.9020979020979"/>
    <n v="19.027972027972027"/>
    <n v="46"/>
    <n v="36.800000000000004"/>
    <n v="31.800000000000004"/>
    <d v="2025-06-14T19:12:00"/>
    <d v="2025-06-09T19:12:00"/>
    <m/>
    <m/>
    <m/>
    <m/>
    <m/>
    <m/>
    <m/>
    <m/>
    <x v="1"/>
  </r>
  <r>
    <s v="X25030949251"/>
    <s v="CITY GOVERNMENT OF TAGUIG"/>
    <s v="LAPU-LAPU, PUROK 2, TAGUIG CITY"/>
    <s v="TAGUIG CITY"/>
    <s v="PARAÑAQUE"/>
    <m/>
    <m/>
    <x v="1"/>
    <s v="SCHED"/>
    <x v="1"/>
    <n v="263.58999999999997"/>
    <n v="572"/>
    <n v="151"/>
    <s v="NEW"/>
    <n v="1686610.42"/>
    <n v="320882.64"/>
    <m/>
    <n v="0"/>
    <d v="2025-04-22T15:20:00"/>
    <d v="2025-04-30T13:07:00"/>
    <d v="2025-05-02T00:00:00"/>
    <m/>
    <m/>
    <m/>
    <n v="-45769.638888888891"/>
    <n v="-45777.546527777777"/>
    <n v="0"/>
    <d v="2025-05-15T04:05:57"/>
    <d v="2025-05-24T23:30:13"/>
    <d v="2025-06-11T15:20:00"/>
    <n v="-1344.483142361111"/>
    <n v="0"/>
    <n v="40"/>
    <n v="32"/>
    <n v="25.531914893617024"/>
    <n v="32.340425531914896"/>
    <n v="22.531914893617024"/>
    <n v="55"/>
    <n v="44"/>
    <n v="39"/>
    <d v="1900-02-12T00:00:00"/>
    <d v="1900-02-07T00:00:00"/>
    <m/>
    <m/>
    <m/>
    <m/>
    <m/>
    <m/>
    <m/>
    <m/>
    <x v="0"/>
  </r>
  <r>
    <s v="X25020572372"/>
    <s v="JEFFREY ANG SY"/>
    <s v="WHITE, GOODWILL 2 SUBD, PARANAQUE"/>
    <s v="PARAÑAQUE CITY"/>
    <s v="PARAÑAQUE"/>
    <m/>
    <m/>
    <x v="4"/>
    <s v="SCHED"/>
    <x v="1"/>
    <n v="63.103100000000005"/>
    <n v="133.05000000000001"/>
    <n v="66.5"/>
    <s v="MODIFICATION"/>
    <n v="447247.07"/>
    <n v="80599.67"/>
    <m/>
    <n v="0"/>
    <d v="2025-04-22T15:54:00"/>
    <d v="2025-04-30T13:00:00"/>
    <d v="2025-05-02T00:00:00"/>
    <m/>
    <m/>
    <m/>
    <n v="-45769.662499999999"/>
    <n v="-45777.541666666664"/>
    <n v="0"/>
    <d v="2025-05-13T00:10:54"/>
    <d v="2025-05-22T05:35:25"/>
    <d v="2025-06-11T15:54:00"/>
    <n v="-1470.4280712669683"/>
    <n v="0"/>
    <n v="26"/>
    <n v="34"/>
    <n v="23.345070422535212"/>
    <n v="29.570422535211268"/>
    <n v="20.345070422535212"/>
    <n v="44"/>
    <n v="35.200000000000003"/>
    <n v="30.200000000000003"/>
    <d v="1900-02-03T04:48:00"/>
    <d v="1900-01-29T04:48:00"/>
    <m/>
    <m/>
    <m/>
    <m/>
    <m/>
    <m/>
    <m/>
    <m/>
    <x v="0"/>
  </r>
  <r>
    <s v="X23072870847"/>
    <s v="DITO TELECOMMUNITY CORPORATION"/>
    <s v="BANABA, AYALA-ALABANG VILL, MUNTINLUPA"/>
    <s v="MUNTINLUPA CITY"/>
    <s v="PARAÑAQUE"/>
    <m/>
    <m/>
    <x v="3"/>
    <s v="SCHED"/>
    <x v="3"/>
    <n v="35.181800000000003"/>
    <n v="63.9"/>
    <n v="31"/>
    <s v="NEW"/>
    <s v="306,894.22_x000a_"/>
    <n v="40203.11"/>
    <m/>
    <n v="0"/>
    <d v="2025-04-22T16:01:00"/>
    <d v="2025-04-30T12:09:00"/>
    <d v="2025-05-02T00:00:00"/>
    <m/>
    <m/>
    <m/>
    <n v="-45769.667361111111"/>
    <n v="-45777.506249999999"/>
    <n v="0"/>
    <d v="2025-05-12T18:04:07"/>
    <d v="2025-05-21T21:48:57"/>
    <d v="2025-06-11T16:01:00"/>
    <n v="-1486.961415475711"/>
    <n v="0"/>
    <n v="23"/>
    <n v="36"/>
    <n v="23.085501858736059"/>
    <n v="29.241635687732341"/>
    <n v="20.085501858736059"/>
    <n v="42"/>
    <n v="33.6"/>
    <n v="28.6"/>
    <d v="1900-02-01T14:24:00"/>
    <d v="1900-01-27T14:24:00"/>
    <m/>
    <m/>
    <m/>
    <m/>
    <m/>
    <m/>
    <m/>
    <m/>
    <x v="0"/>
  </r>
  <r>
    <s v="X23031056287"/>
    <s v="ALFAMART TRADING PHILIPPINES, INC"/>
    <s v="GEN. TIRONA, MABOLO I, BACOOR"/>
    <s v="BACOOR CITY"/>
    <s v="DASMA"/>
    <m/>
    <m/>
    <x v="5"/>
    <s v="SCHED"/>
    <x v="2"/>
    <n v="48.593499999999999"/>
    <n v="88.63"/>
    <n v="28"/>
    <s v="NEW"/>
    <n v="293996.61"/>
    <n v="46063.97"/>
    <m/>
    <n v="0"/>
    <d v="2025-04-22T16:44:00"/>
    <d v="2025-04-30T13:02:00"/>
    <d v="2025-05-02T00:00:00"/>
    <m/>
    <m/>
    <m/>
    <n v="-45769.697222222225"/>
    <n v="-45777.543055555558"/>
    <n v="0"/>
    <d v="2025-05-12T18:47:07"/>
    <d v="2025-05-21T22:31:57"/>
    <d v="2025-06-11T16:44:00"/>
    <n v="-1486.9623856011808"/>
    <n v="0"/>
    <n v="23"/>
    <n v="36"/>
    <n v="23.085501858736059"/>
    <n v="29.241635687732341"/>
    <n v="20.085501858736059"/>
    <n v="42"/>
    <n v="33.6"/>
    <n v="28.6"/>
    <d v="1900-02-01T14:24:00"/>
    <d v="1900-01-27T14:24:00"/>
    <m/>
    <m/>
    <m/>
    <m/>
    <m/>
    <m/>
    <m/>
    <m/>
    <x v="0"/>
  </r>
  <r>
    <s v="X24072722048"/>
    <s v="DITO TELECOMMUNITY CORPORATION"/>
    <s v="C. ARELLANO, KATARUNGAN VILLAGE, MUNTINLUPA"/>
    <s v="MUNTINLUPA CITY"/>
    <s v="PARAÑAQUE"/>
    <m/>
    <m/>
    <x v="3"/>
    <s v="SCHED"/>
    <x v="3"/>
    <n v="18.102799999999998"/>
    <n v="35.17"/>
    <n v="31"/>
    <s v="NEW"/>
    <s v="247,309.59_x000a_"/>
    <n v="22074.28"/>
    <m/>
    <n v="0"/>
    <d v="2025-04-23T08:24:00"/>
    <d v="2025-04-30T12:13:00"/>
    <d v="2025-05-02T00:00:00"/>
    <m/>
    <m/>
    <m/>
    <n v="-45770.35"/>
    <n v="-45777.509027777778"/>
    <n v="0"/>
    <d v="2025-05-12T02:58:50"/>
    <d v="2025-05-20T22:20:08"/>
    <d v="2025-06-12T08:24:00"/>
    <n v="-1576.5342777777778"/>
    <n v="0"/>
    <n v="20"/>
    <n v="36"/>
    <n v="21.774193548387096"/>
    <n v="27.58064516129032"/>
    <n v="18.774193548387096"/>
    <n v="40"/>
    <n v="32"/>
    <n v="27"/>
    <d v="1900-01-31T00:00:00"/>
    <d v="1900-01-26T00:00:00"/>
    <m/>
    <m/>
    <m/>
    <m/>
    <m/>
    <m/>
    <m/>
    <m/>
    <x v="0"/>
  </r>
  <r>
    <s v="X25041128269"/>
    <s v="ALDOUS JEROME ROTAIRO SARMIENTO"/>
    <s v="BLOCK 12, KALAYAAN VILL/BALAGBAG, PASAY CITY"/>
    <s v="PASAY CITY"/>
    <s v="PARAÑAQUE"/>
    <m/>
    <m/>
    <x v="1"/>
    <s v="SCHED"/>
    <x v="1"/>
    <n v="3.0632999999999999"/>
    <n v="7.05"/>
    <n v="22.4"/>
    <s v="MODIFICATION"/>
    <n v="21401.599999999999"/>
    <n v="4427.8799999999992"/>
    <m/>
    <n v="0"/>
    <d v="2025-04-23T16:03:00"/>
    <d v="2025-04-30T13:10:00"/>
    <d v="2025-05-02T00:00:00"/>
    <m/>
    <m/>
    <m/>
    <n v="-45770.668749999997"/>
    <n v="-45777.548611111109"/>
    <n v="0"/>
    <d v="2025-05-12T10:37:50"/>
    <d v="2025-05-21T05:59:08"/>
    <d v="2025-06-12T16:03:00"/>
    <n v="-1576.5452569444442"/>
    <n v="0"/>
    <n v="20"/>
    <n v="36"/>
    <n v="21.774193548387096"/>
    <n v="27.58064516129032"/>
    <n v="18.774193548387096"/>
    <n v="40"/>
    <n v="32"/>
    <n v="27"/>
    <d v="1900-01-31T00:00:00"/>
    <d v="1900-01-26T00:00:00"/>
    <m/>
    <m/>
    <m/>
    <m/>
    <m/>
    <m/>
    <m/>
    <m/>
    <x v="0"/>
  </r>
  <r>
    <s v="X24072847895"/>
    <s v="DITO TELECOMMUNITY CORPORATION"/>
    <s v="DR. J. GABRIEL, BACLARAN, PARANAQUE"/>
    <s v="PARAÑAQUE CITY"/>
    <s v="PARAÑAQUE"/>
    <m/>
    <m/>
    <x v="4"/>
    <s v="SCHED"/>
    <x v="1"/>
    <m/>
    <n v="76.62"/>
    <n v="22"/>
    <s v="NEW"/>
    <n v="966296.42"/>
    <m/>
    <m/>
    <e v="#DIV/0!"/>
    <d v="2025-04-24T12:46:00"/>
    <d v="2025-04-30T12:15:00"/>
    <d v="2025-05-02T00:00:00"/>
    <m/>
    <m/>
    <m/>
    <n v="-45771.531944444447"/>
    <n v="-45777.510416666664"/>
    <n v="0"/>
    <d v="2025-05-14T14:49:07"/>
    <d v="2025-05-23T18:33:57"/>
    <d v="2025-06-13T12:46:00"/>
    <n v="-1487.0219919149222"/>
    <n v="0"/>
    <n v="23"/>
    <n v="36"/>
    <n v="23.085501858736059"/>
    <n v="29.241635687732341"/>
    <n v="20.085501858736059"/>
    <n v="42"/>
    <n v="33.6"/>
    <n v="28.6"/>
    <d v="1900-02-01T14:24:00"/>
    <d v="1900-01-27T14:24:00"/>
    <m/>
    <m/>
    <m/>
    <m/>
    <m/>
    <m/>
    <m/>
    <m/>
    <x v="0"/>
  </r>
  <r>
    <s v="X24030696318"/>
    <s v="ALY PLACE PROPERTIES INC."/>
    <s v="BOUGAINVILLA, T.S. CRUZ SUBD, LAS PINAS CITY"/>
    <s v="LAS PIÑAS CITY"/>
    <s v="PARAÑAQUE"/>
    <m/>
    <m/>
    <x v="5"/>
    <s v="SCHED"/>
    <x v="2"/>
    <n v="173.68139999999997"/>
    <n v="360.13"/>
    <n v="69"/>
    <s v="NEW"/>
    <n v="1031830.42"/>
    <n v="198660.12000000002"/>
    <m/>
    <n v="0"/>
    <d v="2025-04-24T13:22:00"/>
    <d v="2025-04-30T13:33:00"/>
    <d v="2025-05-02T00:00:00"/>
    <m/>
    <m/>
    <m/>
    <n v="-45771.556944444441"/>
    <n v="-45777.564583333333"/>
    <n v="0"/>
    <d v="2025-05-16T01:49:42"/>
    <d v="2025-05-25T14:45:05"/>
    <d v="2025-06-13T13:22:00"/>
    <n v="-1400.071153594771"/>
    <n v="0"/>
    <n v="30"/>
    <n v="34"/>
    <n v="24.51923076923077"/>
    <n v="31.057692307692307"/>
    <n v="21.51923076923077"/>
    <n v="48"/>
    <n v="38.400000000000006"/>
    <n v="33.400000000000006"/>
    <d v="1900-02-06T09:36:00"/>
    <d v="1900-02-01T09:36:00"/>
    <m/>
    <m/>
    <m/>
    <m/>
    <m/>
    <m/>
    <m/>
    <m/>
    <x v="0"/>
  </r>
  <r>
    <s v="X25041106100"/>
    <s v="ALAN LIMCAY TAN"/>
    <s v="R. PARAS, KATARUNGAN VILLAGE, MUNTINLUPA"/>
    <s v="MUNTINLUPA CITY"/>
    <s v="PARAÑAQUE"/>
    <m/>
    <m/>
    <x v="3"/>
    <s v="SCHED"/>
    <x v="3"/>
    <n v="53.987700000000004"/>
    <n v="92.8"/>
    <n v="80"/>
    <s v="MODIFICATION"/>
    <n v="429775.22"/>
    <n v="55232.869999999995"/>
    <m/>
    <n v="0"/>
    <d v="2025-04-24T14:09:00"/>
    <d v="2025-04-30T13:53:00"/>
    <d v="2025-05-02T00:00:00"/>
    <m/>
    <m/>
    <m/>
    <n v="-45771.589583333334"/>
    <n v="-45777.578472222223"/>
    <n v="0"/>
    <d v="2025-05-13T21:21:33"/>
    <d v="2025-05-22T20:04:54"/>
    <d v="2025-06-13T14:09:00"/>
    <n v="-1539.376989823103"/>
    <n v="0"/>
    <n v="23"/>
    <n v="34"/>
    <n v="22.300380228136884"/>
    <n v="28.247148288973385"/>
    <n v="19.300380228136884"/>
    <n v="42"/>
    <n v="33.6"/>
    <n v="28.6"/>
    <d v="1900-02-01T14:24:00"/>
    <d v="1900-01-27T14:24:00"/>
    <m/>
    <m/>
    <m/>
    <m/>
    <m/>
    <m/>
    <m/>
    <m/>
    <x v="0"/>
  </r>
  <r>
    <s v="X25030864022"/>
    <s v="RAHUL DAVE DARYANI"/>
    <s v="E. RODRIGUEZ JR., STO. NINO, PARANAQUE"/>
    <s v="PARAÑAQUE CITY"/>
    <s v="PARAÑAQUE"/>
    <m/>
    <m/>
    <x v="5"/>
    <s v="SCHED"/>
    <x v="2"/>
    <n v="33.927999999999997"/>
    <n v="91.83"/>
    <n v="135"/>
    <s v="NEW"/>
    <n v="736986.61"/>
    <n v="60355.240000000005"/>
    <m/>
    <n v="0"/>
    <d v="2025-04-24T16:09:00"/>
    <d v="2025-04-30T13:34:00"/>
    <d v="2025-05-02T00:00:00"/>
    <m/>
    <m/>
    <m/>
    <n v="-45771.67291666667"/>
    <n v="-45777.56527777778"/>
    <n v="0"/>
    <d v="2025-05-13T03:38:11"/>
    <d v="2025-05-21T21:05:58"/>
    <d v="2025-06-13T16:09:00"/>
    <n v="-1598.2771657042572"/>
    <n v="0"/>
    <n v="23"/>
    <n v="32"/>
    <n v="21.478599221789885"/>
    <n v="27.206225680933851"/>
    <n v="18.478599221789885"/>
    <n v="42"/>
    <n v="33.6"/>
    <n v="28.6"/>
    <d v="1900-02-01T14:24:00"/>
    <d v="1900-01-27T14:24:00"/>
    <m/>
    <m/>
    <m/>
    <m/>
    <m/>
    <m/>
    <m/>
    <m/>
    <x v="0"/>
  </r>
  <r>
    <s v="X25010277855"/>
    <s v="MICHAEL LEANDRO ALINDOGAN NAVARRETE"/>
    <s v="GEN. EMILIO AGUINALDO, PANAPAAN V, BACOOR"/>
    <s v="BACOOR CITY"/>
    <s v="DASMA"/>
    <m/>
    <m/>
    <x v="5"/>
    <s v="SCHED"/>
    <x v="2"/>
    <n v="35.295700000000004"/>
    <n v="60.57"/>
    <n v="16"/>
    <s v="NEW"/>
    <n v="293645.59000000003"/>
    <n v="33690.04"/>
    <m/>
    <n v="0"/>
    <d v="2025-04-24T16:50:00"/>
    <d v="2025-04-30T13:12:00"/>
    <d v="2025-05-02T00:00:00"/>
    <m/>
    <m/>
    <m/>
    <n v="-45771.701388888891"/>
    <n v="-45777.55"/>
    <n v="0"/>
    <d v="2025-05-14T18:53:07"/>
    <d v="2025-05-23T22:37:57"/>
    <d v="2025-06-13T16:50:00"/>
    <n v="-1487.0274968129361"/>
    <n v="0"/>
    <n v="23"/>
    <n v="36"/>
    <n v="23.085501858736059"/>
    <n v="29.241635687732341"/>
    <n v="20.085501858736059"/>
    <n v="42"/>
    <n v="33.6"/>
    <n v="28.6"/>
    <d v="1900-02-01T14:24:00"/>
    <d v="1900-01-27T14:24:00"/>
    <m/>
    <m/>
    <m/>
    <m/>
    <m/>
    <m/>
    <m/>
    <m/>
    <x v="0"/>
  </r>
  <r>
    <s v="X25041178117"/>
    <s v="DITO TELECOMMUNITY CORPORATION"/>
    <s v="M.L. QUEZON, PUROK 6, TAGUIG CITY"/>
    <s v="TAGUIG CITY"/>
    <s v="PARAÑAQUE"/>
    <m/>
    <m/>
    <x v="1"/>
    <s v="SCHED"/>
    <x v="1"/>
    <n v="5.4239999999999995"/>
    <n v="7.43"/>
    <s v=" -   "/>
    <s v="NEW"/>
    <n v="24329.54"/>
    <n v="4660.4399999999996"/>
    <m/>
    <n v="0"/>
    <d v="2025-04-25T14:14:00"/>
    <d v="2025-04-30T12:16:00"/>
    <d v="2025-05-02T00:00:00"/>
    <m/>
    <m/>
    <m/>
    <n v="-45772.593055555553"/>
    <n v="-45777.511111111111"/>
    <n v="0"/>
    <d v="2025-05-07T14:14:00"/>
    <d v="2025-05-14T14:14:00"/>
    <d v="2025-06-14T14:14:00"/>
    <n v="-2288.6296527777777"/>
    <n v="0"/>
    <n v="20"/>
    <n v="20"/>
    <n v="15.000000000000002"/>
    <n v="19"/>
    <n v="12.000000000000002"/>
    <n v="40"/>
    <n v="32"/>
    <n v="27"/>
    <d v="1900-01-31T00:00:00"/>
    <d v="1900-01-26T00:00:00"/>
    <m/>
    <m/>
    <m/>
    <m/>
    <m/>
    <m/>
    <m/>
    <m/>
    <x v="0"/>
  </r>
  <r>
    <s v="X25030814162"/>
    <s v="ALMA DY BAGAS"/>
    <s v="SAMARIA, MULTINATIONAL VILL, PARANAQUE"/>
    <s v="PARAÑAQUE CITY"/>
    <s v="PARAÑAQUE"/>
    <m/>
    <m/>
    <x v="4"/>
    <s v="SCHED"/>
    <x v="1"/>
    <n v="46.357999999999997"/>
    <n v="84.87"/>
    <n v="80"/>
    <s v="MODIFICATION"/>
    <n v="348292.59"/>
    <n v="49186.700000000004"/>
    <m/>
    <n v="0"/>
    <d v="2025-04-27T10:54:00"/>
    <d v="2025-04-30T13:38:00"/>
    <d v="2025-05-02T00:00:00"/>
    <m/>
    <m/>
    <m/>
    <n v="-45774.45416666667"/>
    <n v="-45777.568055555559"/>
    <n v="0"/>
    <d v="2025-05-16T18:06:33"/>
    <d v="2025-05-25T16:49:54"/>
    <d v="2025-06-16T10:54:00"/>
    <n v="-1539.4733306692242"/>
    <n v="0"/>
    <n v="23"/>
    <n v="34"/>
    <n v="22.300380228136884"/>
    <n v="28.247148288973385"/>
    <n v="19.300380228136884"/>
    <n v="42"/>
    <n v="33.6"/>
    <n v="28.6"/>
    <d v="1900-02-01T14:24:00"/>
    <d v="1900-01-27T14:24:00"/>
    <m/>
    <m/>
    <m/>
    <m/>
    <m/>
    <m/>
    <m/>
    <m/>
    <x v="0"/>
  </r>
  <r>
    <s v="X23114515533"/>
    <s v="DITO TELECOMMUNITY CORPORATION"/>
    <s v="R. AVANCEÑA, KATARUNGAN VILLAGE, MUNTINLUPA"/>
    <s v="MUNTINLUPA CITY"/>
    <s v="PARAÑAQUE"/>
    <m/>
    <m/>
    <x v="3"/>
    <s v="SCHED"/>
    <x v="3"/>
    <n v="22.84"/>
    <n v="62.72"/>
    <n v="35"/>
    <s v="NEW"/>
    <n v="366995.92"/>
    <n v="39471.53"/>
    <m/>
    <n v="0"/>
    <d v="2025-04-28T13:22:00"/>
    <d v="2025-05-06T12:37:00"/>
    <d v="2025-05-06T00:00:00"/>
    <m/>
    <m/>
    <m/>
    <n v="-45775.556944444441"/>
    <n v="-45783.525694444441"/>
    <n v="0"/>
    <d v="2025-05-18T15:25:07"/>
    <d v="2025-05-27T19:09:57"/>
    <d v="2025-06-17T13:22:00"/>
    <n v="-1487.1527558038108"/>
    <n v="0"/>
    <n v="23"/>
    <n v="36"/>
    <n v="23.085501858736059"/>
    <n v="29.241635687732341"/>
    <n v="20.085501858736059"/>
    <n v="42"/>
    <n v="33.6"/>
    <n v="28.6"/>
    <d v="1900-02-01T14:24:00"/>
    <d v="1900-01-27T14:24:00"/>
    <m/>
    <m/>
    <m/>
    <m/>
    <m/>
    <m/>
    <m/>
    <m/>
    <x v="0"/>
  </r>
  <r>
    <s v="X25010187948"/>
    <s v="EDUARDO FRANCISCO CAACBAY"/>
    <s v="G.SANTOS, KATARUNGAN VILLAGE, MUNTINLUPA"/>
    <s v="MUNTINLUPA CITY"/>
    <s v="PARAÑAQUE"/>
    <m/>
    <m/>
    <x v="3"/>
    <s v="SCHED"/>
    <x v="3"/>
    <n v="171.87729999999999"/>
    <n v="340.67"/>
    <n v="45"/>
    <s v="MODIFICATION"/>
    <n v="992497.65"/>
    <n v="198244.14"/>
    <m/>
    <n v="0"/>
    <d v="2025-04-28T14:32:00"/>
    <d v="2025-05-06T12:39:00"/>
    <d v="2025-05-06T00:00:00"/>
    <m/>
    <m/>
    <m/>
    <n v="-45775.605555555558"/>
    <n v="-45783.527083333334"/>
    <n v="0"/>
    <d v="2025-05-21T01:51:15"/>
    <d v="2025-05-30T20:52:23"/>
    <d v="2025-06-17T14:32:00"/>
    <n v="-1347.8372746913578"/>
    <n v="0"/>
    <n v="30"/>
    <n v="36"/>
    <n v="25.471698113207545"/>
    <n v="32.264150943396224"/>
    <n v="22.471698113207545"/>
    <n v="48"/>
    <n v="38.400000000000006"/>
    <n v="33.400000000000006"/>
    <d v="1900-02-06T09:36:00"/>
    <d v="1900-02-01T09:36:00"/>
    <m/>
    <m/>
    <m/>
    <m/>
    <m/>
    <m/>
    <m/>
    <m/>
    <x v="0"/>
  </r>
  <r>
    <s v="X25010021411"/>
    <s v="FRANCES CHRISTINE RAMIREZ AGUIRRE"/>
    <s v="DAO, MAYWOOD VILL, PARANAQUE"/>
    <s v="PARAÑAQUE CITY"/>
    <s v="PARAÑAQUE"/>
    <m/>
    <m/>
    <x v="3"/>
    <s v="SCHED"/>
    <x v="3"/>
    <n v="135.69099999999995"/>
    <n v="243.78"/>
    <n v="64"/>
    <s v="MODIFICATION"/>
    <n v="813670.22"/>
    <n v="136773.92000000001"/>
    <m/>
    <n v="0"/>
    <d v="2025-04-28T15:59:00"/>
    <d v="2025-05-06T13:08:00"/>
    <d v="2025-05-06T00:00:00"/>
    <m/>
    <m/>
    <m/>
    <n v="-45775.665972222225"/>
    <n v="-45783.547222222223"/>
    <n v="0"/>
    <d v="2025-05-19T15:01:01"/>
    <d v="2025-05-29T00:21:33"/>
    <d v="2025-06-17T15:59:00"/>
    <n v="-1432.8937457691409"/>
    <n v="0"/>
    <n v="28"/>
    <n v="34"/>
    <n v="23.959731543624162"/>
    <n v="30.348993288590602"/>
    <n v="20.959731543624162"/>
    <n v="46"/>
    <n v="36.800000000000004"/>
    <n v="31.800000000000004"/>
    <d v="1900-02-04T19:12:00"/>
    <d v="1900-01-30T19:12:00"/>
    <m/>
    <m/>
    <m/>
    <m/>
    <m/>
    <m/>
    <m/>
    <m/>
    <x v="0"/>
  </r>
  <r>
    <s v="X25020687798"/>
    <s v="TWIN KARAT REALTY CORPORATION"/>
    <s v="QUIRINO, SAN DIONISIO, PARANAQUE"/>
    <s v="PARAÑAQUE CITY"/>
    <s v="PARAÑAQUE"/>
    <m/>
    <m/>
    <x v="5"/>
    <s v="SCHED"/>
    <x v="2"/>
    <n v="117.53489999999999"/>
    <n v="361.03"/>
    <n v="526"/>
    <s v="NEW"/>
    <n v="1305014.67"/>
    <n v="219118.06"/>
    <m/>
    <n v="0"/>
    <d v="2025-04-28T16:01:00"/>
    <d v="2025-05-06T13:10:00"/>
    <d v="2025-05-06T00:00:00"/>
    <m/>
    <m/>
    <m/>
    <n v="-45775.667361111111"/>
    <n v="-45783.548611111109"/>
    <n v="0"/>
    <d v="2025-05-14T05:10:41"/>
    <d v="2025-05-22T03:53:15"/>
    <d v="2025-06-17T16:01:00"/>
    <n v="-1850.9291585144927"/>
    <n v="0"/>
    <n v="30"/>
    <n v="23"/>
    <n v="18.548387096774192"/>
    <n v="23.494623655913976"/>
    <n v="15.548387096774192"/>
    <n v="48"/>
    <n v="38.400000000000006"/>
    <n v="33.400000000000006"/>
    <d v="1900-02-06T09:36:00"/>
    <d v="1900-02-01T09:36:00"/>
    <m/>
    <m/>
    <m/>
    <m/>
    <m/>
    <m/>
    <m/>
    <m/>
    <x v="0"/>
  </r>
  <r>
    <s v="X25010121042"/>
    <s v="MODISSOL PROPERTY MANAGEMENT CORPORATION"/>
    <s v="EL GRANDE, BF HOMES, PARANAQUE"/>
    <s v="PARAÑAQUE CITY"/>
    <s v="PARAÑAQUE"/>
    <m/>
    <m/>
    <x v="3"/>
    <s v="SCHED"/>
    <x v="3"/>
    <n v="25.4528"/>
    <n v="76.27"/>
    <n v="306"/>
    <s v="NEW"/>
    <n v="823914.89"/>
    <n v="48086.01"/>
    <m/>
    <n v="0"/>
    <d v="2025-04-28T16:03:00"/>
    <d v="2025-05-06T13:09:00"/>
    <d v="2025-05-06T00:00:00"/>
    <m/>
    <m/>
    <m/>
    <n v="-45775.668749999997"/>
    <n v="-45783.54791666667"/>
    <n v="0"/>
    <d v="2025-05-15T09:11:34"/>
    <d v="2025-05-23T15:21:51"/>
    <d v="2025-06-17T16:03:00"/>
    <n v="-1741.4656589673909"/>
    <n v="0"/>
    <n v="23"/>
    <n v="28"/>
    <n v="19.714285714285715"/>
    <n v="24.971428571428572"/>
    <n v="16.714285714285715"/>
    <n v="42"/>
    <n v="33.6"/>
    <n v="28.6"/>
    <d v="1900-02-01T14:24:00"/>
    <d v="1900-01-27T14:24:00"/>
    <m/>
    <m/>
    <m/>
    <m/>
    <m/>
    <m/>
    <m/>
    <m/>
    <x v="0"/>
  </r>
  <r>
    <s v="X25031083142"/>
    <s v="ELOISA R PONCE"/>
    <s v="BLOCK 132, SITIO IMELDA, TAGUIG CITY"/>
    <s v="TAGUIG CITY"/>
    <s v="PARAÑAQUE"/>
    <m/>
    <m/>
    <x v="1"/>
    <s v="SCHED"/>
    <x v="1"/>
    <n v="0.53"/>
    <n v="7.05"/>
    <n v="8"/>
    <s v="NEW"/>
    <n v="21339.45"/>
    <n v="4424.9500000000007"/>
    <m/>
    <n v="0"/>
    <d v="2025-04-29T08:11:00"/>
    <d v="2025-05-06T13:12:00"/>
    <d v="2025-05-06T00:00:00"/>
    <m/>
    <m/>
    <m/>
    <n v="-45776.34097222222"/>
    <n v="-45783.55"/>
    <n v="0"/>
    <d v="2025-05-18T02:45:50"/>
    <d v="2025-05-26T22:07:08"/>
    <d v="2025-06-18T08:11:00"/>
    <n v="-1576.7406334876541"/>
    <n v="0"/>
    <n v="20"/>
    <n v="36"/>
    <n v="21.774193548387096"/>
    <n v="27.58064516129032"/>
    <n v="18.774193548387096"/>
    <n v="40"/>
    <n v="32"/>
    <n v="27"/>
    <d v="1900-01-31T00:00:00"/>
    <d v="1900-01-26T00:00:00"/>
    <m/>
    <m/>
    <m/>
    <m/>
    <m/>
    <m/>
    <m/>
    <m/>
    <x v="0"/>
  </r>
  <r>
    <s v="X25041129915"/>
    <s v="ROSE ANNE A. AGUIRRE"/>
    <s v="C. PALANCA SR., BF HOMES, PARANAQUE"/>
    <s v="PARAÑAQUE CITY"/>
    <s v="PARAÑAQUE"/>
    <m/>
    <m/>
    <x v="4"/>
    <s v="SCHED"/>
    <x v="1"/>
    <n v="115.23949999999999"/>
    <n v="233.37"/>
    <n v="42"/>
    <s v="MODIFICATION"/>
    <n v="733089.1"/>
    <n v="131663.28000000003"/>
    <m/>
    <n v="0"/>
    <d v="2025-04-29T16:12:00"/>
    <d v="2025-05-06T13:13:00"/>
    <d v="2025-05-06T00:00:00"/>
    <m/>
    <m/>
    <m/>
    <n v="-45776.675000000003"/>
    <n v="-45783.550694444442"/>
    <n v="0"/>
    <d v="2025-05-21T13:02:32"/>
    <d v="2025-05-31T04:12:00"/>
    <d v="2025-06-18T16:12:00"/>
    <n v="-1380.5663888888889"/>
    <n v="0"/>
    <n v="28"/>
    <n v="36"/>
    <n v="24.868421052631579"/>
    <n v="31.499999999999996"/>
    <n v="21.868421052631579"/>
    <n v="46"/>
    <n v="36.800000000000004"/>
    <n v="31.800000000000004"/>
    <d v="1900-02-04T19:12:00"/>
    <d v="1900-01-30T19:12:00"/>
    <m/>
    <m/>
    <m/>
    <m/>
    <m/>
    <m/>
    <m/>
    <m/>
    <x v="0"/>
  </r>
  <r>
    <s v="X25041129547"/>
    <s v="S3A UNTIED INC."/>
    <s v="PACIFIC AVE, MARINA SUBD, PARANAQUE"/>
    <s v="PARAÑAQUE CITY"/>
    <s v="PARAÑAQUE"/>
    <m/>
    <m/>
    <x v="5"/>
    <s v="FCOMP"/>
    <x v="2"/>
    <n v="7.61"/>
    <n v="21.18"/>
    <s v=" -   "/>
    <s v="TERMINATION"/>
    <n v="23102.58"/>
    <n v="13412.51"/>
    <m/>
    <n v="0"/>
    <d v="2025-04-30T08:20:00"/>
    <d v="2025-04-14T00:00:00"/>
    <d v="2025-05-06T00:00:00"/>
    <d v="2025-05-05T00:00:00"/>
    <d v="2025-05-05T00:00:00"/>
    <m/>
    <n v="4.6527777777810115"/>
    <n v="21"/>
    <n v="-45782"/>
    <d v="2025-05-12T08:20:00"/>
    <d v="2025-05-19T08:20:00"/>
    <d v="2025-06-19T08:20:00"/>
    <n v="0.23263888888905054"/>
    <n v="-1144.55"/>
    <n v="20"/>
    <n v="20"/>
    <n v="15.000000000000002"/>
    <n v="19"/>
    <n v="12.000000000000002"/>
    <n v="40"/>
    <n v="32"/>
    <n v="27"/>
    <d v="2025-06-06T00:00:00"/>
    <d v="2025-06-01T00:00:00"/>
    <m/>
    <m/>
    <m/>
    <m/>
    <m/>
    <m/>
    <m/>
    <m/>
    <x v="1"/>
  </r>
  <r>
    <s v="X25041173300"/>
    <s v="ALBERT TIONGSON LORENZO"/>
    <s v="BACOOR, MAMBOG IV, BACOOR"/>
    <s v="BACOOR CITY"/>
    <s v="DASMA"/>
    <m/>
    <m/>
    <x v="5"/>
    <s v="SCHED"/>
    <x v="2"/>
    <n v="43.404699999999998"/>
    <n v="106.07"/>
    <n v="25"/>
    <s v="NEW"/>
    <n v="479294.17"/>
    <n v="73631.56"/>
    <m/>
    <n v="0"/>
    <d v="2025-04-30T08:47:00"/>
    <d v="2025-05-06T13:17:00"/>
    <d v="2025-05-06T00:00:00"/>
    <m/>
    <m/>
    <m/>
    <n v="-45777.365972222222"/>
    <n v="-45783.553472222222"/>
    <n v="0"/>
    <d v="2025-05-21T13:44:56"/>
    <d v="2025-05-31T00:40:23"/>
    <d v="2025-06-19T08:47:00"/>
    <n v="-1418.3158260624407"/>
    <n v="0"/>
    <n v="26"/>
    <n v="36"/>
    <n v="24.206896551724139"/>
    <n v="30.662068965517239"/>
    <n v="21.206896551724139"/>
    <n v="44"/>
    <n v="35.200000000000003"/>
    <n v="30.200000000000003"/>
    <d v="1900-02-03T04:48:00"/>
    <d v="1900-01-29T04:48:00"/>
    <m/>
    <m/>
    <m/>
    <m/>
    <m/>
    <m/>
    <m/>
    <m/>
    <x v="0"/>
  </r>
  <r>
    <s v="X25010301742"/>
    <s v="CITIHARDWARE BACOLOD, INC."/>
    <s v="NATIONAL, TUNASAN, MUNTINLUPA"/>
    <s v="MUNTINLUPA CITY"/>
    <s v="PARAÑAQUE"/>
    <m/>
    <m/>
    <x v="3"/>
    <s v="FCOMP"/>
    <x v="3"/>
    <n v="3.92"/>
    <n v="23.93"/>
    <n v="127"/>
    <s v="NEW"/>
    <n v="48368.01"/>
    <n v="15002.04"/>
    <m/>
    <n v="0"/>
    <d v="2025-04-30T12:32:00"/>
    <d v="2025-05-06T13:19:00"/>
    <d v="2025-05-06T00:00:00"/>
    <m/>
    <d v="2025-05-20T00:00:00"/>
    <m/>
    <n v="19.477777777778101"/>
    <n v="13.445138888891961"/>
    <n v="-45797"/>
    <d v="2025-05-17T20:40:08"/>
    <d v="2025-05-26T06:50:18"/>
    <d v="2025-06-19T12:32:00"/>
    <n v="0.71824305555556744"/>
    <n v="-1144.925"/>
    <n v="20"/>
    <n v="32"/>
    <n v="20.33898305084746"/>
    <n v="25.762711864406779"/>
    <n v="17.33898305084746"/>
    <n v="40"/>
    <n v="32"/>
    <n v="27"/>
    <d v="2025-06-21T00:00:00"/>
    <d v="2025-06-16T00:00:00"/>
    <m/>
    <m/>
    <m/>
    <m/>
    <m/>
    <m/>
    <m/>
    <m/>
    <x v="1"/>
  </r>
  <r>
    <s v="X25020573238"/>
    <s v="REIGNWOOD DEVELOPMENT CORPORATION"/>
    <s v="BLOCK 1B, BENEDETTO RESIDENCES, LAS PINAS CITY"/>
    <s v="LAS PIÑAS CITY"/>
    <s v="PARAÑAQUE"/>
    <m/>
    <m/>
    <x v="4"/>
    <s v="SCHED"/>
    <x v="1"/>
    <n v="38.218499999999999"/>
    <n v="76.150000000000006"/>
    <n v="49"/>
    <s v="NEW"/>
    <n v="354540.41"/>
    <n v="43995.979999999996"/>
    <m/>
    <n v="0"/>
    <d v="2025-04-30T12:34:00"/>
    <d v="2025-05-06T13:15:00"/>
    <d v="2025-05-06T00:00:00"/>
    <m/>
    <m/>
    <m/>
    <n v="-45777.523611111108"/>
    <n v="-45783.552083333336"/>
    <n v="0"/>
    <d v="2025-05-20T14:37:07"/>
    <d v="2025-05-29T18:21:57"/>
    <d v="2025-06-19T12:34:00"/>
    <n v="-1487.2166487184647"/>
    <n v="0"/>
    <n v="23"/>
    <n v="36"/>
    <n v="23.085501858736059"/>
    <n v="29.241635687732341"/>
    <n v="20.085501858736059"/>
    <n v="42"/>
    <n v="33.6"/>
    <n v="28.6"/>
    <d v="1900-02-01T14:24:00"/>
    <d v="1900-01-27T14:24:00"/>
    <m/>
    <m/>
    <m/>
    <m/>
    <m/>
    <m/>
    <m/>
    <m/>
    <x v="0"/>
  </r>
  <r>
    <s v="X25020460240"/>
    <s v="PHILIPPINE SEVEN CORPORATION"/>
    <s v="17TH A, STO. NINO, PARANAQUE"/>
    <s v="PARAÑAQUE CITY"/>
    <s v="PARAÑAQUE"/>
    <m/>
    <m/>
    <x v="5"/>
    <s v="SCHED"/>
    <x v="2"/>
    <n v="2.73"/>
    <n v="46.4"/>
    <n v="34"/>
    <s v="NEW"/>
    <n v="92215.08"/>
    <n v="29093.82"/>
    <m/>
    <n v="0"/>
    <d v="2025-04-30T15:21:00"/>
    <d v="2025-05-06T13:29:00"/>
    <d v="2025-05-06T00:00:00"/>
    <m/>
    <m/>
    <m/>
    <n v="-45777.63958333333"/>
    <n v="-45783.561805555553"/>
    <n v="0"/>
    <d v="2025-05-19T09:55:50"/>
    <d v="2025-05-28T05:17:08"/>
    <d v="2025-06-19T15:21:00"/>
    <n v="-1576.7853634259259"/>
    <n v="0"/>
    <n v="20"/>
    <n v="36"/>
    <n v="21.774193548387096"/>
    <n v="27.58064516129032"/>
    <n v="18.774193548387096"/>
    <n v="40"/>
    <n v="32"/>
    <n v="27"/>
    <d v="1900-01-31T00:00:00"/>
    <d v="1900-01-26T00:00:00"/>
    <m/>
    <m/>
    <m/>
    <m/>
    <m/>
    <m/>
    <m/>
    <m/>
    <x v="0"/>
  </r>
  <r>
    <s v="X24104298635"/>
    <s v="ANKONG HOLDINGS, INC."/>
    <s v="JAIME, AIRPORT VILL, PARANAQUE"/>
    <s v="PARAÑAQUE CITY"/>
    <s v="PARAÑAQUE"/>
    <m/>
    <m/>
    <x v="5"/>
    <s v="SCHED"/>
    <x v="2"/>
    <n v="717.29960000000051"/>
    <n v="1101.32"/>
    <n v="358"/>
    <s v="NEW"/>
    <n v="2507240.06"/>
    <n v="774008.20999999926"/>
    <m/>
    <n v="0"/>
    <d v="2025-04-30T18:17:00"/>
    <d v="2025-05-06T13:22:00"/>
    <d v="2025-05-06T00:00:00"/>
    <m/>
    <m/>
    <m/>
    <n v="-45777.761805555558"/>
    <n v="-45783.556944444441"/>
    <n v="0"/>
    <d v="2025-05-21T22:55:43"/>
    <d v="2025-05-31T09:46:02"/>
    <d v="2025-06-19T18:17:00"/>
    <n v="-1419.1106159722221"/>
    <n v="0"/>
    <n v="50"/>
    <n v="28"/>
    <n v="24.193548387096776"/>
    <n v="30.64516129032258"/>
    <n v="21.193548387096776"/>
    <n v="60"/>
    <n v="48"/>
    <n v="43"/>
    <d v="1900-02-16T00:00:00"/>
    <d v="1900-02-11T00:00:00"/>
    <m/>
    <m/>
    <m/>
    <m/>
    <m/>
    <m/>
    <m/>
    <m/>
    <x v="0"/>
  </r>
  <r>
    <s v="X25020417967"/>
    <s v="PHILIPPINE SEVEN CORPORATION"/>
    <s v="RIZAL, POBLACION, MUNTINLUPA"/>
    <s v="MUNTINLUPA CITY"/>
    <s v="PARAÑAQUE"/>
    <m/>
    <m/>
    <x v="3"/>
    <s v="FCOMP"/>
    <x v="3"/>
    <n v="2.73"/>
    <n v="11.57"/>
    <n v="46"/>
    <s v="NEW"/>
    <n v="36093.360000000001"/>
    <n v="7260.5400000000009"/>
    <m/>
    <n v="0"/>
    <d v="2025-05-02T10:06:00"/>
    <d v="2025-05-09T14:35:00"/>
    <d v="2025-05-09T00:00:00"/>
    <m/>
    <d v="2025-05-20T00:00:00"/>
    <m/>
    <n v="17.579166666670062"/>
    <n v="10.392361111109494"/>
    <n v="-45797"/>
    <d v="2025-05-21T04:40:50"/>
    <d v="2025-05-30T00:02:08"/>
    <d v="2025-06-21T10:06:00"/>
    <n v="0.6055046296297466"/>
    <n v="-1144.925"/>
    <n v="20"/>
    <n v="36"/>
    <n v="21.774193548387096"/>
    <n v="27.58064516129032"/>
    <n v="18.774193548387096"/>
    <n v="40"/>
    <n v="32"/>
    <n v="27"/>
    <d v="2025-06-21T00:00:00"/>
    <d v="2025-06-16T00:00:00"/>
    <m/>
    <m/>
    <m/>
    <m/>
    <m/>
    <m/>
    <m/>
    <m/>
    <x v="1"/>
  </r>
  <r>
    <s v="X24072778613"/>
    <s v="CITY GOVERNMENT OF MUNTINLUPA"/>
    <s v="TYPE C, NEW BILIBID PRISONS, MUNTINLUPA"/>
    <s v="MUNTINLUPA CITY"/>
    <s v="PARAÑAQUE"/>
    <m/>
    <m/>
    <x v="3"/>
    <s v="SCHED"/>
    <x v="3"/>
    <n v="498.6333999999996"/>
    <n v="1080.42"/>
    <n v="460"/>
    <s v="NEW"/>
    <n v="3706759.37"/>
    <n v="634240.71999999951"/>
    <m/>
    <n v="0"/>
    <d v="2025-05-02T10:16:00"/>
    <d v="2025-05-09T14:37:00"/>
    <d v="2025-05-09T00:00:00"/>
    <m/>
    <m/>
    <m/>
    <n v="-45779.427777777775"/>
    <n v="-45786.609027777777"/>
    <n v="0"/>
    <d v="2025-05-22T04:59:44"/>
    <d v="2025-05-31T06:47:24"/>
    <d v="2025-06-21T10:16:00"/>
    <n v="-1507.1996222222219"/>
    <n v="0"/>
    <n v="50"/>
    <n v="26"/>
    <n v="22.780373831775702"/>
    <n v="28.855140186915886"/>
    <n v="19.780373831775702"/>
    <n v="60"/>
    <n v="48"/>
    <n v="43"/>
    <d v="1900-02-16T00:00:00"/>
    <d v="1900-02-11T00:00:00"/>
    <m/>
    <m/>
    <m/>
    <m/>
    <m/>
    <m/>
    <m/>
    <m/>
    <x v="0"/>
  </r>
  <r>
    <s v="X25030757040"/>
    <s v="AMBICA INTERNATIONAL CORPORATION"/>
    <s v="MERVILLE ACCESS, KALAYAAN VILL/BALAGBAG, PASAY CITY"/>
    <s v="PASAY CITY"/>
    <s v="PARAÑAQUE"/>
    <m/>
    <m/>
    <x v="1"/>
    <s v="SCHED"/>
    <x v="1"/>
    <n v="153.19200000000006"/>
    <n v="352.12"/>
    <n v="378.94"/>
    <s v="MODIFICATION"/>
    <n v="1682589.76"/>
    <n v="212028.41000000003"/>
    <m/>
    <n v="0"/>
    <d v="2025-05-02T16:44:00"/>
    <d v="2025-05-09T14:42:00"/>
    <d v="2025-05-09T00:00:00"/>
    <m/>
    <m/>
    <m/>
    <n v="-45779.697222222225"/>
    <n v="-45786.612500000003"/>
    <n v="0"/>
    <d v="2025-05-21T03:01:09"/>
    <d v="2025-05-29T20:09:43"/>
    <d v="2025-06-21T16:44:00"/>
    <n v="-1602.2894027777779"/>
    <n v="0"/>
    <n v="30"/>
    <n v="28"/>
    <n v="21.428571428571431"/>
    <n v="27.142857142857146"/>
    <n v="18.428571428571431"/>
    <n v="48"/>
    <n v="38.400000000000006"/>
    <n v="33.400000000000006"/>
    <d v="1900-02-06T09:36:00"/>
    <d v="1900-02-01T09:36:00"/>
    <m/>
    <m/>
    <m/>
    <m/>
    <m/>
    <m/>
    <m/>
    <m/>
    <x v="0"/>
  </r>
  <r>
    <s v="X25041157540"/>
    <s v="DULCINEA BALCE SANTOS"/>
    <s v="HAITI, BETTER LIVING SUBD, PARANAQUE"/>
    <s v="PARAÑAQUE CITY"/>
    <s v="PARAÑAQUE"/>
    <m/>
    <m/>
    <x v="1"/>
    <s v="SCHED"/>
    <x v="1"/>
    <n v="198.77860000000004"/>
    <n v="402.43"/>
    <n v="45.08"/>
    <s v="MODIFICATION"/>
    <n v="980637.8"/>
    <n v="244599.77999999997"/>
    <m/>
    <n v="0"/>
    <d v="2025-05-02T16:45:00"/>
    <d v="2025-05-09T14:33:00"/>
    <d v="2025-05-09T00:00:00"/>
    <m/>
    <m/>
    <m/>
    <n v="-45779.697916666664"/>
    <n v="-45786.606249999997"/>
    <n v="0"/>
    <d v="2025-05-25T17:19:42"/>
    <d v="2025-06-04T15:52:57"/>
    <d v="2025-06-21T16:45:00"/>
    <n v="-1319.3454607928238"/>
    <n v="0"/>
    <n v="32"/>
    <n v="36"/>
    <n v="26.024096385542165"/>
    <n v="32.963855421686745"/>
    <n v="23.024096385542165"/>
    <n v="50"/>
    <n v="40"/>
    <n v="35"/>
    <d v="1900-02-08T00:00:00"/>
    <d v="1900-02-03T00:00:00"/>
    <m/>
    <m/>
    <m/>
    <m/>
    <m/>
    <m/>
    <m/>
    <m/>
    <x v="0"/>
  </r>
  <r>
    <s v="X25010240572"/>
    <s v="ARARA DEVELOPMENT CORPORATION"/>
    <s v="ALEXANDER, PALM PLACE PREMIER LEVITOWN 10, PARANAQUE"/>
    <s v="PARAÑAQUE CITY"/>
    <s v="PARAÑAQUE"/>
    <m/>
    <m/>
    <x v="4"/>
    <s v="SCHED"/>
    <x v="1"/>
    <n v="1.73"/>
    <n v="5.5"/>
    <n v="23"/>
    <s v="NEW"/>
    <n v="20007.810000000001"/>
    <n v="3462.72"/>
    <m/>
    <n v="0"/>
    <d v="2025-05-02T16:53:00"/>
    <d v="2025-05-09T14:39:00"/>
    <d v="2025-05-09T00:00:00"/>
    <m/>
    <m/>
    <m/>
    <n v="-45779.703472222223"/>
    <n v="-45786.61041666667"/>
    <n v="0"/>
    <d v="2025-05-21T11:27:50"/>
    <d v="2025-05-30T06:49:08"/>
    <d v="2025-06-21T16:53:00"/>
    <n v="-1576.8564529320988"/>
    <n v="0"/>
    <n v="20"/>
    <n v="36"/>
    <n v="21.774193548387096"/>
    <n v="27.58064516129032"/>
    <n v="18.774193548387096"/>
    <n v="40"/>
    <n v="32"/>
    <n v="27"/>
    <d v="1900-01-31T00:00:00"/>
    <d v="1900-01-26T00:00:00"/>
    <m/>
    <m/>
    <m/>
    <m/>
    <m/>
    <m/>
    <m/>
    <m/>
    <x v="0"/>
  </r>
  <r>
    <s v="X25010240570"/>
    <s v="ARARA DEVELOPMENT CORPORATION"/>
    <s v="ALEXANDER, PALM PLACE PREMIER LEVITOWN 10, PARANAQUE"/>
    <s v="PARAÑAQUE CITY"/>
    <s v="PARAÑAQUE"/>
    <m/>
    <m/>
    <x v="4"/>
    <s v="SCHED"/>
    <x v="1"/>
    <n v="147.28259999999995"/>
    <n v="272.14999999999998"/>
    <n v="23"/>
    <s v="NEW"/>
    <n v="654716.53"/>
    <n v="167431.29000000007"/>
    <m/>
    <n v="0"/>
    <d v="2025-05-02T16:54:00"/>
    <d v="2025-05-09T14:39:00"/>
    <d v="2025-05-09T00:00:00"/>
    <m/>
    <m/>
    <m/>
    <n v="-45779.70416666667"/>
    <n v="-45786.61041666667"/>
    <n v="0"/>
    <d v="2025-05-24T13:44:32"/>
    <d v="2025-06-03T04:54:00"/>
    <d v="2025-06-21T16:54:00"/>
    <n v="-1380.6577447089949"/>
    <n v="0"/>
    <n v="28"/>
    <n v="36"/>
    <n v="24.868421052631579"/>
    <n v="31.499999999999996"/>
    <n v="21.868421052631579"/>
    <n v="46"/>
    <n v="36.800000000000004"/>
    <n v="31.800000000000004"/>
    <d v="1900-02-04T19:12:00"/>
    <d v="1900-01-30T19:12:00"/>
    <m/>
    <m/>
    <m/>
    <m/>
    <m/>
    <m/>
    <m/>
    <m/>
    <x v="0"/>
  </r>
  <r>
    <s v="X24083326443"/>
    <s v="SIONIL BUILDERS CORPORATION"/>
    <s v="ROAD 9E, UNITED PARANAQUE 5, PARANAQUE"/>
    <s v="PARAÑAQUE CITY"/>
    <s v="PARAÑAQUE"/>
    <m/>
    <m/>
    <x v="5"/>
    <s v="SCHED"/>
    <x v="2"/>
    <n v="87.700400000000002"/>
    <n v="164.48"/>
    <n v="5"/>
    <s v="NEW"/>
    <n v="507884.07"/>
    <n v="83989.75"/>
    <m/>
    <n v="0"/>
    <d v="2025-05-02T16:58:00"/>
    <d v="2025-05-09T14:40:00"/>
    <d v="2025-05-09T00:00:00"/>
    <m/>
    <m/>
    <m/>
    <n v="-45779.706944444442"/>
    <n v="-45786.611111111109"/>
    <n v="0"/>
    <d v="2025-05-23T21:55:56"/>
    <d v="2025-06-02T08:51:23"/>
    <d v="2025-06-21T16:58:00"/>
    <n v="-1418.3883561847101"/>
    <n v="0"/>
    <n v="26"/>
    <n v="36"/>
    <n v="24.206896551724139"/>
    <n v="30.662068965517239"/>
    <n v="21.206896551724139"/>
    <n v="44"/>
    <n v="35.200000000000003"/>
    <n v="30.200000000000003"/>
    <d v="1900-02-03T04:48:00"/>
    <d v="1900-01-29T04:48:00"/>
    <m/>
    <m/>
    <m/>
    <m/>
    <m/>
    <m/>
    <m/>
    <m/>
    <x v="0"/>
  </r>
  <r>
    <s v="X25020485881"/>
    <s v="CORAZON SISON MANALO"/>
    <s v="EVERLASTING, SOUTH GREENHEIGHTS VILL, MUNTINLUPA"/>
    <s v="MUNTINLUPA CITY"/>
    <s v="PARAÑAQUE"/>
    <m/>
    <m/>
    <x v="3"/>
    <s v="SCHED"/>
    <x v="3"/>
    <n v="133.1267"/>
    <n v="92.27"/>
    <n v="36"/>
    <s v="MODIFICATION"/>
    <n v="340226.15"/>
    <n v="87755.27"/>
    <m/>
    <n v="0"/>
    <d v="2025-05-05T08:45:00"/>
    <d v="2025-05-14T12:29:00"/>
    <d v="2025-05-14T00:00:00"/>
    <m/>
    <m/>
    <m/>
    <n v="-45782.364583333336"/>
    <n v="-45791.520138888889"/>
    <n v="0"/>
    <d v="2025-05-25T10:48:07"/>
    <d v="2025-06-03T14:32:57"/>
    <d v="2025-06-24T08:45:00"/>
    <n v="-1487.373921849839"/>
    <n v="0"/>
    <n v="23"/>
    <n v="36"/>
    <n v="23.085501858736059"/>
    <n v="29.241635687732341"/>
    <n v="20.085501858736059"/>
    <n v="42"/>
    <n v="33.6"/>
    <n v="28.6"/>
    <d v="1900-02-01T14:24:00"/>
    <d v="1900-01-27T14:24:00"/>
    <m/>
    <m/>
    <m/>
    <m/>
    <m/>
    <m/>
    <m/>
    <m/>
    <x v="0"/>
  </r>
  <r>
    <s v="X25030842100"/>
    <s v="CITY GOVERNMENT OF TAGUIG"/>
    <s v="MAGSAYSAY, PUROK 2A, TAGUIG CITY"/>
    <s v="TAGUIG CITY"/>
    <s v="PARAÑAQUE"/>
    <m/>
    <m/>
    <x v="1"/>
    <s v="SCHED"/>
    <x v="1"/>
    <n v="11.9833"/>
    <n v="17.57"/>
    <n v="7"/>
    <s v="NEW"/>
    <n v="148625.41"/>
    <n v="11086.840000000002"/>
    <m/>
    <n v="0"/>
    <d v="2025-05-05T08:50:00"/>
    <d v="2025-05-12T13:46:00"/>
    <d v="2025-05-13T00:00:00"/>
    <m/>
    <m/>
    <m/>
    <n v="-45782.368055555555"/>
    <n v="-45789.573611111111"/>
    <n v="0"/>
    <d v="2025-05-24T03:24:50"/>
    <d v="2025-06-01T22:46:08"/>
    <d v="2025-06-24T08:50:00"/>
    <n v="-1576.948233024691"/>
    <n v="0"/>
    <n v="20"/>
    <n v="36"/>
    <n v="21.774193548387096"/>
    <n v="27.58064516129032"/>
    <n v="18.774193548387096"/>
    <n v="40"/>
    <n v="32"/>
    <n v="27"/>
    <d v="1900-01-31T00:00:00"/>
    <d v="1900-01-26T00:00:00"/>
    <m/>
    <m/>
    <m/>
    <m/>
    <m/>
    <m/>
    <m/>
    <m/>
    <x v="0"/>
  </r>
  <r>
    <s v="X24103987583"/>
    <s v="DITO TELECOMMUNITY CORPORATION"/>
    <s v="LIRIO, SAN ISIDRO, PARANAQUE"/>
    <s v="PARAÑAQUE CITY"/>
    <s v="PARAÑAQUE"/>
    <m/>
    <m/>
    <x v="5"/>
    <s v="SCHED"/>
    <x v="2"/>
    <n v="77.110299999999995"/>
    <n v="131.22999999999999"/>
    <n v="22"/>
    <s v="NEW"/>
    <n v="463503.11"/>
    <n v="82828.499999999985"/>
    <m/>
    <n v="0"/>
    <d v="2025-05-05T11:16:00"/>
    <d v="2025-05-12T13:41:00"/>
    <d v="2025-05-13T00:00:00"/>
    <m/>
    <m/>
    <m/>
    <n v="-45782.469444444447"/>
    <n v="-45789.570138888892"/>
    <n v="0"/>
    <d v="2025-05-26T16:13:56"/>
    <d v="2025-06-05T03:09:23"/>
    <d v="2025-06-24T11:16:00"/>
    <n v="-1418.4739464624881"/>
    <n v="0"/>
    <n v="26"/>
    <n v="36"/>
    <n v="24.206896551724139"/>
    <n v="30.662068965517239"/>
    <n v="21.206896551724139"/>
    <n v="44"/>
    <n v="35.200000000000003"/>
    <n v="30.200000000000003"/>
    <d v="1900-02-03T04:48:00"/>
    <d v="1900-01-29T04:48:00"/>
    <m/>
    <m/>
    <m/>
    <m/>
    <m/>
    <m/>
    <m/>
    <m/>
    <x v="0"/>
  </r>
  <r>
    <s v="X25010252654"/>
    <s v="ENRIQUE JOSE NUGUID LIM"/>
    <s v="BURGOS, TOWN AND COUNTRY WEST SUBD, BACOOR"/>
    <s v="BACOOR CITY"/>
    <s v="DASMA"/>
    <m/>
    <m/>
    <x v="5"/>
    <s v="SCHED"/>
    <x v="2"/>
    <n v="160.30519999999993"/>
    <n v="310.37"/>
    <n v="25"/>
    <s v="NEW"/>
    <n v="802915.53"/>
    <n v="185129.56000000003"/>
    <m/>
    <n v="0"/>
    <d v="2025-05-05T14:49:00"/>
    <d v="2025-05-14T12:28:00"/>
    <d v="2025-05-14T00:00:00"/>
    <m/>
    <m/>
    <m/>
    <n v="-45782.617361111108"/>
    <n v="-45791.519444444442"/>
    <n v="0"/>
    <d v="2025-05-28T02:08:15"/>
    <d v="2025-06-06T21:09:23"/>
    <d v="2025-06-24T14:49:00"/>
    <n v="-1348.0437334104936"/>
    <n v="0"/>
    <n v="30"/>
    <n v="36"/>
    <n v="25.471698113207545"/>
    <n v="32.264150943396224"/>
    <n v="22.471698113207545"/>
    <n v="48"/>
    <n v="38.400000000000006"/>
    <n v="33.400000000000006"/>
    <d v="1900-02-06T09:36:00"/>
    <d v="1900-02-01T09:36:00"/>
    <m/>
    <m/>
    <m/>
    <m/>
    <m/>
    <m/>
    <m/>
    <m/>
    <x v="0"/>
  </r>
  <r>
    <s v="X25020524644"/>
    <s v="TIERRA BELLA PROPERTIES INC."/>
    <s v="PRES. M. ROXAS, TAMBO, PARANAQUE"/>
    <s v="PARAÑAQUE CITY"/>
    <s v="PARAÑAQUE"/>
    <m/>
    <m/>
    <x v="3"/>
    <s v="FCOMP"/>
    <x v="3"/>
    <n v="27.502800000000001"/>
    <n v="73"/>
    <n v="131"/>
    <s v="NEW"/>
    <n v="676674.86"/>
    <n v="45931.94000000001"/>
    <m/>
    <n v="0"/>
    <d v="2025-05-05T14:52:00"/>
    <d v="2025-05-07T13:20:00"/>
    <d v="2025-05-08T00:00:00"/>
    <m/>
    <d v="2025-05-15T00:00:00"/>
    <m/>
    <n v="9.3805555555591127"/>
    <n v="7.4444444444452529"/>
    <n v="-45792"/>
    <d v="2025-05-24T02:21:11"/>
    <d v="2025-06-01T19:48:58"/>
    <d v="2025-06-24T14:52:00"/>
    <n v="0.32755472524167006"/>
    <n v="-1090.2857142857142"/>
    <n v="23"/>
    <n v="32"/>
    <n v="21.478599221789885"/>
    <n v="27.206225680933851"/>
    <n v="18.478599221789885"/>
    <n v="42"/>
    <n v="33.6"/>
    <n v="28.6"/>
    <d v="2025-06-17T14:24:00"/>
    <d v="2025-06-12T14:24:00"/>
    <m/>
    <m/>
    <m/>
    <m/>
    <m/>
    <m/>
    <m/>
    <m/>
    <x v="1"/>
  </r>
  <r>
    <s v="X25020630582"/>
    <s v="TIERRA BELLA PROPERTIES INC."/>
    <s v="PRES. M. ROXAS, TAMBO, PARANAQUE"/>
    <s v="PARAÑAQUE CITY"/>
    <s v="PARAÑAQUE"/>
    <m/>
    <m/>
    <x v="3"/>
    <s v="FCOMP"/>
    <x v="3"/>
    <n v="79.048499999999976"/>
    <n v="219.9"/>
    <n v="131"/>
    <s v="NEW"/>
    <n v="482774.42"/>
    <n v="148527.47999999998"/>
    <m/>
    <n v="0"/>
    <d v="2025-05-05T14:54:00"/>
    <d v="2025-05-07T13:21:00"/>
    <d v="2025-05-08T00:00:00"/>
    <m/>
    <d v="2025-05-15T00:00:00"/>
    <m/>
    <n v="9.3791666666656965"/>
    <n v="7.4437499999985448"/>
    <n v="-45792"/>
    <d v="2025-05-25T15:13:44"/>
    <d v="2025-06-03T18:30:59"/>
    <d v="2025-06-24T14:54:00"/>
    <n v="0.30566034226187311"/>
    <n v="-995.47826086956525"/>
    <n v="28"/>
    <n v="32"/>
    <n v="23.013698630136989"/>
    <n v="29.150684931506852"/>
    <n v="20.013698630136989"/>
    <n v="46"/>
    <n v="36.800000000000004"/>
    <n v="31.800000000000004"/>
    <d v="2025-06-20T19:12:00"/>
    <d v="2025-06-15T19:12:00"/>
    <m/>
    <m/>
    <m/>
    <m/>
    <m/>
    <m/>
    <m/>
    <m/>
    <x v="1"/>
  </r>
  <r>
    <s v="X25020582768"/>
    <s v="MIESCOR INFRASTRUCTURE DEVELOPMENT CORPORATION"/>
    <s v="BAGONG SILANG INTERIOR, QUEEN'S ROW EAST , BACOOR"/>
    <s v="BACOOR CITY"/>
    <s v="DASMA"/>
    <m/>
    <m/>
    <x v="5"/>
    <s v="SCHED"/>
    <x v="2"/>
    <n v="18.652799999999996"/>
    <n v="42.85"/>
    <n v="31"/>
    <s v="NEW"/>
    <n v="263217.11"/>
    <n v="26892.84"/>
    <m/>
    <n v="0"/>
    <d v="2025-05-06T09:31:00"/>
    <d v="2025-05-07T13:22:00"/>
    <d v="2025-05-08T00:00:00"/>
    <m/>
    <m/>
    <m/>
    <n v="-45783.396527777775"/>
    <n v="-45784.556944444441"/>
    <n v="0"/>
    <d v="2025-05-25T04:05:50"/>
    <d v="2025-06-02T23:27:08"/>
    <d v="2025-06-25T09:31:00"/>
    <n v="-1576.9836581790123"/>
    <n v="0"/>
    <n v="20"/>
    <n v="36"/>
    <n v="21.774193548387096"/>
    <n v="27.58064516129032"/>
    <n v="18.774193548387096"/>
    <n v="40"/>
    <n v="32"/>
    <n v="27"/>
    <d v="1900-01-31T00:00:00"/>
    <d v="1900-01-26T00:00:00"/>
    <m/>
    <m/>
    <m/>
    <m/>
    <m/>
    <m/>
    <m/>
    <m/>
    <x v="0"/>
  </r>
  <r>
    <s v="X23072775098"/>
    <s v="DITO TELECOMMUNITY CORPORATION"/>
    <s v="MANGGA, ZONE 1, TAGUIG CITY"/>
    <s v="TAGUIG CITY"/>
    <s v="PARAÑAQUE"/>
    <m/>
    <m/>
    <x v="1"/>
    <s v="SCHED"/>
    <x v="1"/>
    <n v="37.536800000000007"/>
    <n v="75.33"/>
    <n v="31"/>
    <s v="NEW"/>
    <n v="304675.26"/>
    <n v="40481"/>
    <m/>
    <n v="0"/>
    <d v="2025-05-06T10:14:00"/>
    <d v="2025-05-12T13:45:00"/>
    <d v="2025-05-13T00:00:00"/>
    <m/>
    <m/>
    <m/>
    <n v="-45783.426388888889"/>
    <n v="-45789.572916666664"/>
    <n v="0"/>
    <d v="2025-05-26T12:17:07"/>
    <d v="2025-06-04T16:01:57"/>
    <d v="2025-06-25T10:14:00"/>
    <n v="-1487.4084177066559"/>
    <n v="0"/>
    <n v="23"/>
    <n v="36"/>
    <n v="23.085501858736059"/>
    <n v="29.241635687732341"/>
    <n v="20.085501858736059"/>
    <n v="42"/>
    <n v="33.6"/>
    <n v="28.6"/>
    <d v="1900-02-01T14:24:00"/>
    <d v="1900-01-27T14:24:00"/>
    <m/>
    <m/>
    <m/>
    <m/>
    <m/>
    <m/>
    <m/>
    <m/>
    <x v="0"/>
  </r>
  <r>
    <s v="X25020415616"/>
    <s v="SOUTH METRO ICE PLANT CORP."/>
    <s v="NATIONAL, TUNASAN, MUNTINLUPA"/>
    <s v="MUNTINLUPA CITY"/>
    <s v="PARAÑAQUE"/>
    <m/>
    <m/>
    <x v="4"/>
    <s v="SCHED"/>
    <x v="1"/>
    <n v="64.236800000000017"/>
    <n v="173.53"/>
    <n v="280"/>
    <s v="NEW"/>
    <n v="955389.18"/>
    <n v="104026.11999999998"/>
    <m/>
    <n v="0"/>
    <d v="2025-05-06T14:09:00"/>
    <d v="2025-05-09T14:24:00"/>
    <d v="2025-05-09T00:00:00"/>
    <m/>
    <m/>
    <m/>
    <n v="-45783.589583333334"/>
    <n v="-45786.6"/>
    <n v="0"/>
    <d v="2025-05-25T02:19:35"/>
    <d v="2025-06-02T19:58:25"/>
    <d v="2025-06-25T14:09:00"/>
    <n v="-1596.5559444444445"/>
    <n v="0"/>
    <n v="26"/>
    <n v="30"/>
    <n v="21.507352941176471"/>
    <n v="27.242647058823529"/>
    <n v="18.507352941176471"/>
    <n v="44"/>
    <n v="35.200000000000003"/>
    <n v="30.200000000000003"/>
    <d v="1900-02-03T04:48:00"/>
    <d v="1900-01-29T04:48:00"/>
    <m/>
    <m/>
    <m/>
    <m/>
    <m/>
    <m/>
    <m/>
    <m/>
    <x v="0"/>
  </r>
  <r>
    <s v="X23072739849"/>
    <s v="DITO TELECOMMUNITY CORPORATION"/>
    <s v="MEDEL, ZONE 3, TAGUIG CITY"/>
    <s v="TAGUIG CITY"/>
    <s v="PARAÑAQUE"/>
    <m/>
    <m/>
    <x v="3"/>
    <s v="SCHED"/>
    <x v="3"/>
    <n v="154.58429999999998"/>
    <n v="390.8"/>
    <n v="31"/>
    <s v="NEW"/>
    <n v="1183894.26"/>
    <n v="164844.18000000005"/>
    <m/>
    <n v="0"/>
    <d v="2025-05-07T07:28:00"/>
    <d v="2025-05-12T13:44:00"/>
    <d v="2025-05-13T00:00:00"/>
    <m/>
    <m/>
    <m/>
    <n v="-45784.311111111114"/>
    <n v="-45789.572222222225"/>
    <n v="0"/>
    <d v="2025-05-29T18:47:15"/>
    <d v="2025-06-08T13:48:23"/>
    <d v="2025-06-26T07:28:00"/>
    <n v="-1348.0936049382715"/>
    <n v="0"/>
    <n v="30"/>
    <n v="36"/>
    <n v="25.471698113207545"/>
    <n v="32.264150943396224"/>
    <n v="22.471698113207545"/>
    <n v="48"/>
    <n v="38.400000000000006"/>
    <n v="33.400000000000006"/>
    <d v="1900-02-06T09:36:00"/>
    <d v="1900-02-01T09:36:00"/>
    <m/>
    <m/>
    <m/>
    <m/>
    <m/>
    <m/>
    <m/>
    <m/>
    <x v="0"/>
  </r>
  <r>
    <s v="X25020424030"/>
    <s v="ALMA M. TANWANGCO"/>
    <s v="BLOCK 8, AFP OVAI PH 1, TAGUIG CITY"/>
    <s v="TAGUIG CITY"/>
    <s v="PARAÑAQUE"/>
    <m/>
    <m/>
    <x v="1"/>
    <s v="SCHED"/>
    <x v="1"/>
    <n v="18.2728"/>
    <n v="92.98"/>
    <n v="195.8"/>
    <s v="NEW"/>
    <n v="504632.65"/>
    <n v="58620.960000000006"/>
    <m/>
    <n v="0"/>
    <d v="2025-05-07T09:56:00"/>
    <d v="2025-05-14T12:33:00"/>
    <d v="2025-05-14T00:00:00"/>
    <m/>
    <m/>
    <m/>
    <n v="-45784.413888888892"/>
    <n v="-45791.522916666669"/>
    <n v="0"/>
    <d v="2025-05-25T21:25:11"/>
    <d v="2025-06-03T14:52:58"/>
    <d v="2025-06-26T09:56:00"/>
    <n v="-1598.7220610658214"/>
    <n v="0"/>
    <n v="23"/>
    <n v="32"/>
    <n v="21.478599221789885"/>
    <n v="27.206225680933851"/>
    <n v="18.478599221789885"/>
    <n v="42"/>
    <n v="33.6"/>
    <n v="28.6"/>
    <d v="1900-02-01T14:24:00"/>
    <d v="1900-01-27T14:24:00"/>
    <m/>
    <m/>
    <m/>
    <m/>
    <m/>
    <m/>
    <m/>
    <m/>
    <x v="0"/>
  </r>
  <r>
    <s v="X25010134416"/>
    <s v="BROER BUILDERS CONSTRUCTION CORPORATION"/>
    <s v="NIOG III, NIOG III, BACOOR"/>
    <s v="BACOOR CITY"/>
    <s v="DASMA"/>
    <m/>
    <m/>
    <x v="5"/>
    <s v="SCHED"/>
    <x v="2"/>
    <n v="77.352099999999993"/>
    <n v="218.22"/>
    <n v="270"/>
    <s v="NEW"/>
    <n v="1131856.17"/>
    <n v="134482.26999999996"/>
    <m/>
    <n v="0"/>
    <d v="2025-05-07T10:01:00"/>
    <d v="2025-05-14T12:31:00"/>
    <d v="2025-05-14T00:00:00"/>
    <m/>
    <m/>
    <m/>
    <n v="-45784.417361111111"/>
    <n v="-45791.521527777775"/>
    <n v="0"/>
    <d v="2025-05-26T10:41:17"/>
    <d v="2025-06-04T07:40:01"/>
    <d v="2025-06-26T10:01:00"/>
    <n v="-1558.8504006283069"/>
    <n v="0"/>
    <n v="28"/>
    <n v="30"/>
    <n v="22.027972027972027"/>
    <n v="27.9020979020979"/>
    <n v="19.027972027972027"/>
    <n v="46"/>
    <n v="36.800000000000004"/>
    <n v="31.800000000000004"/>
    <d v="1900-02-04T19:12:00"/>
    <d v="1900-01-30T19:12:00"/>
    <m/>
    <m/>
    <m/>
    <m/>
    <m/>
    <m/>
    <m/>
    <m/>
    <x v="0"/>
  </r>
  <r>
    <s v="X24103991157"/>
    <s v="REBECCA S. GONZALES"/>
    <s v="NEWPORT, AVIDA SETTINGS CAVITE PH2, BACOOR"/>
    <s v="BACOOR CITY"/>
    <s v="DASMA"/>
    <m/>
    <m/>
    <x v="5"/>
    <s v="SCHED"/>
    <x v="2"/>
    <n v="65.848799999999997"/>
    <n v="119.98"/>
    <n v="23.5"/>
    <s v="NEW"/>
    <n v="383498.61"/>
    <n v="72698.26999999999"/>
    <m/>
    <n v="0"/>
    <d v="2025-05-07T14:40:00"/>
    <d v="2025-05-14T12:31:00"/>
    <d v="2025-05-14T00:00:00"/>
    <m/>
    <m/>
    <m/>
    <n v="-45784.611111111109"/>
    <n v="-45791.521527777775"/>
    <n v="0"/>
    <d v="2025-05-28T19:37:56"/>
    <d v="2025-06-07T06:33:23"/>
    <d v="2025-06-26T14:40:00"/>
    <n v="-1418.5403015194679"/>
    <n v="0"/>
    <n v="26"/>
    <n v="36"/>
    <n v="24.206896551724139"/>
    <n v="30.662068965517239"/>
    <n v="21.206896551724139"/>
    <n v="44"/>
    <n v="35.200000000000003"/>
    <n v="30.200000000000003"/>
    <d v="1900-02-03T04:48:00"/>
    <d v="1900-01-29T04:48:00"/>
    <m/>
    <m/>
    <m/>
    <m/>
    <m/>
    <m/>
    <m/>
    <m/>
    <x v="0"/>
  </r>
  <r>
    <s v="X24062083547"/>
    <s v="DITO TELECOMMUNITY CORPORATION"/>
    <s v="M.L. QUEZON, PUROK 3, TAGUIG CITY"/>
    <s v="TAGUIG CITY"/>
    <s v="PARAÑAQUE"/>
    <s v="New design released 5/8/2025"/>
    <s v="W/ ISSUE"/>
    <x v="3"/>
    <s v="SCHED"/>
    <x v="3"/>
    <n v="40.271299999999997"/>
    <n v="61.37"/>
    <n v="22"/>
    <s v="NEW"/>
    <n v="270682.98"/>
    <n v="32429.439999999999"/>
    <m/>
    <n v="0"/>
    <d v="2025-05-08T13:59:00"/>
    <d v="2025-05-12T10:16:00"/>
    <d v="2025-05-13T00:00:00"/>
    <m/>
    <m/>
    <m/>
    <n v="-45785.582638888889"/>
    <n v="-45789.427777777775"/>
    <n v="0"/>
    <d v="2025-05-28T16:02:07"/>
    <d v="2025-06-06T19:46:57"/>
    <d v="2025-06-27T13:59:00"/>
    <n v="-1487.478469789989"/>
    <n v="0"/>
    <n v="23"/>
    <n v="36"/>
    <n v="23.085501858736059"/>
    <n v="29.241635687732341"/>
    <n v="20.085501858736059"/>
    <n v="42"/>
    <n v="33.6"/>
    <n v="28.6"/>
    <d v="1900-02-01T14:24:00"/>
    <d v="1900-01-27T14:24:00"/>
    <m/>
    <m/>
    <m/>
    <m/>
    <m/>
    <m/>
    <m/>
    <m/>
    <x v="0"/>
  </r>
  <r>
    <s v="X25051494715"/>
    <s v="CITY GOVERNMENT OF TAGUIG"/>
    <s v="CHAMPACA, STO. NINO, TAGUIG CITY"/>
    <s v="TAGUIG CITY"/>
    <s v="PARAÑAQUE"/>
    <m/>
    <m/>
    <x v="1"/>
    <s v="FCOMP"/>
    <x v="1"/>
    <n v="13.23"/>
    <n v="24.88"/>
    <n v="896"/>
    <s v="NEW"/>
    <n v="57603.09"/>
    <n v="11367.57"/>
    <m/>
    <n v="0"/>
    <d v="2025-05-08T17:48:00"/>
    <d v="2025-05-09T07:17:00"/>
    <d v="2025-05-09T00:00:00"/>
    <m/>
    <d v="2025-05-13T00:00:00"/>
    <m/>
    <n v="4.2583333333313931"/>
    <n v="3.6965277777781012"/>
    <n v="-45790"/>
    <d v="2025-05-22T05:58:20"/>
    <d v="2025-05-29T15:37:05"/>
    <d v="2025-06-27T17:48:00"/>
    <n v="0.19347644927527416"/>
    <n v="-1144.75"/>
    <n v="20"/>
    <n v="23"/>
    <n v="16.507177033492823"/>
    <n v="20.90909090909091"/>
    <n v="13.507177033492823"/>
    <n v="40"/>
    <n v="32"/>
    <n v="27"/>
    <d v="2025-06-14T00:00:00"/>
    <d v="2025-06-09T00:00:00"/>
    <m/>
    <m/>
    <m/>
    <m/>
    <m/>
    <m/>
    <m/>
    <m/>
    <x v="1"/>
  </r>
  <r>
    <s v="X23072871198"/>
    <s v="DITO TELECOMMUNITY CORPORATION"/>
    <s v="SAN JUANICO, AYALA-ALABANG VILL, MUNTINLUPA"/>
    <s v="MUNTINLUPA CITY"/>
    <s v="PARAÑAQUE"/>
    <m/>
    <m/>
    <x v="3"/>
    <s v="SCHED"/>
    <x v="3"/>
    <n v="17.322799999999997"/>
    <n v="34.380000000000003"/>
    <n v="31"/>
    <s v="NEW"/>
    <n v="202562.28"/>
    <n v="21584.090000000004"/>
    <m/>
    <n v="0"/>
    <d v="2025-05-09T08:33:00"/>
    <d v="2025-05-12T13:43:00"/>
    <d v="2025-05-13T00:00:00"/>
    <m/>
    <m/>
    <m/>
    <n v="-45786.356249999997"/>
    <n v="-45789.571527777778"/>
    <n v="0"/>
    <d v="2025-05-28T03:07:50"/>
    <d v="2025-06-05T22:29:08"/>
    <d v="2025-06-28T08:33:00"/>
    <n v="-1577.0856041666666"/>
    <n v="0"/>
    <n v="20"/>
    <n v="36"/>
    <n v="21.774193548387096"/>
    <n v="27.58064516129032"/>
    <n v="18.774193548387096"/>
    <n v="40"/>
    <n v="32"/>
    <n v="27"/>
    <d v="1900-01-31T00:00:00"/>
    <d v="1900-01-26T00:00:00"/>
    <m/>
    <m/>
    <m/>
    <m/>
    <m/>
    <m/>
    <m/>
    <m/>
    <x v="0"/>
  </r>
  <r>
    <s v="X25051535307"/>
    <s v="PHILIP SIGFRID ALFARO FORTUN"/>
    <s v="SAN AGUSTIN, SUSANA HTS SUBD VILL 6, MUNTINLUPA"/>
    <s v="MUNTINLUPA CITY"/>
    <s v="PARAÑAQUE"/>
    <m/>
    <m/>
    <x v="2"/>
    <s v="FCOMP"/>
    <x v="2"/>
    <n v="65.444700000000026"/>
    <n v="149.93"/>
    <n v="80"/>
    <s v="NEW"/>
    <n v="447937.96"/>
    <n v="96360.01"/>
    <m/>
    <n v="0"/>
    <d v="2025-05-09T10:01:00"/>
    <d v="2025-05-16T10:47:00"/>
    <d v="2025-05-16T00:00:00"/>
    <m/>
    <d v="2025-05-16T11:31:00"/>
    <m/>
    <n v="7.0625"/>
    <n v="3.0555555553291924E-2"/>
    <n v="-45793.479861111111"/>
    <d v="2025-05-29T18:17:54"/>
    <d v="2025-06-07T23:42:25"/>
    <d v="2025-06-28T10:01:00"/>
    <n v="0.2268947963800905"/>
    <n v="-1040.7609059343433"/>
    <n v="26"/>
    <n v="34"/>
    <n v="23.345070422535212"/>
    <n v="29.570422535211268"/>
    <n v="20.345070422535212"/>
    <n v="44"/>
    <n v="35.200000000000003"/>
    <n v="30.200000000000003"/>
    <d v="2025-06-20T16:19:00"/>
    <d v="2025-06-15T16:19:00"/>
    <m/>
    <m/>
    <m/>
    <m/>
    <m/>
    <m/>
    <m/>
    <m/>
    <x v="1"/>
  </r>
  <r>
    <s v="X23093793238"/>
    <s v="JERRY TIU PURA"/>
    <s v="DR. A SANTOS, SAN DIONISIO, PARANAQUE"/>
    <s v="PARAÑAQUE CITY"/>
    <s v="PARAÑAQUE"/>
    <m/>
    <m/>
    <x v="2"/>
    <s v="SCHED"/>
    <x v="2"/>
    <m/>
    <n v="111.07"/>
    <n v="90"/>
    <s v="MODIFICATION"/>
    <n v="423863.1"/>
    <s v=" "/>
    <m/>
    <e v="#VALUE!"/>
    <d v="2025-05-09T17:20:00"/>
    <d v="2025-05-16T10:49:00"/>
    <d v="2025-05-16T00:00:00"/>
    <m/>
    <m/>
    <m/>
    <n v="-45786.722222222219"/>
    <n v="-45793.450694444444"/>
    <n v="0"/>
    <d v="2025-05-30T01:36:54"/>
    <d v="2025-06-08T07:01:25"/>
    <d v="2025-06-28T17:20:00"/>
    <n v="-1470.9761437908496"/>
    <n v="0"/>
    <n v="26"/>
    <n v="34"/>
    <n v="23.345070422535212"/>
    <n v="29.570422535211268"/>
    <n v="20.345070422535212"/>
    <n v="44"/>
    <n v="35.200000000000003"/>
    <n v="30.200000000000003"/>
    <d v="1900-02-03T04:48:00"/>
    <d v="1900-01-29T04:48:00"/>
    <m/>
    <m/>
    <m/>
    <m/>
    <m/>
    <m/>
    <m/>
    <m/>
    <x v="0"/>
  </r>
  <r>
    <s v="X25030926983 "/>
    <s v="PANCITERIA LIDO CHINESE CUISINE CORP."/>
    <s v="MOLINO BLVD., MAMBOG IV, BACOOR"/>
    <s v="BACOOR CITY"/>
    <s v="DASMA"/>
    <m/>
    <m/>
    <x v="5"/>
    <s v="SCHED"/>
    <x v="2"/>
    <n v="111.5933"/>
    <n v="270.27"/>
    <n v="106"/>
    <s v="NEW"/>
    <n v="961200.12"/>
    <n v="158218.30000000002"/>
    <m/>
    <n v="0"/>
    <d v="2025-05-09T17:23:00"/>
    <d v="2025-05-12T13:28:00"/>
    <d v="2025-05-13T00:00:00"/>
    <m/>
    <m/>
    <m/>
    <n v="-45786.724305555559"/>
    <n v="-45789.561111111114"/>
    <n v="0"/>
    <d v="2025-05-29T17:42:44"/>
    <d v="2025-06-07T20:59:59"/>
    <d v="2025-06-28T17:23:00"/>
    <n v="-1492.15664031498"/>
    <n v="0"/>
    <n v="28"/>
    <n v="32"/>
    <n v="23.013698630136989"/>
    <n v="29.150684931506852"/>
    <n v="20.013698630136989"/>
    <n v="46"/>
    <n v="36.800000000000004"/>
    <n v="31.800000000000004"/>
    <d v="1900-02-04T19:12:00"/>
    <d v="1900-01-30T19:12:00"/>
    <m/>
    <m/>
    <m/>
    <m/>
    <m/>
    <m/>
    <m/>
    <m/>
    <x v="0"/>
  </r>
  <r>
    <s v="X25041167301"/>
    <s v="CITY GOVERNMENT OF PARAÑAQUE"/>
    <s v="FAME, 4TH ESTATE SUBD, PARANAQUE"/>
    <s v="PARAÑAQUE CITY"/>
    <s v="PARAÑAQUE"/>
    <m/>
    <m/>
    <x v="4"/>
    <s v="SCHED"/>
    <x v="1"/>
    <n v="119.5912"/>
    <n v="325.2"/>
    <n v="184"/>
    <s v="NEW"/>
    <n v="1207733.8999999999"/>
    <n v="206131.04"/>
    <m/>
    <n v="0"/>
    <d v="2025-05-09T17:27:00"/>
    <d v="2025-05-16T10:51:00"/>
    <d v="2025-05-16T00:00:00"/>
    <m/>
    <m/>
    <m/>
    <n v="-45786.727083333331"/>
    <n v="-45793.45208333333"/>
    <n v="0"/>
    <d v="2025-05-30T06:09:21"/>
    <d v="2025-06-08T12:44:39"/>
    <d v="2025-06-28T17:27:00"/>
    <n v="-1459.4519257812499"/>
    <n v="0"/>
    <n v="30"/>
    <n v="32"/>
    <n v="23.52941176470588"/>
    <n v="29.803921568627448"/>
    <n v="20.52941176470588"/>
    <n v="48"/>
    <n v="38.400000000000006"/>
    <n v="33.400000000000006"/>
    <d v="1900-02-06T09:36:00"/>
    <d v="1900-02-01T09:36:00"/>
    <m/>
    <m/>
    <m/>
    <m/>
    <m/>
    <m/>
    <m/>
    <m/>
    <x v="0"/>
  </r>
  <r>
    <s v="X25041167142"/>
    <s v="CITY GOVERNMENT OF PARAÑAQUE"/>
    <s v="STA. LUCIA, SAN ANTONIO VALLEY 1, PARANAQUE"/>
    <s v="PARAÑAQUE CITY"/>
    <s v="PARAÑAQUE"/>
    <m/>
    <m/>
    <x v="4"/>
    <s v="SCHED"/>
    <x v="1"/>
    <n v="82.274700000000024"/>
    <n v="181.58"/>
    <n v="200"/>
    <s v="MODIFICATION"/>
    <n v="870200.65"/>
    <n v="106747.8"/>
    <m/>
    <n v="0"/>
    <d v="2025-05-09T17:29:00"/>
    <d v="2025-05-16T10:54:00"/>
    <d v="2025-05-16T00:00:00"/>
    <m/>
    <m/>
    <m/>
    <n v="-45786.728472222225"/>
    <n v="-45793.45416666667"/>
    <n v="0"/>
    <d v="2025-05-29T04:11:18"/>
    <d v="2025-06-07T03:50:35"/>
    <d v="2025-06-28T17:29:00"/>
    <n v="-1529.8930907785791"/>
    <n v="0"/>
    <n v="26"/>
    <n v="32"/>
    <n v="22.446043165467625"/>
    <n v="28.431654676258994"/>
    <n v="19.446043165467625"/>
    <n v="44"/>
    <n v="35.200000000000003"/>
    <n v="30.200000000000003"/>
    <d v="1900-02-03T04:48:00"/>
    <d v="1900-01-29T04:48:00"/>
    <m/>
    <m/>
    <m/>
    <m/>
    <m/>
    <m/>
    <m/>
    <m/>
    <x v="0"/>
  </r>
  <r>
    <s v="X25041167361"/>
    <s v="CITY GOVERNMENT OF PARAÑAQUE"/>
    <s v="NINOY AQUINO, LA HUERTA, PARANAQUE"/>
    <s v="PARAÑAQUE CITY"/>
    <s v="PARAÑAQUE"/>
    <m/>
    <m/>
    <x v="2"/>
    <s v="SCHED"/>
    <x v="2"/>
    <n v="35.842799999999997"/>
    <n v="157.41999999999999"/>
    <n v="176"/>
    <s v="MODIFICATION"/>
    <n v="792216.4"/>
    <n v="99055.28"/>
    <m/>
    <n v="0"/>
    <d v="2025-05-09T17:32:00"/>
    <d v="2025-05-16T10:52:00"/>
    <d v="2025-05-16T00:00:00"/>
    <m/>
    <m/>
    <m/>
    <n v="-45786.730555555558"/>
    <n v="-45793.452777777777"/>
    <n v="0"/>
    <d v="2025-05-29T04:14:18"/>
    <d v="2025-06-07T03:53:35"/>
    <d v="2025-06-28T17:32:00"/>
    <n v="-1529.8931603899573"/>
    <n v="0"/>
    <n v="26"/>
    <n v="32"/>
    <n v="22.446043165467625"/>
    <n v="28.431654676258994"/>
    <n v="19.446043165467625"/>
    <n v="44"/>
    <n v="35.200000000000003"/>
    <n v="30.200000000000003"/>
    <d v="1900-02-03T04:48:00"/>
    <d v="1900-01-29T04:48:00"/>
    <m/>
    <m/>
    <m/>
    <m/>
    <m/>
    <m/>
    <m/>
    <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264B74-E44F-415D-AA62-3B02B11A2742}"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1" firstHeaderRow="1" firstDataRow="2" firstDataCol="1" rowPageCount="1" colPageCount="1"/>
  <pivotFields count="51">
    <pivotField dataField="1" showAll="0"/>
    <pivotField showAll="0"/>
    <pivotField showAll="0"/>
    <pivotField showAll="0"/>
    <pivotField showAll="0"/>
    <pivotField showAll="0"/>
    <pivotField showAll="0"/>
    <pivotField axis="axisCol" showAll="0">
      <items count="10">
        <item x="5"/>
        <item h="1" x="8"/>
        <item x="3"/>
        <item x="2"/>
        <item h="1" x="7"/>
        <item h="1" x="0"/>
        <item x="4"/>
        <item h="1" x="6"/>
        <item x="1"/>
        <item t="default"/>
      </items>
    </pivotField>
    <pivotField showAll="0"/>
    <pivotField axis="axisPage" multipleItemSelectionAllowed="1" showAll="0">
      <items count="11">
        <item h="1" x="0"/>
        <item x="3"/>
        <item h="1" x="7"/>
        <item h="1" x="1"/>
        <item h="1" x="4"/>
        <item h="1" x="5"/>
        <item h="1" x="9"/>
        <item h="1" x="2"/>
        <item h="1" x="6"/>
        <item h="1"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7">
        <item x="10"/>
        <item x="9"/>
        <item x="11"/>
        <item x="12"/>
        <item x="5"/>
        <item x="3"/>
        <item x="13"/>
        <item x="4"/>
        <item x="7"/>
        <item x="1"/>
        <item m="1" x="14"/>
        <item x="8"/>
        <item x="6"/>
        <item m="1" x="15"/>
        <item x="2"/>
        <item n="SCHED/ INPRG" x="0"/>
        <item t="default"/>
      </items>
    </pivotField>
  </pivotFields>
  <rowFields count="1">
    <field x="50"/>
  </rowFields>
  <rowItems count="7">
    <i>
      <x v="2"/>
    </i>
    <i>
      <x v="7"/>
    </i>
    <i>
      <x v="9"/>
    </i>
    <i>
      <x v="11"/>
    </i>
    <i>
      <x v="14"/>
    </i>
    <i>
      <x v="15"/>
    </i>
    <i t="grand">
      <x/>
    </i>
  </rowItems>
  <colFields count="1">
    <field x="7"/>
  </colFields>
  <colItems count="2">
    <i>
      <x v="2"/>
    </i>
    <i t="grand">
      <x/>
    </i>
  </colItems>
  <pageFields count="1">
    <pageField fld="9" hier="-1"/>
  </pageFields>
  <dataFields count="1">
    <dataField name="Count of WO NO" fld="0" subtotal="count" baseField="0" baseItem="0"/>
  </dataFields>
  <formats count="4">
    <format dxfId="13105">
      <pivotArea collapsedLevelsAreSubtotals="1" fieldPosition="0">
        <references count="1">
          <reference field="50" count="1">
            <x v="2"/>
          </reference>
        </references>
      </pivotArea>
    </format>
    <format dxfId="13104">
      <pivotArea dataOnly="0" labelOnly="1" fieldPosition="0">
        <references count="1">
          <reference field="50" count="1">
            <x v="2"/>
          </reference>
        </references>
      </pivotArea>
    </format>
    <format dxfId="13103">
      <pivotArea collapsedLevelsAreSubtotals="1" fieldPosition="0">
        <references count="1">
          <reference field="50" count="1">
            <x v="2"/>
          </reference>
        </references>
      </pivotArea>
    </format>
    <format dxfId="13102">
      <pivotArea dataOnly="0" labelOnly="1" fieldPosition="0">
        <references count="1">
          <reference field="50"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1FAFDA-DB78-45E9-8B66-11CF22A2157A}"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J12" firstHeaderRow="1" firstDataRow="3" firstDataCol="1" rowPageCount="1" colPageCount="1"/>
  <pivotFields count="51">
    <pivotField showAll="0"/>
    <pivotField showAll="0"/>
    <pivotField showAll="0"/>
    <pivotField showAll="0"/>
    <pivotField showAll="0"/>
    <pivotField showAll="0"/>
    <pivotField showAll="0"/>
    <pivotField axis="axisCol" showAll="0">
      <items count="10">
        <item x="5"/>
        <item h="1" x="8"/>
        <item x="3"/>
        <item x="2"/>
        <item h="1" x="7"/>
        <item h="1" x="0"/>
        <item x="4"/>
        <item h="1" x="6"/>
        <item x="1"/>
        <item t="default"/>
      </items>
    </pivotField>
    <pivotField showAll="0"/>
    <pivotField axis="axisPage" multipleItemSelectionAllowed="1" showAll="0">
      <items count="11">
        <item h="1" x="0"/>
        <item x="3"/>
        <item h="1" x="7"/>
        <item h="1" x="1"/>
        <item h="1" x="4"/>
        <item h="1" x="5"/>
        <item h="1" x="9"/>
        <item h="1" x="2"/>
        <item h="1" x="6"/>
        <item h="1" x="8"/>
        <item t="default"/>
      </items>
    </pivotField>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7">
        <item x="10"/>
        <item x="9"/>
        <item x="11"/>
        <item x="12"/>
        <item x="5"/>
        <item x="3"/>
        <item x="13"/>
        <item x="4"/>
        <item x="7"/>
        <item x="1"/>
        <item m="1" x="14"/>
        <item x="8"/>
        <item x="6"/>
        <item m="1" x="15"/>
        <item x="2"/>
        <item n="SCHED/ INPRG" x="0"/>
        <item t="default"/>
      </items>
    </pivotField>
  </pivotFields>
  <rowFields count="1">
    <field x="50"/>
  </rowFields>
  <rowItems count="7">
    <i>
      <x v="2"/>
    </i>
    <i>
      <x v="7"/>
    </i>
    <i>
      <x v="9"/>
    </i>
    <i>
      <x v="11"/>
    </i>
    <i>
      <x v="14"/>
    </i>
    <i>
      <x v="15"/>
    </i>
    <i t="grand">
      <x/>
    </i>
  </rowItems>
  <colFields count="2">
    <field x="7"/>
    <field x="-2"/>
  </colFields>
  <colItems count="4">
    <i>
      <x v="2"/>
      <x/>
    </i>
    <i r="1" i="1">
      <x v="1"/>
    </i>
    <i t="grand">
      <x/>
    </i>
    <i t="grand" i="1">
      <x/>
    </i>
  </colItems>
  <pageFields count="1">
    <pageField fld="9" hier="-1"/>
  </pageFields>
  <dataFields count="2">
    <dataField name="TOTAL ESTIMATED COST (SERVICE ITEMS)" fld="15" baseField="50" baseItem="15"/>
    <dataField name="BILLED/PARTIALLY BILLED COST" fld="16" baseField="50" baseItem="10"/>
  </dataFields>
  <formats count="26">
    <format dxfId="13131">
      <pivotArea field="50" type="button" dataOnly="0" labelOnly="1" outline="0" axis="axisRow" fieldPosition="0"/>
    </format>
    <format dxfId="13130">
      <pivotArea field="7" dataOnly="0" labelOnly="1" grandCol="1" outline="0" axis="axisCol" fieldPosition="0">
        <references count="1">
          <reference field="4294967294" count="1" selected="0">
            <x v="0"/>
          </reference>
        </references>
      </pivotArea>
    </format>
    <format dxfId="13129">
      <pivotArea field="7" dataOnly="0" labelOnly="1" grandCol="1" outline="0" axis="axisCol" fieldPosition="0">
        <references count="1">
          <reference field="4294967294" count="1" selected="0">
            <x v="1"/>
          </reference>
        </references>
      </pivotArea>
    </format>
    <format dxfId="13128">
      <pivotArea dataOnly="0" labelOnly="1" outline="0" fieldPosition="0">
        <references count="2">
          <reference field="4294967294" count="2">
            <x v="0"/>
            <x v="1"/>
          </reference>
          <reference field="7" count="1" selected="0">
            <x v="2"/>
          </reference>
        </references>
      </pivotArea>
    </format>
    <format dxfId="13127">
      <pivotArea dataOnly="0" labelOnly="1" outline="0" fieldPosition="0">
        <references count="2">
          <reference field="4294967294" count="2">
            <x v="0"/>
            <x v="1"/>
          </reference>
          <reference field="7" count="1" selected="0">
            <x v="8"/>
          </reference>
        </references>
      </pivotArea>
    </format>
    <format dxfId="13126">
      <pivotArea field="50" type="button" dataOnly="0" labelOnly="1" outline="0" axis="axisRow" fieldPosition="0"/>
    </format>
    <format dxfId="13125">
      <pivotArea field="7" dataOnly="0" labelOnly="1" grandCol="1" outline="0" axis="axisCol" fieldPosition="0">
        <references count="1">
          <reference field="4294967294" count="1" selected="0">
            <x v="0"/>
          </reference>
        </references>
      </pivotArea>
    </format>
    <format dxfId="13124">
      <pivotArea field="7" dataOnly="0" labelOnly="1" grandCol="1" outline="0" axis="axisCol" fieldPosition="0">
        <references count="1">
          <reference field="4294967294" count="1" selected="0">
            <x v="1"/>
          </reference>
        </references>
      </pivotArea>
    </format>
    <format dxfId="13123">
      <pivotArea dataOnly="0" labelOnly="1" outline="0" fieldPosition="0">
        <references count="2">
          <reference field="4294967294" count="2">
            <x v="0"/>
            <x v="1"/>
          </reference>
          <reference field="7" count="1" selected="0">
            <x v="2"/>
          </reference>
        </references>
      </pivotArea>
    </format>
    <format dxfId="13122">
      <pivotArea dataOnly="0" labelOnly="1" outline="0" fieldPosition="0">
        <references count="2">
          <reference field="4294967294" count="2">
            <x v="0"/>
            <x v="1"/>
          </reference>
          <reference field="7" count="1" selected="0">
            <x v="8"/>
          </reference>
        </references>
      </pivotArea>
    </format>
    <format dxfId="13121">
      <pivotArea outline="0" collapsedLevelsAreSubtotals="1" fieldPosition="0"/>
    </format>
    <format dxfId="13120">
      <pivotArea outline="0" collapsedLevelsAreSubtotals="1" fieldPosition="0">
        <references count="2">
          <reference field="4294967294" count="1" selected="0">
            <x v="0"/>
          </reference>
          <reference field="7" count="1" selected="0">
            <x v="2"/>
          </reference>
        </references>
      </pivotArea>
    </format>
    <format dxfId="13119">
      <pivotArea dataOnly="0" labelOnly="1" outline="0" fieldPosition="0">
        <references count="1">
          <reference field="9" count="0"/>
        </references>
      </pivotArea>
    </format>
    <format dxfId="13118">
      <pivotArea field="7" type="button" dataOnly="0" labelOnly="1" outline="0" axis="axisCol" fieldPosition="0"/>
    </format>
    <format dxfId="13117">
      <pivotArea dataOnly="0" labelOnly="1" outline="0" fieldPosition="0">
        <references count="2">
          <reference field="4294967294" count="1">
            <x v="0"/>
          </reference>
          <reference field="7" count="1" selected="0">
            <x v="2"/>
          </reference>
        </references>
      </pivotArea>
    </format>
    <format dxfId="13116">
      <pivotArea outline="0" collapsedLevelsAreSubtotals="1" fieldPosition="0">
        <references count="2">
          <reference field="4294967294" count="1" selected="0">
            <x v="1"/>
          </reference>
          <reference field="7" count="1" selected="0">
            <x v="2"/>
          </reference>
        </references>
      </pivotArea>
    </format>
    <format dxfId="13115">
      <pivotArea field="-2" type="button" dataOnly="0" labelOnly="1" outline="0" axis="axisCol" fieldPosition="1"/>
    </format>
    <format dxfId="13114">
      <pivotArea dataOnly="0" labelOnly="1" fieldPosition="0">
        <references count="1">
          <reference field="7" count="1">
            <x v="2"/>
          </reference>
        </references>
      </pivotArea>
    </format>
    <format dxfId="13113">
      <pivotArea dataOnly="0" labelOnly="1" outline="0" fieldPosition="0">
        <references count="2">
          <reference field="4294967294" count="1">
            <x v="1"/>
          </reference>
          <reference field="7" count="1" selected="0">
            <x v="2"/>
          </reference>
        </references>
      </pivotArea>
    </format>
    <format dxfId="13112">
      <pivotArea outline="0" collapsedLevelsAreSubtotals="1" fieldPosition="0">
        <references count="2">
          <reference field="4294967294" count="1" selected="0">
            <x v="0"/>
          </reference>
          <reference field="7" count="1" selected="0">
            <x v="8"/>
          </reference>
        </references>
      </pivotArea>
    </format>
    <format dxfId="13111">
      <pivotArea type="topRight" dataOnly="0" labelOnly="1" outline="0" fieldPosition="0"/>
    </format>
    <format dxfId="13110">
      <pivotArea dataOnly="0" labelOnly="1" fieldPosition="0">
        <references count="1">
          <reference field="7" count="1">
            <x v="8"/>
          </reference>
        </references>
      </pivotArea>
    </format>
    <format dxfId="13109">
      <pivotArea dataOnly="0" labelOnly="1" outline="0" fieldPosition="0">
        <references count="2">
          <reference field="4294967294" count="1">
            <x v="0"/>
          </reference>
          <reference field="7" count="1" selected="0">
            <x v="8"/>
          </reference>
        </references>
      </pivotArea>
    </format>
    <format dxfId="13108">
      <pivotArea field="7" grandCol="1" outline="0" collapsedLevelsAreSubtotals="1" axis="axisCol" fieldPosition="0">
        <references count="1">
          <reference field="4294967294" count="1" selected="0">
            <x v="0"/>
          </reference>
        </references>
      </pivotArea>
    </format>
    <format dxfId="13107">
      <pivotArea field="7" grandCol="1" outline="0" collapsedLevelsAreSubtotals="1" axis="axisCol" fieldPosition="0">
        <references count="1">
          <reference field="4294967294" count="1" selected="0">
            <x v="1"/>
          </reference>
        </references>
      </pivotArea>
    </format>
    <format dxfId="13106">
      <pivotArea dataOnly="0" labelOnly="1" outline="0" fieldPosition="0">
        <references count="2">
          <reference field="4294967294" count="1">
            <x v="1"/>
          </reference>
          <reference field="7" count="1" selected="0">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14C7BF-1B5B-4B59-B617-90ACDC33A8F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FCOMP">
  <location ref="B160:E430" firstHeaderRow="0" firstDataRow="1" firstDataCol="1"/>
  <pivotFields count="78">
    <pivotField showAll="0"/>
    <pivotField showAll="0"/>
    <pivotField showAll="0"/>
    <pivotField axis="axisRow" showAll="0">
      <items count="8">
        <item x="1"/>
        <item x="4"/>
        <item x="2"/>
        <item x="0"/>
        <item x="3"/>
        <item x="6"/>
        <item x="5"/>
        <item t="default"/>
      </items>
    </pivotField>
    <pivotField dataField="1" showAll="0"/>
    <pivotField showAll="0"/>
    <pivotField showAll="0"/>
    <pivotField showAll="0"/>
    <pivotField showAll="0"/>
    <pivotField showAll="0"/>
    <pivotField showAll="0"/>
    <pivotField showAll="0"/>
    <pivotField showAll="0"/>
    <pivotField showAll="0"/>
    <pivotField dataField="1" showAll="0"/>
    <pivotField numFmtId="2" showAll="0"/>
    <pivotField dataField="1" showAll="0"/>
    <pivotField axis="axisRow" multipleItemSelectionAllowed="1" showAll="0">
      <items count="17">
        <item x="7"/>
        <item x="5"/>
        <item x="8"/>
        <item x="0"/>
        <item x="3"/>
        <item x="4"/>
        <item x="10"/>
        <item x="1"/>
        <item x="6"/>
        <item x="9"/>
        <item x="2"/>
        <item x="12"/>
        <item x="11"/>
        <item m="1" x="15"/>
        <item m="1" x="13"/>
        <item m="1" x="14"/>
        <item t="default"/>
      </items>
    </pivotField>
    <pivotField showAll="0"/>
    <pivotField showAll="0"/>
    <pivotField showAll="0"/>
    <pivotField showAll="0"/>
    <pivotField numFmtId="166" showAll="0"/>
    <pivotField showAll="0"/>
    <pivotField showAll="0"/>
    <pivotField showAll="0"/>
    <pivotField axis="axisRow" showAll="0">
      <items count="676">
        <item m="1" x="418"/>
        <item x="0"/>
        <item m="1" x="122"/>
        <item m="1" x="74"/>
        <item m="1" x="425"/>
        <item m="1" x="442"/>
        <item m="1" x="385"/>
        <item m="1" x="662"/>
        <item m="1" x="448"/>
        <item m="1" x="607"/>
        <item m="1" x="140"/>
        <item m="1" x="537"/>
        <item m="1" x="451"/>
        <item m="1" x="617"/>
        <item m="1" x="491"/>
        <item m="1" x="614"/>
        <item m="1" x="443"/>
        <item m="1" x="566"/>
        <item m="1" x="73"/>
        <item m="1" x="254"/>
        <item m="1" x="179"/>
        <item m="1" x="671"/>
        <item m="1" x="517"/>
        <item m="1" x="560"/>
        <item m="1" x="502"/>
        <item m="1" x="429"/>
        <item m="1" x="424"/>
        <item m="1" x="475"/>
        <item m="1" x="611"/>
        <item m="1" x="67"/>
        <item m="1" x="302"/>
        <item m="1" x="249"/>
        <item m="1" x="162"/>
        <item m="1" x="410"/>
        <item m="1" x="167"/>
        <item m="1" x="180"/>
        <item m="1" x="94"/>
        <item m="1" x="98"/>
        <item m="1" x="567"/>
        <item m="1" x="55"/>
        <item m="1" x="90"/>
        <item m="1" x="329"/>
        <item m="1" x="647"/>
        <item m="1" x="527"/>
        <item m="1" x="81"/>
        <item m="1" x="644"/>
        <item m="1" x="565"/>
        <item m="1" x="332"/>
        <item m="1" x="592"/>
        <item m="1" x="333"/>
        <item m="1" x="194"/>
        <item m="1" x="172"/>
        <item m="1" x="661"/>
        <item m="1" x="314"/>
        <item m="1" x="176"/>
        <item m="1" x="233"/>
        <item m="1" x="513"/>
        <item m="1" x="564"/>
        <item m="1" x="244"/>
        <item m="1" x="399"/>
        <item m="1" x="490"/>
        <item m="1" x="519"/>
        <item m="1" x="504"/>
        <item m="1" x="602"/>
        <item m="1" x="456"/>
        <item m="1" x="288"/>
        <item m="1" x="610"/>
        <item m="1" x="323"/>
        <item m="1" x="601"/>
        <item m="1" x="480"/>
        <item m="1" x="470"/>
        <item m="1" x="207"/>
        <item m="1" x="273"/>
        <item m="1" x="277"/>
        <item m="1" x="514"/>
        <item m="1" x="463"/>
        <item m="1" x="114"/>
        <item m="1" x="349"/>
        <item m="1" x="123"/>
        <item m="1" x="625"/>
        <item m="1" x="91"/>
        <item m="1" x="450"/>
        <item m="1" x="367"/>
        <item m="1" x="558"/>
        <item m="1" x="454"/>
        <item m="1" x="185"/>
        <item m="1" x="193"/>
        <item m="1" x="66"/>
        <item m="1" x="345"/>
        <item m="1" x="524"/>
        <item m="1" x="520"/>
        <item m="1" x="649"/>
        <item m="1" x="428"/>
        <item m="1" x="492"/>
        <item m="1" x="571"/>
        <item m="1" x="197"/>
        <item m="1" x="405"/>
        <item m="1" x="380"/>
        <item m="1" x="669"/>
        <item m="1" x="441"/>
        <item m="1" x="195"/>
        <item m="1" x="432"/>
        <item m="1" x="309"/>
        <item m="1" x="103"/>
        <item m="1" x="472"/>
        <item m="1" x="471"/>
        <item m="1" x="421"/>
        <item m="1" x="245"/>
        <item m="1" x="72"/>
        <item m="1" x="522"/>
        <item m="1" x="186"/>
        <item m="1" x="221"/>
        <item m="1" x="457"/>
        <item m="1" x="650"/>
        <item m="1" x="211"/>
        <item m="1" x="347"/>
        <item m="1" x="576"/>
        <item m="1" x="496"/>
        <item m="1" x="189"/>
        <item m="1" x="652"/>
        <item m="1" x="369"/>
        <item m="1" x="363"/>
        <item m="1" x="620"/>
        <item m="1" x="210"/>
        <item m="1" x="101"/>
        <item m="1" x="419"/>
        <item m="1" x="86"/>
        <item m="1" x="251"/>
        <item m="1" x="326"/>
        <item m="1" x="92"/>
        <item m="1" x="173"/>
        <item m="1" x="630"/>
        <item m="1" x="241"/>
        <item m="1" x="296"/>
        <item m="1" x="642"/>
        <item m="1" x="243"/>
        <item m="1" x="641"/>
        <item m="1" x="530"/>
        <item m="1" x="645"/>
        <item m="1" x="200"/>
        <item m="1" x="494"/>
        <item m="1" x="633"/>
        <item m="1" x="144"/>
        <item m="1" x="539"/>
        <item m="1" x="462"/>
        <item m="1" x="553"/>
        <item m="1" x="515"/>
        <item m="1" x="561"/>
        <item m="1" x="77"/>
        <item m="1" x="95"/>
        <item m="1" x="279"/>
        <item m="1" x="304"/>
        <item m="1" x="356"/>
        <item m="1" x="259"/>
        <item m="1" x="124"/>
        <item m="1" x="426"/>
        <item m="1" x="398"/>
        <item m="1" x="500"/>
        <item m="1" x="648"/>
        <item m="1" x="404"/>
        <item m="1" x="97"/>
        <item m="1" x="670"/>
        <item m="1" x="411"/>
        <item m="1" x="169"/>
        <item m="1" x="118"/>
        <item m="1" x="334"/>
        <item m="1" x="181"/>
        <item m="1" x="261"/>
        <item m="1" x="250"/>
        <item m="1" x="489"/>
        <item m="1" x="407"/>
        <item m="1" x="111"/>
        <item m="1" x="238"/>
        <item m="1" x="412"/>
        <item m="1" x="464"/>
        <item m="1" x="505"/>
        <item m="1" x="640"/>
        <item m="1" x="348"/>
        <item m="1" x="215"/>
        <item m="1" x="554"/>
        <item m="1" x="400"/>
        <item m="1" x="115"/>
        <item m="1" x="152"/>
        <item m="1" x="377"/>
        <item m="1" x="145"/>
        <item m="1" x="141"/>
        <item m="1" x="621"/>
        <item m="1" x="60"/>
        <item m="1" x="257"/>
        <item m="1" x="585"/>
        <item m="1" x="458"/>
        <item m="1" x="453"/>
        <item m="1" x="64"/>
        <item m="1" x="252"/>
        <item m="1" x="488"/>
        <item m="1" x="550"/>
        <item m="1" x="99"/>
        <item m="1" x="239"/>
        <item m="1" x="78"/>
        <item m="1" x="381"/>
        <item m="1" x="396"/>
        <item m="1" x="386"/>
        <item m="1" x="668"/>
        <item m="1" x="532"/>
        <item m="1" x="315"/>
        <item m="1" x="80"/>
        <item m="1" x="508"/>
        <item m="1" x="343"/>
        <item m="1" x="174"/>
        <item m="1" x="510"/>
        <item m="1" x="295"/>
        <item m="1" x="413"/>
        <item m="1" x="54"/>
        <item m="1" x="437"/>
        <item m="1" x="148"/>
        <item m="1" x="204"/>
        <item m="1" x="547"/>
        <item m="1" x="344"/>
        <item m="1" x="467"/>
        <item m="1" x="387"/>
        <item m="1" x="383"/>
        <item m="1" x="447"/>
        <item m="1" x="651"/>
        <item m="1" x="147"/>
        <item m="1" x="158"/>
        <item m="1" x="392"/>
        <item m="1" x="220"/>
        <item m="1" x="379"/>
        <item m="1" x="390"/>
        <item m="1" x="422"/>
        <item m="1" x="283"/>
        <item m="1" x="258"/>
        <item m="1" x="354"/>
        <item m="1" x="423"/>
        <item m="1" x="234"/>
        <item m="1" x="591"/>
        <item m="1" x="535"/>
        <item m="1" x="402"/>
        <item m="1" x="121"/>
        <item m="1" x="303"/>
        <item m="1" x="125"/>
        <item m="1" x="518"/>
        <item m="1" x="75"/>
        <item m="1" x="545"/>
        <item m="1" x="165"/>
        <item m="1" x="208"/>
        <item m="1" x="164"/>
        <item m="1" x="511"/>
        <item m="1" x="100"/>
        <item m="1" x="484"/>
        <item m="1" x="143"/>
        <item m="1" x="151"/>
        <item m="1" x="468"/>
        <item m="1" x="605"/>
        <item m="1" x="269"/>
        <item m="1" x="318"/>
        <item m="1" x="284"/>
        <item m="1" x="568"/>
        <item m="1" x="612"/>
        <item m="1" x="79"/>
        <item m="1" x="61"/>
        <item m="1" x="434"/>
        <item m="1" x="187"/>
        <item m="1" x="427"/>
        <item m="1" x="218"/>
        <item m="1" x="445"/>
        <item m="1" x="132"/>
        <item m="1" x="562"/>
        <item m="1" x="375"/>
        <item m="1" x="479"/>
        <item m="1" x="93"/>
        <item m="1" x="353"/>
        <item m="1" x="159"/>
        <item m="1" x="127"/>
        <item m="1" x="521"/>
        <item m="1" x="84"/>
        <item m="1" x="631"/>
        <item m="1" x="546"/>
        <item m="1" x="587"/>
        <item m="1" x="170"/>
        <item m="1" x="216"/>
        <item m="1" x="135"/>
        <item m="1" x="232"/>
        <item m="1" x="485"/>
        <item m="1" x="597"/>
        <item m="1" x="271"/>
        <item m="1" x="359"/>
        <item m="1" x="264"/>
        <item m="1" x="529"/>
        <item m="1" x="201"/>
        <item m="1" x="206"/>
        <item m="1" x="191"/>
        <item m="1" x="119"/>
        <item m="1" x="656"/>
        <item m="1" x="481"/>
        <item m="1" x="256"/>
        <item m="1" x="430"/>
        <item m="1" x="224"/>
        <item m="1" x="177"/>
        <item m="1" x="301"/>
        <item m="1" x="310"/>
        <item m="1" x="406"/>
        <item m="1" x="459"/>
        <item m="1" x="622"/>
        <item m="1" x="415"/>
        <item m="1" x="465"/>
        <item m="1" x="596"/>
        <item m="1" x="312"/>
        <item m="1" x="287"/>
        <item m="1" x="339"/>
        <item m="1" x="543"/>
        <item m="1" x="247"/>
        <item m="1" x="83"/>
        <item m="1" x="274"/>
        <item m="1" x="357"/>
        <item m="1" x="575"/>
        <item m="1" x="106"/>
        <item m="1" x="663"/>
        <item m="1" x="190"/>
        <item m="1" x="615"/>
        <item m="1" x="340"/>
        <item m="1" x="373"/>
        <item m="1" x="120"/>
        <item m="1" x="230"/>
        <item m="1" x="335"/>
        <item m="1" x="438"/>
        <item m="1" x="606"/>
        <item m="1" x="253"/>
        <item m="1" x="528"/>
        <item m="1" x="69"/>
        <item m="1" x="525"/>
        <item m="1" x="371"/>
        <item m="1" x="613"/>
        <item m="1" x="105"/>
        <item m="1" x="313"/>
        <item m="1" x="96"/>
        <item m="1" x="223"/>
        <item m="1" x="142"/>
        <item m="1" x="246"/>
        <item m="1" x="556"/>
        <item m="1" x="506"/>
        <item m="1" x="324"/>
        <item m="1" x="171"/>
        <item m="1" x="306"/>
        <item m="1" x="632"/>
        <item m="1" x="225"/>
        <item m="1" x="219"/>
        <item m="1" x="538"/>
        <item m="1" x="275"/>
        <item m="1" x="569"/>
        <item m="1" x="581"/>
        <item m="1" x="452"/>
        <item m="1" x="493"/>
        <item m="1" x="672"/>
        <item m="1" x="623"/>
        <item m="1" x="300"/>
        <item m="1" x="289"/>
        <item m="1" x="222"/>
        <item m="1" x="408"/>
        <item m="1" x="321"/>
        <item m="1" x="56"/>
        <item m="1" x="307"/>
        <item m="1" x="299"/>
        <item m="1" x="584"/>
        <item m="1" x="365"/>
        <item m="1" x="628"/>
        <item m="1" x="149"/>
        <item m="1" x="242"/>
        <item m="1" x="146"/>
        <item m="1" x="397"/>
        <item m="1" x="282"/>
        <item m="1" x="638"/>
        <item m="1" x="89"/>
        <item m="1" x="382"/>
        <item m="1" x="589"/>
        <item m="1" x="134"/>
        <item m="1" x="374"/>
        <item m="1" x="433"/>
        <item m="1" x="87"/>
        <item m="1" x="342"/>
        <item m="1" x="577"/>
        <item m="1" x="634"/>
        <item m="1" x="624"/>
        <item m="1" x="272"/>
        <item m="1" x="626"/>
        <item m="1" x="476"/>
        <item m="1" x="378"/>
        <item m="1" x="643"/>
        <item m="1" x="461"/>
        <item m="1" x="227"/>
        <item m="1" x="294"/>
        <item m="1" x="455"/>
        <item m="1" x="228"/>
        <item m="1" x="573"/>
        <item m="1" x="292"/>
        <item m="1" x="231"/>
        <item m="1" x="130"/>
        <item m="1" x="85"/>
        <item m="1" x="477"/>
        <item m="1" x="112"/>
        <item m="1" x="240"/>
        <item m="1" x="178"/>
        <item m="1" x="212"/>
        <item m="1" x="449"/>
        <item m="1" x="336"/>
        <item m="1" x="316"/>
        <item m="1" x="175"/>
        <item m="1" x="265"/>
        <item m="1" x="389"/>
        <item m="1" x="393"/>
        <item m="1" x="533"/>
        <item m="1" x="526"/>
        <item m="1" x="291"/>
        <item m="1" x="266"/>
        <item m="1" x="192"/>
        <item m="1" x="268"/>
        <item m="1" x="157"/>
        <item m="1" x="416"/>
        <item m="1" x="308"/>
        <item m="1" x="542"/>
        <item m="1" x="503"/>
        <item m="1" x="226"/>
        <item m="1" x="583"/>
        <item m="1" x="346"/>
        <item m="1" x="166"/>
        <item m="1" x="136"/>
        <item m="1" x="541"/>
        <item m="1" x="501"/>
        <item m="1" x="203"/>
        <item m="1" x="154"/>
        <item m="1" x="603"/>
        <item m="1" x="213"/>
        <item m="1" x="395"/>
        <item m="1" x="109"/>
        <item m="1" x="384"/>
        <item m="1" x="311"/>
        <item m="1" x="160"/>
        <item m="1" x="473"/>
        <item m="1" x="236"/>
        <item m="1" x="319"/>
        <item m="1" x="552"/>
        <item m="1" x="563"/>
        <item m="1" x="509"/>
        <item m="1" x="616"/>
        <item m="1" x="436"/>
        <item m="1" x="474"/>
        <item m="1" x="317"/>
        <item m="1" x="619"/>
        <item m="1" x="446"/>
        <item m="1" x="188"/>
        <item m="1" x="657"/>
        <item m="1" x="394"/>
        <item m="1" x="63"/>
        <item m="1" x="664"/>
        <item m="1" x="235"/>
        <item m="1" x="248"/>
        <item m="1" x="293"/>
        <item m="1" x="202"/>
        <item m="1" x="665"/>
        <item m="1" x="403"/>
        <item m="1" x="150"/>
        <item m="1" x="361"/>
        <item m="1" x="414"/>
        <item m="1" x="555"/>
        <item m="1" x="262"/>
        <item m="1" x="544"/>
        <item m="1" x="237"/>
        <item m="1" x="327"/>
        <item m="1" x="487"/>
        <item m="1" x="128"/>
        <item m="1" x="58"/>
        <item m="1" x="107"/>
        <item m="1" x="352"/>
        <item m="1" x="113"/>
        <item m="1" x="660"/>
        <item m="1" x="635"/>
        <item m="1" x="297"/>
        <item m="1" x="209"/>
        <item m="1" x="133"/>
        <item m="1" x="588"/>
        <item m="1" x="534"/>
        <item m="1" x="131"/>
        <item m="1" x="512"/>
        <item m="1" x="110"/>
        <item m="1" x="557"/>
        <item m="1" x="76"/>
        <item m="1" x="126"/>
        <item m="1" x="673"/>
        <item m="1" x="594"/>
        <item m="1" x="286"/>
        <item m="1" x="156"/>
        <item m="1" x="598"/>
        <item m="1" x="674"/>
        <item m="1" x="108"/>
        <item m="1" x="196"/>
        <item m="1" x="376"/>
        <item m="1" x="420"/>
        <item m="1" x="507"/>
        <item m="1" x="330"/>
        <item m="1" x="229"/>
        <item m="1" x="666"/>
        <item m="1" x="214"/>
        <item m="1" x="116"/>
        <item m="1" x="460"/>
        <item m="1" x="531"/>
        <item m="1" x="337"/>
        <item m="1" x="328"/>
        <item m="1" x="338"/>
        <item m="1" x="548"/>
        <item m="1" x="604"/>
        <item m="1" x="629"/>
        <item m="1" x="285"/>
        <item m="1" x="653"/>
        <item m="1" x="435"/>
        <item m="1" x="168"/>
        <item m="1" x="71"/>
        <item m="1" x="278"/>
        <item m="1" x="117"/>
        <item m="1" x="139"/>
        <item m="1" x="639"/>
        <item m="1" x="184"/>
        <item m="1" x="549"/>
        <item m="1" x="263"/>
        <item m="1" x="362"/>
        <item m="1" x="627"/>
        <item m="1" x="654"/>
        <item m="1" x="364"/>
        <item m="1" x="655"/>
        <item m="1" x="102"/>
        <item m="1" x="350"/>
        <item m="1" x="391"/>
        <item m="1" x="572"/>
        <item m="1" x="540"/>
        <item m="1" x="255"/>
        <item m="1" x="351"/>
        <item m="1" x="578"/>
        <item m="1" x="523"/>
        <item m="1" x="368"/>
        <item m="1" x="138"/>
        <item m="1" x="57"/>
        <item m="1" x="198"/>
        <item m="1" x="579"/>
        <item m="1" x="580"/>
        <item m="1" x="331"/>
        <item m="1" x="536"/>
        <item m="1" x="205"/>
        <item m="1" x="482"/>
        <item m="1" x="372"/>
        <item m="1" x="360"/>
        <item m="1" x="658"/>
        <item m="1" x="646"/>
        <item m="1" x="497"/>
        <item m="1" x="478"/>
        <item m="1" x="439"/>
        <item m="1" x="358"/>
        <item m="1" x="486"/>
        <item m="1" x="516"/>
        <item m="1" x="137"/>
        <item m="1" x="636"/>
        <item m="1" x="88"/>
        <item m="1" x="290"/>
        <item m="1" x="281"/>
        <item m="1" x="217"/>
        <item m="1" x="161"/>
        <item m="1" x="322"/>
        <item m="1" x="370"/>
        <item m="1" x="155"/>
        <item m="1" x="65"/>
        <item m="1" x="388"/>
        <item m="1" x="582"/>
        <item m="1" x="444"/>
        <item m="1" x="320"/>
        <item m="1" x="499"/>
        <item m="1" x="599"/>
        <item m="1" x="305"/>
        <item m="1" x="659"/>
        <item m="1" x="270"/>
        <item m="1" x="570"/>
        <item m="1" x="163"/>
        <item m="1" x="469"/>
        <item m="1" x="618"/>
        <item m="1" x="590"/>
        <item m="1" x="600"/>
        <item m="1" x="559"/>
        <item m="1" x="183"/>
        <item m="1" x="62"/>
        <item m="1" x="280"/>
        <item m="1" x="593"/>
        <item m="1" x="129"/>
        <item m="1" x="586"/>
        <item m="1" x="325"/>
        <item m="1" x="609"/>
        <item m="1" x="82"/>
        <item m="1" x="637"/>
        <item m="1" x="59"/>
        <item m="1" x="298"/>
        <item m="1" x="608"/>
        <item m="1" x="199"/>
        <item m="1" x="260"/>
        <item m="1" x="440"/>
        <item m="1" x="104"/>
        <item m="1" x="401"/>
        <item m="1" x="267"/>
        <item m="1" x="483"/>
        <item m="1" x="341"/>
        <item m="1" x="355"/>
        <item m="1" x="417"/>
        <item m="1" x="495"/>
        <item m="1" x="366"/>
        <item m="1" x="182"/>
        <item m="1" x="70"/>
        <item m="1" x="153"/>
        <item m="1" x="498"/>
        <item m="1" x="466"/>
        <item m="1" x="551"/>
        <item m="1" x="409"/>
        <item m="1" x="595"/>
        <item m="1" x="276"/>
        <item m="1" x="431"/>
        <item m="1" x="574"/>
        <item m="1" x="68"/>
        <item x="6"/>
        <item x="10"/>
        <item x="11"/>
        <item x="12"/>
        <item x="17"/>
        <item x="21"/>
        <item x="24"/>
        <item x="26"/>
        <item x="28"/>
        <item x="29"/>
        <item x="33"/>
        <item x="35"/>
        <item x="39"/>
        <item x="40"/>
        <item x="42"/>
        <item x="2"/>
        <item x="43"/>
        <item x="4"/>
        <item m="1" x="667"/>
        <item x="7"/>
        <item x="37"/>
        <item x="13"/>
        <item x="14"/>
        <item x="48"/>
        <item x="15"/>
        <item x="19"/>
        <item x="27"/>
        <item x="31"/>
        <item x="32"/>
        <item x="34"/>
        <item x="1"/>
        <item x="45"/>
        <item x="49"/>
        <item x="51"/>
        <item x="3"/>
        <item x="16"/>
        <item x="23"/>
        <item x="25"/>
        <item x="30"/>
        <item x="38"/>
        <item x="5"/>
        <item x="8"/>
        <item x="20"/>
        <item x="36"/>
        <item x="44"/>
        <item x="47"/>
        <item x="50"/>
        <item x="9"/>
        <item x="18"/>
        <item x="22"/>
        <item x="41"/>
        <item x="46"/>
        <item x="52"/>
        <item x="53"/>
        <item t="default"/>
      </items>
    </pivotField>
    <pivotField showAll="0"/>
    <pivotField showAll="0"/>
    <pivotField showAll="0"/>
    <pivotField numFmtId="1" showAll="0"/>
    <pivotField numFmtId="168" showAll="0"/>
    <pivotField numFmtId="168" showAll="0"/>
    <pivotField numFmtId="166" showAll="0"/>
    <pivotField showAll="0"/>
    <pivotField numFmtId="2" showAll="0"/>
    <pivotField numFmtId="1" showAll="0"/>
    <pivotField numFmtId="1" showAll="0"/>
    <pivotField numFmtId="1" showAll="0"/>
    <pivotField numFmtId="1" showAll="0"/>
    <pivotField numFmtId="1" showAll="0"/>
    <pivotField showAll="0"/>
    <pivotField numFmtId="170" showAll="0"/>
    <pivotField numFmtId="170"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numFmtId="164"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26"/>
    <field x="3"/>
    <field x="17"/>
  </rowFields>
  <rowItems count="270">
    <i>
      <x v="1"/>
    </i>
    <i r="1">
      <x/>
    </i>
    <i r="2">
      <x v="1"/>
    </i>
    <i r="2">
      <x v="2"/>
    </i>
    <i r="2">
      <x v="4"/>
    </i>
    <i r="2">
      <x v="6"/>
    </i>
    <i r="2">
      <x v="10"/>
    </i>
    <i r="1">
      <x v="1"/>
    </i>
    <i r="2">
      <x v="1"/>
    </i>
    <i r="2">
      <x v="2"/>
    </i>
    <i r="2">
      <x v="4"/>
    </i>
    <i r="2">
      <x v="5"/>
    </i>
    <i r="2">
      <x v="6"/>
    </i>
    <i r="2">
      <x v="10"/>
    </i>
    <i r="1">
      <x v="2"/>
    </i>
    <i r="2">
      <x v="1"/>
    </i>
    <i r="2">
      <x v="2"/>
    </i>
    <i r="2">
      <x v="4"/>
    </i>
    <i r="2">
      <x v="5"/>
    </i>
    <i r="2">
      <x v="6"/>
    </i>
    <i r="1">
      <x v="3"/>
    </i>
    <i r="2">
      <x v="3"/>
    </i>
    <i r="2">
      <x v="7"/>
    </i>
    <i r="2">
      <x v="8"/>
    </i>
    <i r="2">
      <x v="9"/>
    </i>
    <i r="1">
      <x v="4"/>
    </i>
    <i r="2">
      <x v="5"/>
    </i>
    <i r="1">
      <x v="5"/>
    </i>
    <i r="2">
      <x v="11"/>
    </i>
    <i r="1">
      <x v="6"/>
    </i>
    <i r="2">
      <x v="2"/>
    </i>
    <i>
      <x v="621"/>
    </i>
    <i r="1">
      <x v="2"/>
    </i>
    <i r="2">
      <x v="4"/>
    </i>
    <i>
      <x v="622"/>
    </i>
    <i r="1">
      <x v="2"/>
    </i>
    <i r="2">
      <x v="1"/>
    </i>
    <i>
      <x v="623"/>
    </i>
    <i r="1">
      <x v="2"/>
    </i>
    <i r="2">
      <x v="2"/>
    </i>
    <i>
      <x v="624"/>
    </i>
    <i r="1">
      <x v="2"/>
    </i>
    <i r="2">
      <x v="2"/>
    </i>
    <i>
      <x v="625"/>
    </i>
    <i r="1">
      <x v="2"/>
    </i>
    <i r="2">
      <x v="1"/>
    </i>
    <i>
      <x v="626"/>
    </i>
    <i r="1">
      <x v="2"/>
    </i>
    <i r="2">
      <x v="1"/>
    </i>
    <i>
      <x v="627"/>
    </i>
    <i r="1">
      <x v="2"/>
    </i>
    <i r="2">
      <x v="2"/>
    </i>
    <i>
      <x v="628"/>
    </i>
    <i r="1">
      <x/>
    </i>
    <i r="2">
      <x v="2"/>
    </i>
    <i r="1">
      <x v="2"/>
    </i>
    <i r="2">
      <x v="1"/>
    </i>
    <i>
      <x v="629"/>
    </i>
    <i r="1">
      <x v="2"/>
    </i>
    <i r="2">
      <x v="2"/>
    </i>
    <i>
      <x v="630"/>
    </i>
    <i r="1">
      <x/>
    </i>
    <i r="2">
      <x v="2"/>
    </i>
    <i>
      <x v="631"/>
    </i>
    <i r="1">
      <x/>
    </i>
    <i r="2">
      <x v="2"/>
    </i>
    <i>
      <x v="632"/>
    </i>
    <i r="1">
      <x v="2"/>
    </i>
    <i r="2">
      <x v="2"/>
    </i>
    <i>
      <x v="633"/>
    </i>
    <i r="1">
      <x/>
    </i>
    <i r="2">
      <x v="2"/>
    </i>
    <i>
      <x v="634"/>
    </i>
    <i r="1">
      <x v="2"/>
    </i>
    <i r="2">
      <x v="2"/>
    </i>
    <i>
      <x v="635"/>
    </i>
    <i r="1">
      <x v="2"/>
    </i>
    <i r="2">
      <x v="2"/>
    </i>
    <i>
      <x v="636"/>
    </i>
    <i r="1">
      <x/>
    </i>
    <i r="2">
      <x v="2"/>
    </i>
    <i r="1">
      <x v="1"/>
    </i>
    <i r="2">
      <x v="2"/>
    </i>
    <i r="1">
      <x v="2"/>
    </i>
    <i r="2">
      <x v="2"/>
    </i>
    <i r="1">
      <x v="3"/>
    </i>
    <i r="2">
      <x v="3"/>
    </i>
    <i>
      <x v="637"/>
    </i>
    <i r="1">
      <x/>
    </i>
    <i r="2">
      <x v="2"/>
    </i>
    <i>
      <x v="638"/>
    </i>
    <i r="1">
      <x v="1"/>
    </i>
    <i r="2">
      <x/>
    </i>
    <i r="2">
      <x v="1"/>
    </i>
    <i>
      <x v="640"/>
    </i>
    <i r="1">
      <x v="1"/>
    </i>
    <i r="2">
      <x v="1"/>
    </i>
    <i r="2">
      <x v="10"/>
    </i>
    <i r="1">
      <x v="2"/>
    </i>
    <i r="2">
      <x v="1"/>
    </i>
    <i r="2">
      <x v="6"/>
    </i>
    <i r="1">
      <x v="4"/>
    </i>
    <i r="2">
      <x v="5"/>
    </i>
    <i>
      <x v="641"/>
    </i>
    <i r="1">
      <x v="2"/>
    </i>
    <i r="2">
      <x v="6"/>
    </i>
    <i>
      <x v="642"/>
    </i>
    <i r="1">
      <x/>
    </i>
    <i r="2">
      <x v="2"/>
    </i>
    <i>
      <x v="643"/>
    </i>
    <i r="1">
      <x/>
    </i>
    <i r="2">
      <x v="2"/>
    </i>
    <i r="2">
      <x v="10"/>
    </i>
    <i r="1">
      <x v="1"/>
    </i>
    <i r="2">
      <x v="2"/>
    </i>
    <i r="1">
      <x v="2"/>
    </i>
    <i r="2">
      <x v="2"/>
    </i>
    <i>
      <x v="644"/>
    </i>
    <i r="1">
      <x v="2"/>
    </i>
    <i r="2">
      <x v="1"/>
    </i>
    <i>
      <x v="645"/>
    </i>
    <i r="1">
      <x v="2"/>
    </i>
    <i r="2">
      <x v="2"/>
    </i>
    <i>
      <x v="646"/>
    </i>
    <i r="1">
      <x/>
    </i>
    <i r="2">
      <x v="10"/>
    </i>
    <i r="1">
      <x v="1"/>
    </i>
    <i r="2">
      <x v="2"/>
    </i>
    <i r="2">
      <x v="10"/>
    </i>
    <i r="1">
      <x v="2"/>
    </i>
    <i r="2">
      <x v="2"/>
    </i>
    <i>
      <x v="647"/>
    </i>
    <i r="1">
      <x/>
    </i>
    <i r="2">
      <x v="2"/>
    </i>
    <i r="1">
      <x v="2"/>
    </i>
    <i r="2">
      <x v="2"/>
    </i>
    <i>
      <x v="648"/>
    </i>
    <i r="1">
      <x/>
    </i>
    <i r="2">
      <x v="2"/>
    </i>
    <i>
      <x v="649"/>
    </i>
    <i r="1">
      <x/>
    </i>
    <i r="2">
      <x v="1"/>
    </i>
    <i r="1">
      <x v="2"/>
    </i>
    <i r="2">
      <x v="2"/>
    </i>
    <i>
      <x v="650"/>
    </i>
    <i r="1">
      <x/>
    </i>
    <i r="2">
      <x v="2"/>
    </i>
    <i>
      <x v="651"/>
    </i>
    <i r="1">
      <x/>
    </i>
    <i r="2">
      <x v="2"/>
    </i>
    <i r="1">
      <x v="1"/>
    </i>
    <i r="2">
      <x v="1"/>
    </i>
    <i r="2">
      <x v="2"/>
    </i>
    <i r="2">
      <x v="5"/>
    </i>
    <i r="1">
      <x v="2"/>
    </i>
    <i r="2">
      <x v="1"/>
    </i>
    <i r="2">
      <x v="2"/>
    </i>
    <i>
      <x v="652"/>
    </i>
    <i r="1">
      <x v="2"/>
    </i>
    <i r="2">
      <x v="2"/>
    </i>
    <i>
      <x v="653"/>
    </i>
    <i r="1">
      <x v="1"/>
    </i>
    <i r="2">
      <x v="2"/>
    </i>
    <i>
      <x v="654"/>
    </i>
    <i r="1">
      <x v="2"/>
    </i>
    <i r="2">
      <x v="2"/>
    </i>
    <i>
      <x v="655"/>
    </i>
    <i r="1">
      <x v="1"/>
    </i>
    <i r="2">
      <x v="4"/>
    </i>
    <i r="1">
      <x v="2"/>
    </i>
    <i r="2">
      <x v="6"/>
    </i>
    <i>
      <x v="656"/>
    </i>
    <i r="1">
      <x/>
    </i>
    <i r="2">
      <x v="2"/>
    </i>
    <i r="1">
      <x v="2"/>
    </i>
    <i r="2">
      <x v="2"/>
    </i>
    <i>
      <x v="657"/>
    </i>
    <i r="1">
      <x/>
    </i>
    <i r="2">
      <x v="2"/>
    </i>
    <i r="2">
      <x v="10"/>
    </i>
    <i r="1">
      <x v="1"/>
    </i>
    <i r="2">
      <x v="10"/>
    </i>
    <i>
      <x v="658"/>
    </i>
    <i r="1">
      <x/>
    </i>
    <i r="2">
      <x v="2"/>
    </i>
    <i r="1">
      <x v="1"/>
    </i>
    <i r="2">
      <x v="1"/>
    </i>
    <i r="2">
      <x v="2"/>
    </i>
    <i r="1">
      <x v="2"/>
    </i>
    <i r="2">
      <x v="2"/>
    </i>
    <i>
      <x v="659"/>
    </i>
    <i r="1">
      <x/>
    </i>
    <i r="2">
      <x v="2"/>
    </i>
    <i r="1">
      <x v="1"/>
    </i>
    <i r="2">
      <x v="6"/>
    </i>
    <i r="1">
      <x v="2"/>
    </i>
    <i r="2">
      <x v="1"/>
    </i>
    <i r="2">
      <x v="2"/>
    </i>
    <i>
      <x v="660"/>
    </i>
    <i r="1">
      <x/>
    </i>
    <i r="2">
      <x v="10"/>
    </i>
    <i>
      <x v="661"/>
    </i>
    <i r="1">
      <x v="2"/>
    </i>
    <i r="2">
      <x v="1"/>
    </i>
    <i r="2">
      <x v="2"/>
    </i>
    <i>
      <x v="662"/>
    </i>
    <i r="1">
      <x/>
    </i>
    <i r="2">
      <x v="2"/>
    </i>
    <i r="2">
      <x v="10"/>
    </i>
    <i r="1">
      <x v="2"/>
    </i>
    <i r="2">
      <x v="1"/>
    </i>
    <i r="2">
      <x v="2"/>
    </i>
    <i>
      <x v="663"/>
    </i>
    <i r="1">
      <x/>
    </i>
    <i r="2">
      <x v="2"/>
    </i>
    <i r="1">
      <x v="2"/>
    </i>
    <i r="2">
      <x v="2"/>
    </i>
    <i>
      <x v="664"/>
    </i>
    <i r="1">
      <x v="2"/>
    </i>
    <i r="2">
      <x v="1"/>
    </i>
    <i r="2">
      <x v="12"/>
    </i>
    <i>
      <x v="665"/>
    </i>
    <i r="1">
      <x v="2"/>
    </i>
    <i r="2">
      <x v="2"/>
    </i>
    <i>
      <x v="666"/>
    </i>
    <i r="1">
      <x/>
    </i>
    <i r="2">
      <x v="2"/>
    </i>
    <i r="1">
      <x v="2"/>
    </i>
    <i r="2">
      <x v="1"/>
    </i>
    <i r="2">
      <x v="2"/>
    </i>
    <i>
      <x v="667"/>
    </i>
    <i r="1">
      <x/>
    </i>
    <i r="2">
      <x v="2"/>
    </i>
    <i r="1">
      <x v="2"/>
    </i>
    <i r="2">
      <x v="2"/>
    </i>
    <i>
      <x v="668"/>
    </i>
    <i r="1">
      <x/>
    </i>
    <i r="2">
      <x v="1"/>
    </i>
    <i r="1">
      <x v="1"/>
    </i>
    <i r="2">
      <x v="2"/>
    </i>
    <i r="2">
      <x v="6"/>
    </i>
    <i r="1">
      <x v="2"/>
    </i>
    <i r="2">
      <x v="1"/>
    </i>
    <i>
      <x v="669"/>
    </i>
    <i r="1">
      <x/>
    </i>
    <i r="2">
      <x v="10"/>
    </i>
    <i r="1">
      <x v="2"/>
    </i>
    <i r="2">
      <x v="2"/>
    </i>
    <i>
      <x v="670"/>
    </i>
    <i r="1">
      <x/>
    </i>
    <i r="2">
      <x v="2"/>
    </i>
    <i>
      <x v="671"/>
    </i>
    <i r="1">
      <x v="1"/>
    </i>
    <i r="2">
      <x v="2"/>
    </i>
    <i r="1">
      <x v="2"/>
    </i>
    <i r="2">
      <x v="2"/>
    </i>
    <i>
      <x v="672"/>
    </i>
    <i r="1">
      <x/>
    </i>
    <i r="2">
      <x v="2"/>
    </i>
    <i r="1">
      <x v="2"/>
    </i>
    <i r="2">
      <x v="2"/>
    </i>
    <i>
      <x v="673"/>
    </i>
    <i r="1">
      <x/>
    </i>
    <i r="2">
      <x v="1"/>
    </i>
    <i r="1">
      <x v="2"/>
    </i>
    <i r="2">
      <x v="2"/>
    </i>
    <i>
      <x v="674"/>
    </i>
    <i r="1">
      <x/>
    </i>
    <i r="2">
      <x v="2"/>
    </i>
    <i t="grand">
      <x/>
    </i>
  </rowItems>
  <colFields count="1">
    <field x="-2"/>
  </colFields>
  <colItems count="3">
    <i>
      <x/>
    </i>
    <i i="1">
      <x v="1"/>
    </i>
    <i i="2">
      <x v="2"/>
    </i>
  </colItems>
  <dataFields count="3">
    <dataField name="WO COUNT" fld="4" subtotal="count" baseField="0" baseItem="0"/>
    <dataField name="APP. LOAD" fld="16" baseField="0" baseItem="0"/>
    <dataField name="TOTAL MHRS" fld="14" baseField="0" baseItem="0" numFmtId="43"/>
  </dataFields>
  <formats count="10">
    <format dxfId="10196">
      <pivotArea outline="0" collapsedLevelsAreSubtotals="1" fieldPosition="0">
        <references count="1">
          <reference field="4294967294" count="1" selected="0">
            <x v="2"/>
          </reference>
        </references>
      </pivotArea>
    </format>
    <format dxfId="10195">
      <pivotArea grandRow="1" outline="0" collapsedLevelsAreSubtotals="1" fieldPosition="0"/>
    </format>
    <format dxfId="10194">
      <pivotArea dataOnly="0" labelOnly="1" grandRow="1" outline="0" fieldPosition="0"/>
    </format>
    <format dxfId="10193">
      <pivotArea field="26" type="button" dataOnly="0" labelOnly="1" outline="0" axis="axisRow" fieldPosition="0"/>
    </format>
    <format dxfId="10192">
      <pivotArea dataOnly="0" labelOnly="1" outline="0" fieldPosition="0">
        <references count="1">
          <reference field="4294967294" count="2">
            <x v="0"/>
            <x v="2"/>
          </reference>
        </references>
      </pivotArea>
    </format>
    <format dxfId="10191">
      <pivotArea outline="0" collapsedLevelsAreSubtotals="1" fieldPosition="0">
        <references count="1">
          <reference field="4294967294" count="1" selected="0">
            <x v="0"/>
          </reference>
        </references>
      </pivotArea>
    </format>
    <format dxfId="10190">
      <pivotArea field="26" type="button" dataOnly="0" labelOnly="1" outline="0" axis="axisRow" fieldPosition="0"/>
    </format>
    <format dxfId="10189">
      <pivotArea dataOnly="0" labelOnly="1" outline="0" fieldPosition="0">
        <references count="1">
          <reference field="4294967294" count="2">
            <x v="0"/>
            <x v="2"/>
          </reference>
        </references>
      </pivotArea>
    </format>
    <format dxfId="10188">
      <pivotArea dataOnly="0" labelOnly="1" outline="0" fieldPosition="0">
        <references count="1">
          <reference field="4294967294" count="1">
            <x v="1"/>
          </reference>
        </references>
      </pivotArea>
    </format>
    <format dxfId="10187">
      <pivotArea dataOnly="0"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Z1" dT="2025-03-16T12:23:56.95" personId="{2B58ECCD-7399-4755-9855-17F4A6B97730}" id="{FF89100C-0E25-441F-9884-2F0E81C1D5D6}">
    <text>#N/A appears if not updated in the other source file</text>
  </threadedComment>
</ThreadedComments>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customProperty" Target="../customProperty1.bin"/><Relationship Id="rId1" Type="http://schemas.openxmlformats.org/officeDocument/2006/relationships/printerSettings" Target="../printerSettings/printerSettings1.bin"/><Relationship Id="rId5" Type="http://schemas.microsoft.com/office/2019/04/relationships/namedSheetView" Target="../namedSheetViews/namedSheetView1.xml"/><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0256E-3D6C-422A-9172-8DA3A6B301F3}">
  <dimension ref="A1:L20"/>
  <sheetViews>
    <sheetView workbookViewId="0"/>
  </sheetViews>
  <sheetFormatPr defaultRowHeight="15" x14ac:dyDescent="0.25"/>
  <cols>
    <col min="1" max="1" width="37.5703125" bestFit="1" customWidth="1"/>
    <col min="2" max="2" width="15.140625" bestFit="1" customWidth="1"/>
    <col min="3" max="4" width="10.85546875" bestFit="1" customWidth="1"/>
    <col min="5" max="5" width="3.85546875" bestFit="1" customWidth="1"/>
    <col min="6" max="6" width="37.5703125" bestFit="1" customWidth="1"/>
    <col min="7" max="7" width="35.85546875" style="23" bestFit="1" customWidth="1"/>
    <col min="8" max="8" width="27.140625" style="23" bestFit="1" customWidth="1"/>
    <col min="9" max="9" width="40.5703125" style="23" bestFit="1" customWidth="1"/>
    <col min="10" max="10" width="31.85546875" bestFit="1" customWidth="1"/>
    <col min="11" max="11" width="16.140625" style="23" customWidth="1"/>
    <col min="12" max="12" width="22.5703125" style="23" customWidth="1"/>
  </cols>
  <sheetData>
    <row r="1" spans="1:12" x14ac:dyDescent="0.25">
      <c r="A1" s="914" t="s">
        <v>0</v>
      </c>
      <c r="B1" t="s">
        <v>1</v>
      </c>
      <c r="F1" s="914" t="s">
        <v>0</v>
      </c>
      <c r="G1" s="23" t="s">
        <v>1</v>
      </c>
    </row>
    <row r="3" spans="1:12" x14ac:dyDescent="0.25">
      <c r="A3" s="914" t="s">
        <v>2</v>
      </c>
      <c r="B3" s="914" t="s">
        <v>3</v>
      </c>
      <c r="G3" s="922" t="s">
        <v>3</v>
      </c>
      <c r="J3" s="23"/>
      <c r="K3"/>
      <c r="L3"/>
    </row>
    <row r="4" spans="1:12" ht="30" x14ac:dyDescent="0.25">
      <c r="A4" s="914" t="s">
        <v>4</v>
      </c>
      <c r="B4" t="s">
        <v>5</v>
      </c>
      <c r="C4" t="s">
        <v>6</v>
      </c>
      <c r="G4" s="23" t="s">
        <v>5</v>
      </c>
      <c r="I4" s="916" t="s">
        <v>7</v>
      </c>
      <c r="J4" s="916" t="s">
        <v>8</v>
      </c>
      <c r="K4"/>
      <c r="L4"/>
    </row>
    <row r="5" spans="1:12" s="916" customFormat="1" ht="28.5" customHeight="1" x14ac:dyDescent="0.25">
      <c r="A5" s="915" t="s">
        <v>9</v>
      </c>
      <c r="B5" s="916">
        <v>8</v>
      </c>
      <c r="C5" s="916">
        <v>8</v>
      </c>
      <c r="D5"/>
      <c r="F5" s="917" t="s">
        <v>4</v>
      </c>
      <c r="G5" s="923" t="s">
        <v>10</v>
      </c>
      <c r="H5" s="923" t="s">
        <v>11</v>
      </c>
      <c r="K5"/>
      <c r="L5"/>
    </row>
    <row r="6" spans="1:12" x14ac:dyDescent="0.25">
      <c r="A6" s="70" t="s">
        <v>12</v>
      </c>
      <c r="B6">
        <v>42</v>
      </c>
      <c r="C6">
        <v>42</v>
      </c>
      <c r="F6" s="70" t="s">
        <v>9</v>
      </c>
      <c r="G6" s="921">
        <v>309761.23000000004</v>
      </c>
      <c r="H6" s="921">
        <v>79479.100000000006</v>
      </c>
      <c r="I6" s="921">
        <v>309761.23000000004</v>
      </c>
      <c r="J6" s="921">
        <v>79479.100000000006</v>
      </c>
      <c r="K6"/>
      <c r="L6"/>
    </row>
    <row r="7" spans="1:12" x14ac:dyDescent="0.25">
      <c r="A7" s="70" t="s">
        <v>13</v>
      </c>
      <c r="B7">
        <v>18</v>
      </c>
      <c r="C7">
        <v>18</v>
      </c>
      <c r="F7" s="70" t="s">
        <v>12</v>
      </c>
      <c r="G7" s="921">
        <v>4834813.3699999992</v>
      </c>
      <c r="H7" s="921">
        <v>368944.02999999997</v>
      </c>
      <c r="I7" s="921">
        <v>4834813.3699999992</v>
      </c>
      <c r="J7" s="921">
        <v>368944.02999999997</v>
      </c>
      <c r="K7"/>
      <c r="L7"/>
    </row>
    <row r="8" spans="1:12" x14ac:dyDescent="0.25">
      <c r="A8" s="70" t="s">
        <v>14</v>
      </c>
      <c r="B8">
        <v>1</v>
      </c>
      <c r="C8">
        <v>1</v>
      </c>
      <c r="F8" s="70" t="s">
        <v>13</v>
      </c>
      <c r="G8" s="921">
        <v>1976088.4899999998</v>
      </c>
      <c r="H8" s="921"/>
      <c r="I8" s="921">
        <v>1976088.4899999998</v>
      </c>
      <c r="J8" s="921"/>
      <c r="K8"/>
      <c r="L8"/>
    </row>
    <row r="9" spans="1:12" x14ac:dyDescent="0.25">
      <c r="A9" s="70" t="s">
        <v>15</v>
      </c>
      <c r="B9">
        <v>5</v>
      </c>
      <c r="C9">
        <v>5</v>
      </c>
      <c r="F9" s="70" t="s">
        <v>14</v>
      </c>
      <c r="G9" s="921">
        <v>80751.899999999994</v>
      </c>
      <c r="H9" s="921">
        <v>84452.5</v>
      </c>
      <c r="I9" s="921">
        <v>80751.899999999994</v>
      </c>
      <c r="J9" s="921">
        <v>84452.5</v>
      </c>
      <c r="K9"/>
      <c r="L9"/>
    </row>
    <row r="10" spans="1:12" x14ac:dyDescent="0.25">
      <c r="A10" s="70" t="s">
        <v>16</v>
      </c>
      <c r="B10">
        <v>39</v>
      </c>
      <c r="C10">
        <v>39</v>
      </c>
      <c r="F10" s="70" t="s">
        <v>15</v>
      </c>
      <c r="G10" s="921">
        <v>169350.32</v>
      </c>
      <c r="H10" s="921"/>
      <c r="I10" s="921">
        <v>169350.32</v>
      </c>
      <c r="J10" s="921"/>
      <c r="K10"/>
      <c r="L10"/>
    </row>
    <row r="11" spans="1:12" x14ac:dyDescent="0.25">
      <c r="A11" s="70" t="s">
        <v>6</v>
      </c>
      <c r="B11">
        <v>113</v>
      </c>
      <c r="C11">
        <v>113</v>
      </c>
      <c r="F11" s="70" t="s">
        <v>16</v>
      </c>
      <c r="G11" s="921">
        <v>3937935.1700000009</v>
      </c>
      <c r="H11" s="921"/>
      <c r="I11" s="921">
        <v>3937935.1700000009</v>
      </c>
      <c r="J11" s="921"/>
      <c r="K11"/>
      <c r="L11"/>
    </row>
    <row r="12" spans="1:12" x14ac:dyDescent="0.25">
      <c r="F12" s="70" t="s">
        <v>6</v>
      </c>
      <c r="G12" s="921">
        <v>11308700.48</v>
      </c>
      <c r="H12" s="921">
        <v>532875.63</v>
      </c>
      <c r="I12" s="921">
        <v>11308700.48</v>
      </c>
      <c r="J12" s="921">
        <v>532875.63</v>
      </c>
    </row>
    <row r="14" spans="1:12" ht="30" x14ac:dyDescent="0.25">
      <c r="F14" s="918" t="s">
        <v>4</v>
      </c>
      <c r="G14" s="924" t="s">
        <v>17</v>
      </c>
      <c r="H14" s="924" t="s">
        <v>18</v>
      </c>
      <c r="I14" s="924" t="s">
        <v>17</v>
      </c>
      <c r="J14" s="918" t="s">
        <v>18</v>
      </c>
      <c r="K14" s="924"/>
      <c r="L14" s="924"/>
    </row>
    <row r="15" spans="1:12" x14ac:dyDescent="0.25">
      <c r="F15" s="70" t="s">
        <v>9</v>
      </c>
      <c r="G15" s="921">
        <v>309761.23000000004</v>
      </c>
      <c r="H15" s="921">
        <v>79479.100000000006</v>
      </c>
      <c r="I15" s="921"/>
      <c r="J15" s="881"/>
      <c r="K15" s="921">
        <v>309761.23000000004</v>
      </c>
      <c r="L15" s="921">
        <v>79479.100000000006</v>
      </c>
    </row>
    <row r="16" spans="1:12" x14ac:dyDescent="0.25">
      <c r="F16" s="70" t="s">
        <v>12</v>
      </c>
      <c r="G16" s="921">
        <v>4366131.09</v>
      </c>
      <c r="H16" s="921">
        <v>368944.02999999997</v>
      </c>
      <c r="I16" s="921"/>
      <c r="J16" s="881"/>
      <c r="K16" s="921">
        <v>4366131.09</v>
      </c>
      <c r="L16" s="921">
        <v>368944.02999999997</v>
      </c>
    </row>
    <row r="17" spans="6:12" x14ac:dyDescent="0.25">
      <c r="F17" s="70" t="s">
        <v>13</v>
      </c>
      <c r="G17" s="921">
        <v>1784857.5600000003</v>
      </c>
      <c r="H17" s="921"/>
      <c r="I17" s="921"/>
      <c r="J17" s="881"/>
      <c r="K17" s="921">
        <v>1784857.5600000003</v>
      </c>
      <c r="L17" s="921"/>
    </row>
    <row r="18" spans="6:12" x14ac:dyDescent="0.25">
      <c r="F18" s="70" t="s">
        <v>19</v>
      </c>
      <c r="G18" s="921">
        <v>80751.899999999994</v>
      </c>
      <c r="H18" s="921">
        <v>35552.910000000003</v>
      </c>
      <c r="I18" s="921"/>
      <c r="J18" s="881"/>
      <c r="K18" s="921">
        <v>80751.899999999994</v>
      </c>
      <c r="L18" s="921">
        <v>35552.910000000003</v>
      </c>
    </row>
    <row r="19" spans="6:12" x14ac:dyDescent="0.25">
      <c r="F19" s="70" t="s">
        <v>16</v>
      </c>
      <c r="G19" s="921">
        <v>4597848.38</v>
      </c>
      <c r="H19" s="921"/>
      <c r="I19" s="921">
        <v>44676.99</v>
      </c>
      <c r="J19" s="881"/>
      <c r="K19" s="921">
        <v>4642525.37</v>
      </c>
      <c r="L19" s="921"/>
    </row>
    <row r="20" spans="6:12" x14ac:dyDescent="0.25">
      <c r="F20" s="919" t="s">
        <v>6</v>
      </c>
      <c r="G20" s="925">
        <v>11139350.16</v>
      </c>
      <c r="H20" s="925">
        <v>483976.04000000004</v>
      </c>
      <c r="I20" s="925">
        <v>44676.99</v>
      </c>
      <c r="J20" s="920"/>
      <c r="K20" s="925">
        <v>11184027.150000002</v>
      </c>
      <c r="L20" s="925">
        <v>483976.04000000004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80EA9-8700-4330-A57B-0D31269E1764}">
  <dimension ref="A1:CV11"/>
  <sheetViews>
    <sheetView workbookViewId="0">
      <selection activeCell="B35" sqref="B35"/>
    </sheetView>
  </sheetViews>
  <sheetFormatPr defaultRowHeight="15" x14ac:dyDescent="0.25"/>
  <cols>
    <col min="1" max="1" width="9.5703125" bestFit="1" customWidth="1"/>
    <col min="2" max="2" width="24.85546875" bestFit="1" customWidth="1"/>
  </cols>
  <sheetData>
    <row r="1" spans="1:100" x14ac:dyDescent="0.25">
      <c r="A1" t="s">
        <v>20</v>
      </c>
      <c r="B1" t="s">
        <v>21</v>
      </c>
    </row>
    <row r="2" spans="1:100" x14ac:dyDescent="0.25">
      <c r="A2" t="s">
        <v>22</v>
      </c>
      <c r="B2" t="s">
        <v>23</v>
      </c>
      <c r="CV2" t="s">
        <v>24</v>
      </c>
    </row>
    <row r="3" spans="1:100" x14ac:dyDescent="0.25">
      <c r="A3" t="s">
        <v>25</v>
      </c>
      <c r="B3" t="s">
        <v>26</v>
      </c>
    </row>
    <row r="4" spans="1:100" x14ac:dyDescent="0.25">
      <c r="A4" t="s">
        <v>27</v>
      </c>
      <c r="B4" t="s">
        <v>28</v>
      </c>
    </row>
    <row r="5" spans="1:100" x14ac:dyDescent="0.25">
      <c r="A5" t="s">
        <v>29</v>
      </c>
      <c r="B5" t="s">
        <v>30</v>
      </c>
    </row>
    <row r="6" spans="1:100" x14ac:dyDescent="0.25">
      <c r="A6" t="s">
        <v>31</v>
      </c>
      <c r="B6" t="s">
        <v>32</v>
      </c>
      <c r="CV6" s="745" t="s">
        <v>33</v>
      </c>
    </row>
    <row r="7" spans="1:100" x14ac:dyDescent="0.25">
      <c r="A7" t="s">
        <v>34</v>
      </c>
      <c r="B7" t="s">
        <v>35</v>
      </c>
    </row>
    <row r="8" spans="1:100" x14ac:dyDescent="0.25">
      <c r="A8" t="s">
        <v>36</v>
      </c>
      <c r="B8" t="s">
        <v>37</v>
      </c>
    </row>
    <row r="9" spans="1:100" x14ac:dyDescent="0.25">
      <c r="A9" t="s">
        <v>38</v>
      </c>
      <c r="B9" t="s">
        <v>39</v>
      </c>
    </row>
    <row r="10" spans="1:100" x14ac:dyDescent="0.25">
      <c r="A10" t="s">
        <v>40</v>
      </c>
      <c r="B10" t="s">
        <v>41</v>
      </c>
    </row>
    <row r="11" spans="1:100" x14ac:dyDescent="0.25">
      <c r="A11" s="156" t="e">
        <f>VLOOKUP(#REF!,'[1]List of Work Orders'!$A:$I,9,FALSE)</f>
        <v>#REF!</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5D5E8-A10C-4F91-99F4-EE1C114B3361}">
  <dimension ref="A1:E51"/>
  <sheetViews>
    <sheetView topLeftCell="A23" zoomScale="85" zoomScaleNormal="85" workbookViewId="0">
      <selection activeCell="A24" sqref="A24:A25"/>
    </sheetView>
  </sheetViews>
  <sheetFormatPr defaultColWidth="8.85546875" defaultRowHeight="12.75" x14ac:dyDescent="0.2"/>
  <cols>
    <col min="1" max="1" width="47" style="961" customWidth="1"/>
    <col min="2" max="2" width="30.5703125" style="961" customWidth="1"/>
    <col min="3" max="3" width="30.140625" style="963" customWidth="1"/>
    <col min="4" max="4" width="21.140625" style="961" customWidth="1"/>
    <col min="5" max="5" width="26.42578125" style="961" customWidth="1"/>
    <col min="6" max="6" width="19.140625" style="961" customWidth="1"/>
    <col min="7" max="16384" width="8.85546875" style="961"/>
  </cols>
  <sheetData>
    <row r="1" spans="1:1" x14ac:dyDescent="0.2">
      <c r="A1" s="1006" t="s">
        <v>42</v>
      </c>
    </row>
    <row r="2" spans="1:1" x14ac:dyDescent="0.2">
      <c r="A2" s="1006" t="s">
        <v>43</v>
      </c>
    </row>
    <row r="3" spans="1:1" x14ac:dyDescent="0.2">
      <c r="A3" s="1006" t="s">
        <v>44</v>
      </c>
    </row>
    <row r="4" spans="1:1" x14ac:dyDescent="0.2">
      <c r="A4" s="1006" t="s">
        <v>45</v>
      </c>
    </row>
    <row r="5" spans="1:1" x14ac:dyDescent="0.2">
      <c r="A5" s="1006" t="s">
        <v>46</v>
      </c>
    </row>
    <row r="6" spans="1:1" x14ac:dyDescent="0.2">
      <c r="A6" s="1006" t="s">
        <v>47</v>
      </c>
    </row>
    <row r="7" spans="1:1" x14ac:dyDescent="0.2">
      <c r="A7" s="1006" t="s">
        <v>48</v>
      </c>
    </row>
    <row r="8" spans="1:1" x14ac:dyDescent="0.2">
      <c r="A8" s="1006" t="s">
        <v>49</v>
      </c>
    </row>
    <row r="9" spans="1:1" x14ac:dyDescent="0.2">
      <c r="A9" s="1006" t="s">
        <v>50</v>
      </c>
    </row>
    <row r="10" spans="1:1" x14ac:dyDescent="0.2">
      <c r="A10" s="1006" t="s">
        <v>51</v>
      </c>
    </row>
    <row r="11" spans="1:1" x14ac:dyDescent="0.2">
      <c r="A11" s="1006" t="s">
        <v>52</v>
      </c>
    </row>
    <row r="12" spans="1:1" x14ac:dyDescent="0.2">
      <c r="A12" s="1006" t="s">
        <v>53</v>
      </c>
    </row>
    <row r="13" spans="1:1" x14ac:dyDescent="0.2">
      <c r="A13" s="1006" t="s">
        <v>54</v>
      </c>
    </row>
    <row r="14" spans="1:1" x14ac:dyDescent="0.2">
      <c r="A14" s="1006" t="s">
        <v>55</v>
      </c>
    </row>
    <row r="15" spans="1:1" x14ac:dyDescent="0.2">
      <c r="A15" s="1006" t="s">
        <v>56</v>
      </c>
    </row>
    <row r="16" spans="1:1" x14ac:dyDescent="0.2">
      <c r="A16" s="1006" t="s">
        <v>57</v>
      </c>
    </row>
    <row r="17" spans="1:5" x14ac:dyDescent="0.2">
      <c r="A17" s="1006" t="s">
        <v>58</v>
      </c>
      <c r="B17" s="1006"/>
      <c r="C17" s="1025"/>
      <c r="D17" s="1006"/>
      <c r="E17" s="1006"/>
    </row>
    <row r="18" spans="1:5" x14ac:dyDescent="0.2">
      <c r="A18" s="1006" t="s">
        <v>59</v>
      </c>
      <c r="B18" s="1006"/>
      <c r="C18" s="1025"/>
      <c r="D18" s="1006"/>
      <c r="E18" s="1006"/>
    </row>
    <row r="19" spans="1:5" x14ac:dyDescent="0.2">
      <c r="A19" s="1006" t="s">
        <v>60</v>
      </c>
      <c r="B19" s="1006"/>
      <c r="C19" s="1025"/>
      <c r="D19" s="1006"/>
      <c r="E19" s="1006"/>
    </row>
    <row r="20" spans="1:5" x14ac:dyDescent="0.2">
      <c r="A20" s="1006" t="s">
        <v>61</v>
      </c>
      <c r="B20" s="1006"/>
      <c r="C20" s="1025"/>
      <c r="D20" s="1006"/>
      <c r="E20" s="1006"/>
    </row>
    <row r="21" spans="1:5" x14ac:dyDescent="0.2">
      <c r="A21" s="1006" t="s">
        <v>62</v>
      </c>
      <c r="B21" s="1006"/>
      <c r="C21" s="1025"/>
      <c r="D21" s="1006"/>
      <c r="E21" s="1006"/>
    </row>
    <row r="23" spans="1:5" s="962" customFormat="1" ht="105" x14ac:dyDescent="0.25">
      <c r="A23" s="964" t="s">
        <v>63</v>
      </c>
      <c r="B23" s="964" t="s">
        <v>64</v>
      </c>
      <c r="C23" s="964" t="s">
        <v>65</v>
      </c>
      <c r="D23" s="964" t="s">
        <v>66</v>
      </c>
      <c r="E23" s="964" t="s">
        <v>67</v>
      </c>
    </row>
    <row r="24" spans="1:5" ht="31.5" x14ac:dyDescent="0.2">
      <c r="A24" s="1137" t="s">
        <v>43</v>
      </c>
      <c r="B24" s="1139" t="s">
        <v>68</v>
      </c>
      <c r="C24" s="965" t="s">
        <v>69</v>
      </c>
      <c r="D24" s="1139" t="s">
        <v>70</v>
      </c>
      <c r="E24" s="966" t="s">
        <v>71</v>
      </c>
    </row>
    <row r="25" spans="1:5" ht="31.5" x14ac:dyDescent="0.2">
      <c r="A25" s="1138"/>
      <c r="B25" s="1140"/>
      <c r="C25" s="967" t="s">
        <v>72</v>
      </c>
      <c r="D25" s="1140"/>
      <c r="E25" s="968" t="s">
        <v>73</v>
      </c>
    </row>
    <row r="26" spans="1:5" ht="47.25" x14ac:dyDescent="0.2">
      <c r="A26" s="1141" t="s">
        <v>54</v>
      </c>
      <c r="B26" s="1142" t="s">
        <v>74</v>
      </c>
      <c r="C26" s="969" t="s">
        <v>75</v>
      </c>
      <c r="D26" s="1142" t="s">
        <v>76</v>
      </c>
      <c r="E26" s="970" t="s">
        <v>77</v>
      </c>
    </row>
    <row r="27" spans="1:5" ht="31.5" x14ac:dyDescent="0.2">
      <c r="A27" s="1138"/>
      <c r="B27" s="1140"/>
      <c r="C27" s="967" t="s">
        <v>78</v>
      </c>
      <c r="D27" s="1140"/>
      <c r="E27" s="968" t="s">
        <v>79</v>
      </c>
    </row>
    <row r="28" spans="1:5" ht="47.25" x14ac:dyDescent="0.2">
      <c r="A28" s="1141" t="s">
        <v>55</v>
      </c>
      <c r="B28" s="1142" t="s">
        <v>80</v>
      </c>
      <c r="C28" s="969" t="s">
        <v>75</v>
      </c>
      <c r="D28" s="1142" t="s">
        <v>76</v>
      </c>
      <c r="E28" s="970" t="s">
        <v>77</v>
      </c>
    </row>
    <row r="29" spans="1:5" ht="31.5" x14ac:dyDescent="0.2">
      <c r="A29" s="1138"/>
      <c r="B29" s="1140"/>
      <c r="C29" s="967" t="s">
        <v>78</v>
      </c>
      <c r="D29" s="1140"/>
      <c r="E29" s="968" t="s">
        <v>79</v>
      </c>
    </row>
    <row r="30" spans="1:5" ht="47.25" x14ac:dyDescent="0.2">
      <c r="A30" s="1141" t="s">
        <v>57</v>
      </c>
      <c r="B30" s="1142" t="s">
        <v>81</v>
      </c>
      <c r="C30" s="969" t="s">
        <v>75</v>
      </c>
      <c r="D30" s="1142" t="s">
        <v>76</v>
      </c>
      <c r="E30" s="970" t="s">
        <v>82</v>
      </c>
    </row>
    <row r="31" spans="1:5" ht="31.5" x14ac:dyDescent="0.2">
      <c r="A31" s="1138"/>
      <c r="B31" s="1140"/>
      <c r="C31" s="967" t="s">
        <v>78</v>
      </c>
      <c r="D31" s="1140"/>
      <c r="E31" s="968" t="s">
        <v>83</v>
      </c>
    </row>
    <row r="32" spans="1:5" ht="31.5" x14ac:dyDescent="0.2">
      <c r="A32" s="1141" t="s">
        <v>84</v>
      </c>
      <c r="B32" s="1142" t="s">
        <v>85</v>
      </c>
      <c r="C32" s="969" t="s">
        <v>86</v>
      </c>
      <c r="D32" s="1142" t="s">
        <v>87</v>
      </c>
      <c r="E32" s="970" t="s">
        <v>88</v>
      </c>
    </row>
    <row r="33" spans="1:5" ht="31.5" x14ac:dyDescent="0.2">
      <c r="A33" s="1138"/>
      <c r="B33" s="1140"/>
      <c r="C33" s="967" t="s">
        <v>89</v>
      </c>
      <c r="D33" s="1140"/>
      <c r="E33" s="968" t="s">
        <v>90</v>
      </c>
    </row>
    <row r="34" spans="1:5" ht="15.75" x14ac:dyDescent="0.2">
      <c r="A34" s="1141" t="s">
        <v>51</v>
      </c>
      <c r="B34" s="1142" t="s">
        <v>91</v>
      </c>
      <c r="C34" s="969" t="s">
        <v>69</v>
      </c>
      <c r="D34" s="1142" t="s">
        <v>87</v>
      </c>
      <c r="E34" s="1142" t="s">
        <v>92</v>
      </c>
    </row>
    <row r="35" spans="1:5" ht="31.5" x14ac:dyDescent="0.2">
      <c r="A35" s="1138"/>
      <c r="B35" s="1140"/>
      <c r="C35" s="967" t="s">
        <v>78</v>
      </c>
      <c r="D35" s="1140"/>
      <c r="E35" s="1140"/>
    </row>
    <row r="36" spans="1:5" ht="31.5" x14ac:dyDescent="0.2">
      <c r="A36" s="1141" t="s">
        <v>93</v>
      </c>
      <c r="B36" s="1142" t="s">
        <v>94</v>
      </c>
      <c r="C36" s="969" t="s">
        <v>95</v>
      </c>
      <c r="D36" s="1142" t="s">
        <v>96</v>
      </c>
      <c r="E36" s="970" t="s">
        <v>97</v>
      </c>
    </row>
    <row r="37" spans="1:5" ht="31.5" x14ac:dyDescent="0.2">
      <c r="A37" s="1138"/>
      <c r="B37" s="1140"/>
      <c r="C37" s="967" t="s">
        <v>78</v>
      </c>
      <c r="D37" s="1140"/>
      <c r="E37" s="968" t="s">
        <v>98</v>
      </c>
    </row>
    <row r="38" spans="1:5" ht="31.5" x14ac:dyDescent="0.2">
      <c r="A38" s="1141" t="s">
        <v>59</v>
      </c>
      <c r="B38" s="1142" t="s">
        <v>99</v>
      </c>
      <c r="C38" s="969" t="s">
        <v>100</v>
      </c>
      <c r="D38" s="1142" t="s">
        <v>101</v>
      </c>
      <c r="E38" s="970" t="s">
        <v>102</v>
      </c>
    </row>
    <row r="39" spans="1:5" ht="31.5" x14ac:dyDescent="0.2">
      <c r="A39" s="1138"/>
      <c r="B39" s="1140"/>
      <c r="C39" s="967" t="s">
        <v>78</v>
      </c>
      <c r="D39" s="1140"/>
      <c r="E39" s="968" t="s">
        <v>103</v>
      </c>
    </row>
    <row r="40" spans="1:5" ht="31.5" x14ac:dyDescent="0.2">
      <c r="A40" s="1141" t="s">
        <v>58</v>
      </c>
      <c r="B40" s="1142" t="s">
        <v>104</v>
      </c>
      <c r="C40" s="969" t="s">
        <v>100</v>
      </c>
      <c r="D40" s="1142" t="s">
        <v>101</v>
      </c>
      <c r="E40" s="970" t="s">
        <v>102</v>
      </c>
    </row>
    <row r="41" spans="1:5" ht="47.25" x14ac:dyDescent="0.2">
      <c r="A41" s="1138"/>
      <c r="B41" s="1140"/>
      <c r="C41" s="967" t="s">
        <v>105</v>
      </c>
      <c r="D41" s="1140"/>
      <c r="E41" s="968" t="s">
        <v>103</v>
      </c>
    </row>
    <row r="42" spans="1:5" ht="31.5" x14ac:dyDescent="0.2">
      <c r="A42" s="1141" t="s">
        <v>106</v>
      </c>
      <c r="B42" s="1142" t="s">
        <v>107</v>
      </c>
      <c r="C42" s="969" t="s">
        <v>108</v>
      </c>
      <c r="D42" s="1142" t="s">
        <v>109</v>
      </c>
      <c r="E42" s="1142" t="s">
        <v>110</v>
      </c>
    </row>
    <row r="43" spans="1:5" ht="31.5" x14ac:dyDescent="0.2">
      <c r="A43" s="1138"/>
      <c r="B43" s="1140"/>
      <c r="C43" s="967" t="s">
        <v>78</v>
      </c>
      <c r="D43" s="1140"/>
      <c r="E43" s="1140"/>
    </row>
    <row r="44" spans="1:5" ht="31.5" x14ac:dyDescent="0.2">
      <c r="A44" s="1141" t="s">
        <v>47</v>
      </c>
      <c r="B44" s="1142" t="s">
        <v>111</v>
      </c>
      <c r="C44" s="969" t="s">
        <v>112</v>
      </c>
      <c r="D44" s="970" t="s">
        <v>113</v>
      </c>
      <c r="E44" s="970" t="s">
        <v>114</v>
      </c>
    </row>
    <row r="45" spans="1:5" ht="47.25" x14ac:dyDescent="0.2">
      <c r="A45" s="1138"/>
      <c r="B45" s="1140"/>
      <c r="C45" s="967" t="s">
        <v>115</v>
      </c>
      <c r="D45" s="968" t="s">
        <v>116</v>
      </c>
      <c r="E45" s="968" t="s">
        <v>117</v>
      </c>
    </row>
    <row r="46" spans="1:5" ht="31.5" x14ac:dyDescent="0.2">
      <c r="A46" s="1141" t="s">
        <v>118</v>
      </c>
      <c r="B46" s="1142" t="s">
        <v>111</v>
      </c>
      <c r="C46" s="969" t="s">
        <v>112</v>
      </c>
      <c r="D46" s="970" t="s">
        <v>119</v>
      </c>
      <c r="E46" s="1142" t="s">
        <v>120</v>
      </c>
    </row>
    <row r="47" spans="1:5" ht="63" x14ac:dyDescent="0.2">
      <c r="A47" s="1138"/>
      <c r="B47" s="1140"/>
      <c r="C47" s="967" t="s">
        <v>121</v>
      </c>
      <c r="D47" s="968" t="s">
        <v>116</v>
      </c>
      <c r="E47" s="1140"/>
    </row>
    <row r="48" spans="1:5" ht="31.5" x14ac:dyDescent="0.2">
      <c r="A48" s="1141" t="s">
        <v>50</v>
      </c>
      <c r="B48" s="1142" t="s">
        <v>122</v>
      </c>
      <c r="C48" s="969" t="s">
        <v>123</v>
      </c>
      <c r="D48" s="1142" t="s">
        <v>124</v>
      </c>
      <c r="E48" s="970" t="s">
        <v>125</v>
      </c>
    </row>
    <row r="49" spans="1:5" ht="31.5" x14ac:dyDescent="0.2">
      <c r="A49" s="1138"/>
      <c r="B49" s="1140"/>
      <c r="C49" s="967" t="s">
        <v>126</v>
      </c>
      <c r="D49" s="1140"/>
      <c r="E49" s="968" t="s">
        <v>127</v>
      </c>
    </row>
    <row r="50" spans="1:5" ht="31.5" x14ac:dyDescent="0.2">
      <c r="A50" s="1141" t="s">
        <v>61</v>
      </c>
      <c r="B50" s="1142" t="s">
        <v>128</v>
      </c>
      <c r="C50" s="969" t="s">
        <v>129</v>
      </c>
      <c r="D50" s="1142" t="s">
        <v>130</v>
      </c>
      <c r="E50" s="1142" t="s">
        <v>131</v>
      </c>
    </row>
    <row r="51" spans="1:5" ht="31.5" x14ac:dyDescent="0.2">
      <c r="A51" s="1138"/>
      <c r="B51" s="1140"/>
      <c r="C51" s="967" t="s">
        <v>132</v>
      </c>
      <c r="D51" s="1140"/>
      <c r="E51" s="1140"/>
    </row>
  </sheetData>
  <mergeCells count="44">
    <mergeCell ref="E50:E51"/>
    <mergeCell ref="A48:A49"/>
    <mergeCell ref="B48:B49"/>
    <mergeCell ref="D48:D49"/>
    <mergeCell ref="A50:A51"/>
    <mergeCell ref="B50:B51"/>
    <mergeCell ref="D50:D51"/>
    <mergeCell ref="E42:E43"/>
    <mergeCell ref="A44:A45"/>
    <mergeCell ref="B44:B45"/>
    <mergeCell ref="A46:A47"/>
    <mergeCell ref="B46:B47"/>
    <mergeCell ref="E46:E47"/>
    <mergeCell ref="A40:A41"/>
    <mergeCell ref="B40:B41"/>
    <mergeCell ref="D40:D41"/>
    <mergeCell ref="A42:A43"/>
    <mergeCell ref="B42:B43"/>
    <mergeCell ref="D42:D43"/>
    <mergeCell ref="E34:E35"/>
    <mergeCell ref="A36:A37"/>
    <mergeCell ref="B36:B37"/>
    <mergeCell ref="D36:D37"/>
    <mergeCell ref="A38:A39"/>
    <mergeCell ref="B38:B39"/>
    <mergeCell ref="D38:D39"/>
    <mergeCell ref="A32:A33"/>
    <mergeCell ref="B32:B33"/>
    <mergeCell ref="D32:D33"/>
    <mergeCell ref="A34:A35"/>
    <mergeCell ref="B34:B35"/>
    <mergeCell ref="D34:D35"/>
    <mergeCell ref="A28:A29"/>
    <mergeCell ref="B28:B29"/>
    <mergeCell ref="D28:D29"/>
    <mergeCell ref="A30:A31"/>
    <mergeCell ref="B30:B31"/>
    <mergeCell ref="D30:D31"/>
    <mergeCell ref="A24:A25"/>
    <mergeCell ref="B24:B25"/>
    <mergeCell ref="D24:D25"/>
    <mergeCell ref="A26:A27"/>
    <mergeCell ref="B26:B27"/>
    <mergeCell ref="D26:D2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30006-294D-4710-B297-AAD9D415B7C5}">
  <sheetPr codeName="Sheet2"/>
  <dimension ref="A1:CY23"/>
  <sheetViews>
    <sheetView zoomScale="70" zoomScaleNormal="70" workbookViewId="0">
      <pane xSplit="5" topLeftCell="F1" activePane="topRight" state="frozen"/>
      <selection pane="topRight" activeCell="G12" sqref="G12"/>
    </sheetView>
  </sheetViews>
  <sheetFormatPr defaultRowHeight="15" x14ac:dyDescent="0.25"/>
  <cols>
    <col min="1" max="1" width="8.85546875" customWidth="1"/>
    <col min="2" max="2" width="8.140625" customWidth="1"/>
    <col min="3" max="3" width="4.140625" customWidth="1"/>
    <col min="4" max="4" width="7.5703125" customWidth="1"/>
    <col min="5" max="5" width="16.140625" customWidth="1"/>
    <col min="6" max="6" width="41.5703125" customWidth="1"/>
    <col min="7" max="7" width="39.5703125" customWidth="1"/>
    <col min="8" max="8" width="14.85546875" customWidth="1"/>
    <col min="9" max="9" width="14.140625" customWidth="1"/>
    <col min="10" max="11" width="9.140625" customWidth="1"/>
    <col min="12" max="12" width="14.42578125" customWidth="1"/>
    <col min="13" max="13" width="9.140625" customWidth="1"/>
    <col min="14" max="14" width="10.5703125" customWidth="1"/>
    <col min="15" max="15" width="11.85546875" customWidth="1"/>
    <col min="16" max="17" width="9.140625" customWidth="1"/>
    <col min="18" max="18" width="8.140625" customWidth="1"/>
    <col min="19" max="19" width="11.85546875" customWidth="1"/>
    <col min="20" max="20" width="14.140625" customWidth="1"/>
    <col min="21" max="22" width="9.140625" customWidth="1"/>
    <col min="23" max="23" width="8.85546875" style="63" customWidth="1"/>
    <col min="24" max="54" width="9.140625" customWidth="1"/>
    <col min="58" max="58" width="9.140625" customWidth="1"/>
    <col min="62" max="62" width="5" customWidth="1"/>
    <col min="68" max="69" width="4.85546875" customWidth="1"/>
    <col min="86" max="86" width="10.85546875" customWidth="1"/>
  </cols>
  <sheetData>
    <row r="1" spans="1:89" ht="27" customHeight="1" x14ac:dyDescent="0.25">
      <c r="A1" s="1"/>
      <c r="B1" s="2"/>
      <c r="C1" s="2"/>
      <c r="D1" s="1" t="s">
        <v>133</v>
      </c>
      <c r="E1" s="80" t="s">
        <v>134</v>
      </c>
      <c r="F1" s="3"/>
      <c r="G1" s="3"/>
      <c r="H1" s="3"/>
      <c r="I1" s="3"/>
      <c r="J1" s="86"/>
      <c r="K1" s="89" t="s">
        <v>134</v>
      </c>
      <c r="L1" s="61">
        <v>45293</v>
      </c>
      <c r="M1" s="4"/>
      <c r="N1" s="5"/>
      <c r="O1" s="59"/>
      <c r="P1" s="60"/>
      <c r="Q1" s="7"/>
      <c r="R1" s="8"/>
      <c r="S1" s="45"/>
      <c r="T1" s="9"/>
      <c r="U1" s="9"/>
      <c r="V1" s="103"/>
      <c r="W1" s="94"/>
      <c r="X1" s="10" t="s">
        <v>135</v>
      </c>
      <c r="Y1" s="11"/>
      <c r="Z1" s="11"/>
      <c r="AA1" s="84"/>
      <c r="AB1" s="11"/>
      <c r="AC1" s="12" t="s">
        <v>136</v>
      </c>
      <c r="AD1" s="12"/>
      <c r="AE1" s="12"/>
      <c r="AF1" s="11"/>
      <c r="AG1" s="13"/>
      <c r="AH1" s="14" t="s">
        <v>137</v>
      </c>
      <c r="AI1" s="15"/>
      <c r="AJ1" s="16"/>
      <c r="AK1" s="17"/>
      <c r="AL1" s="6" t="s">
        <v>138</v>
      </c>
      <c r="AM1" s="6"/>
      <c r="AN1" s="7"/>
      <c r="AO1" s="18"/>
      <c r="AP1" s="19"/>
      <c r="AQ1" s="20" t="s">
        <v>139</v>
      </c>
      <c r="AR1" s="20"/>
      <c r="AS1" s="20"/>
      <c r="AT1" s="21" t="s">
        <v>140</v>
      </c>
      <c r="AU1" s="96" t="s">
        <v>141</v>
      </c>
      <c r="AV1" s="97"/>
      <c r="AW1" s="97"/>
      <c r="AX1" s="97"/>
      <c r="AY1" s="97"/>
      <c r="AZ1" s="97"/>
      <c r="BA1" s="97"/>
      <c r="BB1" s="98" t="s">
        <v>141</v>
      </c>
      <c r="BC1" s="64" t="s">
        <v>142</v>
      </c>
      <c r="BD1" s="22"/>
      <c r="BE1" s="1145" t="s">
        <v>143</v>
      </c>
      <c r="BF1" s="1146"/>
      <c r="BG1" s="1146"/>
      <c r="BH1" s="1147"/>
      <c r="BI1" s="1148" t="s">
        <v>144</v>
      </c>
      <c r="BJ1" s="1149"/>
      <c r="BK1" s="1143" t="s">
        <v>145</v>
      </c>
      <c r="BL1" s="1144"/>
      <c r="BM1" s="1144"/>
      <c r="BN1" s="1150"/>
      <c r="BO1" s="1143" t="s">
        <v>146</v>
      </c>
      <c r="BP1" s="1150"/>
      <c r="BQ1" s="1151" t="s">
        <v>147</v>
      </c>
      <c r="BR1" s="1152"/>
      <c r="BS1" s="1143" t="s">
        <v>148</v>
      </c>
      <c r="BT1" s="1144"/>
      <c r="BU1" s="1144"/>
      <c r="BV1" s="1144"/>
      <c r="BW1" s="1144"/>
      <c r="BX1" s="82"/>
      <c r="BY1" s="79"/>
    </row>
    <row r="2" spans="1:89" ht="33.75" customHeight="1" x14ac:dyDescent="0.25">
      <c r="A2" s="183" t="s">
        <v>149</v>
      </c>
      <c r="B2" s="184" t="s">
        <v>150</v>
      </c>
      <c r="C2" s="185" t="s">
        <v>151</v>
      </c>
      <c r="D2" s="186" t="s">
        <v>152</v>
      </c>
      <c r="E2" s="403" t="s">
        <v>153</v>
      </c>
      <c r="F2" s="187" t="s">
        <v>154</v>
      </c>
      <c r="G2" s="188" t="s">
        <v>155</v>
      </c>
      <c r="H2" s="188" t="s">
        <v>156</v>
      </c>
      <c r="I2" s="188" t="s">
        <v>157</v>
      </c>
      <c r="J2" s="188" t="s">
        <v>158</v>
      </c>
      <c r="K2" s="188" t="s">
        <v>159</v>
      </c>
      <c r="L2" s="188" t="s">
        <v>160</v>
      </c>
      <c r="M2" s="188" t="s">
        <v>161</v>
      </c>
      <c r="N2" s="189" t="s">
        <v>0</v>
      </c>
      <c r="O2" s="190" t="s">
        <v>162</v>
      </c>
      <c r="P2" s="190" t="s">
        <v>163</v>
      </c>
      <c r="Q2" s="191" t="s">
        <v>164</v>
      </c>
      <c r="R2" s="72" t="s">
        <v>165</v>
      </c>
      <c r="S2" s="192" t="s">
        <v>166</v>
      </c>
      <c r="T2" s="153" t="s">
        <v>167</v>
      </c>
      <c r="U2" s="193" t="s">
        <v>168</v>
      </c>
      <c r="V2" s="194" t="s">
        <v>169</v>
      </c>
      <c r="W2" s="195" t="s">
        <v>170</v>
      </c>
      <c r="X2" s="196" t="s">
        <v>171</v>
      </c>
      <c r="Y2" s="197" t="s">
        <v>172</v>
      </c>
      <c r="Z2" s="197" t="s">
        <v>173</v>
      </c>
      <c r="AA2" s="469" t="s">
        <v>174</v>
      </c>
      <c r="AB2" s="447" t="s">
        <v>175</v>
      </c>
      <c r="AC2" s="198" t="s">
        <v>176</v>
      </c>
      <c r="AD2" s="199" t="s">
        <v>177</v>
      </c>
      <c r="AE2" s="445" t="s">
        <v>178</v>
      </c>
      <c r="AF2" s="200" t="s">
        <v>179</v>
      </c>
      <c r="AG2" s="197" t="s">
        <v>180</v>
      </c>
      <c r="AH2" s="201" t="s">
        <v>181</v>
      </c>
      <c r="AI2" s="202" t="s">
        <v>182</v>
      </c>
      <c r="AJ2" s="203" t="s">
        <v>183</v>
      </c>
      <c r="AK2" s="186" t="s">
        <v>184</v>
      </c>
      <c r="AL2" s="204" t="s">
        <v>185</v>
      </c>
      <c r="AM2" s="204" t="s">
        <v>186</v>
      </c>
      <c r="AN2" s="204" t="s">
        <v>187</v>
      </c>
      <c r="AO2" s="205" t="s">
        <v>188</v>
      </c>
      <c r="AP2" s="206" t="s">
        <v>189</v>
      </c>
      <c r="AQ2" s="207" t="s">
        <v>190</v>
      </c>
      <c r="AR2" s="207" t="s">
        <v>191</v>
      </c>
      <c r="AS2" s="208" t="s">
        <v>192</v>
      </c>
      <c r="AT2" s="209" t="s">
        <v>193</v>
      </c>
      <c r="AU2" s="210" t="s">
        <v>194</v>
      </c>
      <c r="AV2" s="47" t="s">
        <v>195</v>
      </c>
      <c r="AW2" s="48" t="s">
        <v>196</v>
      </c>
      <c r="AX2" s="48" t="s">
        <v>197</v>
      </c>
      <c r="AY2" s="48" t="s">
        <v>198</v>
      </c>
      <c r="AZ2" s="299" t="s">
        <v>199</v>
      </c>
      <c r="BA2" s="48" t="s">
        <v>200</v>
      </c>
      <c r="BB2" s="303" t="s">
        <v>201</v>
      </c>
      <c r="BC2" s="211" t="s">
        <v>202</v>
      </c>
      <c r="BD2" s="212" t="s">
        <v>203</v>
      </c>
      <c r="BE2" s="213" t="s">
        <v>204</v>
      </c>
      <c r="BF2" s="214" t="s">
        <v>205</v>
      </c>
      <c r="BG2" s="215" t="s">
        <v>206</v>
      </c>
      <c r="BH2" s="216" t="s">
        <v>207</v>
      </c>
      <c r="BI2" s="215" t="s">
        <v>208</v>
      </c>
      <c r="BJ2" s="217" t="s">
        <v>209</v>
      </c>
      <c r="BK2" s="189" t="s">
        <v>210</v>
      </c>
      <c r="BL2" s="154" t="s">
        <v>211</v>
      </c>
      <c r="BM2" s="189" t="s">
        <v>212</v>
      </c>
      <c r="BN2" s="184" t="s">
        <v>213</v>
      </c>
      <c r="BO2" s="218" t="s">
        <v>214</v>
      </c>
      <c r="BP2" s="154" t="s">
        <v>215</v>
      </c>
      <c r="BQ2" s="219" t="s">
        <v>216</v>
      </c>
      <c r="BR2" s="184" t="s">
        <v>217</v>
      </c>
      <c r="BS2" s="71" t="s">
        <v>218</v>
      </c>
      <c r="BT2" s="72" t="s">
        <v>219</v>
      </c>
      <c r="BU2" s="72" t="s">
        <v>220</v>
      </c>
      <c r="BV2" s="72" t="s">
        <v>221</v>
      </c>
      <c r="BW2" s="73" t="s">
        <v>222</v>
      </c>
      <c r="BX2" s="72" t="s">
        <v>223</v>
      </c>
      <c r="BY2" s="72" t="s">
        <v>224</v>
      </c>
      <c r="BZ2" s="220" t="s">
        <v>225</v>
      </c>
      <c r="CA2" s="295" t="s">
        <v>226</v>
      </c>
      <c r="CB2" s="297" t="s">
        <v>227</v>
      </c>
      <c r="CC2" s="295" t="s">
        <v>228</v>
      </c>
      <c r="CD2" s="297" t="s">
        <v>229</v>
      </c>
      <c r="CE2" s="297" t="s">
        <v>230</v>
      </c>
      <c r="CF2" s="296" t="s">
        <v>231</v>
      </c>
      <c r="CG2" s="296" t="s">
        <v>232</v>
      </c>
      <c r="CH2" s="444" t="s">
        <v>233</v>
      </c>
    </row>
    <row r="3" spans="1:89" ht="15" customHeight="1" x14ac:dyDescent="0.25">
      <c r="A3" s="24">
        <v>45238</v>
      </c>
      <c r="B3" s="39">
        <v>45236</v>
      </c>
      <c r="C3" s="41"/>
      <c r="D3" s="24" t="s">
        <v>234</v>
      </c>
      <c r="E3" s="41" t="s">
        <v>235</v>
      </c>
      <c r="F3" s="25" t="s">
        <v>236</v>
      </c>
      <c r="G3" s="25" t="s">
        <v>237</v>
      </c>
      <c r="H3" s="25" t="s">
        <v>238</v>
      </c>
      <c r="I3" s="25" t="s">
        <v>239</v>
      </c>
      <c r="J3" s="25" t="s">
        <v>240</v>
      </c>
      <c r="K3" s="26" t="s">
        <v>241</v>
      </c>
      <c r="L3" s="26" t="s">
        <v>242</v>
      </c>
      <c r="M3" s="26" t="s">
        <v>243</v>
      </c>
      <c r="N3" s="27" t="s">
        <v>241</v>
      </c>
      <c r="O3" s="691">
        <v>139.35239999999999</v>
      </c>
      <c r="P3" s="691">
        <v>659.83</v>
      </c>
      <c r="Q3" s="112">
        <v>1062</v>
      </c>
      <c r="R3" s="113" t="s">
        <v>244</v>
      </c>
      <c r="S3" s="113">
        <v>4081533.15</v>
      </c>
      <c r="T3" s="114">
        <v>132841.45000000001</v>
      </c>
      <c r="U3" s="102">
        <v>94987.61</v>
      </c>
      <c r="V3" s="111">
        <f t="shared" ref="V3:V21" si="0">U3/T3</f>
        <v>0.71504496525745531</v>
      </c>
      <c r="W3" s="116">
        <v>45233.619444444441</v>
      </c>
      <c r="X3" s="30">
        <v>45233.619444444441</v>
      </c>
      <c r="Y3" s="30">
        <v>45236.365972222222</v>
      </c>
      <c r="Z3" s="28"/>
      <c r="AA3" s="28">
        <v>45328.54583333333</v>
      </c>
      <c r="AB3" s="85">
        <v>45581.419444444444</v>
      </c>
      <c r="AC3" s="29">
        <f>AA3-W3</f>
        <v>94.926388888889051</v>
      </c>
      <c r="AD3" s="29">
        <f>AA3-X3</f>
        <v>94.926388888889051</v>
      </c>
      <c r="AE3" s="29">
        <f t="shared" ref="AE3:AE21" si="1">AB3-AA3</f>
        <v>252.87361111111386</v>
      </c>
      <c r="AF3" s="28">
        <f t="shared" ref="AF3:AF21" si="2">W3+AO3</f>
        <v>45248.266503267972</v>
      </c>
      <c r="AG3" s="28">
        <f t="shared" ref="AG3:AG21" si="3">W3+AN3</f>
        <v>45255.972385620909</v>
      </c>
      <c r="AH3" s="30">
        <f t="shared" ref="AH3:AH21" si="4">W3+50</f>
        <v>45283.619444444441</v>
      </c>
      <c r="AI3" s="31">
        <f t="shared" ref="AI3:AI21" si="5" xml:space="preserve"> (0.3)*(AC3/AK3)+(0.7)*(AC3/AL3)</f>
        <v>4.0343715277777843</v>
      </c>
      <c r="AJ3" s="32">
        <f t="shared" ref="AJ3:AJ21" si="6">AE3/AP3</f>
        <v>4.5977020202020702</v>
      </c>
      <c r="AK3" s="33">
        <f>IF(P3&lt;51,20,(IF(P3&lt;101,23,(IF(P3&lt;201,26,IF(P3&lt;301,28,IF(P3&lt;401,30,(IF(P3&lt;501,32,(IF(P3&lt;1001,40,50)))))))))))</f>
        <v>40</v>
      </c>
      <c r="AL3" s="692">
        <f>IF(Q3&lt;51,36,(IF(Q3&lt;101,34,(IF(Q3&lt;201,32,IF(Q3&lt;301,30,IF(Q3&lt;401,28,(IF(Q3&lt;501,26,(IF(Q3&lt;1001,23,20)))))))))))</f>
        <v>20</v>
      </c>
      <c r="AM3" s="692">
        <f t="shared" ref="AM3:AM21" si="7">(0.75)/((0.3/AK3)+(0.7/AL3))</f>
        <v>17.647058823529413</v>
      </c>
      <c r="AN3" s="693">
        <f t="shared" ref="AN3:AN21" si="8">(0.95)/((0.3/AK3)+(0.7/AL3))</f>
        <v>22.352941176470591</v>
      </c>
      <c r="AO3" s="694">
        <f t="shared" ref="AO3:AO21" si="9">AM3-3</f>
        <v>14.647058823529413</v>
      </c>
      <c r="AP3" s="34">
        <f>IF(P3&lt;51,40,(IF(P3&lt;101,42,(IF(P3&lt;201,44,IF(P3&lt;301,46,IF(P3&lt;401,48,(IF(P3&lt;501,50,(IF(P3&lt;1001,55,60)))))))))))</f>
        <v>55</v>
      </c>
      <c r="AQ3" s="35">
        <f t="shared" ref="AQ3:AQ21" si="10">0.8*AP3</f>
        <v>44</v>
      </c>
      <c r="AR3" s="35">
        <f t="shared" ref="AR3:AR21" si="11">AQ3-5</f>
        <v>39</v>
      </c>
      <c r="AS3" s="36">
        <f t="shared" ref="AS3:AS21" si="12">AA3+AQ3</f>
        <v>45372.54583333333</v>
      </c>
      <c r="AT3" s="37">
        <f t="shared" ref="AT3:AT21" si="13">AS3-5</f>
        <v>45367.54583333333</v>
      </c>
      <c r="AU3" s="51"/>
      <c r="AV3" s="49"/>
      <c r="AW3" s="49"/>
      <c r="AX3" s="49"/>
      <c r="AY3" s="49"/>
      <c r="AZ3" s="49"/>
      <c r="BA3" s="49"/>
      <c r="BB3" s="52"/>
      <c r="BC3" s="231" t="s">
        <v>14</v>
      </c>
      <c r="BD3" s="99"/>
      <c r="BE3" s="100"/>
      <c r="BF3" s="39">
        <v>3</v>
      </c>
      <c r="BG3" s="44">
        <v>45327</v>
      </c>
      <c r="BH3" s="104">
        <v>45372</v>
      </c>
      <c r="BI3" s="105">
        <v>45548</v>
      </c>
      <c r="BJ3" s="106" t="s">
        <v>245</v>
      </c>
      <c r="BK3" s="101" t="s">
        <v>246</v>
      </c>
      <c r="BL3" s="66"/>
      <c r="BM3" s="66"/>
      <c r="BN3" s="66"/>
      <c r="BO3" s="66"/>
      <c r="BP3" s="66"/>
      <c r="BQ3" s="66" t="s">
        <v>247</v>
      </c>
      <c r="BR3" s="66"/>
      <c r="BS3" s="66"/>
      <c r="BT3" s="66"/>
      <c r="BU3" s="66"/>
      <c r="BV3" s="66"/>
      <c r="BW3" s="66"/>
      <c r="BX3" s="66" t="s">
        <v>248</v>
      </c>
      <c r="BY3" s="66">
        <v>45238</v>
      </c>
      <c r="BZ3" s="95" t="s">
        <v>249</v>
      </c>
      <c r="CA3" s="42"/>
      <c r="CB3" s="62">
        <f t="shared" ref="CB3:CB20" si="14">AC3-CA3</f>
        <v>94.926388888889051</v>
      </c>
      <c r="CC3" s="42"/>
      <c r="CD3" s="62">
        <f t="shared" ref="CD3:CD20" si="15">AC3-CC3</f>
        <v>94.926388888889051</v>
      </c>
      <c r="CE3" s="62">
        <f t="shared" ref="CE3:CE20" si="16" xml:space="preserve"> (0.3)*(CD3/AK3)+(0.7)*(CD3/AL3)</f>
        <v>4.0343715277777843</v>
      </c>
      <c r="CH3" s="443">
        <f t="shared" ref="CH3:CH21" ca="1" si="17" xml:space="preserve"> (0.3)*((NOW()-W3)/AK3)+(0.7)*((NOW()-W3)/AL3)</f>
        <v>28.122133671007212</v>
      </c>
      <c r="CI3">
        <f t="shared" ref="CI3:CI21" si="18">IF(AB3="","PENDING COMP",(AB3-AA3)/AP3)</f>
        <v>4.5977020202020702</v>
      </c>
      <c r="CJ3" s="458"/>
      <c r="CK3" t="str">
        <f t="shared" ref="CK3:CK18" si="19">IF(R3="NEW","REV","NON-REV")</f>
        <v>REV</v>
      </c>
    </row>
    <row r="4" spans="1:89" ht="15" customHeight="1" x14ac:dyDescent="0.25">
      <c r="A4" s="24">
        <v>45310</v>
      </c>
      <c r="B4" s="39"/>
      <c r="C4" s="41"/>
      <c r="D4" s="24" t="s">
        <v>234</v>
      </c>
      <c r="E4" s="41" t="s">
        <v>250</v>
      </c>
      <c r="F4" s="25" t="s">
        <v>251</v>
      </c>
      <c r="G4" s="25" t="s">
        <v>252</v>
      </c>
      <c r="H4" s="25" t="s">
        <v>253</v>
      </c>
      <c r="I4" s="25" t="s">
        <v>254</v>
      </c>
      <c r="J4" s="87"/>
      <c r="K4" s="26" t="s">
        <v>241</v>
      </c>
      <c r="L4" s="26" t="s">
        <v>255</v>
      </c>
      <c r="M4" s="26" t="s">
        <v>256</v>
      </c>
      <c r="N4" s="27" t="s">
        <v>241</v>
      </c>
      <c r="O4" s="691">
        <v>72.525099999999995</v>
      </c>
      <c r="P4" s="691">
        <v>585.54999999999995</v>
      </c>
      <c r="Q4" s="112">
        <v>1700</v>
      </c>
      <c r="R4" s="113" t="s">
        <v>244</v>
      </c>
      <c r="S4" s="113">
        <v>3336508.33</v>
      </c>
      <c r="T4" s="114">
        <v>36496.410000000003</v>
      </c>
      <c r="U4" s="102"/>
      <c r="V4" s="111">
        <f t="shared" si="0"/>
        <v>0</v>
      </c>
      <c r="W4" s="117">
        <v>45295.605555555558</v>
      </c>
      <c r="X4" s="30">
        <v>45295.605555555558</v>
      </c>
      <c r="Y4" s="30">
        <v>45296.902777777781</v>
      </c>
      <c r="Z4" s="28"/>
      <c r="AA4" s="28">
        <v>45314.547222222223</v>
      </c>
      <c r="AB4" s="85">
        <v>45723.673611111109</v>
      </c>
      <c r="AC4" s="29">
        <f>AA4-W4</f>
        <v>18.941666666665697</v>
      </c>
      <c r="AD4" s="29">
        <f>AA4-X4</f>
        <v>18.941666666665697</v>
      </c>
      <c r="AE4" s="29">
        <f t="shared" si="1"/>
        <v>409.12638888888614</v>
      </c>
      <c r="AF4" s="28">
        <f t="shared" si="2"/>
        <v>45310.252614379089</v>
      </c>
      <c r="AG4" s="28">
        <f t="shared" si="3"/>
        <v>45317.958496732026</v>
      </c>
      <c r="AH4" s="30">
        <f t="shared" si="4"/>
        <v>45345.605555555558</v>
      </c>
      <c r="AI4" s="31">
        <f t="shared" si="5"/>
        <v>0.80502083333329211</v>
      </c>
      <c r="AJ4" s="32">
        <f t="shared" si="6"/>
        <v>7.438661616161566</v>
      </c>
      <c r="AK4" s="33">
        <f>IF(P4&lt;51,20,(IF(P4&lt;101,23,(IF(P4&lt;201,26,IF(P4&lt;301,28,IF(P4&lt;401,30,(IF(P4&lt;501,32,(IF(P4&lt;1001,40,50)))))))))))</f>
        <v>40</v>
      </c>
      <c r="AL4" s="692">
        <f>IF(Q4&lt;51,36,(IF(Q4&lt;101,34,(IF(Q4&lt;201,32,IF(Q4&lt;301,30,IF(Q4&lt;401,28,(IF(Q4&lt;501,26,(IF(Q4&lt;1001,23,20)))))))))))</f>
        <v>20</v>
      </c>
      <c r="AM4" s="692">
        <f t="shared" si="7"/>
        <v>17.647058823529413</v>
      </c>
      <c r="AN4" s="693">
        <f t="shared" si="8"/>
        <v>22.352941176470591</v>
      </c>
      <c r="AO4" s="694">
        <f t="shared" si="9"/>
        <v>14.647058823529413</v>
      </c>
      <c r="AP4" s="34">
        <f>IF(P4&lt;51,40,(IF(P4&lt;101,42,(IF(P4&lt;201,44,IF(P4&lt;301,46,IF(P4&lt;401,48,(IF(P4&lt;501,50,(IF(P4&lt;1001,55,60)))))))))))</f>
        <v>55</v>
      </c>
      <c r="AQ4" s="35">
        <f t="shared" si="10"/>
        <v>44</v>
      </c>
      <c r="AR4" s="35">
        <f t="shared" si="11"/>
        <v>39</v>
      </c>
      <c r="AS4" s="36">
        <f t="shared" si="12"/>
        <v>45358.547222222223</v>
      </c>
      <c r="AT4" s="37">
        <f t="shared" si="13"/>
        <v>45353.547222222223</v>
      </c>
      <c r="AU4" s="51"/>
      <c r="AV4" s="49"/>
      <c r="AW4" s="49"/>
      <c r="AX4" s="49"/>
      <c r="AY4" s="49"/>
      <c r="AZ4" s="49"/>
      <c r="BA4" s="49"/>
      <c r="BB4" s="52"/>
      <c r="BC4" s="38" t="s">
        <v>13</v>
      </c>
      <c r="BD4" s="99"/>
      <c r="BE4" s="100"/>
      <c r="BF4" s="39">
        <v>3</v>
      </c>
      <c r="BG4" s="40"/>
      <c r="BH4" s="27"/>
      <c r="BI4" s="27"/>
      <c r="BJ4" s="107"/>
      <c r="BK4" s="101"/>
      <c r="BL4" s="66"/>
      <c r="BM4" s="66"/>
      <c r="BN4" s="66"/>
      <c r="BO4" s="66"/>
      <c r="BP4" s="66"/>
      <c r="BQ4" s="66" t="s">
        <v>247</v>
      </c>
      <c r="BR4" s="66"/>
      <c r="BS4" s="66"/>
      <c r="BT4" s="66"/>
      <c r="BU4" s="66"/>
      <c r="BV4" s="66"/>
      <c r="BW4" s="66"/>
      <c r="BX4" s="66"/>
      <c r="BY4" s="66">
        <v>45315</v>
      </c>
      <c r="BZ4" s="69" t="s">
        <v>257</v>
      </c>
      <c r="CA4" s="42"/>
      <c r="CB4" s="62">
        <f t="shared" si="14"/>
        <v>18.941666666665697</v>
      </c>
      <c r="CC4" s="42"/>
      <c r="CD4" s="62">
        <f t="shared" si="15"/>
        <v>18.941666666665697</v>
      </c>
      <c r="CE4" s="62">
        <f t="shared" si="16"/>
        <v>0.80502083333329211</v>
      </c>
      <c r="CH4" s="443">
        <f t="shared" ca="1" si="17"/>
        <v>25.487723948784751</v>
      </c>
      <c r="CI4">
        <f t="shared" si="18"/>
        <v>7.438661616161566</v>
      </c>
      <c r="CJ4" s="458"/>
      <c r="CK4" t="str">
        <f t="shared" si="19"/>
        <v>REV</v>
      </c>
    </row>
    <row r="5" spans="1:89" ht="15" customHeight="1" x14ac:dyDescent="0.25">
      <c r="A5" s="24">
        <v>45350</v>
      </c>
      <c r="B5" s="39">
        <v>45356</v>
      </c>
      <c r="C5" s="41"/>
      <c r="D5" s="24" t="s">
        <v>234</v>
      </c>
      <c r="E5" s="41" t="s">
        <v>258</v>
      </c>
      <c r="F5" s="25" t="s">
        <v>259</v>
      </c>
      <c r="G5" s="25" t="s">
        <v>260</v>
      </c>
      <c r="H5" s="25" t="s">
        <v>238</v>
      </c>
      <c r="I5" s="25" t="s">
        <v>261</v>
      </c>
      <c r="J5" s="87" t="s">
        <v>262</v>
      </c>
      <c r="K5" s="26"/>
      <c r="L5" s="26" t="s">
        <v>263</v>
      </c>
      <c r="M5" s="26" t="s">
        <v>243</v>
      </c>
      <c r="N5" s="27" t="s">
        <v>241</v>
      </c>
      <c r="O5" s="691">
        <v>115.33</v>
      </c>
      <c r="P5" s="691">
        <v>507.57</v>
      </c>
      <c r="Q5" s="112">
        <v>1563.3</v>
      </c>
      <c r="R5" s="113" t="s">
        <v>244</v>
      </c>
      <c r="S5" s="115">
        <v>3001400.48</v>
      </c>
      <c r="T5" s="93">
        <v>89877.04</v>
      </c>
      <c r="U5" s="93"/>
      <c r="V5" s="111">
        <f t="shared" si="0"/>
        <v>0</v>
      </c>
      <c r="W5" s="83">
        <v>45310.657638888886</v>
      </c>
      <c r="X5" s="30">
        <v>45314.61041666667</v>
      </c>
      <c r="Y5" s="28">
        <v>45351</v>
      </c>
      <c r="Z5" s="28"/>
      <c r="AA5" s="85">
        <v>45401.602083333331</v>
      </c>
      <c r="AB5" s="28">
        <v>45694</v>
      </c>
      <c r="AC5" s="29">
        <f>AA5-W5</f>
        <v>90.944444444445253</v>
      </c>
      <c r="AD5" s="29">
        <f>AA5-X5</f>
        <v>86.991666666661331</v>
      </c>
      <c r="AE5" s="29">
        <f t="shared" si="1"/>
        <v>292.39791666666861</v>
      </c>
      <c r="AF5" s="28">
        <f t="shared" si="2"/>
        <v>45325.526164785304</v>
      </c>
      <c r="AG5" s="28">
        <f t="shared" si="3"/>
        <v>45333.291105024342</v>
      </c>
      <c r="AH5" s="30">
        <f t="shared" si="4"/>
        <v>45360.657638888886</v>
      </c>
      <c r="AI5" s="31">
        <f t="shared" si="5"/>
        <v>3.8172333704942742</v>
      </c>
      <c r="AJ5" s="32">
        <f t="shared" si="6"/>
        <v>6.6454071969697415</v>
      </c>
      <c r="AK5" s="33">
        <f>IF(O5&lt;51,20,(IF(O5&lt;101,23,(IF(O5&lt;201,26,IF(O5&lt;301,28,IF(O5&lt;401,30,(IF(O5&lt;501,32,(IF(O5&lt;1001,40,50)))))))))))</f>
        <v>26</v>
      </c>
      <c r="AL5" s="692">
        <f>IF(P5&lt;51,36,(IF(P5&lt;101,34,(IF(P5&lt;201,32,IF(P5&lt;301,30,IF(P5&lt;401,28,(IF(P5&lt;501,26,(IF(P5&lt;1001,23,20)))))))))))</f>
        <v>23</v>
      </c>
      <c r="AM5" s="692">
        <f t="shared" si="7"/>
        <v>17.868525896414344</v>
      </c>
      <c r="AN5" s="693">
        <f t="shared" si="8"/>
        <v>22.633466135458168</v>
      </c>
      <c r="AO5" s="694">
        <f t="shared" si="9"/>
        <v>14.868525896414344</v>
      </c>
      <c r="AP5" s="34">
        <f>IF(O5&lt;51,40,(IF(O5&lt;101,42,(IF(O5&lt;201,44,IF(O5&lt;301,46,IF(O5&lt;401,48,(IF(O5&lt;501,50,(IF(O5&lt;1001,55,60)))))))))))</f>
        <v>44</v>
      </c>
      <c r="AQ5" s="35">
        <f t="shared" si="10"/>
        <v>35.200000000000003</v>
      </c>
      <c r="AR5" s="35">
        <f t="shared" si="11"/>
        <v>30.200000000000003</v>
      </c>
      <c r="AS5" s="36">
        <f t="shared" si="12"/>
        <v>45436.802083333328</v>
      </c>
      <c r="AT5" s="37">
        <f t="shared" si="13"/>
        <v>45431.802083333328</v>
      </c>
      <c r="AU5" s="118"/>
      <c r="AV5" s="49"/>
      <c r="AW5" s="49"/>
      <c r="AX5" s="49"/>
      <c r="AY5" s="49"/>
      <c r="AZ5" s="49"/>
      <c r="BA5" s="49"/>
      <c r="BB5" s="119"/>
      <c r="BC5" s="38" t="s">
        <v>264</v>
      </c>
      <c r="BD5" s="53" t="s">
        <v>265</v>
      </c>
      <c r="BE5" s="120">
        <f>AA5+3</f>
        <v>45404.602083333331</v>
      </c>
      <c r="BF5" s="121">
        <f t="shared" ref="BF5:BF8" si="20">IF(ISBLANK(AA5),0,IF(ISBLANK(BH5),($L$1-BE5),(BH5-BE5)))</f>
        <v>198.39791666666861</v>
      </c>
      <c r="BG5" s="122">
        <v>45394</v>
      </c>
      <c r="BH5" s="122">
        <v>45603</v>
      </c>
      <c r="BI5" s="125">
        <v>45638</v>
      </c>
      <c r="BJ5" s="126" t="s">
        <v>245</v>
      </c>
      <c r="BK5" s="127" t="s">
        <v>246</v>
      </c>
      <c r="BL5" s="127"/>
      <c r="BM5" s="128"/>
      <c r="BN5" s="127"/>
      <c r="BO5" s="127"/>
      <c r="BP5" s="129"/>
      <c r="BQ5" s="129" t="s">
        <v>247</v>
      </c>
      <c r="BR5" s="129"/>
      <c r="BS5" s="130"/>
      <c r="BT5" s="131"/>
      <c r="BU5" s="131"/>
      <c r="BV5" s="131"/>
      <c r="BW5" s="131"/>
      <c r="BX5" s="132"/>
      <c r="BY5" s="66"/>
      <c r="BZ5" s="76"/>
      <c r="CA5" s="123"/>
      <c r="CB5" s="62">
        <f t="shared" si="14"/>
        <v>90.944444444445253</v>
      </c>
      <c r="CC5" s="42"/>
      <c r="CD5" s="62">
        <f t="shared" si="15"/>
        <v>90.944444444445253</v>
      </c>
      <c r="CE5" s="62">
        <f t="shared" si="16"/>
        <v>3.8172333704942742</v>
      </c>
      <c r="CH5" s="443">
        <f t="shared" ca="1" si="17"/>
        <v>24.540037820919501</v>
      </c>
      <c r="CI5">
        <f t="shared" si="18"/>
        <v>6.6454071969697415</v>
      </c>
      <c r="CJ5" s="458"/>
      <c r="CK5" t="str">
        <f t="shared" si="19"/>
        <v>REV</v>
      </c>
    </row>
    <row r="6" spans="1:89" ht="15" customHeight="1" x14ac:dyDescent="0.25">
      <c r="A6" s="24">
        <v>45383</v>
      </c>
      <c r="B6" s="39">
        <v>45376</v>
      </c>
      <c r="C6" s="41"/>
      <c r="D6" s="24" t="s">
        <v>234</v>
      </c>
      <c r="E6" s="41" t="s">
        <v>266</v>
      </c>
      <c r="F6" s="25" t="s">
        <v>267</v>
      </c>
      <c r="G6" s="25" t="s">
        <v>268</v>
      </c>
      <c r="H6" s="25" t="s">
        <v>269</v>
      </c>
      <c r="I6" s="25" t="s">
        <v>239</v>
      </c>
      <c r="J6" s="87" t="s">
        <v>270</v>
      </c>
      <c r="K6" s="26" t="s">
        <v>271</v>
      </c>
      <c r="L6" s="26" t="s">
        <v>255</v>
      </c>
      <c r="M6" s="26" t="s">
        <v>272</v>
      </c>
      <c r="N6" s="27" t="s">
        <v>241</v>
      </c>
      <c r="O6" s="691">
        <v>45.30980000000001</v>
      </c>
      <c r="P6" s="691">
        <v>375.5</v>
      </c>
      <c r="Q6" s="695">
        <v>1965.8</v>
      </c>
      <c r="R6" s="109" t="s">
        <v>244</v>
      </c>
      <c r="S6" s="110">
        <v>3158370.51</v>
      </c>
      <c r="T6" s="93">
        <v>46889.100000000006</v>
      </c>
      <c r="U6" s="93"/>
      <c r="V6" s="111">
        <f t="shared" si="0"/>
        <v>0</v>
      </c>
      <c r="W6" s="83">
        <v>45370.464583333334</v>
      </c>
      <c r="X6" s="30">
        <v>45383.363888888889</v>
      </c>
      <c r="Y6" s="28">
        <v>45373</v>
      </c>
      <c r="Z6" s="28"/>
      <c r="AA6" s="85">
        <v>45398.693055555559</v>
      </c>
      <c r="AB6" s="28"/>
      <c r="AC6" s="29">
        <f>AA6-W6</f>
        <v>28.228472222224809</v>
      </c>
      <c r="AD6" s="29">
        <f>AA6-X6</f>
        <v>15.329166666670062</v>
      </c>
      <c r="AE6" s="29">
        <f t="shared" si="1"/>
        <v>-45398.693055555559</v>
      </c>
      <c r="AF6" s="28">
        <f t="shared" si="2"/>
        <v>45386.214583333334</v>
      </c>
      <c r="AG6" s="28">
        <f t="shared" si="3"/>
        <v>45394.214583333334</v>
      </c>
      <c r="AH6" s="30">
        <f t="shared" si="4"/>
        <v>45420.464583333334</v>
      </c>
      <c r="AI6" s="31">
        <f t="shared" si="5"/>
        <v>1.1291388888889924</v>
      </c>
      <c r="AJ6" s="32">
        <f t="shared" si="6"/>
        <v>-1134.967326388889</v>
      </c>
      <c r="AK6" s="33">
        <f>IF(O6&lt;51,20,(IF(O6&lt;101,23,(IF(O6&lt;201,26,IF(O6&lt;301,28,IF(O6&lt;401,30,(IF(O6&lt;501,32,(IF(O6&lt;1001,40,50)))))))))))</f>
        <v>20</v>
      </c>
      <c r="AL6" s="692">
        <f>IF(P6&lt;51,36,(IF(P6&lt;101,34,(IF(P6&lt;201,32,IF(P6&lt;301,30,IF(P6&lt;401,28,(IF(P6&lt;501,26,(IF(P6&lt;1001,23,20)))))))))))</f>
        <v>28</v>
      </c>
      <c r="AM6" s="692">
        <f t="shared" si="7"/>
        <v>18.750000000000004</v>
      </c>
      <c r="AN6" s="693">
        <f t="shared" si="8"/>
        <v>23.750000000000004</v>
      </c>
      <c r="AO6" s="694">
        <f t="shared" si="9"/>
        <v>15.750000000000004</v>
      </c>
      <c r="AP6" s="34">
        <f>IF(O6&lt;51,40,(IF(O6&lt;101,42,(IF(O6&lt;201,44,IF(O6&lt;301,46,IF(O6&lt;401,48,(IF(O6&lt;501,50,(IF(O6&lt;1001,55,60)))))))))))</f>
        <v>40</v>
      </c>
      <c r="AQ6" s="35">
        <f t="shared" si="10"/>
        <v>32</v>
      </c>
      <c r="AR6" s="35">
        <f t="shared" si="11"/>
        <v>27</v>
      </c>
      <c r="AS6" s="36">
        <f t="shared" si="12"/>
        <v>45430.693055555559</v>
      </c>
      <c r="AT6" s="37">
        <f t="shared" si="13"/>
        <v>45425.693055555559</v>
      </c>
      <c r="AU6" s="118"/>
      <c r="AV6" s="49"/>
      <c r="AW6" s="49"/>
      <c r="AX6" s="49"/>
      <c r="AY6" s="49"/>
      <c r="AZ6" s="49"/>
      <c r="BA6" s="49"/>
      <c r="BB6" s="119"/>
      <c r="BC6" s="38" t="s">
        <v>13</v>
      </c>
      <c r="BD6" s="53"/>
      <c r="BE6" s="135">
        <f>AA6+3</f>
        <v>45401.693055555559</v>
      </c>
      <c r="BF6" s="136">
        <f t="shared" si="20"/>
        <v>-108.69305555555911</v>
      </c>
      <c r="BG6" s="104"/>
      <c r="BH6" s="137"/>
      <c r="BI6" s="138"/>
      <c r="BJ6" s="139"/>
      <c r="BK6" s="140"/>
      <c r="BL6" s="140"/>
      <c r="BM6" s="140"/>
      <c r="BN6" s="140"/>
      <c r="BO6" s="140"/>
      <c r="BP6" s="140"/>
      <c r="BQ6" s="133" t="s">
        <v>247</v>
      </c>
      <c r="BR6" s="133"/>
      <c r="BS6" s="133"/>
      <c r="BT6" s="133"/>
      <c r="BU6" s="133"/>
      <c r="BV6" s="133"/>
      <c r="BW6" s="133"/>
      <c r="BX6" s="134"/>
      <c r="BY6" s="124">
        <v>45384</v>
      </c>
      <c r="BZ6" s="76" t="s">
        <v>273</v>
      </c>
      <c r="CA6" s="42"/>
      <c r="CB6" s="62">
        <f t="shared" si="14"/>
        <v>28.228472222224809</v>
      </c>
      <c r="CC6" s="42"/>
      <c r="CD6" s="62">
        <f t="shared" si="15"/>
        <v>28.228472222224809</v>
      </c>
      <c r="CE6" s="62">
        <f t="shared" si="16"/>
        <v>1.1291388888889924</v>
      </c>
      <c r="CH6" s="443">
        <f t="shared" ca="1" si="17"/>
        <v>20.994084958333406</v>
      </c>
      <c r="CI6" t="str">
        <f t="shared" si="18"/>
        <v>PENDING COMP</v>
      </c>
      <c r="CJ6" s="458"/>
      <c r="CK6" t="str">
        <f t="shared" si="19"/>
        <v>REV</v>
      </c>
    </row>
    <row r="7" spans="1:89" x14ac:dyDescent="0.25">
      <c r="A7" s="24"/>
      <c r="B7" s="39"/>
      <c r="C7" s="41"/>
      <c r="D7" s="24"/>
      <c r="E7" s="41" t="s">
        <v>274</v>
      </c>
      <c r="F7" s="25" t="s">
        <v>275</v>
      </c>
      <c r="G7" s="25" t="s">
        <v>276</v>
      </c>
      <c r="H7" s="25" t="s">
        <v>277</v>
      </c>
      <c r="I7" s="25" t="s">
        <v>239</v>
      </c>
      <c r="J7" s="87"/>
      <c r="K7" s="26"/>
      <c r="L7" s="26" t="s">
        <v>278</v>
      </c>
      <c r="M7" s="26" t="s">
        <v>272</v>
      </c>
      <c r="N7" s="26" t="s">
        <v>278</v>
      </c>
      <c r="O7" s="747"/>
      <c r="P7" s="691">
        <v>136.13</v>
      </c>
      <c r="Q7" s="695"/>
      <c r="R7" s="109" t="s">
        <v>244</v>
      </c>
      <c r="S7" s="110"/>
      <c r="T7" s="93"/>
      <c r="U7" s="144"/>
      <c r="V7" s="111" t="e">
        <f t="shared" si="0"/>
        <v>#DIV/0!</v>
      </c>
      <c r="W7" s="83">
        <v>45408</v>
      </c>
      <c r="X7" s="30"/>
      <c r="Y7" s="28"/>
      <c r="Z7" s="28"/>
      <c r="AA7" s="85">
        <v>45800</v>
      </c>
      <c r="AB7" s="28"/>
      <c r="AC7" s="31"/>
      <c r="AD7" s="29"/>
      <c r="AE7" s="29">
        <f t="shared" si="1"/>
        <v>-45800</v>
      </c>
      <c r="AF7" s="28">
        <f t="shared" si="2"/>
        <v>45429.206896551725</v>
      </c>
      <c r="AG7" s="28">
        <f t="shared" si="3"/>
        <v>45438.662068965517</v>
      </c>
      <c r="AH7" s="30">
        <f t="shared" si="4"/>
        <v>45458</v>
      </c>
      <c r="AI7" s="142">
        <f t="shared" si="5"/>
        <v>0</v>
      </c>
      <c r="AJ7" s="32">
        <f t="shared" si="6"/>
        <v>-1040.909090909091</v>
      </c>
      <c r="AK7" s="33">
        <f t="shared" ref="AK7:AK21" si="21">IF(P7&lt;51,20,(IF(P7&lt;101,23,(IF(P7&lt;201,26,IF(P7&lt;301,28,IF(P7&lt;401,30,(IF(P7&lt;501,32,(IF(P7&lt;1001,40,50)))))))))))</f>
        <v>26</v>
      </c>
      <c r="AL7" s="692">
        <f t="shared" ref="AL7:AL21" si="22">IF(Q7&lt;51,36,(IF(Q7&lt;101,34,(IF(Q7&lt;201,32,IF(Q7&lt;301,30,IF(Q7&lt;401,28,(IF(Q7&lt;501,26,(IF(Q7&lt;1001,23,20)))))))))))</f>
        <v>36</v>
      </c>
      <c r="AM7" s="692">
        <f t="shared" si="7"/>
        <v>24.206896551724139</v>
      </c>
      <c r="AN7" s="693">
        <f t="shared" si="8"/>
        <v>30.662068965517239</v>
      </c>
      <c r="AO7" s="694">
        <f t="shared" si="9"/>
        <v>21.206896551724139</v>
      </c>
      <c r="AP7" s="34">
        <f t="shared" ref="AP7:AP21" si="23">IF(P7&lt;51,40,(IF(P7&lt;101,42,(IF(P7&lt;201,44,IF(P7&lt;301,46,IF(P7&lt;401,48,(IF(P7&lt;501,50,(IF(P7&lt;1001,55,60)))))))))))</f>
        <v>44</v>
      </c>
      <c r="AQ7" s="35">
        <f t="shared" si="10"/>
        <v>35.200000000000003</v>
      </c>
      <c r="AR7" s="35">
        <f t="shared" si="11"/>
        <v>30.200000000000003</v>
      </c>
      <c r="AS7" s="36">
        <f t="shared" si="12"/>
        <v>45835.199999999997</v>
      </c>
      <c r="AT7" s="37">
        <f t="shared" si="13"/>
        <v>45830.2</v>
      </c>
      <c r="AU7" s="118"/>
      <c r="AV7" s="148"/>
      <c r="AW7" s="49"/>
      <c r="AX7" s="49"/>
      <c r="AY7" s="49"/>
      <c r="AZ7" s="49"/>
      <c r="BA7" s="149"/>
      <c r="BB7" s="119"/>
      <c r="BC7" s="231"/>
      <c r="BD7" s="53"/>
      <c r="BE7" s="55"/>
      <c r="BF7" s="40">
        <f t="shared" si="20"/>
        <v>45293</v>
      </c>
      <c r="BG7" s="27"/>
      <c r="BH7" s="56"/>
      <c r="BI7" s="27"/>
      <c r="BJ7" s="54"/>
      <c r="BK7" s="39"/>
      <c r="BL7" s="39"/>
      <c r="BM7" s="58"/>
      <c r="BN7" s="39"/>
      <c r="BO7" s="39"/>
      <c r="BP7" s="57"/>
      <c r="BQ7" s="55"/>
      <c r="BR7" s="58"/>
      <c r="BS7" s="67"/>
      <c r="BT7" s="66"/>
      <c r="BU7" s="66"/>
      <c r="BV7" s="66"/>
      <c r="BW7" s="74"/>
      <c r="BX7" s="81"/>
      <c r="BY7" s="66"/>
      <c r="BZ7" s="76"/>
      <c r="CA7" s="42"/>
      <c r="CB7" s="62">
        <f t="shared" si="14"/>
        <v>0</v>
      </c>
      <c r="CC7" s="42"/>
      <c r="CD7" s="62">
        <f t="shared" si="15"/>
        <v>0</v>
      </c>
      <c r="CE7" s="62">
        <f t="shared" si="16"/>
        <v>0</v>
      </c>
      <c r="CH7" s="443">
        <f t="shared" ca="1" si="17"/>
        <v>15.098487718745041</v>
      </c>
      <c r="CI7" t="str">
        <f t="shared" si="18"/>
        <v>PENDING COMP</v>
      </c>
      <c r="CJ7" s="458"/>
      <c r="CK7" t="str">
        <f t="shared" si="19"/>
        <v>REV</v>
      </c>
    </row>
    <row r="8" spans="1:89" x14ac:dyDescent="0.25">
      <c r="A8" s="24"/>
      <c r="B8" s="39"/>
      <c r="C8" s="41"/>
      <c r="D8" s="24"/>
      <c r="E8" s="41" t="s">
        <v>279</v>
      </c>
      <c r="F8" s="25" t="s">
        <v>275</v>
      </c>
      <c r="G8" s="25" t="s">
        <v>276</v>
      </c>
      <c r="H8" s="25" t="s">
        <v>277</v>
      </c>
      <c r="I8" s="25" t="s">
        <v>239</v>
      </c>
      <c r="J8" s="87"/>
      <c r="K8" s="26"/>
      <c r="L8" s="26" t="s">
        <v>278</v>
      </c>
      <c r="M8" s="26" t="s">
        <v>272</v>
      </c>
      <c r="N8" s="26" t="s">
        <v>278</v>
      </c>
      <c r="O8" s="747"/>
      <c r="P8" s="691">
        <v>136.13</v>
      </c>
      <c r="Q8" s="695"/>
      <c r="R8" s="109" t="s">
        <v>244</v>
      </c>
      <c r="S8" s="110"/>
      <c r="T8" s="93"/>
      <c r="U8" s="144"/>
      <c r="V8" s="111" t="e">
        <f t="shared" si="0"/>
        <v>#DIV/0!</v>
      </c>
      <c r="W8" s="83">
        <v>45408</v>
      </c>
      <c r="X8" s="30"/>
      <c r="Y8" s="28"/>
      <c r="Z8" s="28"/>
      <c r="AA8" s="85">
        <v>45811</v>
      </c>
      <c r="AB8" s="28"/>
      <c r="AC8" s="31"/>
      <c r="AD8" s="29"/>
      <c r="AE8" s="29">
        <f t="shared" si="1"/>
        <v>-45811</v>
      </c>
      <c r="AF8" s="28">
        <f t="shared" si="2"/>
        <v>45429.206896551725</v>
      </c>
      <c r="AG8" s="28">
        <f t="shared" si="3"/>
        <v>45438.662068965517</v>
      </c>
      <c r="AH8" s="30">
        <f t="shared" si="4"/>
        <v>45458</v>
      </c>
      <c r="AI8" s="142">
        <f t="shared" si="5"/>
        <v>0</v>
      </c>
      <c r="AJ8" s="32">
        <f t="shared" si="6"/>
        <v>-1041.159090909091</v>
      </c>
      <c r="AK8" s="33">
        <f t="shared" si="21"/>
        <v>26</v>
      </c>
      <c r="AL8" s="692">
        <f t="shared" si="22"/>
        <v>36</v>
      </c>
      <c r="AM8" s="692">
        <f t="shared" si="7"/>
        <v>24.206896551724139</v>
      </c>
      <c r="AN8" s="693">
        <f t="shared" si="8"/>
        <v>30.662068965517239</v>
      </c>
      <c r="AO8" s="694">
        <f t="shared" si="9"/>
        <v>21.206896551724139</v>
      </c>
      <c r="AP8" s="34">
        <f t="shared" si="23"/>
        <v>44</v>
      </c>
      <c r="AQ8" s="35">
        <f t="shared" si="10"/>
        <v>35.200000000000003</v>
      </c>
      <c r="AR8" s="35">
        <f t="shared" si="11"/>
        <v>30.200000000000003</v>
      </c>
      <c r="AS8" s="36">
        <f t="shared" si="12"/>
        <v>45846.2</v>
      </c>
      <c r="AT8" s="37">
        <f t="shared" si="13"/>
        <v>45841.2</v>
      </c>
      <c r="AU8" s="118"/>
      <c r="AV8" s="148"/>
      <c r="AW8" s="49"/>
      <c r="AX8" s="49"/>
      <c r="AY8" s="49"/>
      <c r="AZ8" s="49"/>
      <c r="BA8" s="149"/>
      <c r="BB8" s="119"/>
      <c r="BC8" s="38"/>
      <c r="BD8" s="53"/>
      <c r="BE8" s="55"/>
      <c r="BF8" s="40">
        <f t="shared" si="20"/>
        <v>45293</v>
      </c>
      <c r="BG8" s="27"/>
      <c r="BH8" s="56"/>
      <c r="BI8" s="27"/>
      <c r="BJ8" s="54"/>
      <c r="BK8" s="39"/>
      <c r="BL8" s="39"/>
      <c r="BM8" s="58"/>
      <c r="BN8" s="39"/>
      <c r="BO8" s="39"/>
      <c r="BP8" s="57"/>
      <c r="BQ8" s="55"/>
      <c r="BR8" s="58"/>
      <c r="BS8" s="67"/>
      <c r="BT8" s="66"/>
      <c r="BU8" s="66"/>
      <c r="BV8" s="66"/>
      <c r="BW8" s="74"/>
      <c r="BX8" s="81"/>
      <c r="BY8" s="66"/>
      <c r="BZ8" s="76"/>
      <c r="CA8" s="42"/>
      <c r="CB8" s="62">
        <f t="shared" si="14"/>
        <v>0</v>
      </c>
      <c r="CC8" s="42"/>
      <c r="CD8" s="62">
        <f t="shared" si="15"/>
        <v>0</v>
      </c>
      <c r="CE8" s="62">
        <f t="shared" si="16"/>
        <v>0</v>
      </c>
      <c r="CH8" s="443">
        <f t="shared" ca="1" si="17"/>
        <v>15.098487718745041</v>
      </c>
      <c r="CI8" t="str">
        <f t="shared" si="18"/>
        <v>PENDING COMP</v>
      </c>
      <c r="CJ8" s="458"/>
      <c r="CK8" t="str">
        <f t="shared" si="19"/>
        <v>REV</v>
      </c>
    </row>
    <row r="9" spans="1:89" ht="15" customHeight="1" x14ac:dyDescent="0.25">
      <c r="A9" s="24"/>
      <c r="B9" s="39"/>
      <c r="C9" s="41"/>
      <c r="D9" s="24"/>
      <c r="E9" s="43" t="s">
        <v>280</v>
      </c>
      <c r="F9" s="25" t="s">
        <v>275</v>
      </c>
      <c r="G9" s="25" t="s">
        <v>276</v>
      </c>
      <c r="H9" s="25" t="s">
        <v>277</v>
      </c>
      <c r="I9" s="25" t="s">
        <v>239</v>
      </c>
      <c r="J9" s="87"/>
      <c r="K9" s="26"/>
      <c r="L9" s="26" t="s">
        <v>278</v>
      </c>
      <c r="M9" s="26" t="s">
        <v>272</v>
      </c>
      <c r="N9" s="26" t="s">
        <v>278</v>
      </c>
      <c r="O9" s="747"/>
      <c r="P9" s="691">
        <v>136.13</v>
      </c>
      <c r="Q9" s="695"/>
      <c r="R9" s="109" t="s">
        <v>244</v>
      </c>
      <c r="S9" s="110"/>
      <c r="T9" s="93"/>
      <c r="U9" s="144"/>
      <c r="V9" s="111" t="e">
        <f t="shared" ref="V9:V18" si="24">U9/T9</f>
        <v>#DIV/0!</v>
      </c>
      <c r="W9" s="83">
        <v>45420</v>
      </c>
      <c r="X9" s="30"/>
      <c r="Y9" s="28"/>
      <c r="Z9" s="28"/>
      <c r="AA9" s="85">
        <v>45716</v>
      </c>
      <c r="AB9" s="28"/>
      <c r="AC9" s="29">
        <f>AA9-W9</f>
        <v>296</v>
      </c>
      <c r="AD9" s="29">
        <f>AA9-X9</f>
        <v>45716</v>
      </c>
      <c r="AE9" s="29">
        <f t="shared" ref="AE9:AE18" si="25">AB9-AA9</f>
        <v>-45716</v>
      </c>
      <c r="AF9" s="28">
        <f t="shared" ref="AF9:AF18" si="26">W9+AO9</f>
        <v>45441.206896551725</v>
      </c>
      <c r="AG9" s="28">
        <f t="shared" ref="AG9:AG18" si="27">W9+AN9</f>
        <v>45450.662068965517</v>
      </c>
      <c r="AH9" s="30">
        <f t="shared" ref="AH9:AH18" si="28">W9+50</f>
        <v>45470</v>
      </c>
      <c r="AI9" s="142">
        <f t="shared" ref="AI9:AI18" si="29" xml:space="preserve"> (0.3)*(AC9/AK9)+(0.7)*(AC9/AL9)</f>
        <v>9.1709401709401703</v>
      </c>
      <c r="AJ9" s="32">
        <f t="shared" ref="AJ9:AJ18" si="30">AE9/AP9</f>
        <v>-1039</v>
      </c>
      <c r="AK9" s="33">
        <f t="shared" ref="AK9:AK18" si="31">IF(P9&lt;51,20,(IF(P9&lt;101,23,(IF(P9&lt;201,26,IF(P9&lt;301,28,IF(P9&lt;401,30,(IF(P9&lt;501,32,(IF(P9&lt;1001,40,50)))))))))))</f>
        <v>26</v>
      </c>
      <c r="AL9" s="692">
        <f t="shared" ref="AL9:AL18" si="32">IF(Q9&lt;51,36,(IF(Q9&lt;101,34,(IF(Q9&lt;201,32,IF(Q9&lt;301,30,IF(Q9&lt;401,28,(IF(Q9&lt;501,26,(IF(Q9&lt;1001,23,20)))))))))))</f>
        <v>36</v>
      </c>
      <c r="AM9" s="692">
        <f t="shared" ref="AM9:AM18" si="33">(0.75)/((0.3/AK9)+(0.7/AL9))</f>
        <v>24.206896551724139</v>
      </c>
      <c r="AN9" s="693">
        <f t="shared" ref="AN9:AN18" si="34">(0.95)/((0.3/AK9)+(0.7/AL9))</f>
        <v>30.662068965517239</v>
      </c>
      <c r="AO9" s="694">
        <f t="shared" ref="AO9:AO18" si="35">AM9-3</f>
        <v>21.206896551724139</v>
      </c>
      <c r="AP9" s="34">
        <f t="shared" ref="AP9:AP18" si="36">IF(P9&lt;51,40,(IF(P9&lt;101,42,(IF(P9&lt;201,44,IF(P9&lt;301,46,IF(P9&lt;401,48,(IF(P9&lt;501,50,(IF(P9&lt;1001,55,60)))))))))))</f>
        <v>44</v>
      </c>
      <c r="AQ9" s="35">
        <f t="shared" ref="AQ9:AQ18" si="37">0.8*AP9</f>
        <v>35.200000000000003</v>
      </c>
      <c r="AR9" s="35">
        <f t="shared" ref="AR9:AR18" si="38">AQ9-5</f>
        <v>30.200000000000003</v>
      </c>
      <c r="AS9" s="36">
        <f t="shared" ref="AS9:AS18" si="39">AA9+AQ9</f>
        <v>45751.199999999997</v>
      </c>
      <c r="AT9" s="37">
        <f t="shared" ref="AT9:AT18" si="40">AS9-5</f>
        <v>45746.2</v>
      </c>
      <c r="AU9" s="118"/>
      <c r="AV9" s="49"/>
      <c r="AW9" s="49"/>
      <c r="AX9" s="49"/>
      <c r="AY9" s="49"/>
      <c r="AZ9" s="49"/>
      <c r="BA9" s="49"/>
      <c r="BB9" s="119"/>
      <c r="BC9" s="38"/>
      <c r="BD9" s="53"/>
      <c r="BE9" s="55"/>
      <c r="BF9" s="40">
        <f>IF(ISBLANK(AA9),0,IF(ISBLANK(BH9),($L$1-BE9),(BH9-BE9)))</f>
        <v>45293</v>
      </c>
      <c r="BG9" s="27"/>
      <c r="BH9" s="56"/>
      <c r="BI9" s="27"/>
      <c r="BJ9" s="54"/>
      <c r="BK9" s="39"/>
      <c r="BL9" s="39"/>
      <c r="BM9" s="58"/>
      <c r="BN9" s="39"/>
      <c r="BO9" s="39"/>
      <c r="BP9" s="57"/>
      <c r="BQ9" s="55"/>
      <c r="BR9" s="58"/>
      <c r="BS9" s="67"/>
      <c r="BT9" s="66"/>
      <c r="BU9" s="66"/>
      <c r="BV9" s="66"/>
      <c r="BW9" s="74"/>
      <c r="BX9" s="81"/>
      <c r="BY9" s="66"/>
      <c r="BZ9" s="76"/>
      <c r="CA9" s="42"/>
      <c r="CB9" s="62">
        <f t="shared" ref="CB9:CB18" si="41">AC9-CA9</f>
        <v>296</v>
      </c>
      <c r="CC9" s="42"/>
      <c r="CD9" s="62">
        <f t="shared" ref="CD9:CD18" si="42">AC9-CC9</f>
        <v>296</v>
      </c>
      <c r="CE9" s="62">
        <f t="shared" ref="CE9:CE18" si="43" xml:space="preserve"> (0.3)*(CD9/AK9)+(0.7)*(CD9/AL9)</f>
        <v>9.1709401709401703</v>
      </c>
      <c r="CH9" s="443">
        <f t="shared" ref="CH9:CH18" ca="1" si="44" xml:space="preserve"> (0.3)*((NOW()-W9)/AK9)+(0.7)*((NOW()-W9)/AL9)</f>
        <v>14.726692846950172</v>
      </c>
      <c r="CI9" t="str">
        <f t="shared" ref="CI9:CI18" si="45">IF(AB9="","PENDING COMP",(AB9-AA9)/AP9)</f>
        <v>PENDING COMP</v>
      </c>
      <c r="CJ9" s="458"/>
      <c r="CK9" t="str">
        <f t="shared" si="19"/>
        <v>REV</v>
      </c>
    </row>
    <row r="10" spans="1:89" ht="15" customHeight="1" x14ac:dyDescent="0.25">
      <c r="A10" s="281">
        <v>45427</v>
      </c>
      <c r="B10" s="39">
        <v>45427</v>
      </c>
      <c r="C10" s="41"/>
      <c r="D10" s="24" t="s">
        <v>234</v>
      </c>
      <c r="E10" s="41" t="s">
        <v>281</v>
      </c>
      <c r="F10" s="25" t="s">
        <v>259</v>
      </c>
      <c r="G10" s="25" t="s">
        <v>282</v>
      </c>
      <c r="H10" s="25" t="s">
        <v>238</v>
      </c>
      <c r="I10" s="25" t="s">
        <v>239</v>
      </c>
      <c r="J10" s="87"/>
      <c r="K10" s="26"/>
      <c r="L10" s="26" t="s">
        <v>242</v>
      </c>
      <c r="M10" s="26" t="s">
        <v>272</v>
      </c>
      <c r="N10" s="260" t="s">
        <v>241</v>
      </c>
      <c r="O10" s="691">
        <v>108.1986</v>
      </c>
      <c r="P10" s="691">
        <v>443.47</v>
      </c>
      <c r="Q10" s="748">
        <v>1021</v>
      </c>
      <c r="R10" s="282" t="s">
        <v>244</v>
      </c>
      <c r="S10" s="283">
        <v>3240513.08</v>
      </c>
      <c r="T10" s="93">
        <v>55638.73</v>
      </c>
      <c r="U10" s="102"/>
      <c r="V10" s="111">
        <f t="shared" si="24"/>
        <v>0</v>
      </c>
      <c r="W10" s="83">
        <v>45422.635416666664</v>
      </c>
      <c r="X10" s="30">
        <v>45425.780555555553</v>
      </c>
      <c r="Y10" s="28">
        <v>45427</v>
      </c>
      <c r="Z10" s="28"/>
      <c r="AA10" s="85">
        <v>45483.344444444447</v>
      </c>
      <c r="AB10" s="28"/>
      <c r="AC10" s="29">
        <f>AA10-W10</f>
        <v>60.709027777782467</v>
      </c>
      <c r="AD10" s="29">
        <f>AA10-X10</f>
        <v>57.563888888893416</v>
      </c>
      <c r="AE10" s="29">
        <f t="shared" si="25"/>
        <v>-45483.344444444447</v>
      </c>
      <c r="AF10" s="28">
        <f t="shared" si="26"/>
        <v>45436.536825117371</v>
      </c>
      <c r="AG10" s="28">
        <f t="shared" si="27"/>
        <v>45444.043867370892</v>
      </c>
      <c r="AH10" s="30">
        <f t="shared" si="28"/>
        <v>45472.635416666664</v>
      </c>
      <c r="AI10" s="31">
        <f t="shared" si="29"/>
        <v>2.6939631076390969</v>
      </c>
      <c r="AJ10" s="32">
        <f t="shared" si="30"/>
        <v>-909.66688888888893</v>
      </c>
      <c r="AK10" s="33">
        <f t="shared" si="31"/>
        <v>32</v>
      </c>
      <c r="AL10" s="692">
        <f t="shared" si="32"/>
        <v>20</v>
      </c>
      <c r="AM10" s="692">
        <f t="shared" si="33"/>
        <v>16.901408450704228</v>
      </c>
      <c r="AN10" s="693">
        <f t="shared" si="34"/>
        <v>21.408450704225352</v>
      </c>
      <c r="AO10" s="694">
        <f t="shared" si="35"/>
        <v>13.901408450704228</v>
      </c>
      <c r="AP10" s="34">
        <f t="shared" si="36"/>
        <v>50</v>
      </c>
      <c r="AQ10" s="35">
        <f t="shared" si="37"/>
        <v>40</v>
      </c>
      <c r="AR10" s="35">
        <f t="shared" si="38"/>
        <v>35</v>
      </c>
      <c r="AS10" s="36">
        <f t="shared" si="39"/>
        <v>45523.344444444447</v>
      </c>
      <c r="AT10" s="37">
        <f t="shared" si="40"/>
        <v>45518.344444444447</v>
      </c>
      <c r="AU10" s="118"/>
      <c r="AV10" s="49"/>
      <c r="AW10" s="49"/>
      <c r="AX10" s="49"/>
      <c r="AY10" s="49"/>
      <c r="AZ10" s="49"/>
      <c r="BA10" s="49"/>
      <c r="BB10" s="119"/>
      <c r="BC10" s="38" t="s">
        <v>264</v>
      </c>
      <c r="BD10" s="53"/>
      <c r="BE10" s="55">
        <f>AA10+3</f>
        <v>45486.344444444447</v>
      </c>
      <c r="BF10" s="40">
        <f>IF(ISBLANK(AA10),0,IF(ISBLANK(BH10),($L$1-BE10),(BH10-BE10)))</f>
        <v>6.6555555555532919</v>
      </c>
      <c r="BG10" s="27">
        <v>45476</v>
      </c>
      <c r="BH10" s="56">
        <v>45493</v>
      </c>
      <c r="BI10" s="27">
        <v>45572</v>
      </c>
      <c r="BJ10" s="54" t="s">
        <v>245</v>
      </c>
      <c r="BK10" s="39" t="s">
        <v>246</v>
      </c>
      <c r="BL10" s="39"/>
      <c r="BM10" s="58"/>
      <c r="BN10" s="39"/>
      <c r="BO10" s="39"/>
      <c r="BP10" s="57"/>
      <c r="BQ10" s="55" t="s">
        <v>247</v>
      </c>
      <c r="BR10" s="58"/>
      <c r="BS10" s="67"/>
      <c r="BT10" s="66"/>
      <c r="BU10" s="66"/>
      <c r="BV10" s="66"/>
      <c r="BW10" s="74"/>
      <c r="BX10" s="81"/>
      <c r="BY10" s="66">
        <v>45428</v>
      </c>
      <c r="BZ10" s="76" t="s">
        <v>283</v>
      </c>
      <c r="CA10" s="42"/>
      <c r="CB10" s="62">
        <f t="shared" si="41"/>
        <v>60.709027777782467</v>
      </c>
      <c r="CC10" s="42"/>
      <c r="CD10" s="62">
        <f t="shared" si="42"/>
        <v>60.709027777782467</v>
      </c>
      <c r="CE10" s="62">
        <f t="shared" si="43"/>
        <v>2.6939631076390969</v>
      </c>
      <c r="CH10" s="443">
        <f t="shared" ca="1" si="44"/>
        <v>20.975232271484604</v>
      </c>
      <c r="CI10" t="str">
        <f t="shared" si="45"/>
        <v>PENDING COMP</v>
      </c>
      <c r="CJ10" s="458"/>
      <c r="CK10" t="str">
        <f t="shared" si="19"/>
        <v>REV</v>
      </c>
    </row>
    <row r="11" spans="1:89" ht="15" customHeight="1" x14ac:dyDescent="0.25">
      <c r="A11" s="452">
        <v>45440</v>
      </c>
      <c r="B11" s="39">
        <v>45441</v>
      </c>
      <c r="C11" s="41"/>
      <c r="D11" s="24" t="s">
        <v>284</v>
      </c>
      <c r="E11" s="41" t="s">
        <v>285</v>
      </c>
      <c r="F11" s="267" t="s">
        <v>286</v>
      </c>
      <c r="G11" s="267" t="s">
        <v>287</v>
      </c>
      <c r="H11" s="267" t="s">
        <v>238</v>
      </c>
      <c r="I11" s="267" t="s">
        <v>239</v>
      </c>
      <c r="J11" s="87"/>
      <c r="K11" s="26" t="s">
        <v>271</v>
      </c>
      <c r="L11" s="26" t="s">
        <v>288</v>
      </c>
      <c r="M11" s="26" t="s">
        <v>272</v>
      </c>
      <c r="N11" s="754" t="s">
        <v>241</v>
      </c>
      <c r="O11" s="691">
        <v>37.49</v>
      </c>
      <c r="P11" s="691">
        <v>600.41999999999996</v>
      </c>
      <c r="Q11" s="748">
        <v>6237</v>
      </c>
      <c r="R11" s="282" t="s">
        <v>244</v>
      </c>
      <c r="S11" s="283">
        <v>4328746.13</v>
      </c>
      <c r="T11" s="102">
        <v>30189.83</v>
      </c>
      <c r="U11" s="147">
        <v>14379.55</v>
      </c>
      <c r="V11" s="111">
        <f t="shared" si="24"/>
        <v>0.4763044376202184</v>
      </c>
      <c r="W11" s="159">
        <v>45425.681944444441</v>
      </c>
      <c r="X11" s="159">
        <v>45427.738888888889</v>
      </c>
      <c r="Y11" s="160">
        <v>45440</v>
      </c>
      <c r="Z11" s="28"/>
      <c r="AA11" s="85">
        <v>45488.59375</v>
      </c>
      <c r="AB11" s="28"/>
      <c r="AC11" s="143">
        <f>AA11-W11</f>
        <v>62.911805555559113</v>
      </c>
      <c r="AD11" s="29">
        <f>AA11-X11</f>
        <v>60.854861111110949</v>
      </c>
      <c r="AE11" s="29">
        <f t="shared" si="25"/>
        <v>-45488.59375</v>
      </c>
      <c r="AF11" s="28">
        <f t="shared" si="26"/>
        <v>45440.329003267972</v>
      </c>
      <c r="AG11" s="28">
        <f t="shared" si="27"/>
        <v>45448.034885620909</v>
      </c>
      <c r="AH11" s="30">
        <f t="shared" si="28"/>
        <v>45475.681944444441</v>
      </c>
      <c r="AI11" s="142">
        <f t="shared" si="29"/>
        <v>2.6737517361112619</v>
      </c>
      <c r="AJ11" s="32">
        <f t="shared" si="30"/>
        <v>-827.06534090909088</v>
      </c>
      <c r="AK11" s="33">
        <f t="shared" si="31"/>
        <v>40</v>
      </c>
      <c r="AL11" s="692">
        <f t="shared" si="32"/>
        <v>20</v>
      </c>
      <c r="AM11" s="692">
        <f t="shared" si="33"/>
        <v>17.647058823529413</v>
      </c>
      <c r="AN11" s="693">
        <f t="shared" si="34"/>
        <v>22.352941176470591</v>
      </c>
      <c r="AO11" s="694">
        <f t="shared" si="35"/>
        <v>14.647058823529413</v>
      </c>
      <c r="AP11" s="34">
        <f t="shared" si="36"/>
        <v>55</v>
      </c>
      <c r="AQ11" s="35">
        <f t="shared" si="37"/>
        <v>44</v>
      </c>
      <c r="AR11" s="35">
        <f t="shared" si="38"/>
        <v>39</v>
      </c>
      <c r="AS11" s="36">
        <f t="shared" si="39"/>
        <v>45532.59375</v>
      </c>
      <c r="AT11" s="37">
        <f t="shared" si="40"/>
        <v>45527.59375</v>
      </c>
      <c r="AU11" s="118"/>
      <c r="AV11" s="49"/>
      <c r="AW11" s="49"/>
      <c r="AX11" s="49"/>
      <c r="AY11" s="49"/>
      <c r="AZ11" s="49"/>
      <c r="BA11" s="49"/>
      <c r="BB11" s="119"/>
      <c r="BC11" s="38" t="s">
        <v>13</v>
      </c>
      <c r="BD11" s="53" t="s">
        <v>289</v>
      </c>
      <c r="BE11" s="55">
        <f>AA11+3</f>
        <v>45491.59375</v>
      </c>
      <c r="BF11" s="40">
        <f>IF(ISBLANK(AA11),0,IF(ISBLANK(BH11),($L$1-BE11),(BH11-BE11)))</f>
        <v>-198.59375</v>
      </c>
      <c r="BG11" s="27"/>
      <c r="BH11" s="56"/>
      <c r="BI11" s="27"/>
      <c r="BJ11" s="54"/>
      <c r="BK11" s="39"/>
      <c r="BL11" s="39"/>
      <c r="BM11" s="58"/>
      <c r="BN11" s="39"/>
      <c r="BO11" s="39"/>
      <c r="BP11" s="57"/>
      <c r="BQ11" s="55" t="s">
        <v>247</v>
      </c>
      <c r="BR11" s="58"/>
      <c r="BS11" s="67"/>
      <c r="BT11" s="66"/>
      <c r="BU11" s="66"/>
      <c r="BV11" s="66"/>
      <c r="BW11" s="74"/>
      <c r="BX11" s="81"/>
      <c r="BY11" s="66">
        <v>45440</v>
      </c>
      <c r="BZ11" s="76" t="s">
        <v>290</v>
      </c>
      <c r="CA11" s="42"/>
      <c r="CB11" s="62">
        <f t="shared" si="41"/>
        <v>62.911805555559113</v>
      </c>
      <c r="CC11" s="42"/>
      <c r="CD11" s="62">
        <f t="shared" si="42"/>
        <v>62.911805555559113</v>
      </c>
      <c r="CE11" s="62">
        <f t="shared" si="43"/>
        <v>2.6737517361112619</v>
      </c>
      <c r="CH11" s="443">
        <f t="shared" ca="1" si="44"/>
        <v>19.959477421007215</v>
      </c>
      <c r="CI11" t="str">
        <f t="shared" si="45"/>
        <v>PENDING COMP</v>
      </c>
      <c r="CJ11" s="458"/>
      <c r="CK11" t="str">
        <f t="shared" si="19"/>
        <v>REV</v>
      </c>
    </row>
    <row r="12" spans="1:89" ht="15" customHeight="1" x14ac:dyDescent="0.25">
      <c r="A12" s="242">
        <v>45457</v>
      </c>
      <c r="B12" s="39">
        <v>45461</v>
      </c>
      <c r="C12" s="41"/>
      <c r="D12" s="24" t="s">
        <v>234</v>
      </c>
      <c r="E12" s="453" t="s">
        <v>291</v>
      </c>
      <c r="F12" s="95" t="s">
        <v>292</v>
      </c>
      <c r="G12" s="95" t="s">
        <v>293</v>
      </c>
      <c r="H12" s="454" t="s">
        <v>269</v>
      </c>
      <c r="I12" s="95" t="s">
        <v>239</v>
      </c>
      <c r="J12" s="87"/>
      <c r="K12" s="26" t="s">
        <v>271</v>
      </c>
      <c r="L12" s="26" t="s">
        <v>263</v>
      </c>
      <c r="M12" s="26" t="s">
        <v>272</v>
      </c>
      <c r="N12" s="27" t="s">
        <v>241</v>
      </c>
      <c r="O12" s="691">
        <v>76.7333</v>
      </c>
      <c r="P12" s="165">
        <v>563.4</v>
      </c>
      <c r="Q12" s="157">
        <v>1434</v>
      </c>
      <c r="R12" s="109" t="s">
        <v>244</v>
      </c>
      <c r="S12" s="110">
        <v>3729820.96</v>
      </c>
      <c r="T12" s="102">
        <v>61791.45</v>
      </c>
      <c r="U12" s="144"/>
      <c r="V12" s="111">
        <f t="shared" si="24"/>
        <v>0</v>
      </c>
      <c r="W12" s="159">
        <v>45443.546527777777</v>
      </c>
      <c r="X12" s="159">
        <v>45457.688888888886</v>
      </c>
      <c r="Y12" s="160">
        <v>45454</v>
      </c>
      <c r="Z12" s="28"/>
      <c r="AA12" s="85">
        <v>45481.296527777777</v>
      </c>
      <c r="AB12" s="28"/>
      <c r="AC12" s="31">
        <f>AA12-W12</f>
        <v>37.75</v>
      </c>
      <c r="AD12" s="29">
        <f>AA12-X12</f>
        <v>23.607638888890506</v>
      </c>
      <c r="AE12" s="29">
        <f t="shared" si="25"/>
        <v>-45481.296527777777</v>
      </c>
      <c r="AF12" s="28">
        <f t="shared" si="26"/>
        <v>45458.193586601308</v>
      </c>
      <c r="AG12" s="28">
        <f t="shared" si="27"/>
        <v>45465.899468954245</v>
      </c>
      <c r="AH12" s="30">
        <f t="shared" si="28"/>
        <v>45493.546527777777</v>
      </c>
      <c r="AI12" s="142">
        <f t="shared" si="29"/>
        <v>1.6043749999999997</v>
      </c>
      <c r="AJ12" s="32">
        <f t="shared" si="30"/>
        <v>-826.93266414141408</v>
      </c>
      <c r="AK12" s="33">
        <f t="shared" si="31"/>
        <v>40</v>
      </c>
      <c r="AL12" s="692">
        <f t="shared" si="32"/>
        <v>20</v>
      </c>
      <c r="AM12" s="692">
        <f t="shared" si="33"/>
        <v>17.647058823529413</v>
      </c>
      <c r="AN12" s="693">
        <f t="shared" si="34"/>
        <v>22.352941176470591</v>
      </c>
      <c r="AO12" s="694">
        <f t="shared" si="35"/>
        <v>14.647058823529413</v>
      </c>
      <c r="AP12" s="34">
        <f t="shared" si="36"/>
        <v>55</v>
      </c>
      <c r="AQ12" s="35">
        <f t="shared" si="37"/>
        <v>44</v>
      </c>
      <c r="AR12" s="35">
        <f t="shared" si="38"/>
        <v>39</v>
      </c>
      <c r="AS12" s="36">
        <f t="shared" si="39"/>
        <v>45525.296527777777</v>
      </c>
      <c r="AT12" s="37">
        <f t="shared" si="40"/>
        <v>45520.296527777777</v>
      </c>
      <c r="AU12" s="118"/>
      <c r="AV12" s="49"/>
      <c r="AW12" s="49"/>
      <c r="AX12" s="49"/>
      <c r="AY12" s="49"/>
      <c r="AZ12" s="49"/>
      <c r="BA12" s="49"/>
      <c r="BB12" s="119"/>
      <c r="BC12" s="38" t="s">
        <v>13</v>
      </c>
      <c r="BD12" s="53"/>
      <c r="BE12" s="55">
        <f>AA12+3</f>
        <v>45484.296527777777</v>
      </c>
      <c r="BF12" s="40">
        <f>IF(ISBLANK(AA12),0,IF(ISBLANK(BH12),($L$1-BE12),(BH12-BE12)))</f>
        <v>-191.29652777777665</v>
      </c>
      <c r="BG12" s="27"/>
      <c r="BH12" s="56"/>
      <c r="BI12" s="27"/>
      <c r="BJ12" s="54"/>
      <c r="BK12" s="39"/>
      <c r="BL12" s="39"/>
      <c r="BM12" s="58"/>
      <c r="BN12" s="39"/>
      <c r="BO12" s="39"/>
      <c r="BP12" s="57"/>
      <c r="BQ12" s="55" t="s">
        <v>247</v>
      </c>
      <c r="BR12" s="58"/>
      <c r="BS12" s="67"/>
      <c r="BT12" s="66"/>
      <c r="BU12" s="66"/>
      <c r="BV12" s="66"/>
      <c r="BW12" s="74"/>
      <c r="BX12" s="81"/>
      <c r="BY12" s="66">
        <v>45460</v>
      </c>
      <c r="BZ12" s="76" t="s">
        <v>294</v>
      </c>
      <c r="CA12" s="42"/>
      <c r="CB12" s="62">
        <f t="shared" si="41"/>
        <v>37.75</v>
      </c>
      <c r="CC12" s="42"/>
      <c r="CD12" s="62">
        <f t="shared" si="42"/>
        <v>37.75</v>
      </c>
      <c r="CE12" s="62">
        <f t="shared" si="43"/>
        <v>1.6043749999999997</v>
      </c>
      <c r="CH12" s="443">
        <f t="shared" ca="1" si="44"/>
        <v>19.200232629340444</v>
      </c>
      <c r="CI12" t="str">
        <f t="shared" si="45"/>
        <v>PENDING COMP</v>
      </c>
      <c r="CJ12" s="458"/>
      <c r="CK12" t="str">
        <f t="shared" si="19"/>
        <v>REV</v>
      </c>
    </row>
    <row r="13" spans="1:89" ht="15" customHeight="1" x14ac:dyDescent="0.25">
      <c r="A13" s="242">
        <v>45517</v>
      </c>
      <c r="B13" s="39">
        <v>45512</v>
      </c>
      <c r="C13" s="39"/>
      <c r="D13" s="24" t="s">
        <v>284</v>
      </c>
      <c r="E13" s="43" t="s">
        <v>295</v>
      </c>
      <c r="F13" s="95" t="s">
        <v>296</v>
      </c>
      <c r="G13" s="95" t="s">
        <v>297</v>
      </c>
      <c r="H13" s="454" t="s">
        <v>238</v>
      </c>
      <c r="I13" s="95" t="s">
        <v>239</v>
      </c>
      <c r="J13" s="87" t="s">
        <v>298</v>
      </c>
      <c r="K13" s="26" t="s">
        <v>299</v>
      </c>
      <c r="L13" s="26" t="s">
        <v>288</v>
      </c>
      <c r="M13" s="751" t="s">
        <v>272</v>
      </c>
      <c r="N13" s="27" t="s">
        <v>241</v>
      </c>
      <c r="O13" s="755">
        <v>62.109400000000001</v>
      </c>
      <c r="P13" s="165">
        <v>224.02</v>
      </c>
      <c r="Q13" s="157">
        <v>44</v>
      </c>
      <c r="R13" s="109" t="s">
        <v>244</v>
      </c>
      <c r="S13" s="110">
        <v>636513.87</v>
      </c>
      <c r="T13" s="102">
        <v>49637.68</v>
      </c>
      <c r="U13" s="144">
        <v>41296.18</v>
      </c>
      <c r="V13" s="111">
        <f t="shared" si="24"/>
        <v>0.83195225884851987</v>
      </c>
      <c r="W13" s="159">
        <v>45512.711111111108</v>
      </c>
      <c r="X13" s="159">
        <v>45517.304861111108</v>
      </c>
      <c r="Y13" s="160">
        <v>45520</v>
      </c>
      <c r="Z13" s="28"/>
      <c r="AA13" s="85">
        <v>45723</v>
      </c>
      <c r="AB13" s="756"/>
      <c r="AC13" s="161">
        <f>AA13-W13</f>
        <v>210.28888888889196</v>
      </c>
      <c r="AD13" s="161">
        <f>AA13-X13</f>
        <v>205.69513888889196</v>
      </c>
      <c r="AE13" s="757">
        <f t="shared" si="25"/>
        <v>-45723</v>
      </c>
      <c r="AF13" s="28">
        <f t="shared" si="26"/>
        <v>45534.579532163742</v>
      </c>
      <c r="AG13" s="28">
        <f t="shared" si="27"/>
        <v>45544.211111111108</v>
      </c>
      <c r="AH13" s="30">
        <f t="shared" si="28"/>
        <v>45562.711111111108</v>
      </c>
      <c r="AI13" s="31">
        <f t="shared" si="29"/>
        <v>6.3420458553792809</v>
      </c>
      <c r="AJ13" s="32">
        <f t="shared" si="30"/>
        <v>-993.97826086956525</v>
      </c>
      <c r="AK13" s="33">
        <f t="shared" si="31"/>
        <v>28</v>
      </c>
      <c r="AL13" s="692">
        <f t="shared" si="32"/>
        <v>36</v>
      </c>
      <c r="AM13" s="692">
        <f t="shared" si="33"/>
        <v>24.868421052631579</v>
      </c>
      <c r="AN13" s="693">
        <f t="shared" si="34"/>
        <v>31.499999999999996</v>
      </c>
      <c r="AO13" s="694">
        <f t="shared" si="35"/>
        <v>21.868421052631579</v>
      </c>
      <c r="AP13" s="34">
        <f t="shared" si="36"/>
        <v>46</v>
      </c>
      <c r="AQ13" s="35">
        <f t="shared" si="37"/>
        <v>36.800000000000004</v>
      </c>
      <c r="AR13" s="35">
        <f t="shared" si="38"/>
        <v>31.800000000000004</v>
      </c>
      <c r="AS13" s="36">
        <f t="shared" si="39"/>
        <v>45759.8</v>
      </c>
      <c r="AT13" s="37">
        <f t="shared" si="40"/>
        <v>45754.8</v>
      </c>
      <c r="AU13" s="118"/>
      <c r="AV13" s="49"/>
      <c r="AW13" s="49"/>
      <c r="AX13" s="49"/>
      <c r="AY13" s="49"/>
      <c r="AZ13" s="300"/>
      <c r="BA13" s="49"/>
      <c r="BB13" s="758"/>
      <c r="BC13" s="38" t="s">
        <v>12</v>
      </c>
      <c r="BD13" s="53" t="s">
        <v>300</v>
      </c>
      <c r="BE13" s="55">
        <f>AA13+15</f>
        <v>45738</v>
      </c>
      <c r="BF13" s="40">
        <f>IF(ISBLANK(AA13),0,IF(ISBLANK(BH13),($L$1-BE13),(BH13-BE13)))</f>
        <v>30</v>
      </c>
      <c r="BG13" s="27">
        <v>45723</v>
      </c>
      <c r="BH13" s="56">
        <v>45768</v>
      </c>
      <c r="BI13" s="27"/>
      <c r="BJ13" s="54"/>
      <c r="BK13" s="39"/>
      <c r="BL13" s="39"/>
      <c r="BM13" s="58"/>
      <c r="BN13" s="39"/>
      <c r="BO13" s="39"/>
      <c r="BP13" s="57"/>
      <c r="BQ13" s="55" t="s">
        <v>247</v>
      </c>
      <c r="BR13" s="58"/>
      <c r="BS13" s="67"/>
      <c r="BT13" s="66"/>
      <c r="BU13" s="66"/>
      <c r="BV13" s="66"/>
      <c r="BW13" s="74"/>
      <c r="BX13" s="81"/>
      <c r="BY13" s="66">
        <v>45518</v>
      </c>
      <c r="BZ13" s="76" t="s">
        <v>301</v>
      </c>
      <c r="CA13" s="42"/>
      <c r="CB13" s="62">
        <f t="shared" si="41"/>
        <v>210.28888888889196</v>
      </c>
      <c r="CC13" s="42"/>
      <c r="CD13" s="62">
        <f t="shared" si="42"/>
        <v>210.28888888889196</v>
      </c>
      <c r="CE13" s="62">
        <f t="shared" si="43"/>
        <v>6.3420458553792809</v>
      </c>
      <c r="CH13" s="443">
        <f t="shared" ca="1" si="44"/>
        <v>11.538898925448347</v>
      </c>
      <c r="CI13" t="str">
        <f t="shared" si="45"/>
        <v>PENDING COMP</v>
      </c>
      <c r="CJ13" s="458"/>
      <c r="CK13" t="str">
        <f t="shared" si="19"/>
        <v>REV</v>
      </c>
    </row>
    <row r="14" spans="1:89" ht="15" customHeight="1" x14ac:dyDescent="0.25">
      <c r="A14" s="281"/>
      <c r="B14" s="39"/>
      <c r="C14" s="41"/>
      <c r="D14" s="24" t="s">
        <v>234</v>
      </c>
      <c r="E14" s="41" t="s">
        <v>302</v>
      </c>
      <c r="F14" s="25" t="s">
        <v>303</v>
      </c>
      <c r="G14" s="25" t="s">
        <v>304</v>
      </c>
      <c r="H14" s="25" t="s">
        <v>238</v>
      </c>
      <c r="I14" s="25" t="s">
        <v>239</v>
      </c>
      <c r="J14" s="87"/>
      <c r="K14" s="26"/>
      <c r="L14" s="26" t="s">
        <v>288</v>
      </c>
      <c r="M14" s="26" t="s">
        <v>272</v>
      </c>
      <c r="N14" s="753" t="s">
        <v>241</v>
      </c>
      <c r="O14" s="691">
        <v>147.94399999999999</v>
      </c>
      <c r="P14" s="691">
        <v>563.37</v>
      </c>
      <c r="Q14" s="109">
        <v>5950</v>
      </c>
      <c r="R14" s="282" t="s">
        <v>244</v>
      </c>
      <c r="S14" s="283">
        <v>5216314.41</v>
      </c>
      <c r="T14" s="102">
        <v>140962.37</v>
      </c>
      <c r="U14" s="144"/>
      <c r="V14" s="111">
        <f t="shared" si="24"/>
        <v>0</v>
      </c>
      <c r="W14" s="159">
        <v>45569.434027777781</v>
      </c>
      <c r="X14" s="159">
        <v>45569.554861111108</v>
      </c>
      <c r="Y14" s="160"/>
      <c r="Z14" s="28"/>
      <c r="AA14" s="85">
        <v>45581.676388888889</v>
      </c>
      <c r="AB14" s="28"/>
      <c r="AC14" s="162"/>
      <c r="AD14" s="161"/>
      <c r="AE14" s="29">
        <f t="shared" si="25"/>
        <v>-45581.676388888889</v>
      </c>
      <c r="AF14" s="28">
        <f t="shared" si="26"/>
        <v>45584.081086601313</v>
      </c>
      <c r="AG14" s="28">
        <f t="shared" si="27"/>
        <v>45591.786968954249</v>
      </c>
      <c r="AH14" s="30">
        <f t="shared" si="28"/>
        <v>45619.434027777781</v>
      </c>
      <c r="AI14" s="142">
        <f t="shared" si="29"/>
        <v>0</v>
      </c>
      <c r="AJ14" s="32">
        <f t="shared" si="30"/>
        <v>-828.7577525252525</v>
      </c>
      <c r="AK14" s="33">
        <f t="shared" si="31"/>
        <v>40</v>
      </c>
      <c r="AL14" s="692">
        <f t="shared" si="32"/>
        <v>20</v>
      </c>
      <c r="AM14" s="692">
        <f t="shared" si="33"/>
        <v>17.647058823529413</v>
      </c>
      <c r="AN14" s="693">
        <f t="shared" si="34"/>
        <v>22.352941176470591</v>
      </c>
      <c r="AO14" s="694">
        <f t="shared" si="35"/>
        <v>14.647058823529413</v>
      </c>
      <c r="AP14" s="34">
        <f t="shared" si="36"/>
        <v>55</v>
      </c>
      <c r="AQ14" s="35">
        <f t="shared" si="37"/>
        <v>44</v>
      </c>
      <c r="AR14" s="35">
        <f t="shared" si="38"/>
        <v>39</v>
      </c>
      <c r="AS14" s="36">
        <f t="shared" si="39"/>
        <v>45625.676388888889</v>
      </c>
      <c r="AT14" s="37">
        <f t="shared" si="40"/>
        <v>45620.676388888889</v>
      </c>
      <c r="AU14" s="118"/>
      <c r="AV14" s="49"/>
      <c r="AW14" s="49"/>
      <c r="AX14" s="49"/>
      <c r="AY14" s="49"/>
      <c r="AZ14" s="49"/>
      <c r="BA14" s="49"/>
      <c r="BB14" s="119"/>
      <c r="BC14" s="38" t="s">
        <v>13</v>
      </c>
      <c r="BD14" s="53"/>
      <c r="BE14" s="55"/>
      <c r="BF14" s="40"/>
      <c r="BG14" s="27"/>
      <c r="BH14" s="56"/>
      <c r="BI14" s="27"/>
      <c r="BJ14" s="54"/>
      <c r="BK14" s="39"/>
      <c r="BL14" s="39"/>
      <c r="BM14" s="58"/>
      <c r="BN14" s="39"/>
      <c r="BO14" s="39"/>
      <c r="BP14" s="57"/>
      <c r="BQ14" s="55"/>
      <c r="BR14" s="58"/>
      <c r="BS14" s="67"/>
      <c r="BT14" s="66"/>
      <c r="BU14" s="66"/>
      <c r="BV14" s="66"/>
      <c r="BW14" s="74"/>
      <c r="BX14" s="81"/>
      <c r="BY14" s="66"/>
      <c r="BZ14" s="76"/>
      <c r="CA14" s="42"/>
      <c r="CB14" s="62">
        <f t="shared" si="41"/>
        <v>0</v>
      </c>
      <c r="CC14" s="42"/>
      <c r="CD14" s="62">
        <f t="shared" si="42"/>
        <v>0</v>
      </c>
      <c r="CE14" s="62">
        <f t="shared" si="43"/>
        <v>0</v>
      </c>
      <c r="CH14" s="443">
        <f t="shared" ca="1" si="44"/>
        <v>13.850013869502163</v>
      </c>
      <c r="CI14" t="str">
        <f t="shared" si="45"/>
        <v>PENDING COMP</v>
      </c>
      <c r="CJ14" s="458"/>
      <c r="CK14" t="str">
        <f t="shared" si="19"/>
        <v>REV</v>
      </c>
    </row>
    <row r="15" spans="1:89" ht="15" customHeight="1" x14ac:dyDescent="0.25">
      <c r="A15" s="281">
        <v>45694</v>
      </c>
      <c r="B15" s="39"/>
      <c r="C15" s="41"/>
      <c r="D15" s="24" t="s">
        <v>284</v>
      </c>
      <c r="E15" s="859" t="s">
        <v>305</v>
      </c>
      <c r="F15" s="95" t="s">
        <v>306</v>
      </c>
      <c r="G15" s="95" t="s">
        <v>307</v>
      </c>
      <c r="H15" s="267" t="s">
        <v>269</v>
      </c>
      <c r="I15" s="267" t="s">
        <v>239</v>
      </c>
      <c r="J15" s="87"/>
      <c r="K15" s="26"/>
      <c r="L15" s="26" t="s">
        <v>241</v>
      </c>
      <c r="M15" s="101" t="s">
        <v>256</v>
      </c>
      <c r="N15" s="26" t="s">
        <v>241</v>
      </c>
      <c r="O15" s="755"/>
      <c r="P15" s="165">
        <v>299</v>
      </c>
      <c r="Q15" s="157">
        <v>3791</v>
      </c>
      <c r="R15" s="109" t="s">
        <v>244</v>
      </c>
      <c r="S15" s="110">
        <v>3214681.55</v>
      </c>
      <c r="T15" s="102"/>
      <c r="U15" s="144"/>
      <c r="V15" s="111" t="e">
        <f t="shared" si="24"/>
        <v>#DIV/0!</v>
      </c>
      <c r="W15" s="159">
        <v>45618</v>
      </c>
      <c r="X15" s="159">
        <v>45623</v>
      </c>
      <c r="Y15" s="160"/>
      <c r="Z15" s="28"/>
      <c r="AA15" s="85">
        <v>45672</v>
      </c>
      <c r="AB15" s="28">
        <v>45817.263194444444</v>
      </c>
      <c r="AC15" s="29">
        <f>AA15-W15</f>
        <v>54</v>
      </c>
      <c r="AD15" s="29">
        <f>AA15-X15</f>
        <v>49</v>
      </c>
      <c r="AE15" s="29">
        <f t="shared" si="25"/>
        <v>145.2631944444438</v>
      </c>
      <c r="AF15" s="28">
        <f t="shared" si="26"/>
        <v>45631.40625</v>
      </c>
      <c r="AG15" s="28">
        <f t="shared" si="27"/>
        <v>45638.78125</v>
      </c>
      <c r="AH15" s="30">
        <f t="shared" si="28"/>
        <v>45668</v>
      </c>
      <c r="AI15" s="142">
        <f t="shared" si="29"/>
        <v>2.4685714285714284</v>
      </c>
      <c r="AJ15" s="32">
        <f t="shared" si="30"/>
        <v>3.157895531400952</v>
      </c>
      <c r="AK15" s="33">
        <f t="shared" si="31"/>
        <v>28</v>
      </c>
      <c r="AL15" s="692">
        <f t="shared" si="32"/>
        <v>20</v>
      </c>
      <c r="AM15" s="692">
        <f t="shared" si="33"/>
        <v>16.406250000000004</v>
      </c>
      <c r="AN15" s="693">
        <f t="shared" si="34"/>
        <v>20.781250000000004</v>
      </c>
      <c r="AO15" s="694">
        <f t="shared" si="35"/>
        <v>13.406250000000004</v>
      </c>
      <c r="AP15" s="34">
        <f t="shared" si="36"/>
        <v>46</v>
      </c>
      <c r="AQ15" s="35">
        <f t="shared" si="37"/>
        <v>36.800000000000004</v>
      </c>
      <c r="AR15" s="35">
        <f t="shared" si="38"/>
        <v>31.800000000000004</v>
      </c>
      <c r="AS15" s="36">
        <f t="shared" si="39"/>
        <v>45708.800000000003</v>
      </c>
      <c r="AT15" s="37">
        <f t="shared" si="40"/>
        <v>45703.8</v>
      </c>
      <c r="AU15" s="118"/>
      <c r="AV15" s="49"/>
      <c r="AW15" s="49"/>
      <c r="AX15" s="49"/>
      <c r="AY15" s="49"/>
      <c r="AZ15" s="49"/>
      <c r="BA15" s="49"/>
      <c r="BB15" s="119"/>
      <c r="BC15" s="38" t="s">
        <v>14</v>
      </c>
      <c r="BD15" s="53"/>
      <c r="BE15" s="55"/>
      <c r="BF15" s="40"/>
      <c r="BG15" s="27"/>
      <c r="BH15" s="56"/>
      <c r="BI15" s="27"/>
      <c r="BJ15" s="54"/>
      <c r="BK15" s="39"/>
      <c r="BL15" s="39"/>
      <c r="BM15" s="58"/>
      <c r="BN15" s="39"/>
      <c r="BO15" s="39"/>
      <c r="BP15" s="57"/>
      <c r="BQ15" s="55"/>
      <c r="BR15" s="58"/>
      <c r="BS15" s="67"/>
      <c r="BT15" s="66"/>
      <c r="BU15" s="66"/>
      <c r="BV15" s="66"/>
      <c r="BW15" s="74"/>
      <c r="BX15" s="81"/>
      <c r="BY15" s="66" t="s">
        <v>308</v>
      </c>
      <c r="BZ15" s="76"/>
      <c r="CA15" s="42"/>
      <c r="CB15" s="62">
        <f t="shared" si="41"/>
        <v>54</v>
      </c>
      <c r="CC15" s="42"/>
      <c r="CD15" s="62">
        <f t="shared" si="42"/>
        <v>54</v>
      </c>
      <c r="CE15" s="62">
        <f t="shared" si="43"/>
        <v>2.4685714285714284</v>
      </c>
      <c r="CH15" s="443">
        <f t="shared" ca="1" si="44"/>
        <v>12.677335179894163</v>
      </c>
      <c r="CI15">
        <f t="shared" si="45"/>
        <v>3.157895531400952</v>
      </c>
      <c r="CJ15" s="458"/>
      <c r="CK15" t="str">
        <f t="shared" si="19"/>
        <v>REV</v>
      </c>
    </row>
    <row r="16" spans="1:89" ht="15" customHeight="1" x14ac:dyDescent="0.25">
      <c r="A16" s="281"/>
      <c r="B16" s="39">
        <v>45679</v>
      </c>
      <c r="C16" s="41" t="s">
        <v>247</v>
      </c>
      <c r="D16" s="24" t="s">
        <v>234</v>
      </c>
      <c r="E16" s="41" t="s">
        <v>309</v>
      </c>
      <c r="F16" s="25" t="s">
        <v>310</v>
      </c>
      <c r="G16" s="25" t="s">
        <v>311</v>
      </c>
      <c r="H16" s="267" t="s">
        <v>277</v>
      </c>
      <c r="I16" s="267" t="s">
        <v>312</v>
      </c>
      <c r="J16" s="87"/>
      <c r="K16" s="26"/>
      <c r="L16" s="26" t="s">
        <v>263</v>
      </c>
      <c r="M16" s="101" t="s">
        <v>272</v>
      </c>
      <c r="N16" s="753" t="s">
        <v>313</v>
      </c>
      <c r="O16" s="755">
        <v>31.96</v>
      </c>
      <c r="P16" s="165">
        <v>366.82</v>
      </c>
      <c r="Q16" s="109">
        <v>994</v>
      </c>
      <c r="R16" s="282" t="s">
        <v>244</v>
      </c>
      <c r="S16" s="283">
        <v>3141766.43</v>
      </c>
      <c r="T16" s="102">
        <v>32632.89</v>
      </c>
      <c r="U16" s="144"/>
      <c r="V16" s="111">
        <f t="shared" si="24"/>
        <v>0</v>
      </c>
      <c r="W16" s="159">
        <v>45673.69027777778</v>
      </c>
      <c r="X16" s="159">
        <v>45677.625694444447</v>
      </c>
      <c r="Y16" s="160">
        <v>45678</v>
      </c>
      <c r="Z16" s="85">
        <v>45751</v>
      </c>
      <c r="AA16" s="85">
        <v>45751</v>
      </c>
      <c r="AB16" s="28"/>
      <c r="AC16" s="31"/>
      <c r="AD16" s="29"/>
      <c r="AE16" s="29">
        <f t="shared" si="25"/>
        <v>-45751</v>
      </c>
      <c r="AF16" s="28">
        <f t="shared" si="26"/>
        <v>45689.238664874552</v>
      </c>
      <c r="AG16" s="28">
        <f t="shared" si="27"/>
        <v>45697.184901433691</v>
      </c>
      <c r="AH16" s="30">
        <f t="shared" si="28"/>
        <v>45723.69027777778</v>
      </c>
      <c r="AI16" s="142">
        <f t="shared" si="29"/>
        <v>0</v>
      </c>
      <c r="AJ16" s="32">
        <f t="shared" si="30"/>
        <v>-953.14583333333337</v>
      </c>
      <c r="AK16" s="33">
        <f t="shared" si="31"/>
        <v>30</v>
      </c>
      <c r="AL16" s="692">
        <f t="shared" si="32"/>
        <v>23</v>
      </c>
      <c r="AM16" s="692">
        <f t="shared" si="33"/>
        <v>18.548387096774192</v>
      </c>
      <c r="AN16" s="693">
        <f t="shared" si="34"/>
        <v>23.494623655913976</v>
      </c>
      <c r="AO16" s="694">
        <f t="shared" si="35"/>
        <v>15.548387096774192</v>
      </c>
      <c r="AP16" s="34">
        <f t="shared" si="36"/>
        <v>48</v>
      </c>
      <c r="AQ16" s="35">
        <f t="shared" si="37"/>
        <v>38.400000000000006</v>
      </c>
      <c r="AR16" s="35">
        <f t="shared" si="38"/>
        <v>33.400000000000006</v>
      </c>
      <c r="AS16" s="36">
        <f t="shared" si="39"/>
        <v>45789.4</v>
      </c>
      <c r="AT16" s="37">
        <f t="shared" si="40"/>
        <v>45784.4</v>
      </c>
      <c r="AU16" s="118"/>
      <c r="AV16" s="49"/>
      <c r="AW16" s="49"/>
      <c r="AX16" s="49"/>
      <c r="AY16" s="49"/>
      <c r="AZ16" s="49"/>
      <c r="BA16" s="49"/>
      <c r="BB16" s="119"/>
      <c r="BC16" s="38" t="s">
        <v>12</v>
      </c>
      <c r="BD16" s="53"/>
      <c r="BE16" s="55"/>
      <c r="BF16" s="40">
        <f>IF(ISBLANK(AA16),0,IF(ISBLANK(BH16),($L$1-BE16),(BH16-BE16)))</f>
        <v>45861</v>
      </c>
      <c r="BG16" s="27">
        <v>45751</v>
      </c>
      <c r="BH16" s="56">
        <v>45861</v>
      </c>
      <c r="BI16" s="27"/>
      <c r="BJ16" s="54"/>
      <c r="BK16" s="39"/>
      <c r="BL16" s="39"/>
      <c r="BM16" s="58"/>
      <c r="BN16" s="39"/>
      <c r="BO16" s="39"/>
      <c r="BP16" s="57"/>
      <c r="BQ16" s="55"/>
      <c r="BR16" s="58"/>
      <c r="BS16" s="67"/>
      <c r="BT16" s="66"/>
      <c r="BU16" s="66"/>
      <c r="BV16" s="66"/>
      <c r="BW16" s="74"/>
      <c r="BX16" s="81"/>
      <c r="BY16" s="66">
        <v>45861</v>
      </c>
      <c r="BZ16" s="76" t="s">
        <v>314</v>
      </c>
      <c r="CA16" s="42"/>
      <c r="CB16" s="62">
        <f t="shared" si="41"/>
        <v>0</v>
      </c>
      <c r="CC16" s="42"/>
      <c r="CD16" s="62">
        <f t="shared" si="42"/>
        <v>0</v>
      </c>
      <c r="CE16" s="62">
        <f t="shared" si="43"/>
        <v>0</v>
      </c>
      <c r="CH16" s="443">
        <f t="shared" ca="1" si="44"/>
        <v>8.9614164883755176</v>
      </c>
      <c r="CI16" t="str">
        <f t="shared" si="45"/>
        <v>PENDING COMP</v>
      </c>
      <c r="CJ16" s="458"/>
      <c r="CK16" t="str">
        <f t="shared" si="19"/>
        <v>REV</v>
      </c>
    </row>
    <row r="17" spans="1:103" ht="15" customHeight="1" x14ac:dyDescent="0.25">
      <c r="A17" s="281">
        <v>45691</v>
      </c>
      <c r="B17" s="39"/>
      <c r="C17" s="41"/>
      <c r="D17" s="24" t="s">
        <v>284</v>
      </c>
      <c r="E17" s="41" t="s">
        <v>315</v>
      </c>
      <c r="F17" s="25" t="s">
        <v>316</v>
      </c>
      <c r="G17" s="25" t="s">
        <v>317</v>
      </c>
      <c r="H17" s="750" t="s">
        <v>318</v>
      </c>
      <c r="I17" s="267" t="s">
        <v>239</v>
      </c>
      <c r="J17" s="87"/>
      <c r="K17" s="26"/>
      <c r="L17" s="26" t="s">
        <v>241</v>
      </c>
      <c r="M17" s="101" t="s">
        <v>272</v>
      </c>
      <c r="N17" s="26" t="s">
        <v>241</v>
      </c>
      <c r="O17" s="755"/>
      <c r="P17" s="691">
        <v>32.200000000000003</v>
      </c>
      <c r="Q17" s="157"/>
      <c r="R17" s="282" t="s">
        <v>319</v>
      </c>
      <c r="S17" s="283">
        <v>102570.5</v>
      </c>
      <c r="T17" s="102"/>
      <c r="U17" s="144"/>
      <c r="V17" s="111" t="e">
        <f t="shared" si="24"/>
        <v>#DIV/0!</v>
      </c>
      <c r="W17" s="159">
        <v>45682.540972222225</v>
      </c>
      <c r="X17" s="159">
        <v>45688.604166666664</v>
      </c>
      <c r="Y17" s="160"/>
      <c r="Z17" s="28"/>
      <c r="AA17" s="85">
        <v>45827</v>
      </c>
      <c r="AB17" s="28"/>
      <c r="AC17" s="162"/>
      <c r="AD17" s="161"/>
      <c r="AE17" s="29">
        <f t="shared" si="25"/>
        <v>-45827</v>
      </c>
      <c r="AF17" s="28">
        <f t="shared" si="26"/>
        <v>45701.315165770611</v>
      </c>
      <c r="AG17" s="28">
        <f t="shared" si="27"/>
        <v>45710.121617383513</v>
      </c>
      <c r="AH17" s="30">
        <f t="shared" si="28"/>
        <v>45732.540972222225</v>
      </c>
      <c r="AI17" s="142">
        <f t="shared" si="29"/>
        <v>0</v>
      </c>
      <c r="AJ17" s="32">
        <f t="shared" si="30"/>
        <v>-1145.675</v>
      </c>
      <c r="AK17" s="33">
        <f t="shared" si="31"/>
        <v>20</v>
      </c>
      <c r="AL17" s="692">
        <f t="shared" si="32"/>
        <v>36</v>
      </c>
      <c r="AM17" s="692">
        <f t="shared" si="33"/>
        <v>21.774193548387096</v>
      </c>
      <c r="AN17" s="693">
        <f t="shared" si="34"/>
        <v>27.58064516129032</v>
      </c>
      <c r="AO17" s="694">
        <f t="shared" si="35"/>
        <v>18.774193548387096</v>
      </c>
      <c r="AP17" s="34">
        <f t="shared" si="36"/>
        <v>40</v>
      </c>
      <c r="AQ17" s="35">
        <f t="shared" si="37"/>
        <v>32</v>
      </c>
      <c r="AR17" s="35">
        <f t="shared" si="38"/>
        <v>27</v>
      </c>
      <c r="AS17" s="36">
        <f t="shared" si="39"/>
        <v>45859</v>
      </c>
      <c r="AT17" s="37">
        <f t="shared" si="40"/>
        <v>45854</v>
      </c>
      <c r="AU17" s="118"/>
      <c r="AV17" s="49"/>
      <c r="AW17" s="49"/>
      <c r="AX17" s="49"/>
      <c r="AY17" s="49"/>
      <c r="AZ17" s="49"/>
      <c r="BA17" s="49"/>
      <c r="BB17" s="119"/>
      <c r="BC17" s="38"/>
      <c r="BD17" s="53"/>
      <c r="BE17" s="55"/>
      <c r="BF17" s="40">
        <f>IF(ISBLANK(AA17),0,IF(ISBLANK(BH17),($L$1-BE17),(BH17-BE17)))</f>
        <v>45293</v>
      </c>
      <c r="BG17" s="27"/>
      <c r="BH17" s="56"/>
      <c r="BI17" s="27"/>
      <c r="BJ17" s="54"/>
      <c r="BK17" s="39"/>
      <c r="BL17" s="39"/>
      <c r="BM17" s="58"/>
      <c r="BN17" s="39"/>
      <c r="BO17" s="39"/>
      <c r="BP17" s="57"/>
      <c r="BQ17" s="55"/>
      <c r="BR17" s="58"/>
      <c r="BS17" s="67"/>
      <c r="BT17" s="66"/>
      <c r="BU17" s="66"/>
      <c r="BV17" s="66"/>
      <c r="BW17" s="74"/>
      <c r="BX17" s="81"/>
      <c r="BY17" s="66" t="s">
        <v>308</v>
      </c>
      <c r="BZ17" s="76"/>
      <c r="CA17" s="42"/>
      <c r="CB17" s="62">
        <f t="shared" si="41"/>
        <v>0</v>
      </c>
      <c r="CC17" s="42"/>
      <c r="CD17" s="62">
        <f t="shared" si="42"/>
        <v>0</v>
      </c>
      <c r="CE17" s="62">
        <f t="shared" si="43"/>
        <v>0</v>
      </c>
      <c r="CH17" s="443">
        <f t="shared" ca="1" si="44"/>
        <v>7.3289419777519562</v>
      </c>
      <c r="CI17" t="str">
        <f t="shared" si="45"/>
        <v>PENDING COMP</v>
      </c>
      <c r="CJ17" s="458"/>
      <c r="CK17" t="str">
        <f t="shared" si="19"/>
        <v>NON-REV</v>
      </c>
    </row>
    <row r="18" spans="1:103" ht="15" customHeight="1" x14ac:dyDescent="0.25">
      <c r="A18" s="281">
        <v>45691</v>
      </c>
      <c r="B18" s="39"/>
      <c r="C18" s="41"/>
      <c r="D18" s="24" t="s">
        <v>320</v>
      </c>
      <c r="E18" s="41" t="s">
        <v>321</v>
      </c>
      <c r="F18" s="25" t="s">
        <v>322</v>
      </c>
      <c r="G18" s="25" t="s">
        <v>323</v>
      </c>
      <c r="H18" s="750" t="s">
        <v>318</v>
      </c>
      <c r="I18" s="267" t="s">
        <v>239</v>
      </c>
      <c r="J18" s="87"/>
      <c r="K18" s="26"/>
      <c r="L18" s="26" t="s">
        <v>241</v>
      </c>
      <c r="M18" s="101" t="s">
        <v>272</v>
      </c>
      <c r="N18" s="26" t="s">
        <v>241</v>
      </c>
      <c r="O18" s="27"/>
      <c r="P18" s="165">
        <v>556.32000000000005</v>
      </c>
      <c r="Q18" s="157">
        <v>535</v>
      </c>
      <c r="R18" s="282" t="s">
        <v>244</v>
      </c>
      <c r="S18" s="283">
        <v>3359184.98</v>
      </c>
      <c r="T18" s="102"/>
      <c r="U18" s="144"/>
      <c r="V18" s="111" t="e">
        <f t="shared" si="24"/>
        <v>#DIV/0!</v>
      </c>
      <c r="W18" s="159">
        <v>45685.717361111114</v>
      </c>
      <c r="X18" s="159">
        <v>45691.54583333333</v>
      </c>
      <c r="Y18" s="160"/>
      <c r="Z18" s="28"/>
      <c r="AA18" s="85">
        <v>45730</v>
      </c>
      <c r="AB18" s="28"/>
      <c r="AC18" s="29">
        <f>AA18-W18</f>
        <v>44.28263888888614</v>
      </c>
      <c r="AD18" s="29">
        <f>AA18-X18</f>
        <v>38.454166666670062</v>
      </c>
      <c r="AE18" s="29">
        <f t="shared" si="25"/>
        <v>-45730</v>
      </c>
      <c r="AF18" s="28">
        <f t="shared" si="26"/>
        <v>45702.488134750085</v>
      </c>
      <c r="AG18" s="28">
        <f t="shared" si="27"/>
        <v>45710.760341053807</v>
      </c>
      <c r="AH18" s="30">
        <f t="shared" si="28"/>
        <v>45735.717361111114</v>
      </c>
      <c r="AI18" s="142">
        <f t="shared" si="29"/>
        <v>1.6798522795892676</v>
      </c>
      <c r="AJ18" s="32">
        <f t="shared" si="30"/>
        <v>-831.4545454545455</v>
      </c>
      <c r="AK18" s="33">
        <f t="shared" si="31"/>
        <v>40</v>
      </c>
      <c r="AL18" s="692">
        <f t="shared" si="32"/>
        <v>23</v>
      </c>
      <c r="AM18" s="692">
        <f t="shared" si="33"/>
        <v>19.770773638968482</v>
      </c>
      <c r="AN18" s="693">
        <f t="shared" si="34"/>
        <v>25.04297994269341</v>
      </c>
      <c r="AO18" s="694">
        <f t="shared" si="35"/>
        <v>16.770773638968482</v>
      </c>
      <c r="AP18" s="34">
        <f t="shared" si="36"/>
        <v>55</v>
      </c>
      <c r="AQ18" s="35">
        <f t="shared" si="37"/>
        <v>44</v>
      </c>
      <c r="AR18" s="35">
        <f t="shared" si="38"/>
        <v>39</v>
      </c>
      <c r="AS18" s="36">
        <f t="shared" si="39"/>
        <v>45774</v>
      </c>
      <c r="AT18" s="37">
        <f t="shared" si="40"/>
        <v>45769</v>
      </c>
      <c r="AU18" s="118"/>
      <c r="AV18" s="49"/>
      <c r="AW18" s="49"/>
      <c r="AX18" s="49"/>
      <c r="AY18" s="49"/>
      <c r="AZ18" s="49"/>
      <c r="BA18" s="49"/>
      <c r="BB18" s="119"/>
      <c r="BC18" s="38" t="s">
        <v>13</v>
      </c>
      <c r="BD18" s="53"/>
      <c r="BE18" s="55"/>
      <c r="BF18" s="40"/>
      <c r="BG18" s="27"/>
      <c r="BH18" s="56"/>
      <c r="BI18" s="27"/>
      <c r="BJ18" s="54"/>
      <c r="BK18" s="39"/>
      <c r="BL18" s="39"/>
      <c r="BM18" s="58"/>
      <c r="BN18" s="39"/>
      <c r="BO18" s="39"/>
      <c r="BP18" s="57"/>
      <c r="BQ18" s="55"/>
      <c r="BR18" s="58"/>
      <c r="BS18" s="67"/>
      <c r="BT18" s="66"/>
      <c r="BU18" s="66"/>
      <c r="BV18" s="66"/>
      <c r="BW18" s="74"/>
      <c r="BX18" s="81"/>
      <c r="BY18" s="66" t="s">
        <v>308</v>
      </c>
      <c r="BZ18" s="76"/>
      <c r="CA18" s="42"/>
      <c r="CB18" s="62">
        <f t="shared" si="41"/>
        <v>44.28263888888614</v>
      </c>
      <c r="CC18" s="42"/>
      <c r="CD18" s="62">
        <f t="shared" si="42"/>
        <v>44.28263888888614</v>
      </c>
      <c r="CE18" s="62">
        <f t="shared" si="43"/>
        <v>1.6798522795892676</v>
      </c>
      <c r="CH18" s="443">
        <f t="shared" ca="1" si="44"/>
        <v>7.9511056235028024</v>
      </c>
      <c r="CI18" t="str">
        <f t="shared" si="45"/>
        <v>PENDING COMP</v>
      </c>
      <c r="CJ18" s="458"/>
      <c r="CK18" t="str">
        <f t="shared" si="19"/>
        <v>REV</v>
      </c>
    </row>
    <row r="19" spans="1:103" ht="15" customHeight="1" x14ac:dyDescent="0.25">
      <c r="A19" s="242">
        <v>45721</v>
      </c>
      <c r="B19" s="222"/>
      <c r="C19" s="41"/>
      <c r="D19" s="24" t="s">
        <v>234</v>
      </c>
      <c r="E19" s="453" t="s">
        <v>324</v>
      </c>
      <c r="F19" s="95" t="s">
        <v>325</v>
      </c>
      <c r="G19" s="95" t="s">
        <v>326</v>
      </c>
      <c r="H19" s="95" t="s">
        <v>277</v>
      </c>
      <c r="I19" s="95" t="s">
        <v>239</v>
      </c>
      <c r="J19" s="163"/>
      <c r="K19" s="101"/>
      <c r="L19" s="101" t="s">
        <v>241</v>
      </c>
      <c r="M19" s="752" t="s">
        <v>272</v>
      </c>
      <c r="N19" s="101" t="s">
        <v>241</v>
      </c>
      <c r="O19" s="156"/>
      <c r="P19" s="165">
        <v>182.95</v>
      </c>
      <c r="Q19" s="157"/>
      <c r="R19" s="109" t="s">
        <v>327</v>
      </c>
      <c r="S19" s="110">
        <v>462215.14</v>
      </c>
      <c r="T19" s="93"/>
      <c r="U19" s="144"/>
      <c r="V19" s="111" t="e">
        <f t="shared" si="0"/>
        <v>#DIV/0!</v>
      </c>
      <c r="W19" s="159">
        <v>45707.365277777775</v>
      </c>
      <c r="X19" s="159">
        <v>45713.533333333333</v>
      </c>
      <c r="Y19" s="160">
        <v>45709</v>
      </c>
      <c r="Z19" s="160"/>
      <c r="AA19" s="470">
        <v>45758</v>
      </c>
      <c r="AB19" s="160"/>
      <c r="AC19" s="29"/>
      <c r="AD19" s="29"/>
      <c r="AE19" s="161">
        <f t="shared" si="1"/>
        <v>-45758</v>
      </c>
      <c r="AF19" s="160">
        <f t="shared" si="2"/>
        <v>45728.5721743295</v>
      </c>
      <c r="AG19" s="160">
        <f t="shared" si="3"/>
        <v>45738.027346743293</v>
      </c>
      <c r="AH19" s="159">
        <f t="shared" si="4"/>
        <v>45757.365277777775</v>
      </c>
      <c r="AI19" s="167">
        <f t="shared" si="5"/>
        <v>0</v>
      </c>
      <c r="AJ19" s="224">
        <f t="shared" si="6"/>
        <v>-1039.9545454545455</v>
      </c>
      <c r="AK19" s="225">
        <f t="shared" si="21"/>
        <v>26</v>
      </c>
      <c r="AL19" s="170">
        <f t="shared" si="22"/>
        <v>36</v>
      </c>
      <c r="AM19" s="170">
        <f t="shared" si="7"/>
        <v>24.206896551724139</v>
      </c>
      <c r="AN19" s="170">
        <f t="shared" si="8"/>
        <v>30.662068965517239</v>
      </c>
      <c r="AO19" s="226">
        <f t="shared" si="9"/>
        <v>21.206896551724139</v>
      </c>
      <c r="AP19" s="227">
        <f t="shared" si="23"/>
        <v>44</v>
      </c>
      <c r="AQ19" s="228">
        <f t="shared" si="10"/>
        <v>35.200000000000003</v>
      </c>
      <c r="AR19" s="228">
        <f t="shared" si="11"/>
        <v>30.200000000000003</v>
      </c>
      <c r="AS19" s="229">
        <f t="shared" si="12"/>
        <v>45793.2</v>
      </c>
      <c r="AT19" s="230">
        <f t="shared" si="13"/>
        <v>45788.2</v>
      </c>
      <c r="AU19" s="50"/>
      <c r="AV19" s="118"/>
      <c r="AW19" s="49"/>
      <c r="AX19" s="49"/>
      <c r="AY19" s="49"/>
      <c r="AZ19" s="49"/>
      <c r="BA19" s="119"/>
      <c r="BB19" s="50"/>
      <c r="BC19" s="231"/>
      <c r="BD19" s="55"/>
      <c r="BE19" s="55"/>
      <c r="BF19" s="233">
        <f>IF(ISBLANK(AA19),0,IF(ISBLANK(BH19),($L$1-BE19),(BH19-BE19)))</f>
        <v>45293</v>
      </c>
      <c r="BG19" s="234"/>
      <c r="BH19" s="235"/>
      <c r="BI19" s="234"/>
      <c r="BJ19" s="236"/>
      <c r="BK19" s="222"/>
      <c r="BL19" s="222"/>
      <c r="BM19" s="238"/>
      <c r="BN19" s="222"/>
      <c r="BO19" s="222"/>
      <c r="BP19" s="243"/>
      <c r="BQ19" s="244"/>
      <c r="BR19" s="238"/>
      <c r="BS19" s="67"/>
      <c r="BT19" s="66"/>
      <c r="BU19" s="66"/>
      <c r="BV19" s="66"/>
      <c r="BW19" s="74"/>
      <c r="BX19" s="81"/>
      <c r="BY19" s="66" t="s">
        <v>308</v>
      </c>
      <c r="BZ19" s="76"/>
      <c r="CA19" s="42"/>
      <c r="CB19" s="62">
        <f t="shared" si="14"/>
        <v>0</v>
      </c>
      <c r="CC19" s="42"/>
      <c r="CD19" s="62">
        <f t="shared" si="15"/>
        <v>0</v>
      </c>
      <c r="CE19" s="62">
        <f t="shared" si="16"/>
        <v>0</v>
      </c>
      <c r="CH19" s="443">
        <f t="shared" ca="1" si="17"/>
        <v>5.8232814628097014</v>
      </c>
      <c r="CI19" t="str">
        <f t="shared" si="18"/>
        <v>PENDING COMP</v>
      </c>
      <c r="CJ19" s="458"/>
      <c r="CK19" t="str">
        <f t="shared" ref="CK19:CK21" si="46">IF(R19="NEW","REV","NON-REV")</f>
        <v>NON-REV</v>
      </c>
      <c r="CL19" t="str">
        <f t="shared" ref="CL19" si="47">IF(CJ19="","",IF(CJ19&lt;91,"0-3 MONTHS",(IF(CJ19&lt;181,"4-6 MONTHS",(IF(CJ19&lt;271,"7-9 MONTHS",IF(CJ19&gt;270,"10 MONTHS AND ABOVE",)))))))</f>
        <v/>
      </c>
    </row>
    <row r="20" spans="1:103" ht="15" customHeight="1" x14ac:dyDescent="0.25">
      <c r="A20" s="281"/>
      <c r="B20" s="39"/>
      <c r="C20" s="41"/>
      <c r="D20" s="24"/>
      <c r="E20" s="41" t="s">
        <v>328</v>
      </c>
      <c r="F20" s="25" t="s">
        <v>329</v>
      </c>
      <c r="G20" s="25" t="s">
        <v>330</v>
      </c>
      <c r="H20" s="95" t="s">
        <v>238</v>
      </c>
      <c r="I20" s="95" t="s">
        <v>239</v>
      </c>
      <c r="J20" s="87"/>
      <c r="K20" s="26"/>
      <c r="L20" s="26" t="s">
        <v>241</v>
      </c>
      <c r="M20" s="101" t="s">
        <v>331</v>
      </c>
      <c r="N20" s="26" t="s">
        <v>241</v>
      </c>
      <c r="O20" s="27"/>
      <c r="P20" s="691">
        <v>178.48</v>
      </c>
      <c r="Q20" s="157"/>
      <c r="R20" s="282" t="s">
        <v>327</v>
      </c>
      <c r="S20" s="283"/>
      <c r="T20" s="102"/>
      <c r="U20" s="144"/>
      <c r="V20" s="111" t="e">
        <f t="shared" si="0"/>
        <v>#DIV/0!</v>
      </c>
      <c r="W20" s="159">
        <v>44811</v>
      </c>
      <c r="X20" s="159">
        <v>44813</v>
      </c>
      <c r="Y20" s="160"/>
      <c r="Z20" s="28"/>
      <c r="AA20" s="85"/>
      <c r="AB20" s="28"/>
      <c r="AC20" s="29">
        <f>AA20-W20</f>
        <v>-44811</v>
      </c>
      <c r="AD20" s="29">
        <f>AA20-X20</f>
        <v>-44813</v>
      </c>
      <c r="AE20" s="29">
        <f t="shared" si="1"/>
        <v>0</v>
      </c>
      <c r="AF20" s="28">
        <f t="shared" si="2"/>
        <v>44832.206896551725</v>
      </c>
      <c r="AG20" s="28">
        <f t="shared" si="3"/>
        <v>44841.662068965517</v>
      </c>
      <c r="AH20" s="30">
        <f t="shared" si="4"/>
        <v>44861</v>
      </c>
      <c r="AI20" s="142">
        <f t="shared" si="5"/>
        <v>-1388.375</v>
      </c>
      <c r="AJ20" s="32">
        <f t="shared" si="6"/>
        <v>0</v>
      </c>
      <c r="AK20" s="33">
        <f t="shared" si="21"/>
        <v>26</v>
      </c>
      <c r="AL20" s="692">
        <f t="shared" si="22"/>
        <v>36</v>
      </c>
      <c r="AM20" s="692">
        <f t="shared" si="7"/>
        <v>24.206896551724139</v>
      </c>
      <c r="AN20" s="693">
        <f t="shared" si="8"/>
        <v>30.662068965517239</v>
      </c>
      <c r="AO20" s="694">
        <f t="shared" si="9"/>
        <v>21.206896551724139</v>
      </c>
      <c r="AP20" s="34">
        <f t="shared" si="23"/>
        <v>44</v>
      </c>
      <c r="AQ20" s="35">
        <f t="shared" si="10"/>
        <v>35.200000000000003</v>
      </c>
      <c r="AR20" s="35">
        <f t="shared" si="11"/>
        <v>30.200000000000003</v>
      </c>
      <c r="AS20" s="36">
        <f t="shared" si="12"/>
        <v>35.200000000000003</v>
      </c>
      <c r="AT20" s="37">
        <f t="shared" si="13"/>
        <v>30.200000000000003</v>
      </c>
      <c r="AU20" s="118"/>
      <c r="AV20" s="49"/>
      <c r="AW20" s="49"/>
      <c r="AX20" s="49"/>
      <c r="AY20" s="49"/>
      <c r="AZ20" s="49"/>
      <c r="BA20" s="49"/>
      <c r="BB20" s="119"/>
      <c r="BC20" s="38"/>
      <c r="BD20" s="53"/>
      <c r="BE20" s="55"/>
      <c r="BF20" s="40">
        <f>IF(ISBLANK(AA20),0,IF(ISBLANK(BH20),($L$1-BE20),(BH20-BE20)))</f>
        <v>0</v>
      </c>
      <c r="BG20" s="27"/>
      <c r="BH20" s="56"/>
      <c r="BI20" s="27"/>
      <c r="BJ20" s="54"/>
      <c r="BK20" s="39"/>
      <c r="BL20" s="39"/>
      <c r="BM20" s="58"/>
      <c r="BN20" s="39"/>
      <c r="BO20" s="39"/>
      <c r="BP20" s="57"/>
      <c r="BQ20" s="55"/>
      <c r="BR20" s="58"/>
      <c r="BS20" s="67"/>
      <c r="BT20" s="66"/>
      <c r="BU20" s="66"/>
      <c r="BV20" s="66"/>
      <c r="BW20" s="74"/>
      <c r="BX20" s="81"/>
      <c r="BY20" s="66"/>
      <c r="BZ20" s="76"/>
      <c r="CA20" s="42"/>
      <c r="CB20" s="62">
        <f t="shared" si="14"/>
        <v>-44811</v>
      </c>
      <c r="CC20" s="42"/>
      <c r="CD20" s="62">
        <f t="shared" si="15"/>
        <v>-44811</v>
      </c>
      <c r="CE20" s="62">
        <f t="shared" si="16"/>
        <v>-1388.375</v>
      </c>
      <c r="CH20" s="443">
        <f t="shared" ca="1" si="17"/>
        <v>33.59528259053991</v>
      </c>
      <c r="CI20" t="str">
        <f t="shared" si="18"/>
        <v>PENDING COMP</v>
      </c>
      <c r="CJ20" s="458"/>
      <c r="CK20" t="str">
        <f t="shared" si="46"/>
        <v>NON-REV</v>
      </c>
    </row>
    <row r="21" spans="1:103" ht="15" customHeight="1" x14ac:dyDescent="0.25">
      <c r="A21" s="281"/>
      <c r="B21" s="39"/>
      <c r="C21" s="41"/>
      <c r="D21" s="24"/>
      <c r="E21" s="41" t="s">
        <v>332</v>
      </c>
      <c r="F21" s="25" t="s">
        <v>333</v>
      </c>
      <c r="G21" s="25" t="s">
        <v>334</v>
      </c>
      <c r="H21" s="95" t="s">
        <v>277</v>
      </c>
      <c r="I21" s="95" t="s">
        <v>239</v>
      </c>
      <c r="J21" s="87"/>
      <c r="K21" s="26"/>
      <c r="L21" s="26" t="s">
        <v>278</v>
      </c>
      <c r="M21" s="101" t="s">
        <v>331</v>
      </c>
      <c r="N21" s="26" t="s">
        <v>278</v>
      </c>
      <c r="O21" s="747"/>
      <c r="P21" s="691">
        <v>120.75</v>
      </c>
      <c r="Q21" s="748"/>
      <c r="R21" s="282" t="s">
        <v>327</v>
      </c>
      <c r="S21" s="283"/>
      <c r="T21" s="102"/>
      <c r="U21" s="144"/>
      <c r="V21" s="111" t="e">
        <f t="shared" si="0"/>
        <v>#DIV/0!</v>
      </c>
      <c r="W21" s="159">
        <v>45057</v>
      </c>
      <c r="X21" s="159">
        <v>45065</v>
      </c>
      <c r="Y21" s="160"/>
      <c r="Z21" s="28"/>
      <c r="AA21" s="85"/>
      <c r="AB21" s="28"/>
      <c r="AC21" s="29">
        <f>AA21-W21</f>
        <v>-45057</v>
      </c>
      <c r="AD21" s="29">
        <f>AA21-X21</f>
        <v>-45065</v>
      </c>
      <c r="AE21" s="29">
        <f t="shared" si="1"/>
        <v>0</v>
      </c>
      <c r="AF21" s="28">
        <f t="shared" si="2"/>
        <v>45078.206896551725</v>
      </c>
      <c r="AG21" s="28">
        <f t="shared" si="3"/>
        <v>45087.662068965517</v>
      </c>
      <c r="AH21" s="30">
        <f t="shared" si="4"/>
        <v>45107</v>
      </c>
      <c r="AI21" s="142">
        <f t="shared" si="5"/>
        <v>-1395.9967948717949</v>
      </c>
      <c r="AJ21" s="32">
        <f t="shared" si="6"/>
        <v>0</v>
      </c>
      <c r="AK21" s="33">
        <f t="shared" si="21"/>
        <v>26</v>
      </c>
      <c r="AL21" s="692">
        <f t="shared" si="22"/>
        <v>36</v>
      </c>
      <c r="AM21" s="692">
        <f t="shared" si="7"/>
        <v>24.206896551724139</v>
      </c>
      <c r="AN21" s="693">
        <f t="shared" si="8"/>
        <v>30.662068965517239</v>
      </c>
      <c r="AO21" s="694">
        <f t="shared" si="9"/>
        <v>21.206896551724139</v>
      </c>
      <c r="AP21" s="34">
        <f t="shared" si="23"/>
        <v>44</v>
      </c>
      <c r="AQ21" s="35">
        <f t="shared" si="10"/>
        <v>35.200000000000003</v>
      </c>
      <c r="AR21" s="35">
        <f t="shared" si="11"/>
        <v>30.200000000000003</v>
      </c>
      <c r="AS21" s="36">
        <f t="shared" si="12"/>
        <v>35.200000000000003</v>
      </c>
      <c r="AT21" s="37">
        <f t="shared" si="13"/>
        <v>30.200000000000003</v>
      </c>
      <c r="AU21" s="118"/>
      <c r="AV21" s="49"/>
      <c r="AW21" s="49"/>
      <c r="AX21" s="49"/>
      <c r="AY21" s="49"/>
      <c r="AZ21" s="49"/>
      <c r="BA21" s="49"/>
      <c r="BB21" s="119"/>
      <c r="BC21" s="38"/>
      <c r="BD21" s="53"/>
      <c r="BE21" s="55"/>
      <c r="BF21" s="40"/>
      <c r="BG21" s="27"/>
      <c r="BH21" s="56"/>
      <c r="BI21" s="27"/>
      <c r="BJ21" s="54"/>
      <c r="BK21" s="39"/>
      <c r="BL21" s="39"/>
      <c r="BM21" s="58"/>
      <c r="BN21" s="39"/>
      <c r="BO21" s="39"/>
      <c r="BP21" s="57"/>
      <c r="BQ21" s="55"/>
      <c r="BR21" s="58"/>
      <c r="BS21" s="67"/>
      <c r="BT21" s="66"/>
      <c r="BU21" s="66"/>
      <c r="BV21" s="66"/>
      <c r="BW21" s="74"/>
      <c r="BX21" s="81"/>
      <c r="BY21" s="66"/>
      <c r="BZ21" s="76"/>
      <c r="CA21" s="42"/>
      <c r="CB21" s="62">
        <f t="shared" ref="CB21" si="48">AC21-CA21</f>
        <v>-45057</v>
      </c>
      <c r="CC21" s="42"/>
      <c r="CD21" s="62">
        <f t="shared" ref="CD21" si="49">AC21-CC21</f>
        <v>-45057</v>
      </c>
      <c r="CE21" s="62">
        <f t="shared" ref="CE21" si="50" xml:space="preserve"> (0.3)*(CD21/AK21)+(0.7)*(CD21/AL21)</f>
        <v>-1395.9967948717949</v>
      </c>
      <c r="CH21" s="443">
        <f t="shared" ca="1" si="17"/>
        <v>25.973487718745044</v>
      </c>
      <c r="CI21" t="str">
        <f t="shared" si="18"/>
        <v>PENDING COMP</v>
      </c>
      <c r="CJ21" s="458"/>
      <c r="CK21" t="str">
        <f t="shared" si="46"/>
        <v>NON-REV</v>
      </c>
    </row>
    <row r="22" spans="1:103" s="359" customFormat="1" ht="15" customHeight="1" x14ac:dyDescent="0.25">
      <c r="A22" s="222" t="s">
        <v>308</v>
      </c>
      <c r="B22" s="222" t="s">
        <v>308</v>
      </c>
      <c r="C22" s="852"/>
      <c r="D22" s="66" t="s">
        <v>234</v>
      </c>
      <c r="E22" s="404" t="s">
        <v>335</v>
      </c>
      <c r="F22" s="95" t="s">
        <v>267</v>
      </c>
      <c r="G22" s="95" t="s">
        <v>336</v>
      </c>
      <c r="H22" s="95" t="s">
        <v>269</v>
      </c>
      <c r="I22" s="95" t="s">
        <v>239</v>
      </c>
      <c r="J22" s="854"/>
      <c r="K22" s="855"/>
      <c r="L22" s="101" t="s">
        <v>337</v>
      </c>
      <c r="M22" s="101" t="s">
        <v>331</v>
      </c>
      <c r="N22" s="442" t="s">
        <v>338</v>
      </c>
      <c r="O22" s="933">
        <v>174.81</v>
      </c>
      <c r="P22" s="933">
        <v>174.81</v>
      </c>
      <c r="Q22" s="157">
        <v>1965</v>
      </c>
      <c r="R22" s="109" t="s">
        <v>244</v>
      </c>
      <c r="S22" s="110">
        <v>2772246.78</v>
      </c>
      <c r="T22" s="93"/>
      <c r="U22" s="857"/>
      <c r="V22" s="158" t="e">
        <f>U22/T22</f>
        <v>#DIV/0!</v>
      </c>
      <c r="W22" s="159">
        <v>45828.43236111111</v>
      </c>
      <c r="X22" s="159">
        <v>45834.643750000003</v>
      </c>
      <c r="Y22" s="160" t="s">
        <v>308</v>
      </c>
      <c r="Z22" s="942"/>
      <c r="AA22" s="942"/>
      <c r="AB22" s="942"/>
      <c r="AC22" s="161">
        <f>AA22-W22</f>
        <v>-45828.43236111111</v>
      </c>
      <c r="AD22" s="161">
        <f>AA22-X22</f>
        <v>-45834.643750000003</v>
      </c>
      <c r="AE22" s="446">
        <f>AB22-AA22</f>
        <v>0</v>
      </c>
      <c r="AF22" s="160">
        <f>W22+AO22</f>
        <v>45841.548063590446</v>
      </c>
      <c r="AG22" s="160">
        <f>W22+AN22</f>
        <v>45848.845584251605</v>
      </c>
      <c r="AH22" s="159">
        <f>W22+50</f>
        <v>45878.43236111111</v>
      </c>
      <c r="AI22" s="162">
        <f xml:space="preserve"> (0.3)*(AC22/AK22)+(0.7)*(AC22/AL22)</f>
        <v>-2132.7847368055554</v>
      </c>
      <c r="AJ22" s="224">
        <f>AE22/AP22</f>
        <v>0</v>
      </c>
      <c r="AK22" s="225">
        <f>IF(P22&lt;51,20,(IF(P22&lt;101,23,(IF(P22&lt;201,26,IF(P22&lt;301,28,IF(P22&lt;401,30,(IF(P22&lt;501,32,(IF(P22&lt;1001,40,50)))))))))))</f>
        <v>26</v>
      </c>
      <c r="AL22" s="170">
        <f>IF(Q22&lt;51,36,(IF(Q22&lt;101,34,(IF(Q22&lt;201,32,IF(Q22&lt;301,30,IF(Q22&lt;401,28,(IF(Q22&lt;501,26,(IF(Q22&lt;1001,23,20)))))))))))</f>
        <v>20</v>
      </c>
      <c r="AM22" s="170">
        <f>(0.75)/((0.3/AK22)+(0.7/AL22))</f>
        <v>16.115702479338843</v>
      </c>
      <c r="AN22" s="170">
        <f>(0.95)/((0.3/AK22)+(0.7/AL22))</f>
        <v>20.41322314049587</v>
      </c>
      <c r="AO22" s="226">
        <f>AM22-3</f>
        <v>13.115702479338843</v>
      </c>
      <c r="AP22" s="227">
        <v>60</v>
      </c>
      <c r="AQ22" s="228">
        <f>0.95*AP22</f>
        <v>57</v>
      </c>
      <c r="AR22" s="228">
        <f>AQ22-5</f>
        <v>52</v>
      </c>
      <c r="AS22" s="229">
        <f>AA22+AP22</f>
        <v>60</v>
      </c>
      <c r="AT22" s="982">
        <f ca="1">IFERROR(TODAY()-AA22,"")</f>
        <v>45895</v>
      </c>
      <c r="AU22" s="50"/>
      <c r="AV22" s="51"/>
      <c r="AW22" s="49"/>
      <c r="AX22" s="49"/>
      <c r="AY22" s="49"/>
      <c r="AZ22" s="300"/>
      <c r="BA22" s="52"/>
      <c r="BB22" s="304"/>
      <c r="BC22" s="231"/>
      <c r="BD22" s="232"/>
      <c r="BE22" s="222">
        <f>AA22+15</f>
        <v>15</v>
      </c>
      <c r="BF22" s="233">
        <f>IF(ISBLANK(AA22),0,IF(ISBLANK(BH22),(BE22-'C1'!$L$1),(BH22-BE22)))</f>
        <v>0</v>
      </c>
      <c r="BG22" s="234"/>
      <c r="BH22" s="235"/>
      <c r="BI22" s="234"/>
      <c r="BJ22" s="236"/>
      <c r="BK22" s="222"/>
      <c r="BL22" s="222"/>
      <c r="BM22" s="238"/>
      <c r="BN22" s="222"/>
      <c r="BO22" s="222"/>
      <c r="BP22" s="243"/>
      <c r="BQ22" s="244"/>
      <c r="BR22" s="238"/>
      <c r="BS22" s="68"/>
      <c r="BT22" s="69"/>
      <c r="BU22" s="69"/>
      <c r="BV22" s="69"/>
      <c r="BW22" s="75"/>
      <c r="BX22" s="81"/>
      <c r="BY22" s="66"/>
      <c r="BZ22" s="944"/>
      <c r="CA22" s="42" t="str">
        <f>IF(AY22="Y",BA22,"0")</f>
        <v>0</v>
      </c>
      <c r="CB22" s="62">
        <f>AC22-CA22</f>
        <v>-45828.43236111111</v>
      </c>
      <c r="CC22" s="42">
        <f>BA22</f>
        <v>0</v>
      </c>
      <c r="CD22" s="62">
        <f>AC22-BA22</f>
        <v>-45828.43236111111</v>
      </c>
      <c r="CE22" s="62">
        <f xml:space="preserve"> (0.3)*(CD22/AK22)+(0.7)*(CD22/AL22)</f>
        <v>-2132.7847368055554</v>
      </c>
      <c r="CF22" s="145"/>
      <c r="CG22" s="145"/>
      <c r="CH22" s="443">
        <f xml:space="preserve"> (0.3)*(('C1'!$CF$1-W22)/AK22)+(0.7)*(('C1'!$CF$1-W22)/AL22)</f>
        <v>1.8879555021367869</v>
      </c>
      <c r="CI22" s="996">
        <f>CH22-CG22</f>
        <v>1.8879555021367869</v>
      </c>
      <c r="CJ22" s="261">
        <f>CF22/AP22</f>
        <v>0</v>
      </c>
      <c r="CK22" s="458">
        <f>IF(AA22&gt;0,"",'C1'!$CK$1-W22)</f>
        <v>27.567638888889633</v>
      </c>
      <c r="CL22" t="str">
        <f>IF(R22="NEW","REV","NON-REV")</f>
        <v>REV</v>
      </c>
      <c r="CM22" t="str">
        <f>IF(CK22="","",IF(CK22&lt;91,"0-3 MONTHS",(IF(CK22&lt;181,"4-6 MONTHS",(IF(CK22&lt;271,"7-9 MONTHS",IF(CK22&gt;270,"10 MONTHS AND ABOVE",)))))))</f>
        <v>0-3 MONTHS</v>
      </c>
      <c r="CN22" s="635"/>
      <c r="CO22" s="631"/>
      <c r="CP22" s="629"/>
      <c r="CQ22" s="635"/>
      <c r="CR22" s="697"/>
      <c r="CS22" s="633"/>
      <c r="CT22" s="635"/>
      <c r="CU22" s="631"/>
      <c r="CV22" s="638"/>
      <c r="CW22" s="853"/>
      <c r="CX22" s="856"/>
      <c r="CY22" s="856"/>
    </row>
    <row r="23" spans="1:103" ht="15" customHeight="1" x14ac:dyDescent="0.25">
      <c r="A23" s="281"/>
      <c r="B23" s="39"/>
      <c r="C23" s="41"/>
      <c r="D23" s="24"/>
      <c r="E23" s="41"/>
      <c r="F23" s="25"/>
      <c r="G23" s="25"/>
      <c r="H23" s="95"/>
      <c r="I23" s="95"/>
      <c r="J23" s="87"/>
      <c r="K23" s="26"/>
      <c r="L23" s="26"/>
      <c r="M23" s="26"/>
      <c r="N23" s="27"/>
      <c r="O23" s="747"/>
      <c r="P23" s="691"/>
      <c r="Q23" s="748"/>
      <c r="R23" s="282"/>
      <c r="S23" s="283"/>
      <c r="T23" s="102"/>
      <c r="U23" s="144"/>
      <c r="V23" s="111"/>
      <c r="W23" s="159"/>
      <c r="X23" s="159"/>
      <c r="Y23" s="160"/>
      <c r="Z23" s="28"/>
      <c r="AA23" s="85"/>
      <c r="AB23" s="28"/>
      <c r="AC23" s="31"/>
      <c r="AD23" s="29"/>
      <c r="AE23" s="29"/>
      <c r="AF23" s="28"/>
      <c r="AG23" s="28"/>
      <c r="AH23" s="30"/>
      <c r="AI23" s="142"/>
      <c r="AJ23" s="32"/>
      <c r="AK23" s="33"/>
      <c r="AL23" s="692"/>
      <c r="AM23" s="692"/>
      <c r="AN23" s="693"/>
      <c r="AO23" s="694"/>
      <c r="AP23" s="34"/>
      <c r="AQ23" s="35"/>
      <c r="AR23" s="35"/>
      <c r="AS23" s="36"/>
      <c r="AT23" s="37"/>
      <c r="AU23" s="118"/>
      <c r="AV23" s="49"/>
      <c r="AW23" s="49"/>
      <c r="AX23" s="49"/>
      <c r="AY23" s="49"/>
      <c r="AZ23" s="49"/>
      <c r="BA23" s="49"/>
      <c r="BB23" s="119"/>
      <c r="BC23" s="38"/>
      <c r="BD23" s="53"/>
      <c r="BE23" s="55"/>
      <c r="BF23" s="40"/>
      <c r="BG23" s="27"/>
      <c r="BH23" s="56"/>
      <c r="BI23" s="27"/>
      <c r="BJ23" s="54"/>
      <c r="BK23" s="39"/>
      <c r="BL23" s="39"/>
      <c r="BM23" s="58"/>
      <c r="BN23" s="39"/>
      <c r="BO23" s="39"/>
      <c r="BP23" s="57"/>
      <c r="BQ23" s="55"/>
      <c r="BR23" s="58"/>
      <c r="BS23" s="67"/>
      <c r="BT23" s="66"/>
      <c r="BU23" s="66"/>
      <c r="BV23" s="66"/>
      <c r="BW23" s="74"/>
      <c r="BX23" s="81"/>
      <c r="BY23" s="66"/>
      <c r="BZ23" s="76"/>
      <c r="CA23" s="42"/>
      <c r="CB23" s="62"/>
      <c r="CC23" s="42"/>
      <c r="CD23" s="62"/>
      <c r="CE23" s="62"/>
      <c r="CH23" s="443"/>
      <c r="CJ23" s="458"/>
    </row>
  </sheetData>
  <autoFilter ref="A2:CY2" xr:uid="{A1630006-294D-4710-B297-AAD9D415B7C5}"/>
  <mergeCells count="6">
    <mergeCell ref="BS1:BW1"/>
    <mergeCell ref="BE1:BH1"/>
    <mergeCell ref="BI1:BJ1"/>
    <mergeCell ref="BK1:BN1"/>
    <mergeCell ref="BO1:BP1"/>
    <mergeCell ref="BQ1:BR1"/>
  </mergeCells>
  <conditionalFormatting sqref="E1">
    <cfRule type="duplicateValues" dxfId="13101" priority="1374"/>
    <cfRule type="duplicateValues" dxfId="13100" priority="1380"/>
    <cfRule type="duplicateValues" dxfId="13099" priority="1381"/>
    <cfRule type="duplicateValues" dxfId="13098" priority="1382"/>
    <cfRule type="duplicateValues" dxfId="13097" priority="1383"/>
    <cfRule type="duplicateValues" dxfId="13096" priority="1384"/>
    <cfRule type="duplicateValues" dxfId="13095" priority="1385"/>
    <cfRule type="duplicateValues" dxfId="13094" priority="1386"/>
    <cfRule type="duplicateValues" dxfId="13093" priority="1387"/>
    <cfRule type="duplicateValues" dxfId="13092" priority="1388"/>
    <cfRule type="duplicateValues" dxfId="13091" priority="1389"/>
    <cfRule type="duplicateValues" dxfId="13090" priority="1390"/>
    <cfRule type="duplicateValues" dxfId="13089" priority="1391"/>
    <cfRule type="duplicateValues" dxfId="13088" priority="1392"/>
    <cfRule type="duplicateValues" dxfId="13087" priority="1393"/>
    <cfRule type="duplicateValues" dxfId="13086" priority="1394"/>
    <cfRule type="duplicateValues" dxfId="13085" priority="1395"/>
    <cfRule type="duplicateValues" dxfId="13084" priority="1396"/>
    <cfRule type="duplicateValues" dxfId="13083" priority="1399"/>
    <cfRule type="duplicateValues" dxfId="13082" priority="1400"/>
    <cfRule type="duplicateValues" dxfId="13081" priority="1401"/>
    <cfRule type="duplicateValues" dxfId="13080" priority="1402"/>
    <cfRule type="duplicateValues" dxfId="13079" priority="1403"/>
    <cfRule type="duplicateValues" dxfId="13078" priority="1404"/>
    <cfRule type="duplicateValues" dxfId="13077" priority="1405"/>
    <cfRule type="duplicateValues" dxfId="13076" priority="1406"/>
    <cfRule type="duplicateValues" dxfId="13075" priority="1407"/>
    <cfRule type="duplicateValues" dxfId="13074" priority="1408"/>
    <cfRule type="duplicateValues" dxfId="13073" priority="1409"/>
    <cfRule type="duplicateValues" dxfId="13072" priority="1410"/>
    <cfRule type="duplicateValues" dxfId="13071" priority="1411"/>
    <cfRule type="duplicateValues" dxfId="13070" priority="1412"/>
    <cfRule type="duplicateValues" dxfId="13069" priority="1413"/>
    <cfRule type="duplicateValues" dxfId="13068" priority="1414"/>
    <cfRule type="duplicateValues" dxfId="13067" priority="1415"/>
    <cfRule type="duplicateValues" dxfId="13066" priority="1416"/>
    <cfRule type="duplicateValues" dxfId="13065" priority="1417"/>
    <cfRule type="duplicateValues" dxfId="13064" priority="1418"/>
    <cfRule type="duplicateValues" dxfId="13063" priority="1419"/>
    <cfRule type="duplicateValues" dxfId="13062" priority="1420"/>
    <cfRule type="duplicateValues" dxfId="13061" priority="1421"/>
    <cfRule type="duplicateValues" dxfId="13060" priority="1422"/>
    <cfRule type="duplicateValues" dxfId="13059" priority="1423"/>
    <cfRule type="duplicateValues" dxfId="13058" priority="1424"/>
    <cfRule type="duplicateValues" dxfId="13057" priority="1425"/>
    <cfRule type="duplicateValues" dxfId="13056" priority="1426"/>
    <cfRule type="duplicateValues" dxfId="13055" priority="1427"/>
    <cfRule type="duplicateValues" dxfId="13054" priority="1428"/>
  </conditionalFormatting>
  <conditionalFormatting sqref="E3">
    <cfRule type="duplicateValues" dxfId="13053" priority="1277"/>
    <cfRule type="duplicateValues" dxfId="13052" priority="1278"/>
    <cfRule type="duplicateValues" dxfId="13051" priority="1279"/>
    <cfRule type="duplicateValues" dxfId="13050" priority="1280"/>
    <cfRule type="duplicateValues" dxfId="13049" priority="1281"/>
    <cfRule type="duplicateValues" dxfId="13048" priority="1282"/>
    <cfRule type="duplicateValues" dxfId="13047" priority="1283"/>
    <cfRule type="duplicateValues" dxfId="13046" priority="1284"/>
    <cfRule type="duplicateValues" dxfId="13045" priority="1285"/>
    <cfRule type="duplicateValues" dxfId="13044" priority="1286"/>
    <cfRule type="duplicateValues" dxfId="13043" priority="1287"/>
    <cfRule type="duplicateValues" dxfId="13042" priority="1288"/>
    <cfRule type="duplicateValues" dxfId="13041" priority="1289"/>
    <cfRule type="duplicateValues" dxfId="13040" priority="1290"/>
    <cfRule type="duplicateValues" dxfId="13039" priority="1291"/>
    <cfRule type="duplicateValues" dxfId="13038" priority="1292"/>
    <cfRule type="duplicateValues" dxfId="13037" priority="1293"/>
    <cfRule type="duplicateValues" dxfId="13036" priority="1295"/>
    <cfRule type="duplicateValues" dxfId="13035" priority="1296"/>
    <cfRule type="duplicateValues" dxfId="13034" priority="1297"/>
    <cfRule type="duplicateValues" dxfId="13033" priority="1298"/>
    <cfRule type="duplicateValues" dxfId="13032" priority="1299"/>
    <cfRule type="duplicateValues" dxfId="13031" priority="1300"/>
    <cfRule type="duplicateValues" dxfId="13030" priority="1301"/>
    <cfRule type="duplicateValues" dxfId="13029" priority="1302"/>
    <cfRule type="duplicateValues" dxfId="13028" priority="1303"/>
    <cfRule type="duplicateValues" dxfId="13027" priority="1304"/>
    <cfRule type="duplicateValues" dxfId="13026" priority="1305"/>
    <cfRule type="duplicateValues" dxfId="13025" priority="1306"/>
    <cfRule type="duplicateValues" dxfId="13024" priority="1307"/>
    <cfRule type="duplicateValues" dxfId="13023" priority="1308"/>
    <cfRule type="duplicateValues" dxfId="13022" priority="1309"/>
    <cfRule type="duplicateValues" dxfId="13021" priority="1310"/>
    <cfRule type="duplicateValues" dxfId="13020" priority="1311"/>
    <cfRule type="duplicateValues" dxfId="13019" priority="1312"/>
    <cfRule type="duplicateValues" dxfId="13018" priority="1313"/>
    <cfRule type="duplicateValues" dxfId="13017" priority="1314"/>
    <cfRule type="duplicateValues" dxfId="13016" priority="1315"/>
    <cfRule type="duplicateValues" dxfId="13015" priority="1316"/>
    <cfRule type="duplicateValues" dxfId="13014" priority="1317"/>
    <cfRule type="duplicateValues" dxfId="13013" priority="1318"/>
    <cfRule type="duplicateValues" dxfId="13012" priority="1319"/>
    <cfRule type="duplicateValues" dxfId="13011" priority="1320"/>
    <cfRule type="duplicateValues" dxfId="13010" priority="1321"/>
    <cfRule type="duplicateValues" dxfId="13009" priority="1322"/>
    <cfRule type="duplicateValues" dxfId="13008" priority="1323"/>
  </conditionalFormatting>
  <conditionalFormatting sqref="E4">
    <cfRule type="duplicateValues" dxfId="13007" priority="1215"/>
    <cfRule type="duplicateValues" dxfId="13006" priority="1222"/>
    <cfRule type="duplicateValues" dxfId="13005" priority="1223"/>
    <cfRule type="duplicateValues" dxfId="13004" priority="1224"/>
    <cfRule type="duplicateValues" dxfId="13003" priority="1225"/>
    <cfRule type="duplicateValues" dxfId="13002" priority="1226"/>
    <cfRule type="duplicateValues" dxfId="13001" priority="1227"/>
    <cfRule type="duplicateValues" dxfId="13000" priority="1228"/>
    <cfRule type="duplicateValues" dxfId="12999" priority="1229"/>
    <cfRule type="duplicateValues" dxfId="12998" priority="1230"/>
    <cfRule type="duplicateValues" dxfId="12997" priority="1231"/>
    <cfRule type="duplicateValues" dxfId="12996" priority="1232"/>
    <cfRule type="duplicateValues" dxfId="12995" priority="1233"/>
    <cfRule type="duplicateValues" dxfId="12994" priority="1234"/>
    <cfRule type="duplicateValues" dxfId="12993" priority="1235"/>
    <cfRule type="duplicateValues" dxfId="12992" priority="1236"/>
    <cfRule type="duplicateValues" dxfId="12991" priority="1237"/>
    <cfRule type="duplicateValues" dxfId="12990" priority="1238"/>
    <cfRule type="duplicateValues" dxfId="12989" priority="1245"/>
    <cfRule type="duplicateValues" dxfId="12988" priority="1246"/>
    <cfRule type="duplicateValues" dxfId="12987" priority="1247"/>
    <cfRule type="duplicateValues" dxfId="12986" priority="1248"/>
    <cfRule type="duplicateValues" dxfId="12985" priority="1249"/>
    <cfRule type="duplicateValues" dxfId="12984" priority="1250"/>
    <cfRule type="duplicateValues" dxfId="12983" priority="1251"/>
    <cfRule type="duplicateValues" dxfId="12982" priority="1252"/>
    <cfRule type="duplicateValues" dxfId="12981" priority="1253"/>
    <cfRule type="duplicateValues" dxfId="12980" priority="1254"/>
    <cfRule type="duplicateValues" dxfId="12979" priority="1255"/>
    <cfRule type="duplicateValues" dxfId="12978" priority="1256"/>
    <cfRule type="duplicateValues" dxfId="12977" priority="1257"/>
    <cfRule type="duplicateValues" dxfId="12976" priority="1258"/>
    <cfRule type="duplicateValues" dxfId="12975" priority="1259"/>
    <cfRule type="duplicateValues" dxfId="12974" priority="1260"/>
    <cfRule type="duplicateValues" dxfId="12973" priority="1261"/>
    <cfRule type="duplicateValues" dxfId="12972" priority="1262"/>
    <cfRule type="duplicateValues" dxfId="12971" priority="1263"/>
    <cfRule type="duplicateValues" dxfId="12970" priority="1264"/>
    <cfRule type="duplicateValues" dxfId="12969" priority="1265"/>
  </conditionalFormatting>
  <conditionalFormatting sqref="E5">
    <cfRule type="duplicateValues" dxfId="12968" priority="1023"/>
    <cfRule type="duplicateValues" dxfId="12967" priority="1036"/>
    <cfRule type="duplicateValues" dxfId="12966" priority="1037"/>
    <cfRule type="duplicateValues" dxfId="12965" priority="1038"/>
    <cfRule type="duplicateValues" dxfId="12964" priority="1039"/>
    <cfRule type="duplicateValues" dxfId="12963" priority="1040"/>
    <cfRule type="duplicateValues" dxfId="12962" priority="1041"/>
    <cfRule type="duplicateValues" dxfId="12961" priority="1042"/>
    <cfRule type="duplicateValues" dxfId="12960" priority="1043"/>
    <cfRule type="duplicateValues" dxfId="12959" priority="1044"/>
    <cfRule type="duplicateValues" dxfId="12958" priority="1045"/>
    <cfRule type="duplicateValues" dxfId="12957" priority="1046"/>
    <cfRule type="duplicateValues" dxfId="12956" priority="1047"/>
    <cfRule type="duplicateValues" dxfId="12955" priority="1048"/>
    <cfRule type="duplicateValues" dxfId="12954" priority="1049"/>
    <cfRule type="duplicateValues" dxfId="12953" priority="1050"/>
    <cfRule type="duplicateValues" dxfId="12952" priority="1051"/>
    <cfRule type="duplicateValues" dxfId="12951" priority="1052"/>
    <cfRule type="duplicateValues" dxfId="12950" priority="1053"/>
    <cfRule type="duplicateValues" dxfId="12949" priority="1054"/>
    <cfRule type="duplicateValues" dxfId="12948" priority="1055"/>
    <cfRule type="duplicateValues" dxfId="12947" priority="1056"/>
    <cfRule type="duplicateValues" dxfId="12946" priority="1057"/>
    <cfRule type="duplicateValues" dxfId="12945" priority="1058"/>
    <cfRule type="duplicateValues" dxfId="12944" priority="1059"/>
    <cfRule type="duplicateValues" dxfId="12943" priority="1060"/>
    <cfRule type="duplicateValues" dxfId="12942" priority="1061"/>
    <cfRule type="duplicateValues" dxfId="12941" priority="1062"/>
    <cfRule type="duplicateValues" dxfId="12940" priority="1063"/>
    <cfRule type="duplicateValues" dxfId="12939" priority="1064"/>
    <cfRule type="duplicateValues" dxfId="12938" priority="1065"/>
    <cfRule type="duplicateValues" dxfId="12937" priority="1066"/>
    <cfRule type="duplicateValues" dxfId="12936" priority="1067"/>
    <cfRule type="duplicateValues" dxfId="12935" priority="1068"/>
    <cfRule type="duplicateValues" dxfId="12934" priority="1069"/>
    <cfRule type="duplicateValues" dxfId="12933" priority="1070"/>
    <cfRule type="duplicateValues" dxfId="12932" priority="1071"/>
    <cfRule type="duplicateValues" dxfId="12931" priority="1072"/>
    <cfRule type="duplicateValues" dxfId="12930" priority="1073"/>
    <cfRule type="duplicateValues" dxfId="12929" priority="1074"/>
    <cfRule type="duplicateValues" dxfId="12928" priority="1075"/>
    <cfRule type="duplicateValues" dxfId="12927" priority="1076"/>
    <cfRule type="duplicateValues" dxfId="12926" priority="1077"/>
    <cfRule type="duplicateValues" dxfId="12925" priority="1078"/>
    <cfRule type="duplicateValues" dxfId="12924" priority="1079"/>
    <cfRule type="duplicateValues" dxfId="12923" priority="1080"/>
    <cfRule type="duplicateValues" dxfId="12922" priority="1081"/>
    <cfRule type="duplicateValues" dxfId="12921" priority="1082"/>
  </conditionalFormatting>
  <conditionalFormatting sqref="E6">
    <cfRule type="duplicateValues" dxfId="12920" priority="967"/>
    <cfRule type="duplicateValues" dxfId="12919" priority="980"/>
    <cfRule type="duplicateValues" dxfId="12918" priority="981"/>
    <cfRule type="duplicateValues" dxfId="12917" priority="982"/>
    <cfRule type="duplicateValues" dxfId="12916" priority="983"/>
    <cfRule type="duplicateValues" dxfId="12915" priority="984"/>
    <cfRule type="duplicateValues" dxfId="12914" priority="985"/>
    <cfRule type="duplicateValues" dxfId="12913" priority="986"/>
    <cfRule type="duplicateValues" dxfId="12912" priority="987"/>
    <cfRule type="duplicateValues" dxfId="12911" priority="988"/>
    <cfRule type="duplicateValues" dxfId="12910" priority="989"/>
    <cfRule type="duplicateValues" dxfId="12909" priority="990"/>
    <cfRule type="duplicateValues" dxfId="12908" priority="991"/>
    <cfRule type="duplicateValues" dxfId="12907" priority="992"/>
    <cfRule type="duplicateValues" dxfId="12906" priority="993"/>
    <cfRule type="duplicateValues" dxfId="12905" priority="994"/>
    <cfRule type="duplicateValues" dxfId="12904" priority="995"/>
    <cfRule type="duplicateValues" dxfId="12903" priority="996"/>
    <cfRule type="duplicateValues" dxfId="12902" priority="997"/>
    <cfRule type="duplicateValues" dxfId="12901" priority="998"/>
    <cfRule type="duplicateValues" dxfId="12900" priority="999"/>
    <cfRule type="duplicateValues" dxfId="12899" priority="1000"/>
    <cfRule type="duplicateValues" dxfId="12898" priority="1001"/>
    <cfRule type="duplicateValues" dxfId="12897" priority="1002"/>
    <cfRule type="duplicateValues" dxfId="12896" priority="1003"/>
    <cfRule type="duplicateValues" dxfId="12895" priority="1004"/>
    <cfRule type="duplicateValues" dxfId="12894" priority="1005"/>
    <cfRule type="duplicateValues" dxfId="12893" priority="1006"/>
    <cfRule type="duplicateValues" dxfId="12892" priority="1007"/>
    <cfRule type="duplicateValues" dxfId="12891" priority="1008"/>
    <cfRule type="duplicateValues" dxfId="12890" priority="1009"/>
    <cfRule type="duplicateValues" dxfId="12889" priority="1010"/>
  </conditionalFormatting>
  <conditionalFormatting sqref="E7">
    <cfRule type="duplicateValues" dxfId="12888" priority="820"/>
    <cfRule type="duplicateValues" dxfId="12887" priority="821"/>
    <cfRule type="duplicateValues" dxfId="12886" priority="822"/>
    <cfRule type="duplicateValues" dxfId="12885" priority="823"/>
    <cfRule type="duplicateValues" dxfId="12884" priority="824"/>
    <cfRule type="duplicateValues" dxfId="12883" priority="825"/>
    <cfRule type="duplicateValues" dxfId="12882" priority="826"/>
    <cfRule type="duplicateValues" dxfId="12881" priority="827"/>
    <cfRule type="duplicateValues" dxfId="12880" priority="828"/>
    <cfRule type="duplicateValues" dxfId="12879" priority="829"/>
    <cfRule type="duplicateValues" dxfId="12878" priority="830"/>
    <cfRule type="duplicateValues" dxfId="12877" priority="831"/>
    <cfRule type="duplicateValues" dxfId="12876" priority="832"/>
    <cfRule type="duplicateValues" dxfId="12875" priority="833"/>
    <cfRule type="duplicateValues" dxfId="12874" priority="834"/>
    <cfRule type="duplicateValues" dxfId="12873" priority="835"/>
    <cfRule type="duplicateValues" dxfId="12872" priority="836"/>
    <cfRule type="duplicateValues" dxfId="12871" priority="837"/>
    <cfRule type="duplicateValues" dxfId="12870" priority="838"/>
    <cfRule type="duplicateValues" dxfId="12869" priority="839"/>
    <cfRule type="duplicateValues" dxfId="12868" priority="840"/>
    <cfRule type="duplicateValues" dxfId="12867" priority="841"/>
    <cfRule type="duplicateValues" dxfId="12866" priority="842"/>
    <cfRule type="duplicateValues" dxfId="12865" priority="843"/>
    <cfRule type="duplicateValues" dxfId="12864" priority="844"/>
    <cfRule type="duplicateValues" dxfId="12863" priority="845"/>
    <cfRule type="duplicateValues" dxfId="12862" priority="846"/>
    <cfRule type="duplicateValues" dxfId="12861" priority="847"/>
    <cfRule type="duplicateValues" dxfId="12860" priority="848"/>
    <cfRule type="duplicateValues" dxfId="12859" priority="849"/>
    <cfRule type="duplicateValues" dxfId="12858" priority="850"/>
    <cfRule type="duplicateValues" dxfId="12857" priority="851"/>
    <cfRule type="duplicateValues" dxfId="12856" priority="852"/>
    <cfRule type="duplicateValues" dxfId="12855" priority="853"/>
    <cfRule type="duplicateValues" dxfId="12854" priority="854"/>
  </conditionalFormatting>
  <conditionalFormatting sqref="AC3:AC7">
    <cfRule type="cellIs" dxfId="12853" priority="819" operator="greaterThan">
      <formula>50</formula>
    </cfRule>
  </conditionalFormatting>
  <conditionalFormatting sqref="AD5:AD6">
    <cfRule type="cellIs" dxfId="12852" priority="920" operator="greaterThan">
      <formula>50</formula>
    </cfRule>
  </conditionalFormatting>
  <conditionalFormatting sqref="AG1 AG3:AG7">
    <cfRule type="cellIs" dxfId="12851" priority="817" operator="lessThan">
      <formula>NOW()</formula>
    </cfRule>
  </conditionalFormatting>
  <conditionalFormatting sqref="AH1 AH3:AH7">
    <cfRule type="cellIs" dxfId="12850" priority="816" operator="lessThan">
      <formula>NOW()</formula>
    </cfRule>
  </conditionalFormatting>
  <conditionalFormatting sqref="AH5:AH6">
    <cfRule type="cellIs" dxfId="12849" priority="918" operator="lessThan">
      <formula>NOW()</formula>
    </cfRule>
  </conditionalFormatting>
  <conditionalFormatting sqref="AI3:AI7">
    <cfRule type="cellIs" dxfId="12848" priority="818" operator="greaterThan">
      <formula>0.95</formula>
    </cfRule>
  </conditionalFormatting>
  <conditionalFormatting sqref="AI5:AI6">
    <cfRule type="cellIs" dxfId="12847" priority="917" operator="lessThan">
      <formula>NOW()</formula>
    </cfRule>
  </conditionalFormatting>
  <conditionalFormatting sqref="AJ5:AJ6">
    <cfRule type="cellIs" dxfId="12846" priority="919" operator="greaterThan">
      <formula>0.95</formula>
    </cfRule>
  </conditionalFormatting>
  <conditionalFormatting sqref="BE1">
    <cfRule type="cellIs" dxfId="12845" priority="1375" operator="equal">
      <formula>$BE$4</formula>
    </cfRule>
    <cfRule type="cellIs" dxfId="12844" priority="1376" operator="equal">
      <formula>$BE$4</formula>
    </cfRule>
    <cfRule type="cellIs" dxfId="12843" priority="1377" operator="equal">
      <formula>36528</formula>
    </cfRule>
    <cfRule type="cellIs" dxfId="12842" priority="1378" operator="equal">
      <formula>0</formula>
    </cfRule>
    <cfRule type="cellIs" dxfId="12841" priority="1379" operator="equal">
      <formula>36528</formula>
    </cfRule>
  </conditionalFormatting>
  <conditionalFormatting sqref="BE7">
    <cfRule type="cellIs" dxfId="12840" priority="808" operator="equal">
      <formula>$BE$4</formula>
    </cfRule>
    <cfRule type="cellIs" dxfId="12839" priority="809" operator="equal">
      <formula>$BE$4</formula>
    </cfRule>
    <cfRule type="cellIs" dxfId="12838" priority="810" operator="equal">
      <formula>36528</formula>
    </cfRule>
    <cfRule type="cellIs" dxfId="12837" priority="811" operator="equal">
      <formula>0</formula>
    </cfRule>
    <cfRule type="cellIs" dxfId="12836" priority="812" operator="equal">
      <formula>36528</formula>
    </cfRule>
  </conditionalFormatting>
  <conditionalFormatting sqref="BE5:BF6">
    <cfRule type="cellIs" dxfId="12835" priority="900" operator="equal">
      <formula>$BF$3</formula>
    </cfRule>
    <cfRule type="cellIs" dxfId="12834" priority="901" operator="equal">
      <formula>$BF$3</formula>
    </cfRule>
    <cfRule type="cellIs" dxfId="12833" priority="902" operator="equal">
      <formula>36528</formula>
    </cfRule>
    <cfRule type="cellIs" dxfId="12832" priority="903" operator="equal">
      <formula>0</formula>
    </cfRule>
    <cfRule type="cellIs" dxfId="12831" priority="904" operator="equal">
      <formula>36528</formula>
    </cfRule>
  </conditionalFormatting>
  <conditionalFormatting sqref="BF3:BF4">
    <cfRule type="cellIs" dxfId="12830" priority="1207" operator="equal">
      <formula>$BF$4</formula>
    </cfRule>
    <cfRule type="cellIs" dxfId="12829" priority="1208" operator="equal">
      <formula>$BF$4</formula>
    </cfRule>
    <cfRule type="cellIs" dxfId="12828" priority="1209" operator="equal">
      <formula>36528</formula>
    </cfRule>
    <cfRule type="cellIs" dxfId="12827" priority="1210" operator="equal">
      <formula>0</formula>
    </cfRule>
    <cfRule type="cellIs" dxfId="12826" priority="1211" operator="equal">
      <formula>36528</formula>
    </cfRule>
  </conditionalFormatting>
  <conditionalFormatting sqref="BF5:BF7">
    <cfRule type="cellIs" dxfId="12825" priority="813" operator="greaterThan">
      <formula>3</formula>
    </cfRule>
    <cfRule type="cellIs" dxfId="12824" priority="814" operator="equal">
      <formula>0</formula>
    </cfRule>
    <cfRule type="cellIs" dxfId="12823" priority="815" operator="equal">
      <formula>0</formula>
    </cfRule>
  </conditionalFormatting>
  <conditionalFormatting sqref="E8">
    <cfRule type="duplicateValues" dxfId="12822" priority="710"/>
  </conditionalFormatting>
  <conditionalFormatting sqref="E8">
    <cfRule type="duplicateValues" dxfId="12821" priority="708"/>
    <cfRule type="duplicateValues" dxfId="12820" priority="709"/>
  </conditionalFormatting>
  <conditionalFormatting sqref="E8">
    <cfRule type="duplicateValues" dxfId="12819" priority="730"/>
    <cfRule type="duplicateValues" dxfId="12818" priority="731"/>
    <cfRule type="duplicateValues" dxfId="12817" priority="732"/>
    <cfRule type="duplicateValues" dxfId="12816" priority="733"/>
    <cfRule type="duplicateValues" dxfId="12815" priority="734"/>
    <cfRule type="duplicateValues" dxfId="12814" priority="735"/>
    <cfRule type="duplicateValues" dxfId="12813" priority="736"/>
    <cfRule type="duplicateValues" dxfId="12812" priority="737"/>
    <cfRule type="duplicateValues" dxfId="12811" priority="738"/>
    <cfRule type="duplicateValues" dxfId="12810" priority="739"/>
    <cfRule type="duplicateValues" dxfId="12809" priority="740"/>
    <cfRule type="duplicateValues" dxfId="12808" priority="741"/>
    <cfRule type="duplicateValues" dxfId="12807" priority="742"/>
    <cfRule type="duplicateValues" dxfId="12806" priority="743"/>
    <cfRule type="duplicateValues" dxfId="12805" priority="744"/>
    <cfRule type="duplicateValues" dxfId="12804" priority="745"/>
    <cfRule type="duplicateValues" dxfId="12803" priority="746"/>
    <cfRule type="duplicateValues" dxfId="12802" priority="747"/>
    <cfRule type="duplicateValues" dxfId="12801" priority="748"/>
    <cfRule type="duplicateValues" dxfId="12800" priority="749"/>
    <cfRule type="duplicateValues" dxfId="12799" priority="750"/>
    <cfRule type="duplicateValues" dxfId="12798" priority="751"/>
    <cfRule type="duplicateValues" dxfId="12797" priority="752"/>
    <cfRule type="duplicateValues" dxfId="12796" priority="753"/>
    <cfRule type="duplicateValues" dxfId="12795" priority="754"/>
    <cfRule type="duplicateValues" dxfId="12794" priority="755"/>
    <cfRule type="duplicateValues" dxfId="12793" priority="756"/>
    <cfRule type="duplicateValues" dxfId="12792" priority="757"/>
  </conditionalFormatting>
  <conditionalFormatting sqref="E8">
    <cfRule type="duplicateValues" dxfId="12791" priority="727"/>
  </conditionalFormatting>
  <conditionalFormatting sqref="E8">
    <cfRule type="duplicateValues" dxfId="12790" priority="728"/>
    <cfRule type="duplicateValues" dxfId="12789" priority="729"/>
  </conditionalFormatting>
  <conditionalFormatting sqref="E8">
    <cfRule type="duplicateValues" dxfId="12788" priority="724"/>
  </conditionalFormatting>
  <conditionalFormatting sqref="E8">
    <cfRule type="duplicateValues" dxfId="12787" priority="725"/>
  </conditionalFormatting>
  <conditionalFormatting sqref="E8">
    <cfRule type="duplicateValues" dxfId="12786" priority="726"/>
  </conditionalFormatting>
  <conditionalFormatting sqref="E8">
    <cfRule type="duplicateValues" dxfId="12785" priority="723"/>
  </conditionalFormatting>
  <conditionalFormatting sqref="AC8">
    <cfRule type="cellIs" dxfId="12784" priority="717" operator="greaterThan">
      <formula>50</formula>
    </cfRule>
  </conditionalFormatting>
  <conditionalFormatting sqref="AG8">
    <cfRule type="cellIs" dxfId="12783" priority="715" operator="lessThan">
      <formula>NOW()</formula>
    </cfRule>
  </conditionalFormatting>
  <conditionalFormatting sqref="AH8">
    <cfRule type="cellIs" dxfId="12782" priority="714" operator="lessThan">
      <formula>NOW()</formula>
    </cfRule>
  </conditionalFormatting>
  <conditionalFormatting sqref="AI8">
    <cfRule type="cellIs" dxfId="12781" priority="716" operator="greaterThan">
      <formula>0.95</formula>
    </cfRule>
  </conditionalFormatting>
  <conditionalFormatting sqref="BE8">
    <cfRule type="cellIs" dxfId="12780" priority="718" operator="equal">
      <formula>$BE$4</formula>
    </cfRule>
    <cfRule type="cellIs" dxfId="12779" priority="719" operator="equal">
      <formula>$BE$4</formula>
    </cfRule>
  </conditionalFormatting>
  <conditionalFormatting sqref="BE8">
    <cfRule type="cellIs" dxfId="12778" priority="720" operator="equal">
      <formula>36528</formula>
    </cfRule>
    <cfRule type="cellIs" dxfId="12777" priority="721" operator="equal">
      <formula>0</formula>
    </cfRule>
    <cfRule type="cellIs" dxfId="12776" priority="722" operator="equal">
      <formula>36528</formula>
    </cfRule>
  </conditionalFormatting>
  <conditionalFormatting sqref="BF8">
    <cfRule type="cellIs" dxfId="12775" priority="711" operator="greaterThan">
      <formula>3</formula>
    </cfRule>
  </conditionalFormatting>
  <conditionalFormatting sqref="BF8">
    <cfRule type="cellIs" dxfId="12774" priority="712" operator="equal">
      <formula>0</formula>
    </cfRule>
    <cfRule type="cellIs" dxfId="12773" priority="713" operator="equal">
      <formula>0</formula>
    </cfRule>
  </conditionalFormatting>
  <conditionalFormatting sqref="E14 E16:E18 E20:E21 E9:E11 E23">
    <cfRule type="duplicateValues" dxfId="12772" priority="660"/>
  </conditionalFormatting>
  <conditionalFormatting sqref="E14 E16:E18 E20:E21 E9:E11 E23">
    <cfRule type="duplicateValues" dxfId="12771" priority="658"/>
    <cfRule type="duplicateValues" dxfId="12770" priority="659"/>
  </conditionalFormatting>
  <conditionalFormatting sqref="E9:E11">
    <cfRule type="duplicateValues" dxfId="12769" priority="677"/>
  </conditionalFormatting>
  <conditionalFormatting sqref="E9:E11">
    <cfRule type="duplicateValues" dxfId="12768" priority="678"/>
    <cfRule type="duplicateValues" dxfId="12767" priority="679"/>
  </conditionalFormatting>
  <conditionalFormatting sqref="E9:E11">
    <cfRule type="duplicateValues" dxfId="12766" priority="674"/>
  </conditionalFormatting>
  <conditionalFormatting sqref="E9:E11">
    <cfRule type="duplicateValues" dxfId="12765" priority="675"/>
  </conditionalFormatting>
  <conditionalFormatting sqref="E9:E11">
    <cfRule type="duplicateValues" dxfId="12764" priority="676"/>
  </conditionalFormatting>
  <conditionalFormatting sqref="E9:E11">
    <cfRule type="duplicateValues" dxfId="12763" priority="673"/>
  </conditionalFormatting>
  <conditionalFormatting sqref="AC9:AC21 AC23">
    <cfRule type="cellIs" dxfId="12762" priority="672" operator="greaterThan">
      <formula>50</formula>
    </cfRule>
  </conditionalFormatting>
  <conditionalFormatting sqref="AG9:AG21 AG23">
    <cfRule type="cellIs" dxfId="12761" priority="670" operator="lessThan">
      <formula>NOW()</formula>
    </cfRule>
  </conditionalFormatting>
  <conditionalFormatting sqref="AH9:AH21 AH23">
    <cfRule type="cellIs" dxfId="12760" priority="669" operator="lessThan">
      <formula>NOW()</formula>
    </cfRule>
  </conditionalFormatting>
  <conditionalFormatting sqref="AI9:AI21 AI23">
    <cfRule type="cellIs" dxfId="12759" priority="671" operator="greaterThan">
      <formula>0.95</formula>
    </cfRule>
  </conditionalFormatting>
  <conditionalFormatting sqref="BE9:BE18 BE20:BE21 BD19:BE19 BE23">
    <cfRule type="cellIs" dxfId="12758" priority="664" operator="equal">
      <formula>36528</formula>
    </cfRule>
    <cfRule type="cellIs" dxfId="12757" priority="665" operator="equal">
      <formula>0</formula>
    </cfRule>
    <cfRule type="cellIs" dxfId="12756" priority="666" operator="equal">
      <formula>36528</formula>
    </cfRule>
  </conditionalFormatting>
  <conditionalFormatting sqref="BE9:BE18 BE20:BE21 BD19:BE19 BE23">
    <cfRule type="cellIs" dxfId="12755" priority="662" operator="equal">
      <formula>$BE$4</formula>
    </cfRule>
    <cfRule type="cellIs" dxfId="12754" priority="663" operator="equal">
      <formula>$BE$4</formula>
    </cfRule>
  </conditionalFormatting>
  <conditionalFormatting sqref="BF9:BF21 BF23">
    <cfRule type="cellIs" dxfId="12753" priority="667" operator="equal">
      <formula>0</formula>
    </cfRule>
    <cfRule type="cellIs" dxfId="12752" priority="668" operator="equal">
      <formula>0</formula>
    </cfRule>
  </conditionalFormatting>
  <conditionalFormatting sqref="BF9:BF21 BF23">
    <cfRule type="cellIs" dxfId="12751" priority="661" operator="greaterThan">
      <formula>3</formula>
    </cfRule>
  </conditionalFormatting>
  <conditionalFormatting sqref="E14 E16:E18 E20:E21 E9:E11 E23">
    <cfRule type="duplicateValues" dxfId="12750" priority="655"/>
    <cfRule type="duplicateValues" dxfId="12749" priority="656"/>
    <cfRule type="duplicateValues" dxfId="12748" priority="657"/>
  </conditionalFormatting>
  <conditionalFormatting sqref="E14 E16:E18 E20:E21 E9:E11 E23">
    <cfRule type="duplicateValues" dxfId="12747" priority="680"/>
    <cfRule type="duplicateValues" dxfId="12746" priority="681"/>
    <cfRule type="duplicateValues" dxfId="12745" priority="682"/>
    <cfRule type="duplicateValues" dxfId="12744" priority="683"/>
    <cfRule type="duplicateValues" dxfId="12743" priority="684"/>
    <cfRule type="duplicateValues" dxfId="12742" priority="685"/>
    <cfRule type="duplicateValues" dxfId="12741" priority="686"/>
    <cfRule type="duplicateValues" dxfId="12740" priority="687"/>
    <cfRule type="duplicateValues" dxfId="12739" priority="688"/>
    <cfRule type="duplicateValues" dxfId="12738" priority="689"/>
    <cfRule type="duplicateValues" dxfId="12737" priority="690"/>
    <cfRule type="duplicateValues" dxfId="12736" priority="691"/>
    <cfRule type="duplicateValues" dxfId="12735" priority="692"/>
    <cfRule type="duplicateValues" dxfId="12734" priority="693"/>
    <cfRule type="duplicateValues" dxfId="12733" priority="694"/>
    <cfRule type="duplicateValues" dxfId="12732" priority="695"/>
    <cfRule type="duplicateValues" dxfId="12731" priority="696"/>
    <cfRule type="duplicateValues" dxfId="12730" priority="697"/>
    <cfRule type="duplicateValues" dxfId="12729" priority="698"/>
    <cfRule type="duplicateValues" dxfId="12728" priority="699"/>
    <cfRule type="duplicateValues" dxfId="12727" priority="700"/>
    <cfRule type="duplicateValues" dxfId="12726" priority="701"/>
    <cfRule type="duplicateValues" dxfId="12725" priority="702"/>
    <cfRule type="duplicateValues" dxfId="12724" priority="703"/>
    <cfRule type="duplicateValues" dxfId="12723" priority="704"/>
    <cfRule type="duplicateValues" dxfId="12722" priority="705"/>
    <cfRule type="duplicateValues" dxfId="12721" priority="706"/>
    <cfRule type="duplicateValues" dxfId="12720" priority="707"/>
  </conditionalFormatting>
  <conditionalFormatting sqref="C3:C21 C23">
    <cfRule type="duplicateValues" dxfId="12719" priority="451"/>
  </conditionalFormatting>
  <conditionalFormatting sqref="C3:C21 C23">
    <cfRule type="duplicateValues" dxfId="12718" priority="449"/>
    <cfRule type="duplicateValues" dxfId="12717" priority="450"/>
  </conditionalFormatting>
  <conditionalFormatting sqref="C3:C21 C23">
    <cfRule type="duplicateValues" dxfId="12716" priority="446"/>
    <cfRule type="duplicateValues" dxfId="12715" priority="447"/>
    <cfRule type="duplicateValues" dxfId="12714" priority="448"/>
  </conditionalFormatting>
  <conditionalFormatting sqref="C3:C21 C23">
    <cfRule type="duplicateValues" dxfId="12713" priority="459"/>
    <cfRule type="duplicateValues" dxfId="12712" priority="460"/>
    <cfRule type="duplicateValues" dxfId="12711" priority="461"/>
    <cfRule type="duplicateValues" dxfId="12710" priority="462"/>
    <cfRule type="duplicateValues" dxfId="12709" priority="463"/>
    <cfRule type="duplicateValues" dxfId="12708" priority="464"/>
    <cfRule type="duplicateValues" dxfId="12707" priority="465"/>
    <cfRule type="duplicateValues" dxfId="12706" priority="466"/>
    <cfRule type="duplicateValues" dxfId="12705" priority="467"/>
    <cfRule type="duplicateValues" dxfId="12704" priority="468"/>
    <cfRule type="duplicateValues" dxfId="12703" priority="469"/>
    <cfRule type="duplicateValues" dxfId="12702" priority="470"/>
    <cfRule type="duplicateValues" dxfId="12701" priority="471"/>
    <cfRule type="duplicateValues" dxfId="12700" priority="472"/>
    <cfRule type="duplicateValues" dxfId="12699" priority="473"/>
    <cfRule type="duplicateValues" dxfId="12698" priority="474"/>
    <cfRule type="duplicateValues" dxfId="12697" priority="475"/>
    <cfRule type="duplicateValues" dxfId="12696" priority="476"/>
    <cfRule type="duplicateValues" dxfId="12695" priority="477"/>
    <cfRule type="duplicateValues" dxfId="12694" priority="478"/>
    <cfRule type="duplicateValues" dxfId="12693" priority="479"/>
    <cfRule type="duplicateValues" dxfId="12692" priority="480"/>
    <cfRule type="duplicateValues" dxfId="12691" priority="481"/>
    <cfRule type="duplicateValues" dxfId="12690" priority="482"/>
    <cfRule type="duplicateValues" dxfId="12689" priority="483"/>
    <cfRule type="duplicateValues" dxfId="12688" priority="484"/>
    <cfRule type="duplicateValues" dxfId="12687" priority="485"/>
    <cfRule type="duplicateValues" dxfId="12686" priority="486"/>
  </conditionalFormatting>
  <conditionalFormatting sqref="E12">
    <cfRule type="duplicateValues" dxfId="12685" priority="411"/>
  </conditionalFormatting>
  <conditionalFormatting sqref="E12">
    <cfRule type="duplicateValues" dxfId="12684" priority="409"/>
    <cfRule type="duplicateValues" dxfId="12683" priority="410"/>
  </conditionalFormatting>
  <conditionalFormatting sqref="E12">
    <cfRule type="duplicateValues" dxfId="12682" priority="415"/>
  </conditionalFormatting>
  <conditionalFormatting sqref="E12">
    <cfRule type="duplicateValues" dxfId="12681" priority="416"/>
    <cfRule type="duplicateValues" dxfId="12680" priority="417"/>
  </conditionalFormatting>
  <conditionalFormatting sqref="E12">
    <cfRule type="duplicateValues" dxfId="12679" priority="413"/>
  </conditionalFormatting>
  <conditionalFormatting sqref="E12">
    <cfRule type="duplicateValues" dxfId="12678" priority="414"/>
  </conditionalFormatting>
  <conditionalFormatting sqref="E12">
    <cfRule type="duplicateValues" dxfId="12677" priority="412"/>
  </conditionalFormatting>
  <conditionalFormatting sqref="E12">
    <cfRule type="duplicateValues" dxfId="12676" priority="403"/>
    <cfRule type="duplicateValues" dxfId="12675" priority="404"/>
    <cfRule type="duplicateValues" dxfId="12674" priority="405"/>
    <cfRule type="duplicateValues" dxfId="12673" priority="406"/>
    <cfRule type="duplicateValues" dxfId="12672" priority="407"/>
    <cfRule type="duplicateValues" dxfId="12671" priority="408"/>
  </conditionalFormatting>
  <conditionalFormatting sqref="E12">
    <cfRule type="duplicateValues" dxfId="12670" priority="398"/>
    <cfRule type="duplicateValues" dxfId="12669" priority="399"/>
    <cfRule type="duplicateValues" dxfId="12668" priority="400"/>
    <cfRule type="duplicateValues" dxfId="12667" priority="401"/>
    <cfRule type="duplicateValues" dxfId="12666" priority="402"/>
  </conditionalFormatting>
  <conditionalFormatting sqref="E12">
    <cfRule type="duplicateValues" dxfId="12665" priority="418"/>
    <cfRule type="duplicateValues" dxfId="12664" priority="419"/>
    <cfRule type="duplicateValues" dxfId="12663" priority="420"/>
    <cfRule type="duplicateValues" dxfId="12662" priority="421"/>
    <cfRule type="duplicateValues" dxfId="12661" priority="422"/>
    <cfRule type="duplicateValues" dxfId="12660" priority="423"/>
    <cfRule type="duplicateValues" dxfId="12659" priority="424"/>
    <cfRule type="duplicateValues" dxfId="12658" priority="425"/>
    <cfRule type="duplicateValues" dxfId="12657" priority="426"/>
    <cfRule type="duplicateValues" dxfId="12656" priority="427"/>
    <cfRule type="duplicateValues" dxfId="12655" priority="428"/>
    <cfRule type="duplicateValues" dxfId="12654" priority="429"/>
    <cfRule type="duplicateValues" dxfId="12653" priority="430"/>
    <cfRule type="duplicateValues" dxfId="12652" priority="431"/>
    <cfRule type="duplicateValues" dxfId="12651" priority="432"/>
    <cfRule type="duplicateValues" dxfId="12650" priority="433"/>
    <cfRule type="duplicateValues" dxfId="12649" priority="434"/>
    <cfRule type="duplicateValues" dxfId="12648" priority="435"/>
    <cfRule type="duplicateValues" dxfId="12647" priority="436"/>
    <cfRule type="duplicateValues" dxfId="12646" priority="437"/>
    <cfRule type="duplicateValues" dxfId="12645" priority="438"/>
    <cfRule type="duplicateValues" dxfId="12644" priority="439"/>
    <cfRule type="duplicateValues" dxfId="12643" priority="440"/>
    <cfRule type="duplicateValues" dxfId="12642" priority="441"/>
    <cfRule type="duplicateValues" dxfId="12641" priority="442"/>
    <cfRule type="duplicateValues" dxfId="12640" priority="443"/>
    <cfRule type="duplicateValues" dxfId="12639" priority="444"/>
    <cfRule type="duplicateValues" dxfId="12638" priority="445"/>
  </conditionalFormatting>
  <conditionalFormatting sqref="E15">
    <cfRule type="duplicateValues" dxfId="12637" priority="312"/>
  </conditionalFormatting>
  <conditionalFormatting sqref="E15">
    <cfRule type="duplicateValues" dxfId="12636" priority="310"/>
    <cfRule type="duplicateValues" dxfId="12635" priority="311"/>
  </conditionalFormatting>
  <conditionalFormatting sqref="E15">
    <cfRule type="duplicateValues" dxfId="12634" priority="316"/>
  </conditionalFormatting>
  <conditionalFormatting sqref="E15">
    <cfRule type="duplicateValues" dxfId="12633" priority="317"/>
    <cfRule type="duplicateValues" dxfId="12632" priority="318"/>
  </conditionalFormatting>
  <conditionalFormatting sqref="E15">
    <cfRule type="duplicateValues" dxfId="12631" priority="314"/>
  </conditionalFormatting>
  <conditionalFormatting sqref="E15">
    <cfRule type="duplicateValues" dxfId="12630" priority="315"/>
  </conditionalFormatting>
  <conditionalFormatting sqref="E15">
    <cfRule type="duplicateValues" dxfId="12629" priority="313"/>
  </conditionalFormatting>
  <conditionalFormatting sqref="E15">
    <cfRule type="duplicateValues" dxfId="12628" priority="304"/>
    <cfRule type="duplicateValues" dxfId="12627" priority="305"/>
    <cfRule type="duplicateValues" dxfId="12626" priority="306"/>
    <cfRule type="duplicateValues" dxfId="12625" priority="307"/>
    <cfRule type="duplicateValues" dxfId="12624" priority="308"/>
    <cfRule type="duplicateValues" dxfId="12623" priority="309"/>
  </conditionalFormatting>
  <conditionalFormatting sqref="E15">
    <cfRule type="duplicateValues" dxfId="12622" priority="299"/>
    <cfRule type="duplicateValues" dxfId="12621" priority="300"/>
    <cfRule type="duplicateValues" dxfId="12620" priority="301"/>
    <cfRule type="duplicateValues" dxfId="12619" priority="302"/>
    <cfRule type="duplicateValues" dxfId="12618" priority="303"/>
  </conditionalFormatting>
  <conditionalFormatting sqref="E15">
    <cfRule type="duplicateValues" dxfId="12617" priority="319"/>
    <cfRule type="duplicateValues" dxfId="12616" priority="320"/>
    <cfRule type="duplicateValues" dxfId="12615" priority="321"/>
    <cfRule type="duplicateValues" dxfId="12614" priority="322"/>
    <cfRule type="duplicateValues" dxfId="12613" priority="323"/>
    <cfRule type="duplicateValues" dxfId="12612" priority="324"/>
    <cfRule type="duplicateValues" dxfId="12611" priority="325"/>
    <cfRule type="duplicateValues" dxfId="12610" priority="326"/>
    <cfRule type="duplicateValues" dxfId="12609" priority="327"/>
    <cfRule type="duplicateValues" dxfId="12608" priority="328"/>
    <cfRule type="duplicateValues" dxfId="12607" priority="329"/>
    <cfRule type="duplicateValues" dxfId="12606" priority="330"/>
    <cfRule type="duplicateValues" dxfId="12605" priority="331"/>
    <cfRule type="duplicateValues" dxfId="12604" priority="332"/>
    <cfRule type="duplicateValues" dxfId="12603" priority="333"/>
    <cfRule type="duplicateValues" dxfId="12602" priority="334"/>
    <cfRule type="duplicateValues" dxfId="12601" priority="335"/>
    <cfRule type="duplicateValues" dxfId="12600" priority="336"/>
    <cfRule type="duplicateValues" dxfId="12599" priority="337"/>
    <cfRule type="duplicateValues" dxfId="12598" priority="338"/>
    <cfRule type="duplicateValues" dxfId="12597" priority="339"/>
    <cfRule type="duplicateValues" dxfId="12596" priority="340"/>
    <cfRule type="duplicateValues" dxfId="12595" priority="341"/>
    <cfRule type="duplicateValues" dxfId="12594" priority="342"/>
    <cfRule type="duplicateValues" dxfId="12593" priority="343"/>
    <cfRule type="duplicateValues" dxfId="12592" priority="344"/>
    <cfRule type="duplicateValues" dxfId="12591" priority="345"/>
    <cfRule type="duplicateValues" dxfId="12590" priority="346"/>
  </conditionalFormatting>
  <conditionalFormatting sqref="E19">
    <cfRule type="duplicateValues" dxfId="12589" priority="281"/>
  </conditionalFormatting>
  <conditionalFormatting sqref="E19">
    <cfRule type="duplicateValues" dxfId="12588" priority="279"/>
    <cfRule type="duplicateValues" dxfId="12587" priority="280"/>
  </conditionalFormatting>
  <conditionalFormatting sqref="E19">
    <cfRule type="duplicateValues" dxfId="12586" priority="294"/>
  </conditionalFormatting>
  <conditionalFormatting sqref="E19">
    <cfRule type="duplicateValues" dxfId="12585" priority="295"/>
    <cfRule type="duplicateValues" dxfId="12584" priority="296"/>
  </conditionalFormatting>
  <conditionalFormatting sqref="E19">
    <cfRule type="duplicateValues" dxfId="12583" priority="293"/>
  </conditionalFormatting>
  <conditionalFormatting sqref="E19">
    <cfRule type="duplicateValues" dxfId="12582" priority="292"/>
  </conditionalFormatting>
  <conditionalFormatting sqref="AC19 AC17 AC13:AC14">
    <cfRule type="cellIs" dxfId="12581" priority="291" operator="greaterThan">
      <formula>50</formula>
    </cfRule>
  </conditionalFormatting>
  <conditionalFormatting sqref="AG19">
    <cfRule type="cellIs" dxfId="12580" priority="289" operator="lessThan">
      <formula>NOW()</formula>
    </cfRule>
  </conditionalFormatting>
  <conditionalFormatting sqref="AH19">
    <cfRule type="cellIs" dxfId="12579" priority="288" operator="lessThan">
      <formula>NOW()</formula>
    </cfRule>
  </conditionalFormatting>
  <conditionalFormatting sqref="AI19">
    <cfRule type="cellIs" dxfId="12578" priority="290" operator="greaterThan">
      <formula>0.95</formula>
    </cfRule>
  </conditionalFormatting>
  <conditionalFormatting sqref="BF19">
    <cfRule type="cellIs" dxfId="12577" priority="286" operator="equal">
      <formula>0</formula>
    </cfRule>
    <cfRule type="cellIs" dxfId="12576" priority="287" operator="equal">
      <formula>0</formula>
    </cfRule>
  </conditionalFormatting>
  <conditionalFormatting sqref="BF19">
    <cfRule type="cellIs" dxfId="12575" priority="282" operator="greaterThan">
      <formula>3</formula>
    </cfRule>
  </conditionalFormatting>
  <conditionalFormatting sqref="E19">
    <cfRule type="duplicateValues" dxfId="12574" priority="225"/>
    <cfRule type="duplicateValues" dxfId="12573" priority="274"/>
    <cfRule type="duplicateValues" dxfId="12572" priority="275"/>
    <cfRule type="duplicateValues" dxfId="12571" priority="276"/>
    <cfRule type="duplicateValues" dxfId="12570" priority="277"/>
    <cfRule type="duplicateValues" dxfId="12569" priority="278"/>
  </conditionalFormatting>
  <conditionalFormatting sqref="E19">
    <cfRule type="duplicateValues" dxfId="12568" priority="247"/>
  </conditionalFormatting>
  <conditionalFormatting sqref="E19">
    <cfRule type="duplicateValues" dxfId="12567" priority="255"/>
  </conditionalFormatting>
  <conditionalFormatting sqref="E19">
    <cfRule type="duplicateValues" dxfId="12566" priority="249"/>
    <cfRule type="duplicateValues" dxfId="12565" priority="250"/>
    <cfRule type="duplicateValues" dxfId="12564" priority="251"/>
    <cfRule type="duplicateValues" dxfId="12563" priority="252"/>
    <cfRule type="duplicateValues" dxfId="12562" priority="253"/>
    <cfRule type="duplicateValues" dxfId="12561" priority="254"/>
  </conditionalFormatting>
  <conditionalFormatting sqref="E19">
    <cfRule type="duplicateValues" dxfId="12560" priority="256"/>
  </conditionalFormatting>
  <conditionalFormatting sqref="E19">
    <cfRule type="duplicateValues" dxfId="12559" priority="248"/>
  </conditionalFormatting>
  <conditionalFormatting sqref="E19">
    <cfRule type="duplicateValues" dxfId="12558" priority="236"/>
    <cfRule type="duplicateValues" dxfId="12557" priority="237"/>
    <cfRule type="duplicateValues" dxfId="12556" priority="238"/>
    <cfRule type="duplicateValues" dxfId="12555" priority="239"/>
    <cfRule type="duplicateValues" dxfId="12554" priority="240"/>
    <cfRule type="duplicateValues" dxfId="12553" priority="241"/>
    <cfRule type="duplicateValues" dxfId="12552" priority="242"/>
    <cfRule type="duplicateValues" dxfId="12551" priority="243"/>
    <cfRule type="duplicateValues" dxfId="12550" priority="244"/>
    <cfRule type="duplicateValues" dxfId="12549" priority="245"/>
    <cfRule type="duplicateValues" dxfId="12548" priority="246"/>
  </conditionalFormatting>
  <conditionalFormatting sqref="E19">
    <cfRule type="duplicateValues" dxfId="12547" priority="257"/>
    <cfRule type="duplicateValues" dxfId="12546" priority="258"/>
    <cfRule type="duplicateValues" dxfId="12545" priority="259"/>
    <cfRule type="duplicateValues" dxfId="12544" priority="260"/>
    <cfRule type="duplicateValues" dxfId="12543" priority="261"/>
    <cfRule type="duplicateValues" dxfId="12542" priority="262"/>
    <cfRule type="duplicateValues" dxfId="12541" priority="263"/>
    <cfRule type="duplicateValues" dxfId="12540" priority="264"/>
    <cfRule type="duplicateValues" dxfId="12539" priority="265"/>
    <cfRule type="duplicateValues" dxfId="12538" priority="266"/>
    <cfRule type="duplicateValues" dxfId="12537" priority="267"/>
    <cfRule type="duplicateValues" dxfId="12536" priority="268"/>
    <cfRule type="duplicateValues" dxfId="12535" priority="269"/>
    <cfRule type="duplicateValues" dxfId="12534" priority="270"/>
    <cfRule type="duplicateValues" dxfId="12533" priority="271"/>
    <cfRule type="duplicateValues" dxfId="12532" priority="272"/>
    <cfRule type="duplicateValues" dxfId="12531" priority="273"/>
  </conditionalFormatting>
  <conditionalFormatting sqref="E19">
    <cfRule type="duplicateValues" dxfId="12530" priority="226"/>
    <cfRule type="duplicateValues" dxfId="12529" priority="227"/>
    <cfRule type="duplicateValues" dxfId="12528" priority="228"/>
    <cfRule type="duplicateValues" dxfId="12527" priority="229"/>
  </conditionalFormatting>
  <conditionalFormatting sqref="E19">
    <cfRule type="duplicateValues" dxfId="12526" priority="231"/>
    <cfRule type="duplicateValues" dxfId="12525" priority="232"/>
    <cfRule type="duplicateValues" dxfId="12524" priority="233"/>
    <cfRule type="duplicateValues" dxfId="12523" priority="234"/>
    <cfRule type="duplicateValues" dxfId="12522" priority="235"/>
  </conditionalFormatting>
  <conditionalFormatting sqref="E19">
    <cfRule type="duplicateValues" dxfId="12521" priority="230"/>
  </conditionalFormatting>
  <conditionalFormatting sqref="E19">
    <cfRule type="duplicateValues" dxfId="12520" priority="220"/>
    <cfRule type="duplicateValues" dxfId="12519" priority="221"/>
    <cfRule type="duplicateValues" dxfId="12518" priority="222"/>
    <cfRule type="duplicateValues" dxfId="12517" priority="223"/>
    <cfRule type="duplicateValues" dxfId="12516" priority="224"/>
  </conditionalFormatting>
  <conditionalFormatting sqref="E2">
    <cfRule type="duplicateValues" dxfId="12515" priority="175"/>
    <cfRule type="duplicateValues" dxfId="12514" priority="176"/>
    <cfRule type="duplicateValues" dxfId="12513" priority="177"/>
    <cfRule type="duplicateValues" dxfId="12512" priority="178"/>
    <cfRule type="duplicateValues" dxfId="12511" priority="179"/>
    <cfRule type="duplicateValues" dxfId="12510" priority="180"/>
    <cfRule type="duplicateValues" dxfId="12509" priority="181"/>
    <cfRule type="duplicateValues" dxfId="12508" priority="182"/>
    <cfRule type="duplicateValues" dxfId="12507" priority="183"/>
    <cfRule type="duplicateValues" dxfId="12506" priority="184"/>
    <cfRule type="duplicateValues" dxfId="12505" priority="185"/>
    <cfRule type="duplicateValues" dxfId="12504" priority="186"/>
    <cfRule type="duplicateValues" dxfId="12503" priority="187"/>
    <cfRule type="duplicateValues" dxfId="12502" priority="188"/>
    <cfRule type="duplicateValues" dxfId="12501" priority="189"/>
    <cfRule type="duplicateValues" dxfId="12500" priority="190"/>
    <cfRule type="duplicateValues" dxfId="12499" priority="191"/>
    <cfRule type="duplicateValues" dxfId="12498" priority="192"/>
    <cfRule type="duplicateValues" dxfId="12497" priority="193"/>
  </conditionalFormatting>
  <conditionalFormatting sqref="E2">
    <cfRule type="duplicateValues" dxfId="12496" priority="197"/>
    <cfRule type="duplicateValues" dxfId="12495" priority="198"/>
    <cfRule type="duplicateValues" dxfId="12494" priority="199"/>
    <cfRule type="duplicateValues" dxfId="12493" priority="200"/>
    <cfRule type="duplicateValues" dxfId="12492" priority="201"/>
    <cfRule type="duplicateValues" dxfId="12491" priority="202"/>
  </conditionalFormatting>
  <conditionalFormatting sqref="E2">
    <cfRule type="duplicateValues" dxfId="12490" priority="151"/>
  </conditionalFormatting>
  <conditionalFormatting sqref="E2">
    <cfRule type="duplicateValues" dxfId="12489" priority="149"/>
    <cfRule type="duplicateValues" dxfId="12488" priority="150"/>
  </conditionalFormatting>
  <conditionalFormatting sqref="E2">
    <cfRule type="duplicateValues" dxfId="12487" priority="215"/>
  </conditionalFormatting>
  <conditionalFormatting sqref="E2">
    <cfRule type="duplicateValues" dxfId="12486" priority="216"/>
    <cfRule type="duplicateValues" dxfId="12485" priority="217"/>
  </conditionalFormatting>
  <conditionalFormatting sqref="E2">
    <cfRule type="duplicateValues" dxfId="12484" priority="214"/>
  </conditionalFormatting>
  <conditionalFormatting sqref="E2">
    <cfRule type="duplicateValues" dxfId="12483" priority="205"/>
  </conditionalFormatting>
  <conditionalFormatting sqref="E2">
    <cfRule type="duplicateValues" dxfId="12482" priority="212"/>
  </conditionalFormatting>
  <conditionalFormatting sqref="E2">
    <cfRule type="duplicateValues" dxfId="12481" priority="206"/>
    <cfRule type="duplicateValues" dxfId="12480" priority="207"/>
    <cfRule type="duplicateValues" dxfId="12479" priority="208"/>
    <cfRule type="duplicateValues" dxfId="12478" priority="209"/>
    <cfRule type="duplicateValues" dxfId="12477" priority="210"/>
    <cfRule type="duplicateValues" dxfId="12476" priority="211"/>
  </conditionalFormatting>
  <conditionalFormatting sqref="E2">
    <cfRule type="duplicateValues" dxfId="12475" priority="167"/>
    <cfRule type="duplicateValues" dxfId="12474" priority="168"/>
    <cfRule type="duplicateValues" dxfId="12473" priority="169"/>
    <cfRule type="duplicateValues" dxfId="12472" priority="170"/>
    <cfRule type="duplicateValues" dxfId="12471" priority="171"/>
    <cfRule type="duplicateValues" dxfId="12470" priority="172"/>
    <cfRule type="duplicateValues" dxfId="12469" priority="173"/>
    <cfRule type="duplicateValues" dxfId="12468" priority="174"/>
    <cfRule type="duplicateValues" dxfId="12467" priority="194"/>
    <cfRule type="duplicateValues" dxfId="12466" priority="195"/>
    <cfRule type="duplicateValues" dxfId="12465" priority="196"/>
  </conditionalFormatting>
  <conditionalFormatting sqref="E2">
    <cfRule type="duplicateValues" dxfId="12464" priority="213"/>
  </conditionalFormatting>
  <conditionalFormatting sqref="E2">
    <cfRule type="duplicateValues" dxfId="12463" priority="157"/>
    <cfRule type="duplicateValues" dxfId="12462" priority="158"/>
    <cfRule type="duplicateValues" dxfId="12461" priority="159"/>
    <cfRule type="duplicateValues" dxfId="12460" priority="160"/>
  </conditionalFormatting>
  <conditionalFormatting sqref="E2">
    <cfRule type="duplicateValues" dxfId="12459" priority="162"/>
    <cfRule type="duplicateValues" dxfId="12458" priority="163"/>
    <cfRule type="duplicateValues" dxfId="12457" priority="164"/>
    <cfRule type="duplicateValues" dxfId="12456" priority="165"/>
    <cfRule type="duplicateValues" dxfId="12455" priority="166"/>
  </conditionalFormatting>
  <conditionalFormatting sqref="E2">
    <cfRule type="duplicateValues" dxfId="12454" priority="161"/>
  </conditionalFormatting>
  <conditionalFormatting sqref="AG2">
    <cfRule type="cellIs" dxfId="12453" priority="204" operator="lessThan">
      <formula>NOW()</formula>
    </cfRule>
  </conditionalFormatting>
  <conditionalFormatting sqref="AH2">
    <cfRule type="cellIs" dxfId="12452" priority="203" operator="lessThan">
      <formula>NOW()</formula>
    </cfRule>
  </conditionalFormatting>
  <conditionalFormatting sqref="BE2">
    <cfRule type="cellIs" dxfId="12451" priority="152" operator="equal">
      <formula>$BE$4</formula>
    </cfRule>
    <cfRule type="cellIs" dxfId="12450" priority="153" operator="equal">
      <formula>$BE$4</formula>
    </cfRule>
  </conditionalFormatting>
  <conditionalFormatting sqref="BE2">
    <cfRule type="cellIs" dxfId="12449" priority="154" operator="equal">
      <formula>36528</formula>
    </cfRule>
    <cfRule type="cellIs" dxfId="12448" priority="155" operator="equal">
      <formula>0</formula>
    </cfRule>
    <cfRule type="cellIs" dxfId="12447" priority="156" operator="equal">
      <formula>36528</formula>
    </cfRule>
  </conditionalFormatting>
  <conditionalFormatting sqref="E2">
    <cfRule type="duplicateValues" dxfId="12446" priority="143"/>
    <cfRule type="duplicateValues" dxfId="12445" priority="144"/>
    <cfRule type="duplicateValues" dxfId="12444" priority="145"/>
    <cfRule type="duplicateValues" dxfId="12443" priority="146"/>
    <cfRule type="duplicateValues" dxfId="12442" priority="147"/>
    <cfRule type="duplicateValues" dxfId="12441" priority="148"/>
  </conditionalFormatting>
  <conditionalFormatting sqref="E2">
    <cfRule type="duplicateValues" dxfId="12440" priority="138"/>
    <cfRule type="duplicateValues" dxfId="12439" priority="139"/>
    <cfRule type="duplicateValues" dxfId="12438" priority="140"/>
    <cfRule type="duplicateValues" dxfId="12437" priority="141"/>
    <cfRule type="duplicateValues" dxfId="12436" priority="142"/>
  </conditionalFormatting>
  <conditionalFormatting sqref="E13">
    <cfRule type="duplicateValues" dxfId="12435" priority="102"/>
  </conditionalFormatting>
  <conditionalFormatting sqref="E13">
    <cfRule type="duplicateValues" dxfId="12434" priority="100"/>
    <cfRule type="duplicateValues" dxfId="12433" priority="101"/>
  </conditionalFormatting>
  <conditionalFormatting sqref="E13">
    <cfRule type="duplicateValues" dxfId="12432" priority="107"/>
  </conditionalFormatting>
  <conditionalFormatting sqref="E13">
    <cfRule type="duplicateValues" dxfId="12431" priority="108"/>
    <cfRule type="duplicateValues" dxfId="12430" priority="109"/>
  </conditionalFormatting>
  <conditionalFormatting sqref="E13">
    <cfRule type="duplicateValues" dxfId="12429" priority="104"/>
  </conditionalFormatting>
  <conditionalFormatting sqref="E13">
    <cfRule type="duplicateValues" dxfId="12428" priority="105"/>
  </conditionalFormatting>
  <conditionalFormatting sqref="E13">
    <cfRule type="duplicateValues" dxfId="12427" priority="106"/>
  </conditionalFormatting>
  <conditionalFormatting sqref="E13">
    <cfRule type="duplicateValues" dxfId="12426" priority="103"/>
  </conditionalFormatting>
  <conditionalFormatting sqref="E13">
    <cfRule type="duplicateValues" dxfId="12425" priority="97"/>
    <cfRule type="duplicateValues" dxfId="12424" priority="98"/>
    <cfRule type="duplicateValues" dxfId="12423" priority="99"/>
  </conditionalFormatting>
  <conditionalFormatting sqref="E13">
    <cfRule type="duplicateValues" dxfId="12422" priority="110"/>
    <cfRule type="duplicateValues" dxfId="12421" priority="111"/>
    <cfRule type="duplicateValues" dxfId="12420" priority="112"/>
    <cfRule type="duplicateValues" dxfId="12419" priority="113"/>
    <cfRule type="duplicateValues" dxfId="12418" priority="114"/>
    <cfRule type="duplicateValues" dxfId="12417" priority="115"/>
    <cfRule type="duplicateValues" dxfId="12416" priority="116"/>
    <cfRule type="duplicateValues" dxfId="12415" priority="117"/>
    <cfRule type="duplicateValues" dxfId="12414" priority="118"/>
    <cfRule type="duplicateValues" dxfId="12413" priority="119"/>
    <cfRule type="duplicateValues" dxfId="12412" priority="120"/>
    <cfRule type="duplicateValues" dxfId="12411" priority="121"/>
    <cfRule type="duplicateValues" dxfId="12410" priority="122"/>
    <cfRule type="duplicateValues" dxfId="12409" priority="123"/>
    <cfRule type="duplicateValues" dxfId="12408" priority="124"/>
    <cfRule type="duplicateValues" dxfId="12407" priority="125"/>
    <cfRule type="duplicateValues" dxfId="12406" priority="126"/>
    <cfRule type="duplicateValues" dxfId="12405" priority="127"/>
    <cfRule type="duplicateValues" dxfId="12404" priority="128"/>
    <cfRule type="duplicateValues" dxfId="12403" priority="129"/>
    <cfRule type="duplicateValues" dxfId="12402" priority="130"/>
    <cfRule type="duplicateValues" dxfId="12401" priority="131"/>
    <cfRule type="duplicateValues" dxfId="12400" priority="132"/>
    <cfRule type="duplicateValues" dxfId="12399" priority="133"/>
    <cfRule type="duplicateValues" dxfId="12398" priority="134"/>
    <cfRule type="duplicateValues" dxfId="12397" priority="135"/>
    <cfRule type="duplicateValues" dxfId="12396" priority="136"/>
    <cfRule type="duplicateValues" dxfId="12395" priority="137"/>
  </conditionalFormatting>
  <conditionalFormatting sqref="AC22">
    <cfRule type="cellIs" dxfId="12394" priority="94" operator="greaterThan">
      <formula>50</formula>
    </cfRule>
  </conditionalFormatting>
  <conditionalFormatting sqref="AG22">
    <cfRule type="cellIs" dxfId="12393" priority="92" operator="lessThan">
      <formula>NOW()</formula>
    </cfRule>
  </conditionalFormatting>
  <conditionalFormatting sqref="AH22">
    <cfRule type="cellIs" dxfId="12392" priority="91" operator="lessThan">
      <formula>NOW()</formula>
    </cfRule>
  </conditionalFormatting>
  <conditionalFormatting sqref="AI22">
    <cfRule type="cellIs" dxfId="12391" priority="93" operator="greaterThan">
      <formula>0.95</formula>
    </cfRule>
  </conditionalFormatting>
  <conditionalFormatting sqref="BE22">
    <cfRule type="cellIs" dxfId="12390" priority="86" operator="equal">
      <formula>36528</formula>
    </cfRule>
    <cfRule type="cellIs" dxfId="12389" priority="87" operator="equal">
      <formula>0</formula>
    </cfRule>
    <cfRule type="cellIs" dxfId="12388" priority="88" operator="equal">
      <formula>36528</formula>
    </cfRule>
  </conditionalFormatting>
  <conditionalFormatting sqref="BF22">
    <cfRule type="cellIs" dxfId="12387" priority="89" operator="equal">
      <formula>0</formula>
    </cfRule>
    <cfRule type="cellIs" dxfId="12386" priority="90" operator="equal">
      <formula>0</formula>
    </cfRule>
  </conditionalFormatting>
  <conditionalFormatting sqref="BF22">
    <cfRule type="cellIs" dxfId="12385" priority="85" operator="greaterThan">
      <formula>3</formula>
    </cfRule>
  </conditionalFormatting>
  <conditionalFormatting sqref="BE22">
    <cfRule type="cellIs" dxfId="12384" priority="95" operator="equal">
      <formula>$BE$3</formula>
    </cfRule>
    <cfRule type="cellIs" dxfId="12383" priority="96" operator="equal">
      <formula>$BE$3</formula>
    </cfRule>
  </conditionalFormatting>
  <conditionalFormatting sqref="CP22">
    <cfRule type="containsText" dxfId="12382" priority="84" operator="containsText" text="FOR ISSUANCE">
      <formula>NOT(ISERROR(SEARCH("FOR ISSUANCE",CP22)))</formula>
    </cfRule>
  </conditionalFormatting>
  <conditionalFormatting sqref="CP22">
    <cfRule type="containsText" dxfId="12381" priority="83" operator="containsText" text="NTC ISSUED">
      <formula>NOT(ISERROR(SEARCH("NTC ISSUED",CP22)))</formula>
    </cfRule>
  </conditionalFormatting>
  <conditionalFormatting sqref="E22">
    <cfRule type="duplicateValues" dxfId="12380" priority="82"/>
  </conditionalFormatting>
  <conditionalFormatting sqref="E22">
    <cfRule type="duplicateValues" dxfId="12379" priority="80"/>
    <cfRule type="duplicateValues" dxfId="12378" priority="81"/>
  </conditionalFormatting>
  <conditionalFormatting sqref="E22">
    <cfRule type="duplicateValues" dxfId="12377" priority="79"/>
  </conditionalFormatting>
  <conditionalFormatting sqref="E22">
    <cfRule type="duplicateValues" dxfId="12376" priority="77"/>
    <cfRule type="duplicateValues" dxfId="12375" priority="78"/>
  </conditionalFormatting>
  <conditionalFormatting sqref="E22">
    <cfRule type="duplicateValues" dxfId="12374" priority="76"/>
  </conditionalFormatting>
  <conditionalFormatting sqref="E22">
    <cfRule type="duplicateValues" dxfId="12373" priority="75"/>
  </conditionalFormatting>
  <conditionalFormatting sqref="E22">
    <cfRule type="duplicateValues" dxfId="12372" priority="74"/>
  </conditionalFormatting>
  <conditionalFormatting sqref="E22">
    <cfRule type="duplicateValues" dxfId="12371" priority="70"/>
    <cfRule type="duplicateValues" dxfId="12370" priority="71"/>
    <cfRule type="duplicateValues" dxfId="12369" priority="72"/>
    <cfRule type="duplicateValues" dxfId="12368" priority="73"/>
  </conditionalFormatting>
  <conditionalFormatting sqref="E22">
    <cfRule type="duplicateValues" dxfId="12367" priority="65"/>
    <cfRule type="duplicateValues" dxfId="12366" priority="66"/>
    <cfRule type="duplicateValues" dxfId="12365" priority="67"/>
    <cfRule type="duplicateValues" dxfId="12364" priority="68"/>
    <cfRule type="duplicateValues" dxfId="12363" priority="69"/>
  </conditionalFormatting>
  <conditionalFormatting sqref="E22">
    <cfRule type="duplicateValues" dxfId="12362" priority="54"/>
    <cfRule type="duplicateValues" dxfId="12361" priority="55"/>
    <cfRule type="duplicateValues" dxfId="12360" priority="56"/>
    <cfRule type="duplicateValues" dxfId="12359" priority="57"/>
    <cfRule type="duplicateValues" dxfId="12358" priority="58"/>
    <cfRule type="duplicateValues" dxfId="12357" priority="59"/>
    <cfRule type="duplicateValues" dxfId="12356" priority="60"/>
    <cfRule type="duplicateValues" dxfId="12355" priority="61"/>
    <cfRule type="duplicateValues" dxfId="12354" priority="62"/>
    <cfRule type="duplicateValues" dxfId="12353" priority="63"/>
    <cfRule type="duplicateValues" dxfId="12352" priority="64"/>
  </conditionalFormatting>
  <conditionalFormatting sqref="E22">
    <cfRule type="duplicateValues" dxfId="12351" priority="48"/>
    <cfRule type="duplicateValues" dxfId="12350" priority="49"/>
    <cfRule type="duplicateValues" dxfId="12349" priority="50"/>
    <cfRule type="duplicateValues" dxfId="12348" priority="51"/>
    <cfRule type="duplicateValues" dxfId="12347" priority="52"/>
    <cfRule type="duplicateValues" dxfId="12346" priority="53"/>
  </conditionalFormatting>
  <conditionalFormatting sqref="E22">
    <cfRule type="duplicateValues" dxfId="12345" priority="42"/>
    <cfRule type="duplicateValues" dxfId="12344" priority="43"/>
    <cfRule type="duplicateValues" dxfId="12343" priority="44"/>
    <cfRule type="duplicateValues" dxfId="12342" priority="45"/>
    <cfRule type="duplicateValues" dxfId="12341" priority="46"/>
    <cfRule type="duplicateValues" dxfId="12340" priority="47"/>
  </conditionalFormatting>
  <conditionalFormatting sqref="E22">
    <cfRule type="duplicateValues" dxfId="12339" priority="41"/>
  </conditionalFormatting>
  <conditionalFormatting sqref="E22">
    <cfRule type="duplicateValues" dxfId="12338" priority="35"/>
    <cfRule type="duplicateValues" dxfId="12337" priority="36"/>
    <cfRule type="duplicateValues" dxfId="12336" priority="37"/>
    <cfRule type="duplicateValues" dxfId="12335" priority="38"/>
    <cfRule type="duplicateValues" dxfId="12334" priority="39"/>
    <cfRule type="duplicateValues" dxfId="12333" priority="40"/>
  </conditionalFormatting>
  <conditionalFormatting sqref="E22">
    <cfRule type="duplicateValues" dxfId="12332" priority="30"/>
    <cfRule type="duplicateValues" dxfId="12331" priority="31"/>
    <cfRule type="duplicateValues" dxfId="12330" priority="32"/>
    <cfRule type="duplicateValues" dxfId="12329" priority="33"/>
    <cfRule type="duplicateValues" dxfId="12328" priority="34"/>
  </conditionalFormatting>
  <conditionalFormatting sqref="E22">
    <cfRule type="duplicateValues" dxfId="12327" priority="29"/>
  </conditionalFormatting>
  <conditionalFormatting sqref="E22">
    <cfRule type="duplicateValues" dxfId="12326" priority="7"/>
    <cfRule type="duplicateValues" dxfId="12325" priority="8"/>
    <cfRule type="duplicateValues" dxfId="12324" priority="9"/>
    <cfRule type="duplicateValues" dxfId="12323" priority="10"/>
    <cfRule type="duplicateValues" dxfId="12322" priority="11"/>
    <cfRule type="duplicateValues" dxfId="12321" priority="12"/>
    <cfRule type="duplicateValues" dxfId="12320" priority="13"/>
    <cfRule type="duplicateValues" dxfId="12319" priority="14"/>
    <cfRule type="duplicateValues" dxfId="12318" priority="15"/>
    <cfRule type="duplicateValues" dxfId="12317" priority="16"/>
    <cfRule type="duplicateValues" dxfId="12316" priority="17"/>
    <cfRule type="duplicateValues" dxfId="12315" priority="18"/>
    <cfRule type="duplicateValues" dxfId="12314" priority="19"/>
    <cfRule type="duplicateValues" dxfId="12313" priority="20"/>
    <cfRule type="duplicateValues" dxfId="12312" priority="21"/>
    <cfRule type="duplicateValues" dxfId="12311" priority="22"/>
    <cfRule type="duplicateValues" dxfId="12310" priority="23"/>
    <cfRule type="duplicateValues" dxfId="12309" priority="24"/>
    <cfRule type="duplicateValues" dxfId="12308" priority="25"/>
    <cfRule type="duplicateValues" dxfId="12307" priority="26"/>
    <cfRule type="duplicateValues" dxfId="12306" priority="27"/>
    <cfRule type="duplicateValues" dxfId="12305" priority="28"/>
  </conditionalFormatting>
  <conditionalFormatting sqref="E22">
    <cfRule type="duplicateValues" dxfId="12304" priority="1"/>
    <cfRule type="duplicateValues" dxfId="12303" priority="2"/>
    <cfRule type="duplicateValues" dxfId="12302" priority="3"/>
    <cfRule type="duplicateValues" dxfId="12301" priority="4"/>
    <cfRule type="duplicateValues" dxfId="12300" priority="5"/>
    <cfRule type="duplicateValues" dxfId="12299" priority="6"/>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71AFC-D27C-4D06-A85F-B3882BB05224}">
  <sheetPr codeName="Sheet1">
    <pageSetUpPr fitToPage="1"/>
  </sheetPr>
  <dimension ref="A1:EA999"/>
  <sheetViews>
    <sheetView tabSelected="1" zoomScaleNormal="100" workbookViewId="0">
      <pane xSplit="6" ySplit="2" topLeftCell="H212" activePane="bottomRight" state="frozen"/>
      <selection pane="topRight" activeCell="G1" sqref="G1"/>
      <selection pane="bottomLeft" activeCell="A3" sqref="A3"/>
      <selection pane="bottomRight" activeCell="M212" sqref="M212"/>
    </sheetView>
  </sheetViews>
  <sheetFormatPr defaultColWidth="9.140625" defaultRowHeight="15" customHeight="1" x14ac:dyDescent="0.25"/>
  <cols>
    <col min="1" max="1" width="9.140625" style="1105" customWidth="1"/>
    <col min="2" max="2" width="9.140625" style="1102" customWidth="1"/>
    <col min="3" max="3" width="5.85546875" style="1106" customWidth="1"/>
    <col min="4" max="4" width="6.85546875" style="935" hidden="1" customWidth="1"/>
    <col min="5" max="5" width="12.85546875" style="1127" customWidth="1"/>
    <col min="6" max="6" width="30.5703125" style="1057" customWidth="1"/>
    <col min="7" max="7" width="34" style="1057" customWidth="1"/>
    <col min="8" max="8" width="16.5703125" style="1057" customWidth="1"/>
    <col min="9" max="9" width="12.85546875" style="1057" customWidth="1"/>
    <col min="10" max="10" width="22.5703125" style="1109" customWidth="1"/>
    <col min="11" max="11" width="9.140625" style="1121" customWidth="1"/>
    <col min="12" max="12" width="12.85546875" style="1057" customWidth="1"/>
    <col min="13" max="13" width="13.140625" style="1057" customWidth="1"/>
    <col min="14" max="14" width="14.5703125" style="1057" hidden="1" customWidth="1"/>
    <col min="15" max="15" width="14.5703125" style="1111" hidden="1" customWidth="1"/>
    <col min="16" max="16" width="10.85546875" style="1111" hidden="1" customWidth="1"/>
    <col min="17" max="17" width="9.42578125" style="1057" hidden="1" customWidth="1"/>
    <col min="18" max="18" width="7.85546875" style="1113" hidden="1" customWidth="1"/>
    <col min="19" max="19" width="14.5703125" style="1055" hidden="1" customWidth="1"/>
    <col min="20" max="20" width="14.5703125" style="1057" hidden="1" customWidth="1"/>
    <col min="21" max="21" width="12.42578125" style="1059" hidden="1" customWidth="1"/>
    <col min="22" max="22" width="11.5703125" style="1057" hidden="1" customWidth="1"/>
    <col min="23" max="23" width="9.140625" style="1116" customWidth="1"/>
    <col min="24" max="25" width="9.140625" style="1057" customWidth="1"/>
    <col min="26" max="26" width="14" style="1102" customWidth="1"/>
    <col min="27" max="27" width="11.5703125" style="1102" customWidth="1"/>
    <col min="28" max="28" width="9.140625" style="1102" customWidth="1"/>
    <col min="29" max="29" width="9.140625" style="1117" customWidth="1"/>
    <col min="30" max="34" width="9.140625" style="1057" customWidth="1"/>
    <col min="35" max="35" width="9.85546875" style="1124" customWidth="1"/>
    <col min="36" max="36" width="9.140625" style="1106" customWidth="1"/>
    <col min="37" max="40" width="9.140625" style="1057" customWidth="1"/>
    <col min="41" max="41" width="9.140625" style="1129" customWidth="1"/>
    <col min="42" max="45" width="9.140625" style="1057" customWidth="1"/>
    <col min="46" max="46" width="11.140625" style="1130" customWidth="1"/>
    <col min="47" max="47" width="30" style="1131" customWidth="1"/>
    <col min="48" max="48" width="11.5703125" style="1063" customWidth="1"/>
    <col min="49" max="49" width="11.5703125" style="1057" customWidth="1"/>
    <col min="50" max="50" width="12" style="1057" customWidth="1"/>
    <col min="51" max="51" width="9.140625" style="1057" customWidth="1"/>
    <col min="52" max="52" width="12.85546875" style="1118" customWidth="1"/>
    <col min="53" max="53" width="9.5703125" style="1057" customWidth="1"/>
    <col min="54" max="54" width="11.85546875" style="1125" customWidth="1"/>
    <col min="55" max="55" width="32.85546875" style="1126" customWidth="1"/>
    <col min="56" max="56" width="18.140625" style="1119" customWidth="1"/>
    <col min="57" max="57" width="10.140625" style="1112" customWidth="1"/>
    <col min="58" max="58" width="10.85546875" style="1057" customWidth="1"/>
    <col min="59" max="59" width="9.140625" style="1116" customWidth="1"/>
    <col min="60" max="60" width="9.140625" style="1057" customWidth="1"/>
    <col min="61" max="61" width="9.140625" style="1116" customWidth="1"/>
    <col min="62" max="62" width="4.85546875" style="1057" customWidth="1"/>
    <col min="63" max="63" width="11.5703125" style="1057" bestFit="1" customWidth="1"/>
    <col min="64" max="64" width="5.85546875" style="1057" customWidth="1"/>
    <col min="65" max="65" width="9.140625" style="1102" customWidth="1"/>
    <col min="66" max="66" width="9.140625" style="1057" customWidth="1"/>
    <col min="67" max="67" width="9.140625" style="1102" customWidth="1"/>
    <col min="68" max="70" width="9.140625" style="1057" customWidth="1"/>
    <col min="71" max="75" width="9.140625" style="1114" customWidth="1"/>
    <col min="76" max="76" width="9.140625" style="82" customWidth="1"/>
    <col min="77" max="77" width="9.140625" style="79" customWidth="1"/>
    <col min="78" max="78" width="9.140625" style="1114" customWidth="1"/>
    <col min="79" max="81" width="9.140625" style="1057" customWidth="1"/>
    <col min="82" max="82" width="14.85546875" style="1057" customWidth="1"/>
    <col min="83" max="83" width="10.140625" style="1057" customWidth="1"/>
    <col min="84" max="84" width="12.140625" style="1059" customWidth="1"/>
    <col min="85" max="85" width="11.85546875" style="1059" customWidth="1"/>
    <col min="86" max="86" width="10.140625" style="1082" customWidth="1"/>
    <col min="87" max="87" width="10.140625" style="1083" customWidth="1"/>
    <col min="88" max="88" width="9.140625" style="1057" bestFit="1" customWidth="1"/>
    <col min="89" max="89" width="11.5703125" style="1085" customWidth="1"/>
    <col min="90" max="90" width="9.140625" style="1057" bestFit="1" customWidth="1"/>
    <col min="91" max="91" width="20.5703125" style="1057" customWidth="1"/>
    <col min="92" max="92" width="18" style="1120" bestFit="1" customWidth="1"/>
    <col min="93" max="94" width="18" style="1065" customWidth="1"/>
    <col min="95" max="95" width="16.85546875" style="1120" customWidth="1"/>
    <col min="96" max="96" width="0.85546875" style="1121" customWidth="1"/>
    <col min="97" max="97" width="7.85546875" style="1121" customWidth="1"/>
    <col min="98" max="98" width="16.85546875" style="1120" customWidth="1"/>
    <col min="99" max="99" width="18.42578125" style="1065" customWidth="1"/>
    <col min="100" max="100" width="15.140625" style="1122" customWidth="1"/>
    <col min="101" max="101" width="12.85546875" style="404" customWidth="1"/>
    <col min="102" max="103" width="9.42578125" style="1057" customWidth="1"/>
    <col min="104" max="104" width="9.140625" style="1057"/>
    <col min="105" max="105" width="11.85546875" style="1057" customWidth="1"/>
    <col min="106" max="116" width="9.140625" style="1057"/>
    <col min="117" max="117" width="9.140625" style="1057" bestFit="1" customWidth="1"/>
    <col min="118" max="122" width="9.140625" style="1057"/>
    <col min="123" max="123" width="9.140625" style="1057" bestFit="1" customWidth="1"/>
    <col min="124" max="16384" width="9.140625" style="1057"/>
  </cols>
  <sheetData>
    <row r="1" spans="1:123" ht="15" customHeight="1" x14ac:dyDescent="0.2">
      <c r="A1" s="1004"/>
      <c r="B1" s="2"/>
      <c r="C1" s="2"/>
      <c r="D1" s="309" t="s">
        <v>133</v>
      </c>
      <c r="E1" s="1053"/>
      <c r="F1" s="3"/>
      <c r="G1" s="3">
        <v>0</v>
      </c>
      <c r="H1" s="3"/>
      <c r="I1" s="3"/>
      <c r="J1" s="86"/>
      <c r="K1" s="89" t="s">
        <v>134</v>
      </c>
      <c r="L1" s="172" t="s">
        <v>339</v>
      </c>
      <c r="M1" s="173"/>
      <c r="N1" s="5"/>
      <c r="O1" s="1042"/>
      <c r="P1" s="1042"/>
      <c r="Q1" s="60"/>
      <c r="R1" s="7"/>
      <c r="S1" s="1054"/>
      <c r="T1" s="1055"/>
      <c r="U1" s="9"/>
      <c r="V1" s="150"/>
      <c r="W1" s="174"/>
      <c r="X1" s="175" t="s">
        <v>135</v>
      </c>
      <c r="Y1" s="176"/>
      <c r="Z1" s="895"/>
      <c r="AA1" s="895"/>
      <c r="AB1" s="895"/>
      <c r="AC1" s="177" t="s">
        <v>136</v>
      </c>
      <c r="AD1" s="177"/>
      <c r="AE1" s="177"/>
      <c r="AF1" s="176"/>
      <c r="AG1" s="178"/>
      <c r="AH1" s="179" t="s">
        <v>137</v>
      </c>
      <c r="AI1" s="180"/>
      <c r="AJ1" s="181"/>
      <c r="AK1" s="17"/>
      <c r="AL1" s="6" t="s">
        <v>138</v>
      </c>
      <c r="AM1" s="6"/>
      <c r="AN1" s="7"/>
      <c r="AO1" s="18"/>
      <c r="AP1" s="1056"/>
      <c r="AQ1" s="182" t="s">
        <v>139</v>
      </c>
      <c r="AR1" s="182"/>
      <c r="AS1" s="182"/>
      <c r="AT1" s="181" t="s">
        <v>140</v>
      </c>
      <c r="AU1" s="151" t="s">
        <v>141</v>
      </c>
      <c r="AV1" s="152"/>
      <c r="AW1" s="152"/>
      <c r="AX1" s="152"/>
      <c r="AY1" s="152"/>
      <c r="AZ1" s="298"/>
      <c r="BA1" s="152"/>
      <c r="BB1" s="302" t="s">
        <v>141</v>
      </c>
      <c r="BC1" s="64" t="s">
        <v>142</v>
      </c>
      <c r="BD1" s="22"/>
      <c r="BE1" s="1154" t="s">
        <v>143</v>
      </c>
      <c r="BF1" s="1155"/>
      <c r="BG1" s="1155"/>
      <c r="BH1" s="1156"/>
      <c r="BI1" s="1157" t="s">
        <v>144</v>
      </c>
      <c r="BJ1" s="1158"/>
      <c r="BK1" s="1159" t="s">
        <v>145</v>
      </c>
      <c r="BL1" s="1153"/>
      <c r="BM1" s="1153"/>
      <c r="BN1" s="1153"/>
      <c r="BO1" s="1159" t="s">
        <v>146</v>
      </c>
      <c r="BP1" s="1160"/>
      <c r="BQ1" s="1159" t="s">
        <v>147</v>
      </c>
      <c r="BR1" s="1153"/>
      <c r="BS1" s="1153" t="s">
        <v>148</v>
      </c>
      <c r="BT1" s="1153"/>
      <c r="BU1" s="1153"/>
      <c r="BV1" s="1153"/>
      <c r="BW1" s="1153"/>
      <c r="BX1" s="896"/>
      <c r="BY1" s="82"/>
      <c r="BZ1" s="945"/>
      <c r="CF1" s="1058">
        <v>45869</v>
      </c>
      <c r="CG1" s="1059" t="s">
        <v>340</v>
      </c>
      <c r="CH1" s="1057"/>
      <c r="CI1" s="1057"/>
      <c r="CK1" s="1060">
        <v>45856</v>
      </c>
      <c r="CL1" s="1061"/>
      <c r="CM1" s="1061"/>
      <c r="CN1" s="1062"/>
      <c r="CO1" s="1062"/>
      <c r="CP1" s="1063"/>
      <c r="CQ1" s="1064"/>
      <c r="CR1" s="1065"/>
      <c r="CS1" s="1064"/>
      <c r="CT1" s="1057"/>
      <c r="CU1" s="1057"/>
      <c r="CV1" s="1057"/>
      <c r="CW1" s="1057"/>
    </row>
    <row r="2" spans="1:123" ht="55.5" customHeight="1" x14ac:dyDescent="0.2">
      <c r="A2" s="73" t="s">
        <v>149</v>
      </c>
      <c r="B2" s="184" t="s">
        <v>150</v>
      </c>
      <c r="C2" s="185" t="s">
        <v>151</v>
      </c>
      <c r="D2" s="186" t="s">
        <v>152</v>
      </c>
      <c r="E2" s="403" t="s">
        <v>153</v>
      </c>
      <c r="F2" s="187" t="s">
        <v>154</v>
      </c>
      <c r="G2" s="188" t="s">
        <v>155</v>
      </c>
      <c r="H2" s="188" t="s">
        <v>156</v>
      </c>
      <c r="I2" s="188" t="s">
        <v>157</v>
      </c>
      <c r="J2" s="188" t="s">
        <v>158</v>
      </c>
      <c r="K2" s="188" t="s">
        <v>159</v>
      </c>
      <c r="L2" s="188" t="s">
        <v>160</v>
      </c>
      <c r="M2" s="188" t="s">
        <v>161</v>
      </c>
      <c r="N2" s="189" t="s">
        <v>0</v>
      </c>
      <c r="O2" s="190" t="s">
        <v>162</v>
      </c>
      <c r="P2" s="190" t="s">
        <v>163</v>
      </c>
      <c r="Q2" s="191" t="s">
        <v>164</v>
      </c>
      <c r="R2" s="72" t="s">
        <v>165</v>
      </c>
      <c r="S2" s="192" t="s">
        <v>166</v>
      </c>
      <c r="T2" s="153" t="s">
        <v>167</v>
      </c>
      <c r="U2" s="193" t="s">
        <v>168</v>
      </c>
      <c r="V2" s="194" t="s">
        <v>169</v>
      </c>
      <c r="W2" s="195" t="s">
        <v>170</v>
      </c>
      <c r="X2" s="196" t="s">
        <v>171</v>
      </c>
      <c r="Y2" s="197" t="s">
        <v>172</v>
      </c>
      <c r="Z2" s="943" t="s">
        <v>173</v>
      </c>
      <c r="AA2" s="469" t="s">
        <v>174</v>
      </c>
      <c r="AB2" s="469" t="s">
        <v>175</v>
      </c>
      <c r="AC2" s="198" t="s">
        <v>176</v>
      </c>
      <c r="AD2" s="199" t="s">
        <v>177</v>
      </c>
      <c r="AE2" s="445" t="s">
        <v>178</v>
      </c>
      <c r="AF2" s="200" t="s">
        <v>179</v>
      </c>
      <c r="AG2" s="197" t="s">
        <v>180</v>
      </c>
      <c r="AH2" s="201" t="s">
        <v>181</v>
      </c>
      <c r="AI2" s="202" t="s">
        <v>182</v>
      </c>
      <c r="AJ2" s="203" t="s">
        <v>183</v>
      </c>
      <c r="AK2" s="186" t="s">
        <v>184</v>
      </c>
      <c r="AL2" s="204" t="s">
        <v>185</v>
      </c>
      <c r="AM2" s="204" t="s">
        <v>186</v>
      </c>
      <c r="AN2" s="204" t="s">
        <v>187</v>
      </c>
      <c r="AO2" s="205" t="s">
        <v>188</v>
      </c>
      <c r="AP2" s="206" t="s">
        <v>189</v>
      </c>
      <c r="AQ2" s="207" t="s">
        <v>190</v>
      </c>
      <c r="AR2" s="207" t="s">
        <v>191</v>
      </c>
      <c r="AS2" s="208" t="s">
        <v>192</v>
      </c>
      <c r="AT2" s="203" t="s">
        <v>341</v>
      </c>
      <c r="AU2" s="976" t="s">
        <v>194</v>
      </c>
      <c r="AV2" s="977" t="s">
        <v>195</v>
      </c>
      <c r="AW2" s="978" t="s">
        <v>196</v>
      </c>
      <c r="AX2" s="978" t="s">
        <v>197</v>
      </c>
      <c r="AY2" s="978" t="s">
        <v>198</v>
      </c>
      <c r="AZ2" s="979" t="s">
        <v>199</v>
      </c>
      <c r="BA2" s="978" t="s">
        <v>200</v>
      </c>
      <c r="BB2" s="980" t="s">
        <v>201</v>
      </c>
      <c r="BC2" s="211" t="s">
        <v>202</v>
      </c>
      <c r="BD2" s="212" t="s">
        <v>203</v>
      </c>
      <c r="BE2" s="213" t="s">
        <v>204</v>
      </c>
      <c r="BF2" s="214" t="s">
        <v>205</v>
      </c>
      <c r="BG2" s="215" t="s">
        <v>206</v>
      </c>
      <c r="BH2" s="216" t="s">
        <v>207</v>
      </c>
      <c r="BI2" s="215" t="s">
        <v>208</v>
      </c>
      <c r="BJ2" s="217" t="s">
        <v>209</v>
      </c>
      <c r="BK2" s="189" t="s">
        <v>210</v>
      </c>
      <c r="BL2" s="154" t="s">
        <v>211</v>
      </c>
      <c r="BM2" s="189" t="s">
        <v>212</v>
      </c>
      <c r="BN2" s="184" t="s">
        <v>213</v>
      </c>
      <c r="BO2" s="218" t="s">
        <v>214</v>
      </c>
      <c r="BP2" s="154" t="s">
        <v>215</v>
      </c>
      <c r="BQ2" s="219" t="s">
        <v>216</v>
      </c>
      <c r="BR2" s="184" t="s">
        <v>217</v>
      </c>
      <c r="BS2" s="71" t="s">
        <v>218</v>
      </c>
      <c r="BT2" s="72" t="s">
        <v>219</v>
      </c>
      <c r="BU2" s="72" t="s">
        <v>220</v>
      </c>
      <c r="BV2" s="72" t="s">
        <v>221</v>
      </c>
      <c r="BW2" s="73" t="s">
        <v>222</v>
      </c>
      <c r="BX2" s="72" t="s">
        <v>223</v>
      </c>
      <c r="BY2" s="72" t="s">
        <v>224</v>
      </c>
      <c r="BZ2" s="220" t="s">
        <v>225</v>
      </c>
      <c r="CA2" s="295" t="s">
        <v>226</v>
      </c>
      <c r="CB2" s="1066" t="s">
        <v>227</v>
      </c>
      <c r="CC2" s="295" t="s">
        <v>228</v>
      </c>
      <c r="CD2" s="1066" t="s">
        <v>229</v>
      </c>
      <c r="CE2" s="1066" t="s">
        <v>230</v>
      </c>
      <c r="CF2" s="1067" t="s">
        <v>342</v>
      </c>
      <c r="CG2" s="1067" t="s">
        <v>343</v>
      </c>
      <c r="CH2" s="1067" t="s">
        <v>233</v>
      </c>
      <c r="CI2" s="1068" t="s">
        <v>344</v>
      </c>
      <c r="CJ2" s="1069" t="s">
        <v>345</v>
      </c>
      <c r="CK2" s="1070" t="s">
        <v>346</v>
      </c>
      <c r="CL2" s="1071" t="s">
        <v>347</v>
      </c>
      <c r="CM2" s="1071" t="s">
        <v>348</v>
      </c>
      <c r="CN2" s="1072" t="s">
        <v>349</v>
      </c>
      <c r="CO2" s="1073" t="s">
        <v>350</v>
      </c>
      <c r="CP2" s="1073" t="s">
        <v>351</v>
      </c>
      <c r="CQ2" s="1074" t="s">
        <v>212</v>
      </c>
      <c r="CR2" s="1075" t="s">
        <v>352</v>
      </c>
      <c r="CS2" s="1076" t="s">
        <v>353</v>
      </c>
      <c r="CT2" s="1072" t="s">
        <v>354</v>
      </c>
      <c r="CU2" s="1073" t="s">
        <v>350</v>
      </c>
      <c r="CV2" s="1074" t="s">
        <v>212</v>
      </c>
      <c r="CW2" s="403" t="s">
        <v>24</v>
      </c>
      <c r="CX2" s="189" t="s">
        <v>355</v>
      </c>
      <c r="CY2" s="189" t="s">
        <v>356</v>
      </c>
      <c r="CZ2" s="1057" t="s">
        <v>357</v>
      </c>
      <c r="DA2" s="1071" t="s">
        <v>358</v>
      </c>
      <c r="DC2" s="1057" t="s">
        <v>359</v>
      </c>
      <c r="DS2" s="189" t="s">
        <v>360</v>
      </c>
    </row>
    <row r="3" spans="1:123" customFormat="1" ht="15" customHeight="1" x14ac:dyDescent="0.25">
      <c r="A3" s="221">
        <v>44000</v>
      </c>
      <c r="B3" s="222" t="s">
        <v>308</v>
      </c>
      <c r="C3" s="241"/>
      <c r="D3" s="66" t="s">
        <v>361</v>
      </c>
      <c r="E3" s="412" t="s">
        <v>362</v>
      </c>
      <c r="F3" s="95" t="s">
        <v>363</v>
      </c>
      <c r="G3" s="95" t="s">
        <v>364</v>
      </c>
      <c r="H3" s="95" t="s">
        <v>238</v>
      </c>
      <c r="I3" s="95" t="s">
        <v>239</v>
      </c>
      <c r="J3" s="95" t="s">
        <v>365</v>
      </c>
      <c r="K3" s="101" t="s">
        <v>299</v>
      </c>
      <c r="L3" s="101" t="s">
        <v>366</v>
      </c>
      <c r="M3" s="350" t="s">
        <v>331</v>
      </c>
      <c r="N3" s="442" t="s">
        <v>367</v>
      </c>
      <c r="O3" s="146">
        <v>139.20779999999996</v>
      </c>
      <c r="P3" s="165" t="e">
        <v>#N/A</v>
      </c>
      <c r="Q3" s="157">
        <v>0</v>
      </c>
      <c r="R3" s="109" t="s">
        <v>368</v>
      </c>
      <c r="S3" s="110">
        <v>560984.1</v>
      </c>
      <c r="T3" s="93">
        <v>109904.20999999999</v>
      </c>
      <c r="U3" s="141"/>
      <c r="V3" s="158">
        <f t="shared" ref="V3:V66" si="0">U3/T3</f>
        <v>0</v>
      </c>
      <c r="W3" s="159">
        <v>43987.697222222225</v>
      </c>
      <c r="X3" s="159">
        <v>43990.368055555555</v>
      </c>
      <c r="Y3" s="160">
        <v>43997</v>
      </c>
      <c r="Z3" s="470"/>
      <c r="AA3" s="470"/>
      <c r="AB3" s="470"/>
      <c r="AC3" s="161">
        <f t="shared" ref="AC3:AC66" si="1">AA3-W3</f>
        <v>-43987.697222222225</v>
      </c>
      <c r="AD3" s="161">
        <f t="shared" ref="AD3:AD34" si="2">AA3-X3</f>
        <v>-43990.368055555555</v>
      </c>
      <c r="AE3" s="446">
        <f t="shared" ref="AE3:AE34" si="3">AB3-AA3</f>
        <v>0</v>
      </c>
      <c r="AF3" s="160" t="e">
        <f t="shared" ref="AF3:AF34" si="4">W3+AO3</f>
        <v>#N/A</v>
      </c>
      <c r="AG3" s="160" t="e">
        <f t="shared" ref="AG3:AG34" si="5">W3+AN3</f>
        <v>#N/A</v>
      </c>
      <c r="AH3" s="159">
        <f t="shared" ref="AH3:AH34" si="6">W3+50</f>
        <v>44037.697222222225</v>
      </c>
      <c r="AI3" s="162" t="e">
        <f t="shared" ref="AI3:AI66" si="7" xml:space="preserve"> (0.3)*(AC3/AK3)+(0.7)*(AC3/AL3)</f>
        <v>#N/A</v>
      </c>
      <c r="AJ3" s="224">
        <f t="shared" ref="AJ3:AJ34" si="8">AE3/AP3</f>
        <v>0</v>
      </c>
      <c r="AK3" s="225" t="e">
        <f t="shared" ref="AK3:AK66" si="9">IF(P3&lt;51,20,(IF(P3&lt;101,23,(IF(P3&lt;201,26,IF(P3&lt;301,28,IF(P3&lt;401,30,(IF(P3&lt;501,32,(IF(P3&lt;1001,40,50)))))))))))</f>
        <v>#N/A</v>
      </c>
      <c r="AL3" s="170">
        <f t="shared" ref="AL3:AL66" si="10">IF(Q3&lt;51,36,(IF(Q3&lt;101,34,(IF(Q3&lt;201,32,IF(Q3&lt;301,30,IF(Q3&lt;401,28,(IF(Q3&lt;501,26,(IF(Q3&lt;1001,23,20)))))))))))</f>
        <v>36</v>
      </c>
      <c r="AM3" s="170" t="e">
        <f t="shared" ref="AM3:AM66" si="11">(0.75)/((0.3/AK3)+(0.7/AL3))</f>
        <v>#N/A</v>
      </c>
      <c r="AN3" s="170" t="e">
        <f t="shared" ref="AN3:AN66" si="12">(0.95)/((0.3/AK3)+(0.7/AL3))</f>
        <v>#N/A</v>
      </c>
      <c r="AO3" s="226" t="e">
        <f t="shared" ref="AO3:AO66" si="13">AM3-3</f>
        <v>#N/A</v>
      </c>
      <c r="AP3" s="227">
        <v>60</v>
      </c>
      <c r="AQ3" s="228">
        <f t="shared" ref="AQ3:AQ66" si="14">0.95*AP3</f>
        <v>57</v>
      </c>
      <c r="AR3" s="228">
        <f t="shared" ref="AR3:AR66" si="15">AQ3-5</f>
        <v>52</v>
      </c>
      <c r="AS3" s="229">
        <f t="shared" ref="AS3:AS66" si="16">AA3+AP3</f>
        <v>60</v>
      </c>
      <c r="AT3" s="982">
        <f t="shared" ref="AT3:AT66" ca="1" si="17">IFERROR(TODAY()-AA3,"")</f>
        <v>45895</v>
      </c>
      <c r="AU3" s="50"/>
      <c r="AV3" s="118"/>
      <c r="AW3" s="49"/>
      <c r="AX3" s="49"/>
      <c r="AY3" s="49"/>
      <c r="AZ3" s="300"/>
      <c r="BA3" s="119"/>
      <c r="BB3" s="306"/>
      <c r="BC3" s="231"/>
      <c r="BD3" s="232"/>
      <c r="BE3" s="222">
        <f t="shared" ref="BE3:BE34" si="18">AA3+15</f>
        <v>15</v>
      </c>
      <c r="BF3" s="233">
        <f t="shared" ref="BF3:BF34" si="19">IF(ISBLANK(AA3),0,IF(ISBLANK(BH3),(BE3-$L$1),(BH3-BE3)))</f>
        <v>0</v>
      </c>
      <c r="BG3" s="234"/>
      <c r="BH3" s="235"/>
      <c r="BI3" s="234"/>
      <c r="BJ3" s="236"/>
      <c r="BK3" s="237"/>
      <c r="BL3" s="222"/>
      <c r="BM3" s="238"/>
      <c r="BN3" s="222"/>
      <c r="BO3" s="222"/>
      <c r="BP3" s="239"/>
      <c r="BQ3" s="240" t="s">
        <v>246</v>
      </c>
      <c r="BR3" s="238"/>
      <c r="BS3" s="68" t="s">
        <v>369</v>
      </c>
      <c r="BT3" s="69" t="s">
        <v>370</v>
      </c>
      <c r="BU3" s="69" t="s">
        <v>247</v>
      </c>
      <c r="BV3" s="69" t="s">
        <v>371</v>
      </c>
      <c r="BW3" s="75" t="s">
        <v>372</v>
      </c>
      <c r="BX3" s="77"/>
      <c r="BY3" s="78"/>
      <c r="BZ3" s="944"/>
      <c r="CA3" s="42" t="str">
        <f t="shared" ref="CA3:CA66" si="20">IF(AY3="Y",BA3,"0")</f>
        <v>0</v>
      </c>
      <c r="CB3" s="62">
        <f t="shared" ref="CB3:CB66" si="21">AC3-CA3</f>
        <v>-43987.697222222225</v>
      </c>
      <c r="CC3" s="42">
        <f t="shared" ref="CC3:CC66" si="22">BA3</f>
        <v>0</v>
      </c>
      <c r="CD3" s="62">
        <f t="shared" ref="CD3:CD66" si="23">AC3-BA3</f>
        <v>-43987.697222222225</v>
      </c>
      <c r="CE3" s="62" t="e">
        <f t="shared" ref="CE3:CE66" si="24" xml:space="preserve"> (0.3)*(CD3/AK3)+(0.7)*(CD3/AL3)</f>
        <v>#N/A</v>
      </c>
      <c r="CF3" s="145" t="str">
        <f t="shared" ref="CF3:CF66" si="25">IF(AA3="","0",$CF$1-AA3)</f>
        <v>0</v>
      </c>
      <c r="CG3" s="145"/>
      <c r="CH3" s="443" t="e">
        <f t="shared" ref="CH3:CH66" si="26" xml:space="preserve"> (0.3)*(($CF$1-W3)/AK3)+(0.7)*(($CF$1-W3)/AL3)</f>
        <v>#N/A</v>
      </c>
      <c r="CI3" s="996" t="e">
        <f t="shared" ref="CI3:CI66" si="27">CH3-CG3</f>
        <v>#N/A</v>
      </c>
      <c r="CJ3" s="261">
        <f t="shared" ref="CJ3:CJ66" si="28">CF3/AP3</f>
        <v>0</v>
      </c>
      <c r="CK3" s="458">
        <f t="shared" ref="CK3:CK66" si="29">IF(AA3&gt;0,"",$CK$1-W3)</f>
        <v>1868.3027777777752</v>
      </c>
      <c r="CL3" t="str">
        <f t="shared" ref="CL3:CL66" si="30">IF(R3="NEW","REV","NON-REV")</f>
        <v>NON-REV</v>
      </c>
      <c r="CM3" t="str">
        <f t="shared" ref="CM3:CM66" si="31">IF(CK3="","",IF(CK3&lt;91,"0-3 MONTHS",(IF(CK3&lt;181,"4-6 MONTHS",(IF(CK3&lt;271,"7-9 MONTHS",IF(CK3&gt;270,"10 MONTHS AND ABOVE",)))))))</f>
        <v>10 MONTHS AND ABOVE</v>
      </c>
      <c r="CN3" s="634"/>
      <c r="CO3" s="630"/>
      <c r="CP3" s="629" t="str">
        <f t="shared" ref="CP3:CP34" si="32">IF(CQ3,"NTC ISSUED","FOR ISSUANCE")</f>
        <v>FOR ISSUANCE</v>
      </c>
      <c r="CQ3" s="634"/>
      <c r="CR3" s="696"/>
      <c r="CS3" s="633" t="str">
        <f t="shared" ref="CS3:CS66" ca="1" si="33">IF(AND(CQ3=0,CR3=0), "0",IF(CR3,(CR3-CQ3),TODAY()-CQ3))</f>
        <v>0</v>
      </c>
      <c r="CT3" s="634"/>
      <c r="CU3" s="630"/>
      <c r="CV3" s="637"/>
      <c r="CW3" s="156" t="s">
        <v>373</v>
      </c>
      <c r="CX3" s="156" t="str">
        <f>VLOOKUP(E3,'[1]List of Work Orders'!$A:$I,9,FALSE)</f>
        <v>ME168443</v>
      </c>
      <c r="CY3" s="156"/>
      <c r="DC3" t="str">
        <f>VLOOKUP(E3,'[2]List of Work Orders'!$A:$F,6,FALSE)</f>
        <v>SCHED</v>
      </c>
      <c r="DS3" s="156" t="s">
        <v>374</v>
      </c>
    </row>
    <row r="4" spans="1:123" customFormat="1" ht="15" customHeight="1" x14ac:dyDescent="0.25">
      <c r="A4" s="221">
        <v>44025</v>
      </c>
      <c r="B4" s="222" t="s">
        <v>308</v>
      </c>
      <c r="C4" s="223"/>
      <c r="D4" s="66" t="s">
        <v>361</v>
      </c>
      <c r="E4" s="404" t="s">
        <v>375</v>
      </c>
      <c r="F4" s="95" t="s">
        <v>376</v>
      </c>
      <c r="G4" s="95" t="s">
        <v>377</v>
      </c>
      <c r="H4" s="95" t="s">
        <v>378</v>
      </c>
      <c r="I4" s="95" t="s">
        <v>239</v>
      </c>
      <c r="J4" s="163" t="s">
        <v>379</v>
      </c>
      <c r="K4" s="101" t="s">
        <v>299</v>
      </c>
      <c r="L4" s="101" t="s">
        <v>288</v>
      </c>
      <c r="M4" s="345" t="s">
        <v>380</v>
      </c>
      <c r="N4" s="442" t="s">
        <v>381</v>
      </c>
      <c r="O4" s="146">
        <v>90.976600000000019</v>
      </c>
      <c r="P4" s="165" t="e">
        <v>#N/A</v>
      </c>
      <c r="Q4" s="157">
        <v>0</v>
      </c>
      <c r="R4" s="109" t="s">
        <v>368</v>
      </c>
      <c r="S4" s="110">
        <v>442337.68</v>
      </c>
      <c r="T4" s="93">
        <v>91388.65</v>
      </c>
      <c r="U4" s="141"/>
      <c r="V4" s="158">
        <f t="shared" si="0"/>
        <v>0</v>
      </c>
      <c r="W4" s="159">
        <v>44022.591666666667</v>
      </c>
      <c r="X4" s="159">
        <v>44025.523611111108</v>
      </c>
      <c r="Y4" s="160">
        <v>44025</v>
      </c>
      <c r="Z4" s="470"/>
      <c r="AA4" s="470" t="s">
        <v>380</v>
      </c>
      <c r="AB4" s="470"/>
      <c r="AC4" s="161" t="e">
        <f t="shared" si="1"/>
        <v>#VALUE!</v>
      </c>
      <c r="AD4" s="161" t="e">
        <f t="shared" si="2"/>
        <v>#VALUE!</v>
      </c>
      <c r="AE4" s="446" t="e">
        <f t="shared" si="3"/>
        <v>#VALUE!</v>
      </c>
      <c r="AF4" s="160" t="e">
        <f t="shared" si="4"/>
        <v>#N/A</v>
      </c>
      <c r="AG4" s="160" t="e">
        <f t="shared" si="5"/>
        <v>#N/A</v>
      </c>
      <c r="AH4" s="159">
        <f t="shared" si="6"/>
        <v>44072.591666666667</v>
      </c>
      <c r="AI4" s="162" t="e">
        <f t="shared" si="7"/>
        <v>#VALUE!</v>
      </c>
      <c r="AJ4" s="224" t="e">
        <f t="shared" si="8"/>
        <v>#VALUE!</v>
      </c>
      <c r="AK4" s="225" t="e">
        <f t="shared" si="9"/>
        <v>#N/A</v>
      </c>
      <c r="AL4" s="170">
        <f t="shared" si="10"/>
        <v>36</v>
      </c>
      <c r="AM4" s="170" t="e">
        <f t="shared" si="11"/>
        <v>#N/A</v>
      </c>
      <c r="AN4" s="170" t="e">
        <f t="shared" si="12"/>
        <v>#N/A</v>
      </c>
      <c r="AO4" s="226" t="e">
        <f t="shared" si="13"/>
        <v>#N/A</v>
      </c>
      <c r="AP4" s="227">
        <v>60</v>
      </c>
      <c r="AQ4" s="228">
        <f t="shared" si="14"/>
        <v>57</v>
      </c>
      <c r="AR4" s="228">
        <f t="shared" si="15"/>
        <v>52</v>
      </c>
      <c r="AS4" s="229" t="e">
        <f t="shared" si="16"/>
        <v>#VALUE!</v>
      </c>
      <c r="AT4" s="982" t="str">
        <f t="shared" ca="1" si="17"/>
        <v/>
      </c>
      <c r="AU4" s="50"/>
      <c r="AV4" s="118"/>
      <c r="AW4" s="49"/>
      <c r="AX4" s="49"/>
      <c r="AY4" s="49"/>
      <c r="AZ4" s="300"/>
      <c r="BA4" s="119"/>
      <c r="BB4" s="306"/>
      <c r="BC4" s="231"/>
      <c r="BD4" s="232"/>
      <c r="BE4" s="222" t="e">
        <f t="shared" si="18"/>
        <v>#VALUE!</v>
      </c>
      <c r="BF4" s="233" t="e">
        <f t="shared" si="19"/>
        <v>#VALUE!</v>
      </c>
      <c r="BG4" s="91"/>
      <c r="BH4" s="235"/>
      <c r="BI4" s="234"/>
      <c r="BJ4" s="236"/>
      <c r="BK4" s="237"/>
      <c r="BL4" s="222"/>
      <c r="BM4" s="238"/>
      <c r="BN4" s="222"/>
      <c r="BO4" s="222"/>
      <c r="BP4" s="239"/>
      <c r="BQ4" s="240" t="s">
        <v>246</v>
      </c>
      <c r="BR4" s="238"/>
      <c r="BS4" s="68" t="s">
        <v>369</v>
      </c>
      <c r="BT4" s="69" t="s">
        <v>382</v>
      </c>
      <c r="BU4" s="69" t="s">
        <v>247</v>
      </c>
      <c r="BV4" s="69" t="s">
        <v>383</v>
      </c>
      <c r="BW4" s="75" t="s">
        <v>384</v>
      </c>
      <c r="BX4" s="77"/>
      <c r="BY4" s="78"/>
      <c r="BZ4" s="944"/>
      <c r="CA4" s="42" t="str">
        <f t="shared" si="20"/>
        <v>0</v>
      </c>
      <c r="CB4" s="62" t="e">
        <f t="shared" si="21"/>
        <v>#VALUE!</v>
      </c>
      <c r="CC4" s="42">
        <f t="shared" si="22"/>
        <v>0</v>
      </c>
      <c r="CD4" s="62" t="e">
        <f t="shared" si="23"/>
        <v>#VALUE!</v>
      </c>
      <c r="CE4" s="62" t="e">
        <f t="shared" si="24"/>
        <v>#VALUE!</v>
      </c>
      <c r="CF4" s="145" t="e">
        <f t="shared" si="25"/>
        <v>#VALUE!</v>
      </c>
      <c r="CG4" s="145"/>
      <c r="CH4" s="443" t="e">
        <f t="shared" si="26"/>
        <v>#N/A</v>
      </c>
      <c r="CI4" s="996" t="e">
        <f t="shared" si="27"/>
        <v>#N/A</v>
      </c>
      <c r="CJ4" s="261" t="e">
        <f t="shared" si="28"/>
        <v>#VALUE!</v>
      </c>
      <c r="CK4" s="458" t="str">
        <f t="shared" si="29"/>
        <v/>
      </c>
      <c r="CL4" t="str">
        <f t="shared" si="30"/>
        <v>NON-REV</v>
      </c>
      <c r="CM4" t="str">
        <f t="shared" si="31"/>
        <v/>
      </c>
      <c r="CN4" s="635"/>
      <c r="CO4" s="631"/>
      <c r="CP4" s="629" t="str">
        <f t="shared" si="32"/>
        <v>FOR ISSUANCE</v>
      </c>
      <c r="CQ4" s="635"/>
      <c r="CR4" s="697"/>
      <c r="CS4" s="633" t="str">
        <f t="shared" ca="1" si="33"/>
        <v>0</v>
      </c>
      <c r="CT4" s="635"/>
      <c r="CU4" s="631"/>
      <c r="CV4" s="638"/>
      <c r="CW4" s="156" t="s">
        <v>385</v>
      </c>
      <c r="CX4" s="156" t="str">
        <f>VLOOKUP(E4,'[1]List of Work Orders'!$A:$I,9,FALSE)</f>
        <v>ME185284</v>
      </c>
      <c r="CY4" s="156"/>
      <c r="DC4" t="str">
        <f>VLOOKUP(E4,'[2]List of Work Orders'!$A:$F,6,FALSE)</f>
        <v>CAN</v>
      </c>
      <c r="DS4" s="156" t="s">
        <v>381</v>
      </c>
    </row>
    <row r="5" spans="1:123" customFormat="1" ht="15" customHeight="1" x14ac:dyDescent="0.25">
      <c r="A5" s="221">
        <v>44025</v>
      </c>
      <c r="B5" s="222" t="s">
        <v>308</v>
      </c>
      <c r="C5" s="223"/>
      <c r="D5" s="66" t="s">
        <v>361</v>
      </c>
      <c r="E5" s="404" t="s">
        <v>386</v>
      </c>
      <c r="F5" s="95" t="s">
        <v>387</v>
      </c>
      <c r="G5" s="95" t="s">
        <v>388</v>
      </c>
      <c r="H5" s="95" t="s">
        <v>378</v>
      </c>
      <c r="I5" s="95" t="s">
        <v>239</v>
      </c>
      <c r="J5" s="163" t="s">
        <v>379</v>
      </c>
      <c r="K5" s="101" t="s">
        <v>299</v>
      </c>
      <c r="L5" s="101" t="s">
        <v>288</v>
      </c>
      <c r="M5" s="345" t="s">
        <v>380</v>
      </c>
      <c r="N5" s="442" t="s">
        <v>381</v>
      </c>
      <c r="O5" s="146">
        <v>22.109399999999997</v>
      </c>
      <c r="P5" s="165" t="e">
        <v>#N/A</v>
      </c>
      <c r="Q5" s="157">
        <v>0</v>
      </c>
      <c r="R5" s="109" t="s">
        <v>368</v>
      </c>
      <c r="S5" s="110">
        <v>186406.1</v>
      </c>
      <c r="T5" s="93">
        <v>23237.07</v>
      </c>
      <c r="U5" s="141"/>
      <c r="V5" s="158">
        <f t="shared" si="0"/>
        <v>0</v>
      </c>
      <c r="W5" s="159">
        <v>44042.034722222219</v>
      </c>
      <c r="X5" s="159">
        <v>44048.449305555558</v>
      </c>
      <c r="Y5" s="160">
        <v>44025</v>
      </c>
      <c r="Z5" s="470"/>
      <c r="AA5" s="470" t="s">
        <v>380</v>
      </c>
      <c r="AB5" s="470"/>
      <c r="AC5" s="161" t="e">
        <f t="shared" si="1"/>
        <v>#VALUE!</v>
      </c>
      <c r="AD5" s="161" t="e">
        <f t="shared" si="2"/>
        <v>#VALUE!</v>
      </c>
      <c r="AE5" s="446" t="e">
        <f t="shared" si="3"/>
        <v>#VALUE!</v>
      </c>
      <c r="AF5" s="160" t="e">
        <f t="shared" si="4"/>
        <v>#N/A</v>
      </c>
      <c r="AG5" s="160" t="e">
        <f t="shared" si="5"/>
        <v>#N/A</v>
      </c>
      <c r="AH5" s="159">
        <f t="shared" si="6"/>
        <v>44092.034722222219</v>
      </c>
      <c r="AI5" s="162" t="e">
        <f t="shared" si="7"/>
        <v>#VALUE!</v>
      </c>
      <c r="AJ5" s="224" t="e">
        <f t="shared" si="8"/>
        <v>#VALUE!</v>
      </c>
      <c r="AK5" s="225" t="e">
        <f t="shared" si="9"/>
        <v>#N/A</v>
      </c>
      <c r="AL5" s="170">
        <f t="shared" si="10"/>
        <v>36</v>
      </c>
      <c r="AM5" s="170" t="e">
        <f t="shared" si="11"/>
        <v>#N/A</v>
      </c>
      <c r="AN5" s="170" t="e">
        <f t="shared" si="12"/>
        <v>#N/A</v>
      </c>
      <c r="AO5" s="226" t="e">
        <f t="shared" si="13"/>
        <v>#N/A</v>
      </c>
      <c r="AP5" s="227">
        <v>60</v>
      </c>
      <c r="AQ5" s="228">
        <f t="shared" si="14"/>
        <v>57</v>
      </c>
      <c r="AR5" s="228">
        <f t="shared" si="15"/>
        <v>52</v>
      </c>
      <c r="AS5" s="229" t="e">
        <f t="shared" si="16"/>
        <v>#VALUE!</v>
      </c>
      <c r="AT5" s="982" t="str">
        <f t="shared" ca="1" si="17"/>
        <v/>
      </c>
      <c r="AU5" s="50"/>
      <c r="AV5" s="118"/>
      <c r="AW5" s="49"/>
      <c r="AX5" s="49"/>
      <c r="AY5" s="49"/>
      <c r="AZ5" s="300"/>
      <c r="BA5" s="119"/>
      <c r="BB5" s="306"/>
      <c r="BC5" s="231"/>
      <c r="BD5" s="232"/>
      <c r="BE5" s="222" t="e">
        <f t="shared" si="18"/>
        <v>#VALUE!</v>
      </c>
      <c r="BF5" s="233" t="e">
        <f t="shared" si="19"/>
        <v>#VALUE!</v>
      </c>
      <c r="BG5" s="234"/>
      <c r="BH5" s="235"/>
      <c r="BI5" s="234"/>
      <c r="BJ5" s="236"/>
      <c r="BK5" s="237"/>
      <c r="BL5" s="222"/>
      <c r="BM5" s="238"/>
      <c r="BN5" s="222"/>
      <c r="BO5" s="222"/>
      <c r="BP5" s="239"/>
      <c r="BQ5" s="240" t="s">
        <v>246</v>
      </c>
      <c r="BR5" s="238"/>
      <c r="BS5" s="68" t="s">
        <v>369</v>
      </c>
      <c r="BT5" s="69" t="s">
        <v>389</v>
      </c>
      <c r="BU5" s="69" t="s">
        <v>247</v>
      </c>
      <c r="BV5" s="69" t="s">
        <v>383</v>
      </c>
      <c r="BW5" s="75" t="s">
        <v>384</v>
      </c>
      <c r="BX5" s="77"/>
      <c r="BY5" s="78"/>
      <c r="BZ5" s="944"/>
      <c r="CA5" s="42" t="str">
        <f t="shared" si="20"/>
        <v>0</v>
      </c>
      <c r="CB5" s="62" t="e">
        <f t="shared" si="21"/>
        <v>#VALUE!</v>
      </c>
      <c r="CC5" s="42">
        <f t="shared" si="22"/>
        <v>0</v>
      </c>
      <c r="CD5" s="62" t="e">
        <f t="shared" si="23"/>
        <v>#VALUE!</v>
      </c>
      <c r="CE5" s="62" t="e">
        <f xml:space="preserve"> (0.3)*(CD5/AK5)+(0.7)*(CD5/AL5)</f>
        <v>#VALUE!</v>
      </c>
      <c r="CF5" s="145" t="e">
        <f t="shared" si="25"/>
        <v>#VALUE!</v>
      </c>
      <c r="CG5" s="145"/>
      <c r="CH5" s="443" t="e">
        <f t="shared" si="26"/>
        <v>#N/A</v>
      </c>
      <c r="CI5" s="996" t="e">
        <f t="shared" si="27"/>
        <v>#N/A</v>
      </c>
      <c r="CJ5" s="261" t="e">
        <f t="shared" si="28"/>
        <v>#VALUE!</v>
      </c>
      <c r="CK5" s="458" t="str">
        <f t="shared" si="29"/>
        <v/>
      </c>
      <c r="CL5" t="str">
        <f t="shared" si="30"/>
        <v>NON-REV</v>
      </c>
      <c r="CM5" t="str">
        <f t="shared" si="31"/>
        <v/>
      </c>
      <c r="CN5" s="635"/>
      <c r="CO5" s="631"/>
      <c r="CP5" s="629" t="str">
        <f t="shared" si="32"/>
        <v>FOR ISSUANCE</v>
      </c>
      <c r="CQ5" s="635"/>
      <c r="CR5" s="697"/>
      <c r="CS5" s="633" t="str">
        <f t="shared" ca="1" si="33"/>
        <v>0</v>
      </c>
      <c r="CT5" s="635"/>
      <c r="CU5" s="631"/>
      <c r="CV5" s="638"/>
      <c r="CW5" s="156" t="s">
        <v>390</v>
      </c>
      <c r="CX5" s="156" t="str">
        <f>VLOOKUP(E5,'[1]List of Work Orders'!$A:$I,9,FALSE)</f>
        <v>ME185284</v>
      </c>
      <c r="CY5" s="156"/>
      <c r="DC5" t="str">
        <f>VLOOKUP(E5,'[2]List of Work Orders'!$A:$F,6,FALSE)</f>
        <v>CAN</v>
      </c>
      <c r="DS5" s="156" t="s">
        <v>381</v>
      </c>
    </row>
    <row r="6" spans="1:123" customFormat="1" ht="15" customHeight="1" x14ac:dyDescent="0.25">
      <c r="A6" s="221">
        <v>44125</v>
      </c>
      <c r="B6" s="222" t="s">
        <v>308</v>
      </c>
      <c r="C6" s="241"/>
      <c r="D6" s="66" t="s">
        <v>361</v>
      </c>
      <c r="E6" s="404" t="s">
        <v>391</v>
      </c>
      <c r="F6" s="95" t="s">
        <v>392</v>
      </c>
      <c r="G6" s="95" t="s">
        <v>393</v>
      </c>
      <c r="H6" s="95" t="s">
        <v>378</v>
      </c>
      <c r="I6" s="95" t="s">
        <v>239</v>
      </c>
      <c r="J6" s="95" t="s">
        <v>394</v>
      </c>
      <c r="K6" s="101" t="s">
        <v>299</v>
      </c>
      <c r="L6" s="101" t="s">
        <v>242</v>
      </c>
      <c r="M6" s="345" t="s">
        <v>272</v>
      </c>
      <c r="N6" s="442" t="s">
        <v>367</v>
      </c>
      <c r="O6" s="1019">
        <v>40.19</v>
      </c>
      <c r="P6" s="1019">
        <v>40.19</v>
      </c>
      <c r="Q6" s="157">
        <v>0</v>
      </c>
      <c r="R6" s="109" t="s">
        <v>368</v>
      </c>
      <c r="S6" s="110">
        <v>185553.84</v>
      </c>
      <c r="T6" s="93">
        <v>24087.84</v>
      </c>
      <c r="U6" s="141"/>
      <c r="V6" s="158">
        <f t="shared" si="0"/>
        <v>0</v>
      </c>
      <c r="W6" s="159">
        <v>44102.590277777781</v>
      </c>
      <c r="X6" s="159">
        <v>44104.336111111108</v>
      </c>
      <c r="Y6" s="160">
        <v>44120</v>
      </c>
      <c r="Z6" s="470"/>
      <c r="AA6" s="470">
        <v>45720</v>
      </c>
      <c r="AB6" s="470"/>
      <c r="AC6" s="161">
        <f t="shared" si="1"/>
        <v>1617.409722222219</v>
      </c>
      <c r="AD6" s="161">
        <f t="shared" si="2"/>
        <v>1615.663888888892</v>
      </c>
      <c r="AE6" s="446">
        <f t="shared" si="3"/>
        <v>-45720</v>
      </c>
      <c r="AF6" s="160">
        <f t="shared" si="4"/>
        <v>44121.364471326167</v>
      </c>
      <c r="AG6" s="160">
        <f t="shared" si="5"/>
        <v>44130.170922939069</v>
      </c>
      <c r="AH6" s="159">
        <f t="shared" si="6"/>
        <v>44152.590277777781</v>
      </c>
      <c r="AI6" s="162">
        <f t="shared" si="7"/>
        <v>55.710779320987541</v>
      </c>
      <c r="AJ6" s="224">
        <f t="shared" si="8"/>
        <v>-762</v>
      </c>
      <c r="AK6" s="225">
        <f t="shared" si="9"/>
        <v>20</v>
      </c>
      <c r="AL6" s="170">
        <f t="shared" si="10"/>
        <v>36</v>
      </c>
      <c r="AM6" s="170">
        <f t="shared" si="11"/>
        <v>21.774193548387096</v>
      </c>
      <c r="AN6" s="170">
        <f t="shared" si="12"/>
        <v>27.58064516129032</v>
      </c>
      <c r="AO6" s="226">
        <f t="shared" si="13"/>
        <v>18.774193548387096</v>
      </c>
      <c r="AP6" s="227">
        <v>60</v>
      </c>
      <c r="AQ6" s="228">
        <f t="shared" si="14"/>
        <v>57</v>
      </c>
      <c r="AR6" s="228">
        <f t="shared" si="15"/>
        <v>52</v>
      </c>
      <c r="AS6" s="229">
        <f t="shared" si="16"/>
        <v>45780</v>
      </c>
      <c r="AT6" s="982">
        <f t="shared" ca="1" si="17"/>
        <v>175</v>
      </c>
      <c r="AU6" s="50"/>
      <c r="AV6" s="118"/>
      <c r="AW6" s="49"/>
      <c r="AX6" s="49"/>
      <c r="AY6" s="49"/>
      <c r="AZ6" s="300"/>
      <c r="BA6" s="119"/>
      <c r="BB6" s="306"/>
      <c r="BC6" s="231" t="s">
        <v>13</v>
      </c>
      <c r="BD6" s="232"/>
      <c r="BE6" s="222">
        <f t="shared" si="18"/>
        <v>45735</v>
      </c>
      <c r="BF6" s="233" t="e">
        <f t="shared" si="19"/>
        <v>#VALUE!</v>
      </c>
      <c r="BG6" s="234"/>
      <c r="BH6" s="235"/>
      <c r="BI6" s="234"/>
      <c r="BJ6" s="236"/>
      <c r="BK6" s="237"/>
      <c r="BL6" s="222"/>
      <c r="BM6" s="238"/>
      <c r="BN6" s="222"/>
      <c r="BO6" s="222"/>
      <c r="BP6" s="239"/>
      <c r="BQ6" s="240" t="s">
        <v>246</v>
      </c>
      <c r="BR6" s="238"/>
      <c r="BS6" s="68" t="s">
        <v>369</v>
      </c>
      <c r="BT6" s="69" t="s">
        <v>395</v>
      </c>
      <c r="BU6" s="69" t="s">
        <v>247</v>
      </c>
      <c r="BV6" s="69" t="s">
        <v>371</v>
      </c>
      <c r="BW6" s="75" t="s">
        <v>372</v>
      </c>
      <c r="BX6" s="77"/>
      <c r="BY6" s="78"/>
      <c r="BZ6" s="944"/>
      <c r="CA6" s="42" t="str">
        <f t="shared" si="20"/>
        <v>0</v>
      </c>
      <c r="CB6" s="62">
        <f t="shared" si="21"/>
        <v>1617.409722222219</v>
      </c>
      <c r="CC6" s="42">
        <f t="shared" si="22"/>
        <v>0</v>
      </c>
      <c r="CD6" s="62">
        <f t="shared" si="23"/>
        <v>1617.409722222219</v>
      </c>
      <c r="CE6" s="62">
        <f t="shared" si="24"/>
        <v>55.710779320987541</v>
      </c>
      <c r="CF6" s="145">
        <f t="shared" si="25"/>
        <v>149</v>
      </c>
      <c r="CG6" s="145"/>
      <c r="CH6" s="443">
        <f t="shared" si="26"/>
        <v>60.843001543209766</v>
      </c>
      <c r="CI6" s="996">
        <f t="shared" si="27"/>
        <v>60.843001543209766</v>
      </c>
      <c r="CJ6" s="261">
        <f t="shared" si="28"/>
        <v>2.4833333333333334</v>
      </c>
      <c r="CK6" s="458" t="str">
        <f t="shared" si="29"/>
        <v/>
      </c>
      <c r="CL6" t="str">
        <f t="shared" si="30"/>
        <v>NON-REV</v>
      </c>
      <c r="CM6" t="str">
        <f t="shared" si="31"/>
        <v/>
      </c>
      <c r="CN6" s="635"/>
      <c r="CO6" s="631"/>
      <c r="CP6" s="629" t="str">
        <f t="shared" si="32"/>
        <v>FOR ISSUANCE</v>
      </c>
      <c r="CQ6" s="635"/>
      <c r="CR6" s="697"/>
      <c r="CS6" s="633" t="str">
        <f t="shared" ca="1" si="33"/>
        <v>0</v>
      </c>
      <c r="CT6" s="635"/>
      <c r="CU6" s="631"/>
      <c r="CV6" s="638"/>
      <c r="CW6" s="156" t="s">
        <v>396</v>
      </c>
      <c r="CX6" s="156" t="str">
        <f>VLOOKUP(E6,'[1]List of Work Orders'!$A:$I,9,FALSE)</f>
        <v>ME168443</v>
      </c>
      <c r="CY6" s="156"/>
      <c r="CZ6" s="63"/>
      <c r="DC6" t="str">
        <f>VLOOKUP(E6,'[2]List of Work Orders'!$A:$F,6,FALSE)</f>
        <v>FCOMP</v>
      </c>
      <c r="DS6" s="156" t="s">
        <v>397</v>
      </c>
    </row>
    <row r="7" spans="1:123" customFormat="1" ht="15" customHeight="1" x14ac:dyDescent="0.25">
      <c r="A7" s="221">
        <v>44124</v>
      </c>
      <c r="B7" s="222" t="s">
        <v>308</v>
      </c>
      <c r="C7" s="223"/>
      <c r="D7" s="66" t="s">
        <v>361</v>
      </c>
      <c r="E7" s="404" t="s">
        <v>398</v>
      </c>
      <c r="F7" s="95" t="s">
        <v>399</v>
      </c>
      <c r="G7" s="95" t="s">
        <v>400</v>
      </c>
      <c r="H7" s="95" t="s">
        <v>238</v>
      </c>
      <c r="I7" s="95" t="s">
        <v>239</v>
      </c>
      <c r="J7" s="95" t="s">
        <v>401</v>
      </c>
      <c r="K7" s="101" t="s">
        <v>271</v>
      </c>
      <c r="L7" s="101" t="s">
        <v>5</v>
      </c>
      <c r="M7" s="345" t="s">
        <v>402</v>
      </c>
      <c r="N7" s="442" t="s">
        <v>403</v>
      </c>
      <c r="O7" s="146">
        <v>15.751999999999999</v>
      </c>
      <c r="P7" s="165" t="e">
        <v>#N/A</v>
      </c>
      <c r="Q7" s="157">
        <v>0</v>
      </c>
      <c r="R7" s="109" t="s">
        <v>368</v>
      </c>
      <c r="S7" s="110">
        <v>160243.01999999999</v>
      </c>
      <c r="T7" s="93">
        <v>10642.55</v>
      </c>
      <c r="U7" s="141"/>
      <c r="V7" s="158">
        <f t="shared" si="0"/>
        <v>0</v>
      </c>
      <c r="W7" s="159">
        <v>44118.688194444447</v>
      </c>
      <c r="X7" s="159">
        <v>44120.381249999999</v>
      </c>
      <c r="Y7" s="160">
        <v>44103</v>
      </c>
      <c r="Z7" s="470"/>
      <c r="AA7" s="470"/>
      <c r="AB7" s="470"/>
      <c r="AC7" s="161">
        <f t="shared" si="1"/>
        <v>-44118.688194444447</v>
      </c>
      <c r="AD7" s="161">
        <f t="shared" si="2"/>
        <v>-44120.381249999999</v>
      </c>
      <c r="AE7" s="446">
        <f t="shared" si="3"/>
        <v>0</v>
      </c>
      <c r="AF7" s="160" t="e">
        <f t="shared" si="4"/>
        <v>#N/A</v>
      </c>
      <c r="AG7" s="160" t="e">
        <f t="shared" si="5"/>
        <v>#N/A</v>
      </c>
      <c r="AH7" s="159">
        <f t="shared" si="6"/>
        <v>44168.688194444447</v>
      </c>
      <c r="AI7" s="162" t="e">
        <f t="shared" si="7"/>
        <v>#N/A</v>
      </c>
      <c r="AJ7" s="224">
        <f t="shared" si="8"/>
        <v>0</v>
      </c>
      <c r="AK7" s="225" t="e">
        <f t="shared" si="9"/>
        <v>#N/A</v>
      </c>
      <c r="AL7" s="170">
        <f t="shared" si="10"/>
        <v>36</v>
      </c>
      <c r="AM7" s="170" t="e">
        <f t="shared" si="11"/>
        <v>#N/A</v>
      </c>
      <c r="AN7" s="170" t="e">
        <f t="shared" si="12"/>
        <v>#N/A</v>
      </c>
      <c r="AO7" s="226" t="e">
        <f t="shared" si="13"/>
        <v>#N/A</v>
      </c>
      <c r="AP7" s="227">
        <v>60</v>
      </c>
      <c r="AQ7" s="228">
        <f t="shared" si="14"/>
        <v>57</v>
      </c>
      <c r="AR7" s="228">
        <f t="shared" si="15"/>
        <v>52</v>
      </c>
      <c r="AS7" s="229">
        <f t="shared" si="16"/>
        <v>60</v>
      </c>
      <c r="AT7" s="982">
        <f t="shared" ca="1" si="17"/>
        <v>45895</v>
      </c>
      <c r="AU7" s="50"/>
      <c r="AV7" s="118"/>
      <c r="AW7" s="49"/>
      <c r="AX7" s="49"/>
      <c r="AY7" s="49"/>
      <c r="AZ7" s="300"/>
      <c r="BA7" s="119"/>
      <c r="BB7" s="306"/>
      <c r="BC7" s="231" t="s">
        <v>15</v>
      </c>
      <c r="BD7" s="232"/>
      <c r="BE7" s="222">
        <f t="shared" si="18"/>
        <v>15</v>
      </c>
      <c r="BF7" s="233">
        <f t="shared" si="19"/>
        <v>0</v>
      </c>
      <c r="BG7" s="234"/>
      <c r="BH7" s="235"/>
      <c r="BI7" s="234"/>
      <c r="BJ7" s="236"/>
      <c r="BK7" s="237"/>
      <c r="BL7" s="222"/>
      <c r="BM7" s="238"/>
      <c r="BN7" s="222"/>
      <c r="BO7" s="222"/>
      <c r="BP7" s="239"/>
      <c r="BQ7" s="240" t="s">
        <v>246</v>
      </c>
      <c r="BR7" s="238"/>
      <c r="BS7" s="68" t="s">
        <v>404</v>
      </c>
      <c r="BT7" s="69" t="s">
        <v>405</v>
      </c>
      <c r="BU7" s="69" t="s">
        <v>246</v>
      </c>
      <c r="BV7" s="69" t="s">
        <v>383</v>
      </c>
      <c r="BW7" s="75" t="s">
        <v>372</v>
      </c>
      <c r="BX7" s="77"/>
      <c r="BY7" s="78"/>
      <c r="BZ7" s="944"/>
      <c r="CA7" s="42" t="str">
        <f t="shared" si="20"/>
        <v>0</v>
      </c>
      <c r="CB7" s="62">
        <f t="shared" si="21"/>
        <v>-44118.688194444447</v>
      </c>
      <c r="CC7" s="42">
        <f t="shared" si="22"/>
        <v>0</v>
      </c>
      <c r="CD7" s="62">
        <f t="shared" si="23"/>
        <v>-44118.688194444447</v>
      </c>
      <c r="CE7" s="62" t="e">
        <f t="shared" si="24"/>
        <v>#N/A</v>
      </c>
      <c r="CF7" s="145" t="str">
        <f t="shared" si="25"/>
        <v>0</v>
      </c>
      <c r="CG7" s="145"/>
      <c r="CH7" s="443" t="e">
        <f t="shared" si="26"/>
        <v>#N/A</v>
      </c>
      <c r="CI7" s="996" t="e">
        <f t="shared" si="27"/>
        <v>#N/A</v>
      </c>
      <c r="CJ7" s="261">
        <f t="shared" si="28"/>
        <v>0</v>
      </c>
      <c r="CK7" s="458">
        <f t="shared" si="29"/>
        <v>1737.3118055555533</v>
      </c>
      <c r="CL7" t="str">
        <f t="shared" si="30"/>
        <v>NON-REV</v>
      </c>
      <c r="CM7" t="str">
        <f t="shared" si="31"/>
        <v>10 MONTHS AND ABOVE</v>
      </c>
      <c r="CN7" s="635"/>
      <c r="CO7" s="631"/>
      <c r="CP7" s="629" t="str">
        <f t="shared" si="32"/>
        <v>FOR ISSUANCE</v>
      </c>
      <c r="CQ7" s="635"/>
      <c r="CR7" s="697"/>
      <c r="CS7" s="633" t="str">
        <f t="shared" ca="1" si="33"/>
        <v>0</v>
      </c>
      <c r="CT7" s="635"/>
      <c r="CU7" s="631"/>
      <c r="CV7" s="638"/>
      <c r="CW7" s="156" t="s">
        <v>406</v>
      </c>
      <c r="CX7" s="156" t="str">
        <f>VLOOKUP(E7,'[1]List of Work Orders'!$A:$I,9,FALSE)</f>
        <v>ME166067</v>
      </c>
      <c r="CY7" s="156"/>
      <c r="DC7" t="str">
        <f>VLOOKUP(E7,'[2]List of Work Orders'!$A:$F,6,FALSE)</f>
        <v>INPRG</v>
      </c>
      <c r="DS7" s="156" t="s">
        <v>374</v>
      </c>
    </row>
    <row r="8" spans="1:123" ht="15" customHeight="1" x14ac:dyDescent="0.2">
      <c r="A8" s="221">
        <v>44133</v>
      </c>
      <c r="B8" s="222" t="s">
        <v>308</v>
      </c>
      <c r="C8" s="223"/>
      <c r="D8" s="66" t="s">
        <v>361</v>
      </c>
      <c r="E8" s="404" t="s">
        <v>407</v>
      </c>
      <c r="F8" s="95" t="s">
        <v>408</v>
      </c>
      <c r="G8" s="95" t="s">
        <v>409</v>
      </c>
      <c r="H8" s="95" t="s">
        <v>378</v>
      </c>
      <c r="I8" s="95" t="s">
        <v>239</v>
      </c>
      <c r="J8" s="1134" t="s">
        <v>410</v>
      </c>
      <c r="K8" s="101" t="s">
        <v>299</v>
      </c>
      <c r="L8" s="101" t="s">
        <v>255</v>
      </c>
      <c r="M8" s="345" t="s">
        <v>402</v>
      </c>
      <c r="N8" s="442" t="s">
        <v>381</v>
      </c>
      <c r="O8" s="146">
        <v>59.228000000000016</v>
      </c>
      <c r="P8" s="165" t="e">
        <v>#N/A</v>
      </c>
      <c r="Q8" s="157">
        <v>0</v>
      </c>
      <c r="R8" s="109" t="s">
        <v>368</v>
      </c>
      <c r="S8" s="110">
        <v>293278.03000000003</v>
      </c>
      <c r="T8" s="93">
        <v>52996.469999999994</v>
      </c>
      <c r="U8" s="141"/>
      <c r="V8" s="158">
        <f t="shared" si="0"/>
        <v>0</v>
      </c>
      <c r="W8" s="159">
        <v>44125.725694444445</v>
      </c>
      <c r="X8" s="159">
        <v>44127.657638888886</v>
      </c>
      <c r="Y8" s="160">
        <v>44133</v>
      </c>
      <c r="Z8" s="470"/>
      <c r="AA8" s="470"/>
      <c r="AB8" s="470"/>
      <c r="AC8" s="161">
        <f t="shared" si="1"/>
        <v>-44125.725694444445</v>
      </c>
      <c r="AD8" s="161">
        <f t="shared" si="2"/>
        <v>-44127.657638888886</v>
      </c>
      <c r="AE8" s="446">
        <f t="shared" si="3"/>
        <v>0</v>
      </c>
      <c r="AF8" s="160" t="e">
        <f t="shared" si="4"/>
        <v>#N/A</v>
      </c>
      <c r="AG8" s="160" t="e">
        <f t="shared" si="5"/>
        <v>#N/A</v>
      </c>
      <c r="AH8" s="159">
        <f t="shared" si="6"/>
        <v>44175.725694444445</v>
      </c>
      <c r="AI8" s="162" t="e">
        <f t="shared" si="7"/>
        <v>#N/A</v>
      </c>
      <c r="AJ8" s="224">
        <f t="shared" si="8"/>
        <v>0</v>
      </c>
      <c r="AK8" s="225" t="e">
        <f t="shared" si="9"/>
        <v>#N/A</v>
      </c>
      <c r="AL8" s="170">
        <f t="shared" si="10"/>
        <v>36</v>
      </c>
      <c r="AM8" s="170" t="e">
        <f t="shared" si="11"/>
        <v>#N/A</v>
      </c>
      <c r="AN8" s="170" t="e">
        <f t="shared" si="12"/>
        <v>#N/A</v>
      </c>
      <c r="AO8" s="226" t="e">
        <f t="shared" si="13"/>
        <v>#N/A</v>
      </c>
      <c r="AP8" s="227">
        <v>60</v>
      </c>
      <c r="AQ8" s="228">
        <f t="shared" si="14"/>
        <v>57</v>
      </c>
      <c r="AR8" s="228">
        <f t="shared" si="15"/>
        <v>52</v>
      </c>
      <c r="AS8" s="229">
        <f t="shared" si="16"/>
        <v>60</v>
      </c>
      <c r="AT8" s="982">
        <f t="shared" ca="1" si="17"/>
        <v>45895</v>
      </c>
      <c r="AU8" s="1077"/>
      <c r="AV8" s="1078"/>
      <c r="AW8" s="1079"/>
      <c r="AX8" s="1079"/>
      <c r="AY8" s="1079"/>
      <c r="AZ8" s="1080"/>
      <c r="BA8" s="1081"/>
      <c r="BB8" s="306"/>
      <c r="BC8" s="231"/>
      <c r="BD8" s="232"/>
      <c r="BE8" s="222">
        <f t="shared" si="18"/>
        <v>15</v>
      </c>
      <c r="BF8" s="233">
        <f t="shared" si="19"/>
        <v>0</v>
      </c>
      <c r="BG8" s="234"/>
      <c r="BH8" s="235"/>
      <c r="BI8" s="234"/>
      <c r="BJ8" s="236"/>
      <c r="BK8" s="237"/>
      <c r="BL8" s="222"/>
      <c r="BM8" s="238"/>
      <c r="BN8" s="222"/>
      <c r="BO8" s="222"/>
      <c r="BP8" s="239"/>
      <c r="BQ8" s="240" t="s">
        <v>246</v>
      </c>
      <c r="BR8" s="238"/>
      <c r="BS8" s="68" t="s">
        <v>369</v>
      </c>
      <c r="BT8" s="69" t="s">
        <v>411</v>
      </c>
      <c r="BU8" s="69" t="s">
        <v>247</v>
      </c>
      <c r="BV8" s="69" t="s">
        <v>383</v>
      </c>
      <c r="BW8" s="75" t="s">
        <v>412</v>
      </c>
      <c r="BX8" s="77"/>
      <c r="BY8" s="78"/>
      <c r="BZ8" s="944"/>
      <c r="CA8" s="42" t="str">
        <f t="shared" si="20"/>
        <v>0</v>
      </c>
      <c r="CB8" s="62">
        <f t="shared" si="21"/>
        <v>-44125.725694444445</v>
      </c>
      <c r="CC8" s="42">
        <f t="shared" si="22"/>
        <v>0</v>
      </c>
      <c r="CD8" s="62">
        <f t="shared" si="23"/>
        <v>-44125.725694444445</v>
      </c>
      <c r="CE8" s="62" t="e">
        <f t="shared" si="24"/>
        <v>#N/A</v>
      </c>
      <c r="CF8" s="1059" t="str">
        <f t="shared" si="25"/>
        <v>0</v>
      </c>
      <c r="CH8" s="1082" t="e">
        <f t="shared" si="26"/>
        <v>#N/A</v>
      </c>
      <c r="CI8" s="1083" t="e">
        <f t="shared" si="27"/>
        <v>#N/A</v>
      </c>
      <c r="CJ8" s="1084">
        <f t="shared" si="28"/>
        <v>0</v>
      </c>
      <c r="CK8" s="1085">
        <f t="shared" si="29"/>
        <v>1730.2743055555547</v>
      </c>
      <c r="CL8" s="1057" t="str">
        <f t="shared" si="30"/>
        <v>NON-REV</v>
      </c>
      <c r="CM8" s="1057" t="str">
        <f t="shared" si="31"/>
        <v>10 MONTHS AND ABOVE</v>
      </c>
      <c r="CN8" s="1086"/>
      <c r="CO8" s="1087"/>
      <c r="CP8" s="629" t="str">
        <f t="shared" si="32"/>
        <v>FOR ISSUANCE</v>
      </c>
      <c r="CQ8" s="1086"/>
      <c r="CR8" s="1088"/>
      <c r="CS8" s="1089" t="str">
        <f t="shared" ca="1" si="33"/>
        <v>0</v>
      </c>
      <c r="CT8" s="1086"/>
      <c r="CU8" s="1087"/>
      <c r="CV8" s="1090"/>
      <c r="CW8" s="156" t="s">
        <v>413</v>
      </c>
      <c r="CX8" s="156" t="str">
        <f>VLOOKUP(E8,'[1]List of Work Orders'!$A:$I,9,FALSE)</f>
        <v>ME185284</v>
      </c>
      <c r="CY8" s="156"/>
      <c r="DC8" s="1057" t="str">
        <f>VLOOKUP(E8,'[2]List of Work Orders'!$A:$F,6,FALSE)</f>
        <v>INPRG</v>
      </c>
      <c r="DS8" s="156" t="s">
        <v>381</v>
      </c>
    </row>
    <row r="9" spans="1:123" customFormat="1" ht="15" customHeight="1" x14ac:dyDescent="0.25">
      <c r="A9" s="221">
        <v>44168</v>
      </c>
      <c r="B9" s="222" t="s">
        <v>308</v>
      </c>
      <c r="C9" s="223"/>
      <c r="D9" s="66" t="s">
        <v>361</v>
      </c>
      <c r="E9" s="404" t="s">
        <v>414</v>
      </c>
      <c r="F9" s="95" t="s">
        <v>415</v>
      </c>
      <c r="G9" s="95" t="s">
        <v>416</v>
      </c>
      <c r="H9" s="95" t="s">
        <v>238</v>
      </c>
      <c r="I9" s="95" t="s">
        <v>239</v>
      </c>
      <c r="J9" s="1134" t="s">
        <v>410</v>
      </c>
      <c r="K9" s="101" t="s">
        <v>271</v>
      </c>
      <c r="L9" s="101" t="s">
        <v>5</v>
      </c>
      <c r="M9" s="345" t="s">
        <v>402</v>
      </c>
      <c r="N9" s="442" t="s">
        <v>403</v>
      </c>
      <c r="O9" s="146">
        <v>15.951999999999998</v>
      </c>
      <c r="P9" s="165" t="e">
        <v>#N/A</v>
      </c>
      <c r="Q9" s="157">
        <v>0</v>
      </c>
      <c r="R9" s="109" t="s">
        <v>368</v>
      </c>
      <c r="S9" s="110">
        <v>151461.47</v>
      </c>
      <c r="T9" s="93">
        <v>10764.63</v>
      </c>
      <c r="U9" s="141"/>
      <c r="V9" s="158">
        <f t="shared" si="0"/>
        <v>0</v>
      </c>
      <c r="W9" s="159">
        <v>44158.695833333331</v>
      </c>
      <c r="X9" s="159">
        <v>44160.665277777778</v>
      </c>
      <c r="Y9" s="160">
        <v>44103</v>
      </c>
      <c r="Z9" s="470"/>
      <c r="AA9" s="470"/>
      <c r="AB9" s="470"/>
      <c r="AC9" s="161">
        <f t="shared" si="1"/>
        <v>-44158.695833333331</v>
      </c>
      <c r="AD9" s="161">
        <f t="shared" si="2"/>
        <v>-44160.665277777778</v>
      </c>
      <c r="AE9" s="446">
        <f t="shared" si="3"/>
        <v>0</v>
      </c>
      <c r="AF9" s="160" t="e">
        <f t="shared" si="4"/>
        <v>#N/A</v>
      </c>
      <c r="AG9" s="160" t="e">
        <f t="shared" si="5"/>
        <v>#N/A</v>
      </c>
      <c r="AH9" s="159">
        <f t="shared" si="6"/>
        <v>44208.695833333331</v>
      </c>
      <c r="AI9" s="162" t="e">
        <f t="shared" si="7"/>
        <v>#N/A</v>
      </c>
      <c r="AJ9" s="224">
        <f t="shared" si="8"/>
        <v>0</v>
      </c>
      <c r="AK9" s="225" t="e">
        <f t="shared" si="9"/>
        <v>#N/A</v>
      </c>
      <c r="AL9" s="170">
        <f t="shared" si="10"/>
        <v>36</v>
      </c>
      <c r="AM9" s="170" t="e">
        <f t="shared" si="11"/>
        <v>#N/A</v>
      </c>
      <c r="AN9" s="170" t="e">
        <f t="shared" si="12"/>
        <v>#N/A</v>
      </c>
      <c r="AO9" s="226" t="e">
        <f t="shared" si="13"/>
        <v>#N/A</v>
      </c>
      <c r="AP9" s="227">
        <v>60</v>
      </c>
      <c r="AQ9" s="228">
        <f t="shared" si="14"/>
        <v>57</v>
      </c>
      <c r="AR9" s="228">
        <f t="shared" si="15"/>
        <v>52</v>
      </c>
      <c r="AS9" s="229">
        <f t="shared" si="16"/>
        <v>60</v>
      </c>
      <c r="AT9" s="982">
        <f t="shared" ca="1" si="17"/>
        <v>45895</v>
      </c>
      <c r="AU9" s="50"/>
      <c r="AV9" s="118"/>
      <c r="AW9" s="49"/>
      <c r="AX9" s="49"/>
      <c r="AY9" s="49"/>
      <c r="AZ9" s="300"/>
      <c r="BA9" s="119"/>
      <c r="BB9" s="306"/>
      <c r="BC9" s="231" t="s">
        <v>15</v>
      </c>
      <c r="BD9" s="232"/>
      <c r="BE9" s="222">
        <f t="shared" si="18"/>
        <v>15</v>
      </c>
      <c r="BF9" s="233">
        <f t="shared" si="19"/>
        <v>0</v>
      </c>
      <c r="BG9" s="234"/>
      <c r="BH9" s="235"/>
      <c r="BI9" s="234"/>
      <c r="BJ9" s="236"/>
      <c r="BK9" s="237"/>
      <c r="BL9" s="222"/>
      <c r="BM9" s="238"/>
      <c r="BN9" s="222"/>
      <c r="BO9" s="222"/>
      <c r="BP9" s="239"/>
      <c r="BQ9" s="240" t="s">
        <v>246</v>
      </c>
      <c r="BR9" s="238"/>
      <c r="BS9" s="68" t="s">
        <v>404</v>
      </c>
      <c r="BT9" s="69" t="s">
        <v>417</v>
      </c>
      <c r="BU9" s="69" t="s">
        <v>246</v>
      </c>
      <c r="BV9" s="69" t="s">
        <v>383</v>
      </c>
      <c r="BW9" s="75" t="s">
        <v>418</v>
      </c>
      <c r="BX9" s="77"/>
      <c r="BY9" s="78"/>
      <c r="BZ9" s="944"/>
      <c r="CA9" s="42" t="str">
        <f t="shared" si="20"/>
        <v>0</v>
      </c>
      <c r="CB9" s="62">
        <f t="shared" si="21"/>
        <v>-44158.695833333331</v>
      </c>
      <c r="CC9" s="42">
        <f t="shared" si="22"/>
        <v>0</v>
      </c>
      <c r="CD9" s="62">
        <f t="shared" si="23"/>
        <v>-44158.695833333331</v>
      </c>
      <c r="CE9" s="62" t="e">
        <f t="shared" si="24"/>
        <v>#N/A</v>
      </c>
      <c r="CF9" s="145" t="str">
        <f t="shared" si="25"/>
        <v>0</v>
      </c>
      <c r="CG9" s="145"/>
      <c r="CH9" s="443" t="e">
        <f t="shared" si="26"/>
        <v>#N/A</v>
      </c>
      <c r="CI9" s="996" t="e">
        <f t="shared" si="27"/>
        <v>#N/A</v>
      </c>
      <c r="CJ9" s="261">
        <f t="shared" si="28"/>
        <v>0</v>
      </c>
      <c r="CK9" s="458">
        <f t="shared" si="29"/>
        <v>1697.3041666666686</v>
      </c>
      <c r="CL9" t="str">
        <f t="shared" si="30"/>
        <v>NON-REV</v>
      </c>
      <c r="CM9" t="str">
        <f t="shared" si="31"/>
        <v>10 MONTHS AND ABOVE</v>
      </c>
      <c r="CN9" s="635"/>
      <c r="CO9" s="631"/>
      <c r="CP9" s="629" t="str">
        <f t="shared" si="32"/>
        <v>FOR ISSUANCE</v>
      </c>
      <c r="CQ9" s="635"/>
      <c r="CR9" s="697"/>
      <c r="CS9" s="633" t="str">
        <f t="shared" ca="1" si="33"/>
        <v>0</v>
      </c>
      <c r="CT9" s="635"/>
      <c r="CU9" s="631"/>
      <c r="CV9" s="638"/>
      <c r="CW9" s="156" t="s">
        <v>419</v>
      </c>
      <c r="CX9" s="156" t="str">
        <f>VLOOKUP(E9,'[1]List of Work Orders'!$A:$I,9,FALSE)</f>
        <v>ME166067</v>
      </c>
      <c r="CY9" s="156"/>
      <c r="DC9" t="str">
        <f>VLOOKUP(E9,'[2]List of Work Orders'!$A:$F,6,FALSE)</f>
        <v>INPRG</v>
      </c>
      <c r="DS9" s="156" t="s">
        <v>374</v>
      </c>
    </row>
    <row r="10" spans="1:123" customFormat="1" ht="15" customHeight="1" x14ac:dyDescent="0.25">
      <c r="A10" s="221">
        <v>44168</v>
      </c>
      <c r="B10" s="222" t="s">
        <v>308</v>
      </c>
      <c r="C10" s="223"/>
      <c r="D10" s="66" t="s">
        <v>361</v>
      </c>
      <c r="E10" s="404" t="s">
        <v>420</v>
      </c>
      <c r="F10" s="95" t="s">
        <v>421</v>
      </c>
      <c r="G10" s="95" t="s">
        <v>422</v>
      </c>
      <c r="H10" s="95" t="s">
        <v>238</v>
      </c>
      <c r="I10" s="95" t="s">
        <v>239</v>
      </c>
      <c r="J10" s="1134" t="s">
        <v>410</v>
      </c>
      <c r="K10" s="101" t="s">
        <v>271</v>
      </c>
      <c r="L10" s="101" t="s">
        <v>5</v>
      </c>
      <c r="M10" s="345" t="s">
        <v>402</v>
      </c>
      <c r="N10" s="442" t="s">
        <v>403</v>
      </c>
      <c r="O10" s="146">
        <v>36.12850000000001</v>
      </c>
      <c r="P10" s="165" t="e">
        <v>#N/A</v>
      </c>
      <c r="Q10" s="157">
        <v>0</v>
      </c>
      <c r="R10" s="109" t="s">
        <v>368</v>
      </c>
      <c r="S10" s="110">
        <v>282791.21000000002</v>
      </c>
      <c r="T10" s="93">
        <v>104391</v>
      </c>
      <c r="U10" s="141"/>
      <c r="V10" s="158">
        <f t="shared" si="0"/>
        <v>0</v>
      </c>
      <c r="W10" s="159">
        <v>44166.707638888889</v>
      </c>
      <c r="X10" s="159">
        <v>44167.411111111112</v>
      </c>
      <c r="Y10" s="160">
        <v>44168</v>
      </c>
      <c r="Z10" s="470"/>
      <c r="AA10" s="470"/>
      <c r="AB10" s="470"/>
      <c r="AC10" s="161">
        <f t="shared" si="1"/>
        <v>-44166.707638888889</v>
      </c>
      <c r="AD10" s="161">
        <f t="shared" si="2"/>
        <v>-44167.411111111112</v>
      </c>
      <c r="AE10" s="446">
        <f t="shared" si="3"/>
        <v>0</v>
      </c>
      <c r="AF10" s="160" t="e">
        <f t="shared" si="4"/>
        <v>#N/A</v>
      </c>
      <c r="AG10" s="160" t="e">
        <f t="shared" si="5"/>
        <v>#N/A</v>
      </c>
      <c r="AH10" s="159">
        <f t="shared" si="6"/>
        <v>44216.707638888889</v>
      </c>
      <c r="AI10" s="162" t="e">
        <f t="shared" si="7"/>
        <v>#N/A</v>
      </c>
      <c r="AJ10" s="224">
        <f t="shared" si="8"/>
        <v>0</v>
      </c>
      <c r="AK10" s="225" t="e">
        <f t="shared" si="9"/>
        <v>#N/A</v>
      </c>
      <c r="AL10" s="170">
        <f t="shared" si="10"/>
        <v>36</v>
      </c>
      <c r="AM10" s="170" t="e">
        <f t="shared" si="11"/>
        <v>#N/A</v>
      </c>
      <c r="AN10" s="170" t="e">
        <f t="shared" si="12"/>
        <v>#N/A</v>
      </c>
      <c r="AO10" s="226" t="e">
        <f t="shared" si="13"/>
        <v>#N/A</v>
      </c>
      <c r="AP10" s="227">
        <v>60</v>
      </c>
      <c r="AQ10" s="228">
        <f t="shared" si="14"/>
        <v>57</v>
      </c>
      <c r="AR10" s="228">
        <f t="shared" si="15"/>
        <v>52</v>
      </c>
      <c r="AS10" s="229">
        <f t="shared" si="16"/>
        <v>60</v>
      </c>
      <c r="AT10" s="982">
        <f t="shared" ca="1" si="17"/>
        <v>45895</v>
      </c>
      <c r="AU10" s="50"/>
      <c r="AV10" s="118"/>
      <c r="AW10" s="49"/>
      <c r="AX10" s="49"/>
      <c r="AY10" s="49"/>
      <c r="AZ10" s="300"/>
      <c r="BA10" s="119"/>
      <c r="BB10" s="306"/>
      <c r="BC10" s="231" t="s">
        <v>15</v>
      </c>
      <c r="BD10" s="232"/>
      <c r="BE10" s="222">
        <f t="shared" si="18"/>
        <v>15</v>
      </c>
      <c r="BF10" s="233">
        <f t="shared" si="19"/>
        <v>0</v>
      </c>
      <c r="BG10" s="234"/>
      <c r="BH10" s="235"/>
      <c r="BI10" s="234"/>
      <c r="BJ10" s="236"/>
      <c r="BK10" s="237"/>
      <c r="BL10" s="222"/>
      <c r="BM10" s="238"/>
      <c r="BN10" s="222"/>
      <c r="BO10" s="222"/>
      <c r="BP10" s="239"/>
      <c r="BQ10" s="240" t="s">
        <v>246</v>
      </c>
      <c r="BR10" s="238"/>
      <c r="BS10" s="68" t="s">
        <v>369</v>
      </c>
      <c r="BT10" s="69" t="s">
        <v>423</v>
      </c>
      <c r="BU10" s="69" t="s">
        <v>247</v>
      </c>
      <c r="BV10" s="69" t="s">
        <v>383</v>
      </c>
      <c r="BW10" s="75" t="s">
        <v>372</v>
      </c>
      <c r="BX10" s="77"/>
      <c r="BY10" s="78"/>
      <c r="BZ10" s="944"/>
      <c r="CA10" s="42" t="str">
        <f t="shared" si="20"/>
        <v>0</v>
      </c>
      <c r="CB10" s="62">
        <f t="shared" si="21"/>
        <v>-44166.707638888889</v>
      </c>
      <c r="CC10" s="42">
        <f t="shared" si="22"/>
        <v>0</v>
      </c>
      <c r="CD10" s="62">
        <f t="shared" si="23"/>
        <v>-44166.707638888889</v>
      </c>
      <c r="CE10" s="62" t="e">
        <f t="shared" si="24"/>
        <v>#N/A</v>
      </c>
      <c r="CF10" s="145" t="str">
        <f t="shared" si="25"/>
        <v>0</v>
      </c>
      <c r="CG10" s="145"/>
      <c r="CH10" s="443" t="e">
        <f t="shared" si="26"/>
        <v>#N/A</v>
      </c>
      <c r="CI10" s="996" t="e">
        <f t="shared" si="27"/>
        <v>#N/A</v>
      </c>
      <c r="CJ10" s="261">
        <f t="shared" si="28"/>
        <v>0</v>
      </c>
      <c r="CK10" s="458">
        <f t="shared" si="29"/>
        <v>1689.2923611111109</v>
      </c>
      <c r="CL10" t="str">
        <f t="shared" si="30"/>
        <v>NON-REV</v>
      </c>
      <c r="CM10" t="str">
        <f t="shared" si="31"/>
        <v>10 MONTHS AND ABOVE</v>
      </c>
      <c r="CN10" s="635"/>
      <c r="CO10" s="631"/>
      <c r="CP10" s="629" t="str">
        <f t="shared" si="32"/>
        <v>FOR ISSUANCE</v>
      </c>
      <c r="CQ10" s="635"/>
      <c r="CR10" s="697"/>
      <c r="CS10" s="633" t="str">
        <f t="shared" ca="1" si="33"/>
        <v>0</v>
      </c>
      <c r="CT10" s="635"/>
      <c r="CU10" s="631"/>
      <c r="CV10" s="638"/>
      <c r="CW10" s="156" t="s">
        <v>424</v>
      </c>
      <c r="CX10" s="156" t="str">
        <f>VLOOKUP(E10,'[1]List of Work Orders'!$A:$I,9,FALSE)</f>
        <v>ME166067</v>
      </c>
      <c r="CY10" s="156"/>
      <c r="DC10" t="str">
        <f>VLOOKUP(E10,'[2]List of Work Orders'!$A:$F,6,FALSE)</f>
        <v>INPRG</v>
      </c>
      <c r="DS10" s="156" t="s">
        <v>374</v>
      </c>
    </row>
    <row r="11" spans="1:123" customFormat="1" ht="15" customHeight="1" x14ac:dyDescent="0.25">
      <c r="A11" s="221">
        <v>44180</v>
      </c>
      <c r="B11" s="222" t="s">
        <v>308</v>
      </c>
      <c r="C11" s="223"/>
      <c r="D11" s="66" t="s">
        <v>361</v>
      </c>
      <c r="E11" s="404" t="s">
        <v>425</v>
      </c>
      <c r="F11" s="95" t="s">
        <v>426</v>
      </c>
      <c r="G11" s="95" t="s">
        <v>427</v>
      </c>
      <c r="H11" s="95" t="s">
        <v>378</v>
      </c>
      <c r="I11" s="95" t="s">
        <v>239</v>
      </c>
      <c r="J11" s="1134" t="s">
        <v>410</v>
      </c>
      <c r="K11" s="101" t="s">
        <v>299</v>
      </c>
      <c r="L11" s="101" t="s">
        <v>288</v>
      </c>
      <c r="M11" s="345" t="s">
        <v>380</v>
      </c>
      <c r="N11" s="442" t="s">
        <v>381</v>
      </c>
      <c r="O11" s="146">
        <v>50.338999999999999</v>
      </c>
      <c r="P11" s="165" t="e">
        <v>#N/A</v>
      </c>
      <c r="Q11" s="157">
        <v>0</v>
      </c>
      <c r="R11" s="109" t="s">
        <v>368</v>
      </c>
      <c r="S11" s="110">
        <v>366502.48</v>
      </c>
      <c r="T11" s="93">
        <v>38657.97</v>
      </c>
      <c r="U11" s="141"/>
      <c r="V11" s="158">
        <f t="shared" si="0"/>
        <v>0</v>
      </c>
      <c r="W11" s="159">
        <v>44174.681250000001</v>
      </c>
      <c r="X11" s="159">
        <v>44179.566666666666</v>
      </c>
      <c r="Y11" s="160">
        <v>44182</v>
      </c>
      <c r="Z11" s="470"/>
      <c r="AA11" s="470" t="s">
        <v>380</v>
      </c>
      <c r="AB11" s="470"/>
      <c r="AC11" s="161" t="e">
        <f t="shared" si="1"/>
        <v>#VALUE!</v>
      </c>
      <c r="AD11" s="161" t="e">
        <f t="shared" si="2"/>
        <v>#VALUE!</v>
      </c>
      <c r="AE11" s="446" t="e">
        <f t="shared" si="3"/>
        <v>#VALUE!</v>
      </c>
      <c r="AF11" s="160" t="e">
        <f t="shared" si="4"/>
        <v>#N/A</v>
      </c>
      <c r="AG11" s="160" t="e">
        <f t="shared" si="5"/>
        <v>#N/A</v>
      </c>
      <c r="AH11" s="159">
        <f t="shared" si="6"/>
        <v>44224.681250000001</v>
      </c>
      <c r="AI11" s="162" t="e">
        <f t="shared" si="7"/>
        <v>#VALUE!</v>
      </c>
      <c r="AJ11" s="224" t="e">
        <f t="shared" si="8"/>
        <v>#VALUE!</v>
      </c>
      <c r="AK11" s="225" t="e">
        <f t="shared" si="9"/>
        <v>#N/A</v>
      </c>
      <c r="AL11" s="170">
        <f t="shared" si="10"/>
        <v>36</v>
      </c>
      <c r="AM11" s="170" t="e">
        <f t="shared" si="11"/>
        <v>#N/A</v>
      </c>
      <c r="AN11" s="170" t="e">
        <f t="shared" si="12"/>
        <v>#N/A</v>
      </c>
      <c r="AO11" s="226" t="e">
        <f t="shared" si="13"/>
        <v>#N/A</v>
      </c>
      <c r="AP11" s="227">
        <v>60</v>
      </c>
      <c r="AQ11" s="228">
        <f t="shared" si="14"/>
        <v>57</v>
      </c>
      <c r="AR11" s="228">
        <f t="shared" si="15"/>
        <v>52</v>
      </c>
      <c r="AS11" s="229" t="e">
        <f t="shared" si="16"/>
        <v>#VALUE!</v>
      </c>
      <c r="AT11" s="982" t="str">
        <f t="shared" ca="1" si="17"/>
        <v/>
      </c>
      <c r="AU11" s="50"/>
      <c r="AV11" s="118"/>
      <c r="AW11" s="49"/>
      <c r="AX11" s="49"/>
      <c r="AY11" s="49"/>
      <c r="AZ11" s="300"/>
      <c r="BA11" s="119"/>
      <c r="BB11" s="306"/>
      <c r="BC11" s="231"/>
      <c r="BD11" s="232"/>
      <c r="BE11" s="222" t="e">
        <f t="shared" si="18"/>
        <v>#VALUE!</v>
      </c>
      <c r="BF11" s="233" t="e">
        <f t="shared" si="19"/>
        <v>#VALUE!</v>
      </c>
      <c r="BG11" s="234"/>
      <c r="BH11" s="235"/>
      <c r="BI11" s="234"/>
      <c r="BJ11" s="236"/>
      <c r="BK11" s="237"/>
      <c r="BL11" s="222"/>
      <c r="BM11" s="238"/>
      <c r="BN11" s="222"/>
      <c r="BO11" s="222"/>
      <c r="BP11" s="239"/>
      <c r="BQ11" s="240" t="s">
        <v>246</v>
      </c>
      <c r="BR11" s="238"/>
      <c r="BS11" s="68" t="s">
        <v>369</v>
      </c>
      <c r="BT11" s="69" t="s">
        <v>428</v>
      </c>
      <c r="BU11" s="69" t="s">
        <v>247</v>
      </c>
      <c r="BV11" s="69" t="s">
        <v>371</v>
      </c>
      <c r="BW11" s="75" t="s">
        <v>372</v>
      </c>
      <c r="BX11" s="77"/>
      <c r="BY11" s="66"/>
      <c r="BZ11" s="944"/>
      <c r="CA11" s="42" t="str">
        <f t="shared" si="20"/>
        <v>0</v>
      </c>
      <c r="CB11" s="62" t="e">
        <f t="shared" si="21"/>
        <v>#VALUE!</v>
      </c>
      <c r="CC11" s="42">
        <f t="shared" si="22"/>
        <v>0</v>
      </c>
      <c r="CD11" s="62" t="e">
        <f t="shared" si="23"/>
        <v>#VALUE!</v>
      </c>
      <c r="CE11" s="62" t="e">
        <f t="shared" si="24"/>
        <v>#VALUE!</v>
      </c>
      <c r="CF11" s="145" t="e">
        <f t="shared" si="25"/>
        <v>#VALUE!</v>
      </c>
      <c r="CG11" s="145"/>
      <c r="CH11" s="443" t="e">
        <f t="shared" si="26"/>
        <v>#N/A</v>
      </c>
      <c r="CI11" s="996" t="e">
        <f t="shared" si="27"/>
        <v>#N/A</v>
      </c>
      <c r="CJ11" s="261" t="e">
        <f t="shared" si="28"/>
        <v>#VALUE!</v>
      </c>
      <c r="CK11" s="458" t="str">
        <f t="shared" si="29"/>
        <v/>
      </c>
      <c r="CL11" t="str">
        <f t="shared" si="30"/>
        <v>NON-REV</v>
      </c>
      <c r="CM11" t="str">
        <f t="shared" si="31"/>
        <v/>
      </c>
      <c r="CN11" s="635"/>
      <c r="CO11" s="631"/>
      <c r="CP11" s="629" t="str">
        <f t="shared" si="32"/>
        <v>FOR ISSUANCE</v>
      </c>
      <c r="CQ11" s="635"/>
      <c r="CR11" s="697"/>
      <c r="CS11" s="633" t="str">
        <f t="shared" ca="1" si="33"/>
        <v>0</v>
      </c>
      <c r="CT11" s="635"/>
      <c r="CU11" s="631"/>
      <c r="CV11" s="638"/>
      <c r="CW11" s="156" t="s">
        <v>429</v>
      </c>
      <c r="CX11" s="156" t="str">
        <f>VLOOKUP(E11,'[1]List of Work Orders'!$A:$I,9,FALSE)</f>
        <v>ME185284</v>
      </c>
      <c r="CY11" s="156"/>
      <c r="DC11" t="str">
        <f>VLOOKUP(E11,'[2]List of Work Orders'!$A:$F,6,FALSE)</f>
        <v>CAN</v>
      </c>
      <c r="DS11" s="156" t="s">
        <v>381</v>
      </c>
    </row>
    <row r="12" spans="1:123" customFormat="1" ht="15" customHeight="1" x14ac:dyDescent="0.25">
      <c r="A12" s="221">
        <v>44186</v>
      </c>
      <c r="B12" s="222" t="s">
        <v>308</v>
      </c>
      <c r="C12" s="223"/>
      <c r="D12" s="66" t="s">
        <v>361</v>
      </c>
      <c r="E12" s="404" t="s">
        <v>430</v>
      </c>
      <c r="F12" s="95" t="s">
        <v>431</v>
      </c>
      <c r="G12" s="95" t="s">
        <v>432</v>
      </c>
      <c r="H12" s="95" t="s">
        <v>378</v>
      </c>
      <c r="I12" s="95" t="s">
        <v>239</v>
      </c>
      <c r="J12" s="1134" t="s">
        <v>410</v>
      </c>
      <c r="K12" s="101" t="s">
        <v>271</v>
      </c>
      <c r="L12" s="101" t="s">
        <v>5</v>
      </c>
      <c r="M12" s="345" t="s">
        <v>402</v>
      </c>
      <c r="N12" s="442" t="s">
        <v>403</v>
      </c>
      <c r="O12" s="146">
        <v>45.5807</v>
      </c>
      <c r="P12" s="165" t="e">
        <v>#N/A</v>
      </c>
      <c r="Q12" s="157">
        <v>0</v>
      </c>
      <c r="R12" s="109" t="s">
        <v>368</v>
      </c>
      <c r="S12" s="110">
        <v>213069.82</v>
      </c>
      <c r="T12" s="93">
        <v>36545.79</v>
      </c>
      <c r="U12" s="141"/>
      <c r="V12" s="158">
        <f t="shared" si="0"/>
        <v>0</v>
      </c>
      <c r="W12" s="159">
        <v>44179.022222222222</v>
      </c>
      <c r="X12" s="159">
        <v>44181.538888888892</v>
      </c>
      <c r="Y12" s="160">
        <v>44180</v>
      </c>
      <c r="Z12" s="470"/>
      <c r="AA12" s="470"/>
      <c r="AB12" s="470"/>
      <c r="AC12" s="161">
        <f t="shared" si="1"/>
        <v>-44179.022222222222</v>
      </c>
      <c r="AD12" s="161">
        <f t="shared" si="2"/>
        <v>-44181.538888888892</v>
      </c>
      <c r="AE12" s="446">
        <f t="shared" si="3"/>
        <v>0</v>
      </c>
      <c r="AF12" s="160" t="e">
        <f t="shared" si="4"/>
        <v>#N/A</v>
      </c>
      <c r="AG12" s="160" t="e">
        <f t="shared" si="5"/>
        <v>#N/A</v>
      </c>
      <c r="AH12" s="159">
        <f t="shared" si="6"/>
        <v>44229.022222222222</v>
      </c>
      <c r="AI12" s="162" t="e">
        <f t="shared" si="7"/>
        <v>#N/A</v>
      </c>
      <c r="AJ12" s="224">
        <f t="shared" si="8"/>
        <v>0</v>
      </c>
      <c r="AK12" s="225" t="e">
        <f t="shared" si="9"/>
        <v>#N/A</v>
      </c>
      <c r="AL12" s="170">
        <f t="shared" si="10"/>
        <v>36</v>
      </c>
      <c r="AM12" s="170" t="e">
        <f t="shared" si="11"/>
        <v>#N/A</v>
      </c>
      <c r="AN12" s="170" t="e">
        <f t="shared" si="12"/>
        <v>#N/A</v>
      </c>
      <c r="AO12" s="226" t="e">
        <f t="shared" si="13"/>
        <v>#N/A</v>
      </c>
      <c r="AP12" s="227">
        <v>60</v>
      </c>
      <c r="AQ12" s="228">
        <f t="shared" si="14"/>
        <v>57</v>
      </c>
      <c r="AR12" s="228">
        <f t="shared" si="15"/>
        <v>52</v>
      </c>
      <c r="AS12" s="229">
        <f t="shared" si="16"/>
        <v>60</v>
      </c>
      <c r="AT12" s="982">
        <f t="shared" ca="1" si="17"/>
        <v>45895</v>
      </c>
      <c r="AU12" s="50"/>
      <c r="AV12" s="118"/>
      <c r="AW12" s="49"/>
      <c r="AX12" s="49"/>
      <c r="AY12" s="49"/>
      <c r="AZ12" s="300"/>
      <c r="BA12" s="119"/>
      <c r="BB12" s="306"/>
      <c r="BC12" s="231" t="s">
        <v>15</v>
      </c>
      <c r="BD12" s="232"/>
      <c r="BE12" s="222">
        <f t="shared" si="18"/>
        <v>15</v>
      </c>
      <c r="BF12" s="233">
        <f t="shared" si="19"/>
        <v>0</v>
      </c>
      <c r="BG12" s="234"/>
      <c r="BH12" s="235"/>
      <c r="BI12" s="234"/>
      <c r="BJ12" s="236"/>
      <c r="BK12" s="237"/>
      <c r="BL12" s="222"/>
      <c r="BM12" s="238"/>
      <c r="BN12" s="222"/>
      <c r="BO12" s="222"/>
      <c r="BP12" s="239"/>
      <c r="BQ12" s="240" t="s">
        <v>246</v>
      </c>
      <c r="BR12" s="238"/>
      <c r="BS12" s="68" t="s">
        <v>369</v>
      </c>
      <c r="BT12" s="69" t="s">
        <v>433</v>
      </c>
      <c r="BU12" s="69" t="s">
        <v>246</v>
      </c>
      <c r="BV12" s="69" t="s">
        <v>383</v>
      </c>
      <c r="BW12" s="75" t="s">
        <v>372</v>
      </c>
      <c r="BX12" s="77"/>
      <c r="BY12" s="78"/>
      <c r="BZ12" s="944"/>
      <c r="CA12" s="42" t="str">
        <f t="shared" si="20"/>
        <v>0</v>
      </c>
      <c r="CB12" s="62">
        <f t="shared" si="21"/>
        <v>-44179.022222222222</v>
      </c>
      <c r="CC12" s="42">
        <f t="shared" si="22"/>
        <v>0</v>
      </c>
      <c r="CD12" s="62">
        <f t="shared" si="23"/>
        <v>-44179.022222222222</v>
      </c>
      <c r="CE12" s="62" t="e">
        <f t="shared" si="24"/>
        <v>#N/A</v>
      </c>
      <c r="CF12" s="145" t="str">
        <f t="shared" si="25"/>
        <v>0</v>
      </c>
      <c r="CG12" s="145"/>
      <c r="CH12" s="443" t="e">
        <f t="shared" si="26"/>
        <v>#N/A</v>
      </c>
      <c r="CI12" s="996" t="e">
        <f t="shared" si="27"/>
        <v>#N/A</v>
      </c>
      <c r="CJ12" s="261">
        <f t="shared" si="28"/>
        <v>0</v>
      </c>
      <c r="CK12" s="458">
        <f t="shared" si="29"/>
        <v>1676.9777777777781</v>
      </c>
      <c r="CL12" t="str">
        <f t="shared" si="30"/>
        <v>NON-REV</v>
      </c>
      <c r="CM12" t="str">
        <f t="shared" si="31"/>
        <v>10 MONTHS AND ABOVE</v>
      </c>
      <c r="CN12" s="635"/>
      <c r="CO12" s="631"/>
      <c r="CP12" s="629" t="str">
        <f t="shared" si="32"/>
        <v>FOR ISSUANCE</v>
      </c>
      <c r="CQ12" s="635"/>
      <c r="CR12" s="697"/>
      <c r="CS12" s="633" t="str">
        <f t="shared" ca="1" si="33"/>
        <v>0</v>
      </c>
      <c r="CT12" s="635"/>
      <c r="CU12" s="631"/>
      <c r="CV12" s="638"/>
      <c r="CW12" s="156" t="s">
        <v>434</v>
      </c>
      <c r="CX12" s="156" t="str">
        <f>VLOOKUP(E12,'[1]List of Work Orders'!$A:$I,9,FALSE)</f>
        <v>ME166067</v>
      </c>
      <c r="CY12" s="156"/>
      <c r="DC12" t="str">
        <f>VLOOKUP(E12,'[2]List of Work Orders'!$A:$F,6,FALSE)</f>
        <v>INPRG</v>
      </c>
      <c r="DS12" s="156" t="s">
        <v>374</v>
      </c>
    </row>
    <row r="13" spans="1:123" customFormat="1" ht="15" customHeight="1" x14ac:dyDescent="0.25">
      <c r="A13" s="221">
        <v>44202</v>
      </c>
      <c r="B13" s="222" t="s">
        <v>308</v>
      </c>
      <c r="C13" s="241"/>
      <c r="D13" s="66" t="s">
        <v>361</v>
      </c>
      <c r="E13" s="404" t="s">
        <v>435</v>
      </c>
      <c r="F13" s="95" t="s">
        <v>436</v>
      </c>
      <c r="G13" s="95" t="s">
        <v>437</v>
      </c>
      <c r="H13" s="95" t="s">
        <v>318</v>
      </c>
      <c r="I13" s="95" t="s">
        <v>239</v>
      </c>
      <c r="J13" s="1134" t="s">
        <v>410</v>
      </c>
      <c r="K13" s="101" t="s">
        <v>299</v>
      </c>
      <c r="L13" s="101" t="s">
        <v>242</v>
      </c>
      <c r="M13" s="345" t="s">
        <v>438</v>
      </c>
      <c r="N13" s="442" t="s">
        <v>367</v>
      </c>
      <c r="O13" s="146">
        <v>13.071999999999999</v>
      </c>
      <c r="P13" s="165" t="e">
        <v>#N/A</v>
      </c>
      <c r="Q13" s="157">
        <v>0</v>
      </c>
      <c r="R13" s="109" t="s">
        <v>368</v>
      </c>
      <c r="S13" s="110">
        <v>169419.8</v>
      </c>
      <c r="T13" s="93">
        <v>17546.740000000002</v>
      </c>
      <c r="U13" s="141"/>
      <c r="V13" s="158">
        <f t="shared" si="0"/>
        <v>0</v>
      </c>
      <c r="W13" s="159">
        <v>44195.854166666664</v>
      </c>
      <c r="X13" s="159">
        <v>44201.438888888886</v>
      </c>
      <c r="Y13" s="160">
        <v>44221</v>
      </c>
      <c r="Z13" s="470"/>
      <c r="AA13" s="470"/>
      <c r="AB13" s="470"/>
      <c r="AC13" s="161">
        <f t="shared" si="1"/>
        <v>-44195.854166666664</v>
      </c>
      <c r="AD13" s="161">
        <f t="shared" si="2"/>
        <v>-44201.438888888886</v>
      </c>
      <c r="AE13" s="446">
        <f t="shared" si="3"/>
        <v>0</v>
      </c>
      <c r="AF13" s="160" t="e">
        <f t="shared" si="4"/>
        <v>#N/A</v>
      </c>
      <c r="AG13" s="160" t="e">
        <f t="shared" si="5"/>
        <v>#N/A</v>
      </c>
      <c r="AH13" s="159">
        <f t="shared" si="6"/>
        <v>44245.854166666664</v>
      </c>
      <c r="AI13" s="162" t="e">
        <f t="shared" si="7"/>
        <v>#N/A</v>
      </c>
      <c r="AJ13" s="224">
        <f t="shared" si="8"/>
        <v>0</v>
      </c>
      <c r="AK13" s="225" t="e">
        <f t="shared" si="9"/>
        <v>#N/A</v>
      </c>
      <c r="AL13" s="170">
        <f t="shared" si="10"/>
        <v>36</v>
      </c>
      <c r="AM13" s="170" t="e">
        <f t="shared" si="11"/>
        <v>#N/A</v>
      </c>
      <c r="AN13" s="170" t="e">
        <f t="shared" si="12"/>
        <v>#N/A</v>
      </c>
      <c r="AO13" s="226" t="e">
        <f t="shared" si="13"/>
        <v>#N/A</v>
      </c>
      <c r="AP13" s="227">
        <v>60</v>
      </c>
      <c r="AQ13" s="228">
        <f t="shared" si="14"/>
        <v>57</v>
      </c>
      <c r="AR13" s="228">
        <f t="shared" si="15"/>
        <v>52</v>
      </c>
      <c r="AS13" s="229">
        <f t="shared" si="16"/>
        <v>60</v>
      </c>
      <c r="AT13" s="982">
        <f t="shared" ca="1" si="17"/>
        <v>45895</v>
      </c>
      <c r="AU13" s="50"/>
      <c r="AV13" s="118"/>
      <c r="AW13" s="49"/>
      <c r="AX13" s="49"/>
      <c r="AY13" s="49"/>
      <c r="AZ13" s="300"/>
      <c r="BA13" s="119"/>
      <c r="BB13" s="306"/>
      <c r="BC13" s="231"/>
      <c r="BD13" s="232"/>
      <c r="BE13" s="222">
        <f t="shared" si="18"/>
        <v>15</v>
      </c>
      <c r="BF13" s="233">
        <f t="shared" si="19"/>
        <v>0</v>
      </c>
      <c r="BG13" s="234"/>
      <c r="BH13" s="235"/>
      <c r="BI13" s="234"/>
      <c r="BJ13" s="236"/>
      <c r="BK13" s="237"/>
      <c r="BL13" s="222"/>
      <c r="BM13" s="238"/>
      <c r="BN13" s="222"/>
      <c r="BO13" s="222"/>
      <c r="BP13" s="239"/>
      <c r="BQ13" s="240" t="s">
        <v>246</v>
      </c>
      <c r="BR13" s="238"/>
      <c r="BS13" s="68" t="s">
        <v>369</v>
      </c>
      <c r="BT13" s="69" t="s">
        <v>439</v>
      </c>
      <c r="BU13" s="69" t="s">
        <v>247</v>
      </c>
      <c r="BV13" s="69" t="s">
        <v>383</v>
      </c>
      <c r="BW13" s="75" t="s">
        <v>440</v>
      </c>
      <c r="BX13" s="77"/>
      <c r="BY13" s="66"/>
      <c r="BZ13" s="944"/>
      <c r="CA13" s="42" t="str">
        <f t="shared" si="20"/>
        <v>0</v>
      </c>
      <c r="CB13" s="62">
        <f t="shared" si="21"/>
        <v>-44195.854166666664</v>
      </c>
      <c r="CC13" s="42">
        <f t="shared" si="22"/>
        <v>0</v>
      </c>
      <c r="CD13" s="62">
        <f t="shared" si="23"/>
        <v>-44195.854166666664</v>
      </c>
      <c r="CE13" s="62" t="e">
        <f t="shared" si="24"/>
        <v>#N/A</v>
      </c>
      <c r="CF13" s="145" t="str">
        <f t="shared" si="25"/>
        <v>0</v>
      </c>
      <c r="CG13" s="145"/>
      <c r="CH13" s="443" t="e">
        <f t="shared" si="26"/>
        <v>#N/A</v>
      </c>
      <c r="CI13" s="996" t="e">
        <f t="shared" si="27"/>
        <v>#N/A</v>
      </c>
      <c r="CJ13" s="261">
        <f t="shared" si="28"/>
        <v>0</v>
      </c>
      <c r="CK13" s="458">
        <f t="shared" si="29"/>
        <v>1660.1458333333358</v>
      </c>
      <c r="CL13" t="str">
        <f t="shared" si="30"/>
        <v>NON-REV</v>
      </c>
      <c r="CM13" t="str">
        <f t="shared" si="31"/>
        <v>10 MONTHS AND ABOVE</v>
      </c>
      <c r="CN13" s="635"/>
      <c r="CO13" s="631"/>
      <c r="CP13" s="629" t="str">
        <f t="shared" si="32"/>
        <v>FOR ISSUANCE</v>
      </c>
      <c r="CQ13" s="635"/>
      <c r="CR13" s="697"/>
      <c r="CS13" s="633" t="str">
        <f t="shared" ca="1" si="33"/>
        <v>0</v>
      </c>
      <c r="CT13" s="635"/>
      <c r="CU13" s="631"/>
      <c r="CV13" s="638"/>
      <c r="CW13" s="156" t="s">
        <v>441</v>
      </c>
      <c r="CX13" s="156" t="str">
        <f>VLOOKUP(E13,'[1]List of Work Orders'!$A:$I,9,FALSE)</f>
        <v>ME168443</v>
      </c>
      <c r="CY13" s="156"/>
      <c r="CZ13" s="63"/>
      <c r="DC13" t="str">
        <f>VLOOKUP(E13,'[2]List of Work Orders'!$A:$F,6,FALSE)</f>
        <v>PCAN3</v>
      </c>
      <c r="DS13" s="156" t="s">
        <v>374</v>
      </c>
    </row>
    <row r="14" spans="1:123" customFormat="1" ht="15" customHeight="1" x14ac:dyDescent="0.25">
      <c r="A14" s="221"/>
      <c r="B14" s="222" t="s">
        <v>308</v>
      </c>
      <c r="C14" s="223"/>
      <c r="D14" s="66" t="s">
        <v>361</v>
      </c>
      <c r="E14" s="404" t="s">
        <v>442</v>
      </c>
      <c r="F14" s="95" t="s">
        <v>443</v>
      </c>
      <c r="G14" s="95" t="s">
        <v>444</v>
      </c>
      <c r="H14" s="95" t="s">
        <v>269</v>
      </c>
      <c r="I14" s="95" t="s">
        <v>239</v>
      </c>
      <c r="J14" s="1134" t="s">
        <v>410</v>
      </c>
      <c r="K14" s="101" t="s">
        <v>271</v>
      </c>
      <c r="L14" s="101" t="s">
        <v>5</v>
      </c>
      <c r="M14" s="345" t="s">
        <v>331</v>
      </c>
      <c r="N14" s="442" t="s">
        <v>403</v>
      </c>
      <c r="O14" s="146">
        <v>10.481999999999999</v>
      </c>
      <c r="P14" s="165" t="e">
        <v>#N/A</v>
      </c>
      <c r="Q14" s="157">
        <v>0</v>
      </c>
      <c r="R14" s="109" t="s">
        <v>368</v>
      </c>
      <c r="S14" s="110">
        <v>137331.68</v>
      </c>
      <c r="T14" s="93">
        <v>7006.35</v>
      </c>
      <c r="U14" s="141"/>
      <c r="V14" s="158">
        <f t="shared" si="0"/>
        <v>0</v>
      </c>
      <c r="W14" s="159">
        <v>44227.89166666667</v>
      </c>
      <c r="X14" s="159">
        <v>44229.565972222219</v>
      </c>
      <c r="Y14" s="160">
        <v>44229</v>
      </c>
      <c r="Z14" s="470"/>
      <c r="AA14" s="470"/>
      <c r="AB14" s="470"/>
      <c r="AC14" s="161">
        <f t="shared" si="1"/>
        <v>-44227.89166666667</v>
      </c>
      <c r="AD14" s="161">
        <f t="shared" si="2"/>
        <v>-44229.565972222219</v>
      </c>
      <c r="AE14" s="446">
        <f t="shared" si="3"/>
        <v>0</v>
      </c>
      <c r="AF14" s="160" t="e">
        <f t="shared" si="4"/>
        <v>#N/A</v>
      </c>
      <c r="AG14" s="160" t="e">
        <f t="shared" si="5"/>
        <v>#N/A</v>
      </c>
      <c r="AH14" s="159">
        <f t="shared" si="6"/>
        <v>44277.89166666667</v>
      </c>
      <c r="AI14" s="162" t="e">
        <f t="shared" si="7"/>
        <v>#N/A</v>
      </c>
      <c r="AJ14" s="224">
        <f t="shared" si="8"/>
        <v>0</v>
      </c>
      <c r="AK14" s="225" t="e">
        <f t="shared" si="9"/>
        <v>#N/A</v>
      </c>
      <c r="AL14" s="170">
        <f t="shared" si="10"/>
        <v>36</v>
      </c>
      <c r="AM14" s="170" t="e">
        <f t="shared" si="11"/>
        <v>#N/A</v>
      </c>
      <c r="AN14" s="170" t="e">
        <f t="shared" si="12"/>
        <v>#N/A</v>
      </c>
      <c r="AO14" s="226" t="e">
        <f t="shared" si="13"/>
        <v>#N/A</v>
      </c>
      <c r="AP14" s="227">
        <v>60</v>
      </c>
      <c r="AQ14" s="228">
        <f t="shared" si="14"/>
        <v>57</v>
      </c>
      <c r="AR14" s="228">
        <f t="shared" si="15"/>
        <v>52</v>
      </c>
      <c r="AS14" s="229">
        <f t="shared" si="16"/>
        <v>60</v>
      </c>
      <c r="AT14" s="982">
        <f t="shared" ca="1" si="17"/>
        <v>45895</v>
      </c>
      <c r="AU14" s="50"/>
      <c r="AV14" s="118"/>
      <c r="AW14" s="49"/>
      <c r="AX14" s="49"/>
      <c r="AY14" s="49"/>
      <c r="AZ14" s="300"/>
      <c r="BA14" s="119"/>
      <c r="BB14" s="306"/>
      <c r="BC14" s="231" t="s">
        <v>15</v>
      </c>
      <c r="BD14" s="232"/>
      <c r="BE14" s="222">
        <f t="shared" si="18"/>
        <v>15</v>
      </c>
      <c r="BF14" s="233">
        <f t="shared" si="19"/>
        <v>0</v>
      </c>
      <c r="BG14" s="234"/>
      <c r="BH14" s="235"/>
      <c r="BI14" s="234"/>
      <c r="BJ14" s="236"/>
      <c r="BK14" s="237"/>
      <c r="BL14" s="222"/>
      <c r="BM14" s="238"/>
      <c r="BN14" s="222"/>
      <c r="BO14" s="222"/>
      <c r="BP14" s="239"/>
      <c r="BQ14" s="240" t="s">
        <v>246</v>
      </c>
      <c r="BR14" s="238"/>
      <c r="BS14" s="68" t="s">
        <v>369</v>
      </c>
      <c r="BT14" s="69" t="s">
        <v>445</v>
      </c>
      <c r="BU14" s="69" t="s">
        <v>246</v>
      </c>
      <c r="BV14" s="69" t="s">
        <v>383</v>
      </c>
      <c r="BW14" s="75" t="s">
        <v>372</v>
      </c>
      <c r="BX14" s="77"/>
      <c r="BY14" s="66"/>
      <c r="BZ14" s="944"/>
      <c r="CA14" s="42" t="str">
        <f t="shared" si="20"/>
        <v>0</v>
      </c>
      <c r="CB14" s="62">
        <f t="shared" si="21"/>
        <v>-44227.89166666667</v>
      </c>
      <c r="CC14" s="42">
        <f t="shared" si="22"/>
        <v>0</v>
      </c>
      <c r="CD14" s="62">
        <f t="shared" si="23"/>
        <v>-44227.89166666667</v>
      </c>
      <c r="CE14" s="62" t="e">
        <f t="shared" si="24"/>
        <v>#N/A</v>
      </c>
      <c r="CF14" s="145" t="str">
        <f t="shared" si="25"/>
        <v>0</v>
      </c>
      <c r="CG14" s="145"/>
      <c r="CH14" s="443" t="e">
        <f t="shared" si="26"/>
        <v>#N/A</v>
      </c>
      <c r="CI14" s="996" t="e">
        <f t="shared" si="27"/>
        <v>#N/A</v>
      </c>
      <c r="CJ14" s="261">
        <f t="shared" si="28"/>
        <v>0</v>
      </c>
      <c r="CK14" s="458">
        <f t="shared" si="29"/>
        <v>1628.1083333333299</v>
      </c>
      <c r="CL14" t="str">
        <f t="shared" si="30"/>
        <v>NON-REV</v>
      </c>
      <c r="CM14" t="str">
        <f t="shared" si="31"/>
        <v>10 MONTHS AND ABOVE</v>
      </c>
      <c r="CN14" s="635"/>
      <c r="CO14" s="631"/>
      <c r="CP14" s="629" t="str">
        <f t="shared" si="32"/>
        <v>FOR ISSUANCE</v>
      </c>
      <c r="CQ14" s="635"/>
      <c r="CR14" s="697"/>
      <c r="CS14" s="633" t="str">
        <f t="shared" ca="1" si="33"/>
        <v>0</v>
      </c>
      <c r="CT14" s="635"/>
      <c r="CU14" s="631"/>
      <c r="CV14" s="638"/>
      <c r="CW14" s="156" t="s">
        <v>446</v>
      </c>
      <c r="CX14" s="156" t="str">
        <f>VLOOKUP(E14,'[1]List of Work Orders'!$A:$I,9,FALSE)</f>
        <v>ME166067</v>
      </c>
      <c r="CY14" s="156"/>
      <c r="DC14" t="str">
        <f>VLOOKUP(E14,'[2]List of Work Orders'!$A:$F,6,FALSE)</f>
        <v>SCHED</v>
      </c>
      <c r="DS14" s="156" t="s">
        <v>374</v>
      </c>
    </row>
    <row r="15" spans="1:123" customFormat="1" ht="15" customHeight="1" x14ac:dyDescent="0.25">
      <c r="A15" s="221">
        <v>44249</v>
      </c>
      <c r="B15" s="222" t="s">
        <v>308</v>
      </c>
      <c r="C15" s="223"/>
      <c r="D15" s="66" t="s">
        <v>361</v>
      </c>
      <c r="E15" s="412" t="s">
        <v>447</v>
      </c>
      <c r="F15" s="95" t="s">
        <v>448</v>
      </c>
      <c r="G15" s="95" t="s">
        <v>449</v>
      </c>
      <c r="H15" s="95" t="s">
        <v>318</v>
      </c>
      <c r="I15" s="95" t="s">
        <v>239</v>
      </c>
      <c r="J15" s="163" t="s">
        <v>450</v>
      </c>
      <c r="K15" s="101" t="s">
        <v>299</v>
      </c>
      <c r="L15" s="101" t="s">
        <v>366</v>
      </c>
      <c r="M15" s="345" t="s">
        <v>272</v>
      </c>
      <c r="N15" s="442" t="s">
        <v>367</v>
      </c>
      <c r="O15" s="1019">
        <v>243.12</v>
      </c>
      <c r="P15" s="1019">
        <v>243.12</v>
      </c>
      <c r="Q15" s="157">
        <v>0</v>
      </c>
      <c r="R15" s="109" t="s">
        <v>368</v>
      </c>
      <c r="S15" s="110">
        <v>333455.39</v>
      </c>
      <c r="T15" s="93">
        <v>85386.64</v>
      </c>
      <c r="U15" s="141"/>
      <c r="V15" s="158">
        <f t="shared" si="0"/>
        <v>0</v>
      </c>
      <c r="W15" s="159">
        <v>44245.694444444445</v>
      </c>
      <c r="X15" s="159">
        <v>44246.69027777778</v>
      </c>
      <c r="Y15" s="160">
        <v>44228</v>
      </c>
      <c r="Z15" s="470"/>
      <c r="AA15" s="470">
        <v>45760</v>
      </c>
      <c r="AB15" s="470"/>
      <c r="AC15" s="161">
        <f t="shared" si="1"/>
        <v>1514.3055555555547</v>
      </c>
      <c r="AD15" s="161">
        <f t="shared" si="2"/>
        <v>1513.3097222222204</v>
      </c>
      <c r="AE15" s="446">
        <f t="shared" si="3"/>
        <v>-45760</v>
      </c>
      <c r="AF15" s="160">
        <f t="shared" si="4"/>
        <v>44267.562865497079</v>
      </c>
      <c r="AG15" s="160">
        <f t="shared" si="5"/>
        <v>44277.194444444445</v>
      </c>
      <c r="AH15" s="159">
        <f t="shared" si="6"/>
        <v>44295.694444444445</v>
      </c>
      <c r="AI15" s="162">
        <f t="shared" si="7"/>
        <v>45.669532627865934</v>
      </c>
      <c r="AJ15" s="224">
        <f t="shared" si="8"/>
        <v>-762.66666666666663</v>
      </c>
      <c r="AK15" s="225">
        <f t="shared" si="9"/>
        <v>28</v>
      </c>
      <c r="AL15" s="170">
        <f t="shared" si="10"/>
        <v>36</v>
      </c>
      <c r="AM15" s="170">
        <f t="shared" si="11"/>
        <v>24.868421052631579</v>
      </c>
      <c r="AN15" s="170">
        <f t="shared" si="12"/>
        <v>31.499999999999996</v>
      </c>
      <c r="AO15" s="226">
        <f t="shared" si="13"/>
        <v>21.868421052631579</v>
      </c>
      <c r="AP15" s="227">
        <v>60</v>
      </c>
      <c r="AQ15" s="228">
        <f t="shared" si="14"/>
        <v>57</v>
      </c>
      <c r="AR15" s="228">
        <f t="shared" si="15"/>
        <v>52</v>
      </c>
      <c r="AS15" s="229">
        <f t="shared" si="16"/>
        <v>45820</v>
      </c>
      <c r="AT15" s="982">
        <f t="shared" ca="1" si="17"/>
        <v>135</v>
      </c>
      <c r="AU15" s="50"/>
      <c r="AV15" s="118"/>
      <c r="AW15" s="49"/>
      <c r="AX15" s="49"/>
      <c r="AY15" s="49"/>
      <c r="AZ15" s="300"/>
      <c r="BA15" s="119"/>
      <c r="BB15" s="306"/>
      <c r="BC15" s="231" t="s">
        <v>13</v>
      </c>
      <c r="BD15" s="232"/>
      <c r="BE15" s="222">
        <f t="shared" si="18"/>
        <v>45775</v>
      </c>
      <c r="BF15" s="233" t="e">
        <f t="shared" si="19"/>
        <v>#VALUE!</v>
      </c>
      <c r="BG15" s="234"/>
      <c r="BH15" s="235"/>
      <c r="BI15" s="234"/>
      <c r="BJ15" s="236"/>
      <c r="BK15" s="237"/>
      <c r="BL15" s="222"/>
      <c r="BM15" s="238"/>
      <c r="BN15" s="222"/>
      <c r="BO15" s="222"/>
      <c r="BP15" s="239"/>
      <c r="BQ15" s="240" t="s">
        <v>246</v>
      </c>
      <c r="BR15" s="238"/>
      <c r="BS15" s="68" t="s">
        <v>369</v>
      </c>
      <c r="BT15" s="69" t="s">
        <v>451</v>
      </c>
      <c r="BU15" s="69" t="s">
        <v>247</v>
      </c>
      <c r="BV15" s="69" t="s">
        <v>371</v>
      </c>
      <c r="BW15" s="75" t="s">
        <v>372</v>
      </c>
      <c r="BX15" s="77"/>
      <c r="BY15" s="66"/>
      <c r="BZ15" s="944"/>
      <c r="CA15" s="42" t="str">
        <f t="shared" si="20"/>
        <v>0</v>
      </c>
      <c r="CB15" s="62">
        <f t="shared" si="21"/>
        <v>1514.3055555555547</v>
      </c>
      <c r="CC15" s="42">
        <f t="shared" si="22"/>
        <v>0</v>
      </c>
      <c r="CD15" s="62">
        <f t="shared" si="23"/>
        <v>1514.3055555555547</v>
      </c>
      <c r="CE15" s="62">
        <f t="shared" si="24"/>
        <v>45.669532627865934</v>
      </c>
      <c r="CF15" s="145">
        <f t="shared" si="25"/>
        <v>109</v>
      </c>
      <c r="CG15" s="145"/>
      <c r="CH15" s="443">
        <f t="shared" si="26"/>
        <v>48.956834215167518</v>
      </c>
      <c r="CI15" s="996">
        <f t="shared" si="27"/>
        <v>48.956834215167518</v>
      </c>
      <c r="CJ15" s="261">
        <f t="shared" si="28"/>
        <v>1.8166666666666667</v>
      </c>
      <c r="CK15" s="458" t="str">
        <f t="shared" si="29"/>
        <v/>
      </c>
      <c r="CL15" t="str">
        <f t="shared" si="30"/>
        <v>NON-REV</v>
      </c>
      <c r="CM15" t="str">
        <f t="shared" si="31"/>
        <v/>
      </c>
      <c r="CN15" s="635"/>
      <c r="CO15" s="631"/>
      <c r="CP15" s="629" t="str">
        <f t="shared" si="32"/>
        <v>FOR ISSUANCE</v>
      </c>
      <c r="CQ15" s="635"/>
      <c r="CR15" s="697"/>
      <c r="CS15" s="633" t="str">
        <f t="shared" ca="1" si="33"/>
        <v>0</v>
      </c>
      <c r="CT15" s="635"/>
      <c r="CU15" s="631"/>
      <c r="CV15" s="638"/>
      <c r="CW15" s="156" t="s">
        <v>452</v>
      </c>
      <c r="CX15" s="156" t="str">
        <f>VLOOKUP(E15,'[1]List of Work Orders'!$A:$I,9,FALSE)</f>
        <v>ME168443</v>
      </c>
      <c r="CY15" s="156"/>
      <c r="DC15" t="str">
        <f>VLOOKUP(E15,'[2]List of Work Orders'!$A:$F,6,FALSE)</f>
        <v>FCOMP</v>
      </c>
      <c r="DS15" s="156" t="s">
        <v>374</v>
      </c>
    </row>
    <row r="16" spans="1:123" customFormat="1" ht="15" customHeight="1" x14ac:dyDescent="0.25">
      <c r="A16" s="221">
        <v>44251</v>
      </c>
      <c r="B16" s="222" t="s">
        <v>308</v>
      </c>
      <c r="C16" s="241"/>
      <c r="D16" s="66" t="s">
        <v>361</v>
      </c>
      <c r="E16" s="404" t="s">
        <v>453</v>
      </c>
      <c r="F16" s="95" t="s">
        <v>454</v>
      </c>
      <c r="G16" s="95" t="s">
        <v>455</v>
      </c>
      <c r="H16" s="95" t="s">
        <v>378</v>
      </c>
      <c r="I16" s="95" t="s">
        <v>239</v>
      </c>
      <c r="J16" s="95" t="s">
        <v>365</v>
      </c>
      <c r="K16" s="101" t="s">
        <v>299</v>
      </c>
      <c r="L16" s="101" t="s">
        <v>242</v>
      </c>
      <c r="M16" s="345" t="s">
        <v>438</v>
      </c>
      <c r="N16" s="442" t="s">
        <v>367</v>
      </c>
      <c r="O16" s="146">
        <v>43.290500000000002</v>
      </c>
      <c r="P16" s="165" t="e">
        <v>#N/A</v>
      </c>
      <c r="Q16" s="157">
        <v>0</v>
      </c>
      <c r="R16" s="109" t="s">
        <v>368</v>
      </c>
      <c r="S16" s="110">
        <v>199593.3</v>
      </c>
      <c r="T16" s="93">
        <v>32150.01</v>
      </c>
      <c r="U16" s="141"/>
      <c r="V16" s="158">
        <f t="shared" si="0"/>
        <v>0</v>
      </c>
      <c r="W16" s="159">
        <v>44246.659722222219</v>
      </c>
      <c r="X16" s="159">
        <v>44250.648611111108</v>
      </c>
      <c r="Y16" s="160">
        <v>44228</v>
      </c>
      <c r="Z16" s="470"/>
      <c r="AA16" s="470"/>
      <c r="AB16" s="470"/>
      <c r="AC16" s="161">
        <f t="shared" si="1"/>
        <v>-44246.659722222219</v>
      </c>
      <c r="AD16" s="161">
        <f t="shared" si="2"/>
        <v>-44250.648611111108</v>
      </c>
      <c r="AE16" s="446">
        <f t="shared" si="3"/>
        <v>0</v>
      </c>
      <c r="AF16" s="160" t="e">
        <f t="shared" si="4"/>
        <v>#N/A</v>
      </c>
      <c r="AG16" s="160" t="e">
        <f t="shared" si="5"/>
        <v>#N/A</v>
      </c>
      <c r="AH16" s="159">
        <f t="shared" si="6"/>
        <v>44296.659722222219</v>
      </c>
      <c r="AI16" s="162" t="e">
        <f t="shared" si="7"/>
        <v>#N/A</v>
      </c>
      <c r="AJ16" s="224">
        <f t="shared" si="8"/>
        <v>0</v>
      </c>
      <c r="AK16" s="225" t="e">
        <f t="shared" si="9"/>
        <v>#N/A</v>
      </c>
      <c r="AL16" s="170">
        <f t="shared" si="10"/>
        <v>36</v>
      </c>
      <c r="AM16" s="170" t="e">
        <f t="shared" si="11"/>
        <v>#N/A</v>
      </c>
      <c r="AN16" s="170" t="e">
        <f t="shared" si="12"/>
        <v>#N/A</v>
      </c>
      <c r="AO16" s="226" t="e">
        <f t="shared" si="13"/>
        <v>#N/A</v>
      </c>
      <c r="AP16" s="227">
        <v>60</v>
      </c>
      <c r="AQ16" s="228">
        <f t="shared" si="14"/>
        <v>57</v>
      </c>
      <c r="AR16" s="228">
        <f t="shared" si="15"/>
        <v>52</v>
      </c>
      <c r="AS16" s="229">
        <f t="shared" si="16"/>
        <v>60</v>
      </c>
      <c r="AT16" s="982">
        <f t="shared" ca="1" si="17"/>
        <v>45895</v>
      </c>
      <c r="AU16" s="50"/>
      <c r="AV16" s="118"/>
      <c r="AW16" s="49"/>
      <c r="AX16" s="49"/>
      <c r="AY16" s="49"/>
      <c r="AZ16" s="300"/>
      <c r="BA16" s="119"/>
      <c r="BB16" s="306"/>
      <c r="BC16" s="231"/>
      <c r="BD16" s="232"/>
      <c r="BE16" s="222">
        <f t="shared" si="18"/>
        <v>15</v>
      </c>
      <c r="BF16" s="233">
        <f t="shared" si="19"/>
        <v>0</v>
      </c>
      <c r="BG16" s="234"/>
      <c r="BH16" s="235"/>
      <c r="BI16" s="234"/>
      <c r="BJ16" s="236"/>
      <c r="BK16" s="237"/>
      <c r="BL16" s="222"/>
      <c r="BM16" s="238"/>
      <c r="BN16" s="222"/>
      <c r="BO16" s="222"/>
      <c r="BP16" s="239"/>
      <c r="BQ16" s="240" t="s">
        <v>246</v>
      </c>
      <c r="BR16" s="238"/>
      <c r="BS16" s="68" t="s">
        <v>369</v>
      </c>
      <c r="BT16" s="69" t="s">
        <v>456</v>
      </c>
      <c r="BU16" s="69" t="s">
        <v>247</v>
      </c>
      <c r="BV16" s="69" t="s">
        <v>371</v>
      </c>
      <c r="BW16" s="75" t="s">
        <v>372</v>
      </c>
      <c r="BX16" s="77"/>
      <c r="BY16" s="66"/>
      <c r="BZ16" s="944"/>
      <c r="CA16" s="42" t="str">
        <f t="shared" si="20"/>
        <v>0</v>
      </c>
      <c r="CB16" s="62">
        <f t="shared" si="21"/>
        <v>-44246.659722222219</v>
      </c>
      <c r="CC16" s="42">
        <f t="shared" si="22"/>
        <v>0</v>
      </c>
      <c r="CD16" s="62">
        <f t="shared" si="23"/>
        <v>-44246.659722222219</v>
      </c>
      <c r="CE16" s="62" t="e">
        <f t="shared" si="24"/>
        <v>#N/A</v>
      </c>
      <c r="CF16" s="145" t="str">
        <f t="shared" si="25"/>
        <v>0</v>
      </c>
      <c r="CG16" s="145"/>
      <c r="CH16" s="443" t="e">
        <f t="shared" si="26"/>
        <v>#N/A</v>
      </c>
      <c r="CI16" s="996" t="e">
        <f t="shared" si="27"/>
        <v>#N/A</v>
      </c>
      <c r="CJ16" s="261">
        <f t="shared" si="28"/>
        <v>0</v>
      </c>
      <c r="CK16" s="458">
        <f t="shared" si="29"/>
        <v>1609.340277777781</v>
      </c>
      <c r="CL16" t="str">
        <f t="shared" si="30"/>
        <v>NON-REV</v>
      </c>
      <c r="CM16" t="str">
        <f t="shared" si="31"/>
        <v>10 MONTHS AND ABOVE</v>
      </c>
      <c r="CN16" s="635"/>
      <c r="CO16" s="631"/>
      <c r="CP16" s="629" t="str">
        <f t="shared" si="32"/>
        <v>FOR ISSUANCE</v>
      </c>
      <c r="CQ16" s="635"/>
      <c r="CR16" s="697"/>
      <c r="CS16" s="633" t="str">
        <f t="shared" ca="1" si="33"/>
        <v>0</v>
      </c>
      <c r="CT16" s="635"/>
      <c r="CU16" s="631"/>
      <c r="CV16" s="638"/>
      <c r="CW16" s="156" t="s">
        <v>457</v>
      </c>
      <c r="CX16" s="156" t="str">
        <f>VLOOKUP(E16,'[1]List of Work Orders'!$A:$I,9,FALSE)</f>
        <v>ME168443</v>
      </c>
      <c r="CY16" s="156"/>
      <c r="CZ16" s="63"/>
      <c r="DC16" t="str">
        <f>VLOOKUP(E16,'[2]List of Work Orders'!$A:$F,6,FALSE)</f>
        <v>PCAN3</v>
      </c>
      <c r="DS16" s="156" t="s">
        <v>374</v>
      </c>
    </row>
    <row r="17" spans="1:123" customFormat="1" ht="15" customHeight="1" x14ac:dyDescent="0.25">
      <c r="A17" s="221">
        <v>44251</v>
      </c>
      <c r="B17" s="222" t="s">
        <v>308</v>
      </c>
      <c r="C17" s="241"/>
      <c r="D17" s="66" t="s">
        <v>361</v>
      </c>
      <c r="E17" s="404" t="s">
        <v>458</v>
      </c>
      <c r="F17" s="95" t="s">
        <v>459</v>
      </c>
      <c r="G17" s="95" t="s">
        <v>460</v>
      </c>
      <c r="H17" s="95" t="s">
        <v>318</v>
      </c>
      <c r="I17" s="95" t="s">
        <v>239</v>
      </c>
      <c r="J17" s="95" t="s">
        <v>461</v>
      </c>
      <c r="K17" s="101" t="s">
        <v>299</v>
      </c>
      <c r="L17" s="101" t="s">
        <v>242</v>
      </c>
      <c r="M17" s="345" t="s">
        <v>272</v>
      </c>
      <c r="N17" s="442" t="s">
        <v>367</v>
      </c>
      <c r="O17" s="1019">
        <v>47.38</v>
      </c>
      <c r="P17" s="933">
        <v>47.38</v>
      </c>
      <c r="Q17" s="157">
        <v>0</v>
      </c>
      <c r="R17" s="109" t="s">
        <v>368</v>
      </c>
      <c r="S17" s="110">
        <v>187468.53</v>
      </c>
      <c r="T17" s="93">
        <v>23355.85</v>
      </c>
      <c r="U17" s="141"/>
      <c r="V17" s="158">
        <f t="shared" si="0"/>
        <v>0</v>
      </c>
      <c r="W17" s="159">
        <v>44249.59097222222</v>
      </c>
      <c r="X17" s="159">
        <v>44250.443055555559</v>
      </c>
      <c r="Y17" s="160">
        <v>44222</v>
      </c>
      <c r="Z17" s="470"/>
      <c r="AA17" s="470">
        <v>45720</v>
      </c>
      <c r="AB17" s="470"/>
      <c r="AC17" s="161">
        <f t="shared" si="1"/>
        <v>1470.4090277777796</v>
      </c>
      <c r="AD17" s="161">
        <f t="shared" si="2"/>
        <v>1469.5569444444409</v>
      </c>
      <c r="AE17" s="446">
        <f t="shared" si="3"/>
        <v>-45720</v>
      </c>
      <c r="AF17" s="160">
        <f t="shared" si="4"/>
        <v>44268.365165770607</v>
      </c>
      <c r="AG17" s="160">
        <f t="shared" si="5"/>
        <v>44277.171617383508</v>
      </c>
      <c r="AH17" s="159">
        <f t="shared" si="6"/>
        <v>44299.59097222222</v>
      </c>
      <c r="AI17" s="162">
        <f t="shared" si="7"/>
        <v>50.647422067901289</v>
      </c>
      <c r="AJ17" s="224">
        <f t="shared" si="8"/>
        <v>-762</v>
      </c>
      <c r="AK17" s="225">
        <f t="shared" si="9"/>
        <v>20</v>
      </c>
      <c r="AL17" s="170">
        <f t="shared" si="10"/>
        <v>36</v>
      </c>
      <c r="AM17" s="170">
        <f t="shared" si="11"/>
        <v>21.774193548387096</v>
      </c>
      <c r="AN17" s="170">
        <f t="shared" si="12"/>
        <v>27.58064516129032</v>
      </c>
      <c r="AO17" s="226">
        <f t="shared" si="13"/>
        <v>18.774193548387096</v>
      </c>
      <c r="AP17" s="227">
        <v>60</v>
      </c>
      <c r="AQ17" s="228">
        <f t="shared" si="14"/>
        <v>57</v>
      </c>
      <c r="AR17" s="228">
        <f t="shared" si="15"/>
        <v>52</v>
      </c>
      <c r="AS17" s="229">
        <f t="shared" si="16"/>
        <v>45780</v>
      </c>
      <c r="AT17" s="982">
        <f t="shared" ca="1" si="17"/>
        <v>175</v>
      </c>
      <c r="AU17" s="50"/>
      <c r="AV17" s="118"/>
      <c r="AW17" s="49"/>
      <c r="AX17" s="49"/>
      <c r="AY17" s="49"/>
      <c r="AZ17" s="300"/>
      <c r="BA17" s="119"/>
      <c r="BB17" s="306"/>
      <c r="BC17" s="231" t="s">
        <v>13</v>
      </c>
      <c r="BD17" s="232"/>
      <c r="BE17" s="222">
        <f t="shared" si="18"/>
        <v>45735</v>
      </c>
      <c r="BF17" s="233" t="e">
        <f t="shared" si="19"/>
        <v>#VALUE!</v>
      </c>
      <c r="BG17" s="234"/>
      <c r="BH17" s="235"/>
      <c r="BI17" s="234"/>
      <c r="BJ17" s="236"/>
      <c r="BK17" s="237"/>
      <c r="BL17" s="222"/>
      <c r="BM17" s="238"/>
      <c r="BN17" s="222"/>
      <c r="BO17" s="222"/>
      <c r="BP17" s="239"/>
      <c r="BQ17" s="240" t="s">
        <v>246</v>
      </c>
      <c r="BR17" s="238"/>
      <c r="BS17" s="68" t="s">
        <v>369</v>
      </c>
      <c r="BT17" s="69" t="s">
        <v>462</v>
      </c>
      <c r="BU17" s="69" t="s">
        <v>247</v>
      </c>
      <c r="BV17" s="69" t="s">
        <v>371</v>
      </c>
      <c r="BW17" s="75" t="s">
        <v>372</v>
      </c>
      <c r="BX17" s="77"/>
      <c r="BY17" s="78"/>
      <c r="BZ17" s="944"/>
      <c r="CA17" s="42" t="str">
        <f t="shared" si="20"/>
        <v>0</v>
      </c>
      <c r="CB17" s="62">
        <f t="shared" si="21"/>
        <v>1470.4090277777796</v>
      </c>
      <c r="CC17" s="42">
        <f t="shared" si="22"/>
        <v>0</v>
      </c>
      <c r="CD17" s="62">
        <f t="shared" si="23"/>
        <v>1470.4090277777796</v>
      </c>
      <c r="CE17" s="62">
        <f t="shared" si="24"/>
        <v>50.647422067901289</v>
      </c>
      <c r="CF17" s="145">
        <f t="shared" si="25"/>
        <v>149</v>
      </c>
      <c r="CG17" s="145"/>
      <c r="CH17" s="443">
        <f t="shared" si="26"/>
        <v>55.779644290123514</v>
      </c>
      <c r="CI17" s="996">
        <f t="shared" si="27"/>
        <v>55.779644290123514</v>
      </c>
      <c r="CJ17" s="261">
        <f t="shared" si="28"/>
        <v>2.4833333333333334</v>
      </c>
      <c r="CK17" s="458" t="str">
        <f t="shared" si="29"/>
        <v/>
      </c>
      <c r="CL17" t="str">
        <f t="shared" si="30"/>
        <v>NON-REV</v>
      </c>
      <c r="CM17" t="str">
        <f t="shared" si="31"/>
        <v/>
      </c>
      <c r="CN17" s="635"/>
      <c r="CO17" s="631"/>
      <c r="CP17" s="629" t="str">
        <f t="shared" si="32"/>
        <v>FOR ISSUANCE</v>
      </c>
      <c r="CQ17" s="635"/>
      <c r="CR17" s="697"/>
      <c r="CS17" s="633" t="str">
        <f t="shared" ca="1" si="33"/>
        <v>0</v>
      </c>
      <c r="CT17" s="635"/>
      <c r="CU17" s="631"/>
      <c r="CV17" s="638"/>
      <c r="CW17" s="156" t="s">
        <v>463</v>
      </c>
      <c r="CX17" s="156" t="str">
        <f>VLOOKUP(E17,'[1]List of Work Orders'!$A:$I,9,FALSE)</f>
        <v>ME168443</v>
      </c>
      <c r="CY17" s="156"/>
      <c r="CZ17" s="63"/>
      <c r="DC17" t="str">
        <f>VLOOKUP(E17,'[2]List of Work Orders'!$A:$F,6,FALSE)</f>
        <v>FCOMP</v>
      </c>
      <c r="DS17" s="156" t="s">
        <v>374</v>
      </c>
    </row>
    <row r="18" spans="1:123" customFormat="1" ht="15" customHeight="1" x14ac:dyDescent="0.25">
      <c r="A18" s="221"/>
      <c r="B18" s="222" t="s">
        <v>308</v>
      </c>
      <c r="C18" s="241"/>
      <c r="D18" s="66" t="s">
        <v>361</v>
      </c>
      <c r="E18" s="405">
        <v>100338058856</v>
      </c>
      <c r="F18" s="95" t="s">
        <v>464</v>
      </c>
      <c r="G18" s="95" t="s">
        <v>465</v>
      </c>
      <c r="H18" s="95" t="s">
        <v>318</v>
      </c>
      <c r="I18" s="95" t="s">
        <v>239</v>
      </c>
      <c r="J18" s="95" t="s">
        <v>466</v>
      </c>
      <c r="K18" s="101" t="s">
        <v>271</v>
      </c>
      <c r="L18" s="101" t="s">
        <v>242</v>
      </c>
      <c r="M18" s="345" t="s">
        <v>331</v>
      </c>
      <c r="N18" s="442" t="s">
        <v>467</v>
      </c>
      <c r="O18" s="146">
        <v>12.8467</v>
      </c>
      <c r="P18" s="165" t="e">
        <v>#N/A</v>
      </c>
      <c r="Q18" s="157">
        <v>0</v>
      </c>
      <c r="R18" s="109" t="s">
        <v>468</v>
      </c>
      <c r="S18" s="110">
        <v>12290.71</v>
      </c>
      <c r="T18" s="93">
        <v>11929.02</v>
      </c>
      <c r="U18" s="141"/>
      <c r="V18" s="158">
        <f t="shared" si="0"/>
        <v>0</v>
      </c>
      <c r="W18" s="159">
        <v>44383.022916666669</v>
      </c>
      <c r="X18" s="159">
        <v>44383.367361111108</v>
      </c>
      <c r="Y18" s="160">
        <v>44473</v>
      </c>
      <c r="Z18" s="470"/>
      <c r="AA18" s="470"/>
      <c r="AB18" s="470"/>
      <c r="AC18" s="161">
        <f t="shared" si="1"/>
        <v>-44383.022916666669</v>
      </c>
      <c r="AD18" s="161">
        <f t="shared" si="2"/>
        <v>-44383.367361111108</v>
      </c>
      <c r="AE18" s="446">
        <f t="shared" si="3"/>
        <v>0</v>
      </c>
      <c r="AF18" s="160" t="e">
        <f t="shared" si="4"/>
        <v>#N/A</v>
      </c>
      <c r="AG18" s="160" t="e">
        <f t="shared" si="5"/>
        <v>#N/A</v>
      </c>
      <c r="AH18" s="159">
        <f t="shared" si="6"/>
        <v>44433.022916666669</v>
      </c>
      <c r="AI18" s="162" t="e">
        <f t="shared" si="7"/>
        <v>#N/A</v>
      </c>
      <c r="AJ18" s="224">
        <f t="shared" si="8"/>
        <v>0</v>
      </c>
      <c r="AK18" s="225" t="e">
        <f t="shared" si="9"/>
        <v>#N/A</v>
      </c>
      <c r="AL18" s="170">
        <f t="shared" si="10"/>
        <v>36</v>
      </c>
      <c r="AM18" s="170" t="e">
        <f t="shared" si="11"/>
        <v>#N/A</v>
      </c>
      <c r="AN18" s="170" t="e">
        <f t="shared" si="12"/>
        <v>#N/A</v>
      </c>
      <c r="AO18" s="226" t="e">
        <f t="shared" si="13"/>
        <v>#N/A</v>
      </c>
      <c r="AP18" s="227">
        <v>60</v>
      </c>
      <c r="AQ18" s="228">
        <f t="shared" si="14"/>
        <v>57</v>
      </c>
      <c r="AR18" s="228">
        <f t="shared" si="15"/>
        <v>52</v>
      </c>
      <c r="AS18" s="229">
        <f t="shared" si="16"/>
        <v>60</v>
      </c>
      <c r="AT18" s="982">
        <f t="shared" ca="1" si="17"/>
        <v>45895</v>
      </c>
      <c r="AU18" s="50"/>
      <c r="AV18" s="118"/>
      <c r="AW18" s="49"/>
      <c r="AX18" s="49"/>
      <c r="AY18" s="49"/>
      <c r="AZ18" s="300"/>
      <c r="BA18" s="119"/>
      <c r="BB18" s="306"/>
      <c r="BC18" s="231"/>
      <c r="BD18" s="232"/>
      <c r="BE18" s="222">
        <f t="shared" si="18"/>
        <v>15</v>
      </c>
      <c r="BF18" s="233">
        <f t="shared" si="19"/>
        <v>0</v>
      </c>
      <c r="BG18" s="234"/>
      <c r="BH18" s="235"/>
      <c r="BI18" s="234"/>
      <c r="BJ18" s="236"/>
      <c r="BK18" s="237"/>
      <c r="BL18" s="222"/>
      <c r="BM18" s="238"/>
      <c r="BN18" s="222"/>
      <c r="BO18" s="222"/>
      <c r="BP18" s="239"/>
      <c r="BQ18" s="240" t="s">
        <v>246</v>
      </c>
      <c r="BR18" s="238"/>
      <c r="BS18" s="67"/>
      <c r="BT18" s="66"/>
      <c r="BU18" s="66"/>
      <c r="BV18" s="66"/>
      <c r="BW18" s="74"/>
      <c r="BX18" s="77"/>
      <c r="BY18" s="66"/>
      <c r="BZ18" s="944"/>
      <c r="CA18" s="42" t="str">
        <f t="shared" si="20"/>
        <v>0</v>
      </c>
      <c r="CB18" s="62">
        <f t="shared" si="21"/>
        <v>-44383.022916666669</v>
      </c>
      <c r="CC18" s="42">
        <f t="shared" si="22"/>
        <v>0</v>
      </c>
      <c r="CD18" s="62">
        <f t="shared" si="23"/>
        <v>-44383.022916666669</v>
      </c>
      <c r="CE18" s="62" t="e">
        <f t="shared" si="24"/>
        <v>#N/A</v>
      </c>
      <c r="CF18" s="145" t="str">
        <f t="shared" si="25"/>
        <v>0</v>
      </c>
      <c r="CG18" s="145"/>
      <c r="CH18" s="443" t="e">
        <f t="shared" si="26"/>
        <v>#N/A</v>
      </c>
      <c r="CI18" s="996" t="e">
        <f t="shared" si="27"/>
        <v>#N/A</v>
      </c>
      <c r="CJ18" s="261">
        <f t="shared" si="28"/>
        <v>0</v>
      </c>
      <c r="CK18" s="458">
        <f t="shared" si="29"/>
        <v>1472.9770833333314</v>
      </c>
      <c r="CL18" t="str">
        <f t="shared" si="30"/>
        <v>NON-REV</v>
      </c>
      <c r="CM18" t="str">
        <f t="shared" si="31"/>
        <v>10 MONTHS AND ABOVE</v>
      </c>
      <c r="CN18" s="635"/>
      <c r="CO18" s="631"/>
      <c r="CP18" s="629" t="str">
        <f t="shared" si="32"/>
        <v>FOR ISSUANCE</v>
      </c>
      <c r="CQ18" s="635"/>
      <c r="CR18" s="697"/>
      <c r="CS18" s="633" t="str">
        <f t="shared" ca="1" si="33"/>
        <v>0</v>
      </c>
      <c r="CT18" s="635"/>
      <c r="CU18" s="631"/>
      <c r="CV18" s="638"/>
      <c r="CW18" s="156" t="s">
        <v>469</v>
      </c>
      <c r="CX18" s="156" t="e">
        <f>VLOOKUP(E18,'[1]List of Work Orders'!$A:$I,9,FALSE)</f>
        <v>#N/A</v>
      </c>
      <c r="CY18" s="156"/>
      <c r="CZ18" s="63"/>
      <c r="DC18" t="e">
        <f>VLOOKUP(E18,'[2]List of Work Orders'!$A:$F,6,FALSE)</f>
        <v>#N/A</v>
      </c>
      <c r="DS18" s="156" t="s">
        <v>397</v>
      </c>
    </row>
    <row r="19" spans="1:123" customFormat="1" ht="15" customHeight="1" x14ac:dyDescent="0.25">
      <c r="A19" s="242">
        <v>44391</v>
      </c>
      <c r="B19" s="222" t="s">
        <v>470</v>
      </c>
      <c r="C19" s="223"/>
      <c r="D19" s="66" t="s">
        <v>284</v>
      </c>
      <c r="E19" s="404" t="s">
        <v>471</v>
      </c>
      <c r="F19" s="95" t="s">
        <v>472</v>
      </c>
      <c r="G19" s="95" t="s">
        <v>473</v>
      </c>
      <c r="H19" s="95" t="s">
        <v>378</v>
      </c>
      <c r="I19" s="95" t="s">
        <v>239</v>
      </c>
      <c r="J19" s="95" t="s">
        <v>474</v>
      </c>
      <c r="K19" s="101" t="s">
        <v>299</v>
      </c>
      <c r="L19" s="101" t="s">
        <v>288</v>
      </c>
      <c r="M19" s="345" t="s">
        <v>380</v>
      </c>
      <c r="N19" s="156" t="s">
        <v>475</v>
      </c>
      <c r="O19" s="146">
        <v>98.170000000000016</v>
      </c>
      <c r="P19" s="165" t="e">
        <v>#N/A</v>
      </c>
      <c r="Q19" s="157">
        <v>0</v>
      </c>
      <c r="R19" s="108" t="s">
        <v>319</v>
      </c>
      <c r="S19" s="110">
        <v>98826.44</v>
      </c>
      <c r="T19" s="93">
        <v>80129.87</v>
      </c>
      <c r="U19" s="141"/>
      <c r="V19" s="158">
        <f t="shared" si="0"/>
        <v>0</v>
      </c>
      <c r="W19" s="159">
        <v>44384.443749999999</v>
      </c>
      <c r="X19" s="159">
        <v>44390</v>
      </c>
      <c r="Y19" s="160">
        <v>44386</v>
      </c>
      <c r="Z19" s="470"/>
      <c r="AA19" s="470" t="s">
        <v>380</v>
      </c>
      <c r="AB19" s="470"/>
      <c r="AC19" s="161" t="e">
        <f t="shared" si="1"/>
        <v>#VALUE!</v>
      </c>
      <c r="AD19" s="161" t="e">
        <f t="shared" si="2"/>
        <v>#VALUE!</v>
      </c>
      <c r="AE19" s="446" t="e">
        <f t="shared" si="3"/>
        <v>#VALUE!</v>
      </c>
      <c r="AF19" s="160" t="e">
        <f t="shared" si="4"/>
        <v>#N/A</v>
      </c>
      <c r="AG19" s="160" t="e">
        <f t="shared" si="5"/>
        <v>#N/A</v>
      </c>
      <c r="AH19" s="159">
        <f t="shared" si="6"/>
        <v>44434.443749999999</v>
      </c>
      <c r="AI19" s="162" t="e">
        <f t="shared" si="7"/>
        <v>#VALUE!</v>
      </c>
      <c r="AJ19" s="224" t="e">
        <f t="shared" si="8"/>
        <v>#VALUE!</v>
      </c>
      <c r="AK19" s="225" t="e">
        <f t="shared" si="9"/>
        <v>#N/A</v>
      </c>
      <c r="AL19" s="170">
        <f t="shared" si="10"/>
        <v>36</v>
      </c>
      <c r="AM19" s="170" t="e">
        <f t="shared" si="11"/>
        <v>#N/A</v>
      </c>
      <c r="AN19" s="170" t="e">
        <f t="shared" si="12"/>
        <v>#N/A</v>
      </c>
      <c r="AO19" s="226" t="e">
        <f t="shared" si="13"/>
        <v>#N/A</v>
      </c>
      <c r="AP19" s="227">
        <v>60</v>
      </c>
      <c r="AQ19" s="228">
        <f t="shared" si="14"/>
        <v>57</v>
      </c>
      <c r="AR19" s="228">
        <f t="shared" si="15"/>
        <v>52</v>
      </c>
      <c r="AS19" s="229" t="e">
        <f t="shared" si="16"/>
        <v>#VALUE!</v>
      </c>
      <c r="AT19" s="982" t="str">
        <f t="shared" ca="1" si="17"/>
        <v/>
      </c>
      <c r="AU19" s="50"/>
      <c r="AV19" s="118"/>
      <c r="AW19" s="49"/>
      <c r="AX19" s="49"/>
      <c r="AY19" s="49"/>
      <c r="AZ19" s="300"/>
      <c r="BA19" s="119"/>
      <c r="BB19" s="306"/>
      <c r="BC19" s="231"/>
      <c r="BD19" s="232"/>
      <c r="BE19" s="222" t="e">
        <f t="shared" si="18"/>
        <v>#VALUE!</v>
      </c>
      <c r="BF19" s="233" t="e">
        <f t="shared" si="19"/>
        <v>#VALUE!</v>
      </c>
      <c r="BG19" s="234"/>
      <c r="BH19" s="235"/>
      <c r="BI19" s="234"/>
      <c r="BJ19" s="236"/>
      <c r="BK19" s="222"/>
      <c r="BL19" s="222"/>
      <c r="BM19" s="238"/>
      <c r="BN19" s="222"/>
      <c r="BO19" s="222"/>
      <c r="BP19" s="243"/>
      <c r="BQ19" s="244" t="s">
        <v>247</v>
      </c>
      <c r="BR19" s="238"/>
      <c r="BS19" s="67"/>
      <c r="BT19" s="66"/>
      <c r="BU19" s="66"/>
      <c r="BV19" s="66"/>
      <c r="BW19" s="74"/>
      <c r="BX19" s="81"/>
      <c r="BY19" s="66"/>
      <c r="BZ19" s="944" t="s">
        <v>476</v>
      </c>
      <c r="CA19" s="42" t="str">
        <f t="shared" si="20"/>
        <v>0</v>
      </c>
      <c r="CB19" s="62" t="e">
        <f t="shared" si="21"/>
        <v>#VALUE!</v>
      </c>
      <c r="CC19" s="42">
        <f t="shared" si="22"/>
        <v>0</v>
      </c>
      <c r="CD19" s="62" t="e">
        <f t="shared" si="23"/>
        <v>#VALUE!</v>
      </c>
      <c r="CE19" s="62" t="e">
        <f t="shared" si="24"/>
        <v>#VALUE!</v>
      </c>
      <c r="CF19" s="145" t="e">
        <f t="shared" si="25"/>
        <v>#VALUE!</v>
      </c>
      <c r="CG19" s="145"/>
      <c r="CH19" s="443" t="e">
        <f t="shared" si="26"/>
        <v>#N/A</v>
      </c>
      <c r="CI19" s="996" t="e">
        <f t="shared" si="27"/>
        <v>#N/A</v>
      </c>
      <c r="CJ19" s="261" t="e">
        <f t="shared" si="28"/>
        <v>#VALUE!</v>
      </c>
      <c r="CK19" s="458" t="str">
        <f t="shared" si="29"/>
        <v/>
      </c>
      <c r="CL19" t="str">
        <f t="shared" si="30"/>
        <v>NON-REV</v>
      </c>
      <c r="CM19" t="str">
        <f t="shared" si="31"/>
        <v/>
      </c>
      <c r="CN19" s="635"/>
      <c r="CO19" s="631"/>
      <c r="CP19" s="629" t="str">
        <f t="shared" si="32"/>
        <v>FOR ISSUANCE</v>
      </c>
      <c r="CQ19" s="635"/>
      <c r="CR19" s="697"/>
      <c r="CS19" s="633" t="str">
        <f t="shared" ca="1" si="33"/>
        <v>0</v>
      </c>
      <c r="CT19" s="635"/>
      <c r="CU19" s="631"/>
      <c r="CV19" s="638"/>
      <c r="CW19" s="156" t="s">
        <v>477</v>
      </c>
      <c r="CX19" s="156" t="str">
        <f>VLOOKUP(E19,'[1]List of Work Orders'!$A:$I,9,FALSE)</f>
        <v>ME185130</v>
      </c>
      <c r="CY19" s="156"/>
      <c r="DC19" t="str">
        <f>VLOOKUP(E19,'[2]List of Work Orders'!$A:$F,6,FALSE)</f>
        <v>PCAN</v>
      </c>
      <c r="DS19" s="156" t="s">
        <v>478</v>
      </c>
    </row>
    <row r="20" spans="1:123" customFormat="1" ht="15" customHeight="1" x14ac:dyDescent="0.25">
      <c r="A20" s="221"/>
      <c r="B20" s="222" t="s">
        <v>308</v>
      </c>
      <c r="C20" s="241"/>
      <c r="D20" s="66" t="s">
        <v>361</v>
      </c>
      <c r="E20" s="405">
        <v>100338058959</v>
      </c>
      <c r="F20" s="95" t="s">
        <v>479</v>
      </c>
      <c r="G20" s="95" t="s">
        <v>480</v>
      </c>
      <c r="H20" s="95" t="s">
        <v>318</v>
      </c>
      <c r="I20" s="95" t="s">
        <v>239</v>
      </c>
      <c r="J20" s="95" t="s">
        <v>481</v>
      </c>
      <c r="K20" s="101" t="s">
        <v>299</v>
      </c>
      <c r="L20" s="101" t="s">
        <v>242</v>
      </c>
      <c r="M20" s="345" t="s">
        <v>331</v>
      </c>
      <c r="N20" s="442" t="s">
        <v>467</v>
      </c>
      <c r="O20" s="146">
        <v>21.721399999999996</v>
      </c>
      <c r="P20" s="165" t="e">
        <v>#N/A</v>
      </c>
      <c r="Q20" s="157">
        <v>0</v>
      </c>
      <c r="R20" s="109" t="s">
        <v>468</v>
      </c>
      <c r="S20" s="110">
        <v>22830.98</v>
      </c>
      <c r="T20" s="93">
        <v>22427.35</v>
      </c>
      <c r="U20" s="141"/>
      <c r="V20" s="158">
        <f t="shared" si="0"/>
        <v>0</v>
      </c>
      <c r="W20" s="159">
        <v>44385.367361111108</v>
      </c>
      <c r="X20" s="159">
        <v>44390.581944444442</v>
      </c>
      <c r="Y20" s="160">
        <v>44473</v>
      </c>
      <c r="Z20" s="470"/>
      <c r="AA20" s="470"/>
      <c r="AB20" s="470"/>
      <c r="AC20" s="161">
        <f t="shared" si="1"/>
        <v>-44385.367361111108</v>
      </c>
      <c r="AD20" s="161">
        <f t="shared" si="2"/>
        <v>-44390.581944444442</v>
      </c>
      <c r="AE20" s="446">
        <f t="shared" si="3"/>
        <v>0</v>
      </c>
      <c r="AF20" s="160" t="e">
        <f t="shared" si="4"/>
        <v>#N/A</v>
      </c>
      <c r="AG20" s="160" t="e">
        <f t="shared" si="5"/>
        <v>#N/A</v>
      </c>
      <c r="AH20" s="159">
        <f t="shared" si="6"/>
        <v>44435.367361111108</v>
      </c>
      <c r="AI20" s="162" t="e">
        <f t="shared" si="7"/>
        <v>#N/A</v>
      </c>
      <c r="AJ20" s="224">
        <f t="shared" si="8"/>
        <v>0</v>
      </c>
      <c r="AK20" s="225" t="e">
        <f t="shared" si="9"/>
        <v>#N/A</v>
      </c>
      <c r="AL20" s="170">
        <f t="shared" si="10"/>
        <v>36</v>
      </c>
      <c r="AM20" s="170" t="e">
        <f t="shared" si="11"/>
        <v>#N/A</v>
      </c>
      <c r="AN20" s="170" t="e">
        <f t="shared" si="12"/>
        <v>#N/A</v>
      </c>
      <c r="AO20" s="226" t="e">
        <f t="shared" si="13"/>
        <v>#N/A</v>
      </c>
      <c r="AP20" s="227">
        <v>60</v>
      </c>
      <c r="AQ20" s="228">
        <f t="shared" si="14"/>
        <v>57</v>
      </c>
      <c r="AR20" s="228">
        <f t="shared" si="15"/>
        <v>52</v>
      </c>
      <c r="AS20" s="229">
        <f t="shared" si="16"/>
        <v>60</v>
      </c>
      <c r="AT20" s="982">
        <f t="shared" ca="1" si="17"/>
        <v>45895</v>
      </c>
      <c r="AU20" s="50"/>
      <c r="AV20" s="118"/>
      <c r="AW20" s="49"/>
      <c r="AX20" s="49"/>
      <c r="AY20" s="49"/>
      <c r="AZ20" s="300"/>
      <c r="BA20" s="119"/>
      <c r="BB20" s="306"/>
      <c r="BC20" s="231"/>
      <c r="BD20" s="232"/>
      <c r="BE20" s="222">
        <f t="shared" si="18"/>
        <v>15</v>
      </c>
      <c r="BF20" s="233">
        <f t="shared" si="19"/>
        <v>0</v>
      </c>
      <c r="BG20" s="234"/>
      <c r="BH20" s="235"/>
      <c r="BI20" s="234"/>
      <c r="BJ20" s="236"/>
      <c r="BK20" s="237"/>
      <c r="BL20" s="222"/>
      <c r="BM20" s="238"/>
      <c r="BN20" s="222"/>
      <c r="BO20" s="222"/>
      <c r="BP20" s="239"/>
      <c r="BQ20" s="240" t="s">
        <v>246</v>
      </c>
      <c r="BR20" s="238"/>
      <c r="BS20" s="67"/>
      <c r="BT20" s="66"/>
      <c r="BU20" s="66"/>
      <c r="BV20" s="66"/>
      <c r="BW20" s="74"/>
      <c r="BX20" s="77"/>
      <c r="BY20" s="78"/>
      <c r="BZ20" s="944"/>
      <c r="CA20" s="42" t="str">
        <f t="shared" si="20"/>
        <v>0</v>
      </c>
      <c r="CB20" s="62">
        <f t="shared" si="21"/>
        <v>-44385.367361111108</v>
      </c>
      <c r="CC20" s="42">
        <f t="shared" si="22"/>
        <v>0</v>
      </c>
      <c r="CD20" s="62">
        <f t="shared" si="23"/>
        <v>-44385.367361111108</v>
      </c>
      <c r="CE20" s="62" t="e">
        <f t="shared" si="24"/>
        <v>#N/A</v>
      </c>
      <c r="CF20" s="145" t="str">
        <f t="shared" si="25"/>
        <v>0</v>
      </c>
      <c r="CG20" s="145"/>
      <c r="CH20" s="443" t="e">
        <f t="shared" si="26"/>
        <v>#N/A</v>
      </c>
      <c r="CI20" s="996" t="e">
        <f t="shared" si="27"/>
        <v>#N/A</v>
      </c>
      <c r="CJ20" s="261">
        <f t="shared" si="28"/>
        <v>0</v>
      </c>
      <c r="CK20" s="458">
        <f t="shared" si="29"/>
        <v>1470.632638888892</v>
      </c>
      <c r="CL20" t="str">
        <f t="shared" si="30"/>
        <v>NON-REV</v>
      </c>
      <c r="CM20" t="str">
        <f t="shared" si="31"/>
        <v>10 MONTHS AND ABOVE</v>
      </c>
      <c r="CN20" s="635"/>
      <c r="CO20" s="631"/>
      <c r="CP20" s="629" t="str">
        <f t="shared" si="32"/>
        <v>FOR ISSUANCE</v>
      </c>
      <c r="CQ20" s="635"/>
      <c r="CR20" s="697"/>
      <c r="CS20" s="633" t="str">
        <f t="shared" ca="1" si="33"/>
        <v>0</v>
      </c>
      <c r="CT20" s="635"/>
      <c r="CU20" s="631"/>
      <c r="CV20" s="638"/>
      <c r="CW20" s="156" t="s">
        <v>482</v>
      </c>
      <c r="CX20" s="156" t="e">
        <f>VLOOKUP(E20,'[1]List of Work Orders'!$A:$I,9,FALSE)</f>
        <v>#N/A</v>
      </c>
      <c r="CY20" s="156"/>
      <c r="CZ20" s="63"/>
      <c r="DC20" t="e">
        <f>VLOOKUP(E20,'[2]List of Work Orders'!$A:$F,6,FALSE)</f>
        <v>#N/A</v>
      </c>
      <c r="DS20" s="156" t="s">
        <v>397</v>
      </c>
    </row>
    <row r="21" spans="1:123" customFormat="1" ht="15" customHeight="1" x14ac:dyDescent="0.25">
      <c r="A21" s="221"/>
      <c r="B21" s="222" t="s">
        <v>308</v>
      </c>
      <c r="C21" s="241"/>
      <c r="D21" s="66" t="s">
        <v>361</v>
      </c>
      <c r="E21" s="405">
        <v>100338059056</v>
      </c>
      <c r="F21" s="95" t="s">
        <v>483</v>
      </c>
      <c r="G21" s="95" t="s">
        <v>484</v>
      </c>
      <c r="H21" s="95" t="s">
        <v>318</v>
      </c>
      <c r="I21" s="95" t="s">
        <v>239</v>
      </c>
      <c r="J21" s="95" t="s">
        <v>466</v>
      </c>
      <c r="K21" s="101" t="s">
        <v>271</v>
      </c>
      <c r="L21" s="101" t="s">
        <v>242</v>
      </c>
      <c r="M21" s="345" t="s">
        <v>331</v>
      </c>
      <c r="N21" s="442" t="s">
        <v>467</v>
      </c>
      <c r="O21" s="146">
        <v>26.557399999999994</v>
      </c>
      <c r="P21" s="165" t="e">
        <v>#N/A</v>
      </c>
      <c r="Q21" s="157">
        <v>0</v>
      </c>
      <c r="R21" s="109" t="s">
        <v>468</v>
      </c>
      <c r="S21" s="110">
        <v>26074.07</v>
      </c>
      <c r="T21" s="93">
        <v>25670.439999999995</v>
      </c>
      <c r="U21" s="141"/>
      <c r="V21" s="158">
        <f t="shared" si="0"/>
        <v>0</v>
      </c>
      <c r="W21" s="159">
        <v>44404.538194444445</v>
      </c>
      <c r="X21" s="159">
        <v>44406.377083333333</v>
      </c>
      <c r="Y21" s="160">
        <v>44473</v>
      </c>
      <c r="Z21" s="470"/>
      <c r="AA21" s="470"/>
      <c r="AB21" s="470"/>
      <c r="AC21" s="161">
        <f t="shared" si="1"/>
        <v>-44404.538194444445</v>
      </c>
      <c r="AD21" s="161">
        <f t="shared" si="2"/>
        <v>-44406.377083333333</v>
      </c>
      <c r="AE21" s="446">
        <f t="shared" si="3"/>
        <v>0</v>
      </c>
      <c r="AF21" s="160" t="e">
        <f t="shared" si="4"/>
        <v>#N/A</v>
      </c>
      <c r="AG21" s="160" t="e">
        <f t="shared" si="5"/>
        <v>#N/A</v>
      </c>
      <c r="AH21" s="159">
        <f t="shared" si="6"/>
        <v>44454.538194444445</v>
      </c>
      <c r="AI21" s="162" t="e">
        <f t="shared" si="7"/>
        <v>#N/A</v>
      </c>
      <c r="AJ21" s="224">
        <f t="shared" si="8"/>
        <v>0</v>
      </c>
      <c r="AK21" s="225" t="e">
        <f t="shared" si="9"/>
        <v>#N/A</v>
      </c>
      <c r="AL21" s="170">
        <f t="shared" si="10"/>
        <v>36</v>
      </c>
      <c r="AM21" s="170" t="e">
        <f t="shared" si="11"/>
        <v>#N/A</v>
      </c>
      <c r="AN21" s="170" t="e">
        <f t="shared" si="12"/>
        <v>#N/A</v>
      </c>
      <c r="AO21" s="226" t="e">
        <f t="shared" si="13"/>
        <v>#N/A</v>
      </c>
      <c r="AP21" s="227">
        <v>60</v>
      </c>
      <c r="AQ21" s="228">
        <f t="shared" si="14"/>
        <v>57</v>
      </c>
      <c r="AR21" s="228">
        <f t="shared" si="15"/>
        <v>52</v>
      </c>
      <c r="AS21" s="229">
        <f t="shared" si="16"/>
        <v>60</v>
      </c>
      <c r="AT21" s="982">
        <f t="shared" ca="1" si="17"/>
        <v>45895</v>
      </c>
      <c r="AU21" s="50"/>
      <c r="AV21" s="118"/>
      <c r="AW21" s="49"/>
      <c r="AX21" s="49"/>
      <c r="AY21" s="49"/>
      <c r="AZ21" s="300"/>
      <c r="BA21" s="119"/>
      <c r="BB21" s="306"/>
      <c r="BC21" s="231"/>
      <c r="BD21" s="232"/>
      <c r="BE21" s="222">
        <f t="shared" si="18"/>
        <v>15</v>
      </c>
      <c r="BF21" s="233">
        <f t="shared" si="19"/>
        <v>0</v>
      </c>
      <c r="BG21" s="234"/>
      <c r="BH21" s="235"/>
      <c r="BI21" s="234"/>
      <c r="BJ21" s="236"/>
      <c r="BK21" s="237"/>
      <c r="BL21" s="222"/>
      <c r="BM21" s="238"/>
      <c r="BN21" s="222"/>
      <c r="BO21" s="222"/>
      <c r="BP21" s="239"/>
      <c r="BQ21" s="240" t="s">
        <v>246</v>
      </c>
      <c r="BR21" s="238"/>
      <c r="BS21" s="67"/>
      <c r="BT21" s="66"/>
      <c r="BU21" s="66"/>
      <c r="BV21" s="66"/>
      <c r="BW21" s="74"/>
      <c r="BX21" s="77" t="s">
        <v>485</v>
      </c>
      <c r="BY21" s="66"/>
      <c r="BZ21" s="944"/>
      <c r="CA21" s="42" t="str">
        <f t="shared" si="20"/>
        <v>0</v>
      </c>
      <c r="CB21" s="62">
        <f t="shared" si="21"/>
        <v>-44404.538194444445</v>
      </c>
      <c r="CC21" s="42">
        <f t="shared" si="22"/>
        <v>0</v>
      </c>
      <c r="CD21" s="62">
        <f t="shared" si="23"/>
        <v>-44404.538194444445</v>
      </c>
      <c r="CE21" s="62" t="e">
        <f t="shared" si="24"/>
        <v>#N/A</v>
      </c>
      <c r="CF21" s="145" t="str">
        <f t="shared" si="25"/>
        <v>0</v>
      </c>
      <c r="CG21" s="145"/>
      <c r="CH21" s="443" t="e">
        <f t="shared" si="26"/>
        <v>#N/A</v>
      </c>
      <c r="CI21" s="996" t="e">
        <f t="shared" si="27"/>
        <v>#N/A</v>
      </c>
      <c r="CJ21" s="261">
        <f t="shared" si="28"/>
        <v>0</v>
      </c>
      <c r="CK21" s="458">
        <f t="shared" si="29"/>
        <v>1451.4618055555547</v>
      </c>
      <c r="CL21" t="str">
        <f t="shared" si="30"/>
        <v>NON-REV</v>
      </c>
      <c r="CM21" t="str">
        <f t="shared" si="31"/>
        <v>10 MONTHS AND ABOVE</v>
      </c>
      <c r="CN21" s="635"/>
      <c r="CO21" s="631"/>
      <c r="CP21" s="629" t="str">
        <f t="shared" si="32"/>
        <v>FOR ISSUANCE</v>
      </c>
      <c r="CQ21" s="635"/>
      <c r="CR21" s="697"/>
      <c r="CS21" s="633" t="str">
        <f t="shared" ca="1" si="33"/>
        <v>0</v>
      </c>
      <c r="CT21" s="635"/>
      <c r="CU21" s="631"/>
      <c r="CV21" s="638"/>
      <c r="CW21" s="156" t="s">
        <v>486</v>
      </c>
      <c r="CX21" s="156" t="e">
        <f>VLOOKUP(E21,'[1]List of Work Orders'!$A:$I,9,FALSE)</f>
        <v>#N/A</v>
      </c>
      <c r="CY21" s="156"/>
      <c r="CZ21" s="63"/>
      <c r="DC21" t="e">
        <f>VLOOKUP(E21,'[2]List of Work Orders'!$A:$F,6,FALSE)</f>
        <v>#N/A</v>
      </c>
      <c r="DS21" s="156" t="s">
        <v>397</v>
      </c>
    </row>
    <row r="22" spans="1:123" customFormat="1" ht="15" customHeight="1" x14ac:dyDescent="0.25">
      <c r="A22" s="221"/>
      <c r="B22" s="222" t="s">
        <v>308</v>
      </c>
      <c r="C22" s="241"/>
      <c r="D22" s="66" t="s">
        <v>361</v>
      </c>
      <c r="E22" s="405">
        <v>100338058517</v>
      </c>
      <c r="F22" s="95" t="s">
        <v>487</v>
      </c>
      <c r="G22" s="95" t="s">
        <v>488</v>
      </c>
      <c r="H22" s="95" t="s">
        <v>318</v>
      </c>
      <c r="I22" s="95" t="s">
        <v>239</v>
      </c>
      <c r="J22" s="95" t="s">
        <v>481</v>
      </c>
      <c r="K22" s="101" t="s">
        <v>299</v>
      </c>
      <c r="L22" s="101" t="s">
        <v>242</v>
      </c>
      <c r="M22" s="345" t="s">
        <v>331</v>
      </c>
      <c r="N22" s="442" t="s">
        <v>467</v>
      </c>
      <c r="O22" s="146">
        <v>44.54</v>
      </c>
      <c r="P22" s="165" t="e">
        <v>#N/A</v>
      </c>
      <c r="Q22" s="157">
        <v>0</v>
      </c>
      <c r="R22" s="109" t="s">
        <v>468</v>
      </c>
      <c r="S22" s="110">
        <v>41109.69</v>
      </c>
      <c r="T22" s="93">
        <v>40614.53</v>
      </c>
      <c r="U22" s="141"/>
      <c r="V22" s="158">
        <f t="shared" si="0"/>
        <v>0</v>
      </c>
      <c r="W22" s="159">
        <v>44414</v>
      </c>
      <c r="X22" s="159">
        <v>44417.420138888891</v>
      </c>
      <c r="Y22" s="160">
        <v>44473</v>
      </c>
      <c r="Z22" s="470"/>
      <c r="AA22" s="470"/>
      <c r="AB22" s="470"/>
      <c r="AC22" s="161">
        <f t="shared" si="1"/>
        <v>-44414</v>
      </c>
      <c r="AD22" s="161">
        <f t="shared" si="2"/>
        <v>-44417.420138888891</v>
      </c>
      <c r="AE22" s="446">
        <f t="shared" si="3"/>
        <v>0</v>
      </c>
      <c r="AF22" s="160" t="e">
        <f t="shared" si="4"/>
        <v>#N/A</v>
      </c>
      <c r="AG22" s="160" t="e">
        <f t="shared" si="5"/>
        <v>#N/A</v>
      </c>
      <c r="AH22" s="159">
        <f t="shared" si="6"/>
        <v>44464</v>
      </c>
      <c r="AI22" s="162" t="e">
        <f t="shared" si="7"/>
        <v>#N/A</v>
      </c>
      <c r="AJ22" s="224">
        <f t="shared" si="8"/>
        <v>0</v>
      </c>
      <c r="AK22" s="225" t="e">
        <f t="shared" si="9"/>
        <v>#N/A</v>
      </c>
      <c r="AL22" s="170">
        <f t="shared" si="10"/>
        <v>36</v>
      </c>
      <c r="AM22" s="170" t="e">
        <f t="shared" si="11"/>
        <v>#N/A</v>
      </c>
      <c r="AN22" s="170" t="e">
        <f t="shared" si="12"/>
        <v>#N/A</v>
      </c>
      <c r="AO22" s="226" t="e">
        <f t="shared" si="13"/>
        <v>#N/A</v>
      </c>
      <c r="AP22" s="227">
        <v>60</v>
      </c>
      <c r="AQ22" s="228">
        <f t="shared" si="14"/>
        <v>57</v>
      </c>
      <c r="AR22" s="228">
        <f t="shared" si="15"/>
        <v>52</v>
      </c>
      <c r="AS22" s="229">
        <f t="shared" si="16"/>
        <v>60</v>
      </c>
      <c r="AT22" s="982">
        <f t="shared" ca="1" si="17"/>
        <v>45895</v>
      </c>
      <c r="AU22" s="50"/>
      <c r="AV22" s="118"/>
      <c r="AW22" s="49"/>
      <c r="AX22" s="49"/>
      <c r="AY22" s="49"/>
      <c r="AZ22" s="300"/>
      <c r="BA22" s="119"/>
      <c r="BB22" s="306"/>
      <c r="BC22" s="231"/>
      <c r="BD22" s="232"/>
      <c r="BE22" s="222">
        <f t="shared" si="18"/>
        <v>15</v>
      </c>
      <c r="BF22" s="233">
        <f t="shared" si="19"/>
        <v>0</v>
      </c>
      <c r="BG22" s="234"/>
      <c r="BH22" s="235"/>
      <c r="BI22" s="234"/>
      <c r="BJ22" s="236"/>
      <c r="BK22" s="237"/>
      <c r="BL22" s="222"/>
      <c r="BM22" s="238"/>
      <c r="BN22" s="222"/>
      <c r="BO22" s="222"/>
      <c r="BP22" s="239"/>
      <c r="BQ22" s="240" t="s">
        <v>246</v>
      </c>
      <c r="BR22" s="238"/>
      <c r="BS22" s="67"/>
      <c r="BT22" s="66"/>
      <c r="BU22" s="66"/>
      <c r="BV22" s="66"/>
      <c r="BW22" s="74"/>
      <c r="BX22" s="77"/>
      <c r="BY22" s="78"/>
      <c r="BZ22" s="944"/>
      <c r="CA22" s="42" t="str">
        <f t="shared" si="20"/>
        <v>0</v>
      </c>
      <c r="CB22" s="62">
        <f t="shared" si="21"/>
        <v>-44414</v>
      </c>
      <c r="CC22" s="42">
        <f t="shared" si="22"/>
        <v>0</v>
      </c>
      <c r="CD22" s="62">
        <f t="shared" si="23"/>
        <v>-44414</v>
      </c>
      <c r="CE22" s="62" t="e">
        <f t="shared" si="24"/>
        <v>#N/A</v>
      </c>
      <c r="CF22" s="145" t="str">
        <f t="shared" si="25"/>
        <v>0</v>
      </c>
      <c r="CG22" s="145"/>
      <c r="CH22" s="443" t="e">
        <f t="shared" si="26"/>
        <v>#N/A</v>
      </c>
      <c r="CI22" s="996" t="e">
        <f t="shared" si="27"/>
        <v>#N/A</v>
      </c>
      <c r="CJ22" s="261">
        <f t="shared" si="28"/>
        <v>0</v>
      </c>
      <c r="CK22" s="458">
        <f t="shared" si="29"/>
        <v>1442</v>
      </c>
      <c r="CL22" t="str">
        <f t="shared" si="30"/>
        <v>NON-REV</v>
      </c>
      <c r="CM22" t="str">
        <f t="shared" si="31"/>
        <v>10 MONTHS AND ABOVE</v>
      </c>
      <c r="CN22" s="635"/>
      <c r="CO22" s="631"/>
      <c r="CP22" s="629" t="str">
        <f t="shared" si="32"/>
        <v>FOR ISSUANCE</v>
      </c>
      <c r="CQ22" s="635"/>
      <c r="CR22" s="697"/>
      <c r="CS22" s="633" t="str">
        <f t="shared" ca="1" si="33"/>
        <v>0</v>
      </c>
      <c r="CT22" s="635"/>
      <c r="CU22" s="631"/>
      <c r="CV22" s="638"/>
      <c r="CW22" s="156" t="s">
        <v>489</v>
      </c>
      <c r="CX22" s="156" t="e">
        <f>VLOOKUP(E22,'[1]List of Work Orders'!$A:$I,9,FALSE)</f>
        <v>#N/A</v>
      </c>
      <c r="CY22" s="156"/>
      <c r="CZ22" s="63"/>
      <c r="DC22" t="e">
        <f>VLOOKUP(E22,'[2]List of Work Orders'!$A:$F,6,FALSE)</f>
        <v>#N/A</v>
      </c>
      <c r="DS22" s="156" t="s">
        <v>397</v>
      </c>
    </row>
    <row r="23" spans="1:123" customFormat="1" ht="15" customHeight="1" x14ac:dyDescent="0.25">
      <c r="A23" s="221"/>
      <c r="B23" s="222" t="s">
        <v>308</v>
      </c>
      <c r="C23" s="241"/>
      <c r="D23" s="66" t="s">
        <v>361</v>
      </c>
      <c r="E23" s="405">
        <v>100338058622</v>
      </c>
      <c r="F23" s="95" t="s">
        <v>490</v>
      </c>
      <c r="G23" s="95" t="s">
        <v>488</v>
      </c>
      <c r="H23" s="95" t="s">
        <v>318</v>
      </c>
      <c r="I23" s="95" t="s">
        <v>239</v>
      </c>
      <c r="J23" s="95" t="s">
        <v>481</v>
      </c>
      <c r="K23" s="101" t="s">
        <v>299</v>
      </c>
      <c r="L23" s="101" t="s">
        <v>242</v>
      </c>
      <c r="M23" s="345" t="s">
        <v>331</v>
      </c>
      <c r="N23" s="442" t="s">
        <v>467</v>
      </c>
      <c r="O23" s="146">
        <v>11.987300000000001</v>
      </c>
      <c r="P23" s="165" t="e">
        <v>#N/A</v>
      </c>
      <c r="Q23" s="157">
        <v>0</v>
      </c>
      <c r="R23" s="109" t="s">
        <v>468</v>
      </c>
      <c r="S23" s="110">
        <v>24337.19</v>
      </c>
      <c r="T23" s="93">
        <v>23777.68</v>
      </c>
      <c r="U23" s="141"/>
      <c r="V23" s="158">
        <f t="shared" si="0"/>
        <v>0</v>
      </c>
      <c r="W23" s="159">
        <v>44414.660416666666</v>
      </c>
      <c r="X23" s="159">
        <v>44417.42083333333</v>
      </c>
      <c r="Y23" s="160">
        <v>44473</v>
      </c>
      <c r="Z23" s="470"/>
      <c r="AA23" s="470"/>
      <c r="AB23" s="470"/>
      <c r="AC23" s="161">
        <f t="shared" si="1"/>
        <v>-44414.660416666666</v>
      </c>
      <c r="AD23" s="161">
        <f t="shared" si="2"/>
        <v>-44417.42083333333</v>
      </c>
      <c r="AE23" s="446">
        <f t="shared" si="3"/>
        <v>0</v>
      </c>
      <c r="AF23" s="160" t="e">
        <f t="shared" si="4"/>
        <v>#N/A</v>
      </c>
      <c r="AG23" s="160" t="e">
        <f t="shared" si="5"/>
        <v>#N/A</v>
      </c>
      <c r="AH23" s="159">
        <f t="shared" si="6"/>
        <v>44464.660416666666</v>
      </c>
      <c r="AI23" s="162" t="e">
        <f t="shared" si="7"/>
        <v>#N/A</v>
      </c>
      <c r="AJ23" s="224">
        <f t="shared" si="8"/>
        <v>0</v>
      </c>
      <c r="AK23" s="225" t="e">
        <f t="shared" si="9"/>
        <v>#N/A</v>
      </c>
      <c r="AL23" s="170">
        <f t="shared" si="10"/>
        <v>36</v>
      </c>
      <c r="AM23" s="170" t="e">
        <f t="shared" si="11"/>
        <v>#N/A</v>
      </c>
      <c r="AN23" s="170" t="e">
        <f t="shared" si="12"/>
        <v>#N/A</v>
      </c>
      <c r="AO23" s="226" t="e">
        <f t="shared" si="13"/>
        <v>#N/A</v>
      </c>
      <c r="AP23" s="227">
        <v>60</v>
      </c>
      <c r="AQ23" s="228">
        <f t="shared" si="14"/>
        <v>57</v>
      </c>
      <c r="AR23" s="228">
        <f t="shared" si="15"/>
        <v>52</v>
      </c>
      <c r="AS23" s="229">
        <f t="shared" si="16"/>
        <v>60</v>
      </c>
      <c r="AT23" s="982">
        <f t="shared" ca="1" si="17"/>
        <v>45895</v>
      </c>
      <c r="AU23" s="50"/>
      <c r="AV23" s="118"/>
      <c r="AW23" s="49"/>
      <c r="AX23" s="49"/>
      <c r="AY23" s="49"/>
      <c r="AZ23" s="300"/>
      <c r="BA23" s="119"/>
      <c r="BB23" s="306"/>
      <c r="BC23" s="231"/>
      <c r="BD23" s="232"/>
      <c r="BE23" s="222">
        <f t="shared" si="18"/>
        <v>15</v>
      </c>
      <c r="BF23" s="233">
        <f t="shared" si="19"/>
        <v>0</v>
      </c>
      <c r="BG23" s="234"/>
      <c r="BH23" s="235"/>
      <c r="BI23" s="234"/>
      <c r="BJ23" s="236"/>
      <c r="BK23" s="237"/>
      <c r="BL23" s="222"/>
      <c r="BM23" s="238"/>
      <c r="BN23" s="222"/>
      <c r="BO23" s="222"/>
      <c r="BP23" s="239"/>
      <c r="BQ23" s="240" t="s">
        <v>246</v>
      </c>
      <c r="BR23" s="238"/>
      <c r="BS23" s="67"/>
      <c r="BT23" s="66"/>
      <c r="BU23" s="66"/>
      <c r="BV23" s="66"/>
      <c r="BW23" s="74"/>
      <c r="BX23" s="77"/>
      <c r="BY23" s="78"/>
      <c r="BZ23" s="944"/>
      <c r="CA23" s="42" t="str">
        <f t="shared" si="20"/>
        <v>0</v>
      </c>
      <c r="CB23" s="62">
        <f t="shared" si="21"/>
        <v>-44414.660416666666</v>
      </c>
      <c r="CC23" s="42">
        <f t="shared" si="22"/>
        <v>0</v>
      </c>
      <c r="CD23" s="62">
        <f t="shared" si="23"/>
        <v>-44414.660416666666</v>
      </c>
      <c r="CE23" s="62" t="e">
        <f t="shared" si="24"/>
        <v>#N/A</v>
      </c>
      <c r="CF23" s="145" t="str">
        <f t="shared" si="25"/>
        <v>0</v>
      </c>
      <c r="CG23" s="145"/>
      <c r="CH23" s="443" t="e">
        <f t="shared" si="26"/>
        <v>#N/A</v>
      </c>
      <c r="CI23" s="996" t="e">
        <f t="shared" si="27"/>
        <v>#N/A</v>
      </c>
      <c r="CJ23" s="261">
        <f t="shared" si="28"/>
        <v>0</v>
      </c>
      <c r="CK23" s="458">
        <f t="shared" si="29"/>
        <v>1441.3395833333343</v>
      </c>
      <c r="CL23" t="str">
        <f t="shared" si="30"/>
        <v>NON-REV</v>
      </c>
      <c r="CM23" t="str">
        <f t="shared" si="31"/>
        <v>10 MONTHS AND ABOVE</v>
      </c>
      <c r="CN23" s="635"/>
      <c r="CO23" s="631"/>
      <c r="CP23" s="629" t="str">
        <f t="shared" si="32"/>
        <v>FOR ISSUANCE</v>
      </c>
      <c r="CQ23" s="635"/>
      <c r="CR23" s="697"/>
      <c r="CS23" s="633" t="str">
        <f t="shared" ca="1" si="33"/>
        <v>0</v>
      </c>
      <c r="CT23" s="635"/>
      <c r="CU23" s="631"/>
      <c r="CV23" s="638"/>
      <c r="CW23" s="156" t="s">
        <v>491</v>
      </c>
      <c r="CX23" s="156" t="e">
        <f>VLOOKUP(E23,'[1]List of Work Orders'!$A:$I,9,FALSE)</f>
        <v>#N/A</v>
      </c>
      <c r="CY23" s="156"/>
      <c r="CZ23" s="63"/>
      <c r="DC23" t="e">
        <f>VLOOKUP(E23,'[2]List of Work Orders'!$A:$F,6,FALSE)</f>
        <v>#N/A</v>
      </c>
      <c r="DS23" s="156" t="s">
        <v>397</v>
      </c>
    </row>
    <row r="24" spans="1:123" customFormat="1" ht="15" customHeight="1" x14ac:dyDescent="0.25">
      <c r="A24" s="221">
        <v>44442</v>
      </c>
      <c r="B24" s="222" t="s">
        <v>308</v>
      </c>
      <c r="C24" s="241"/>
      <c r="D24" s="66" t="s">
        <v>361</v>
      </c>
      <c r="E24" s="404" t="s">
        <v>492</v>
      </c>
      <c r="F24" s="95" t="s">
        <v>493</v>
      </c>
      <c r="G24" s="95" t="s">
        <v>494</v>
      </c>
      <c r="H24" s="95" t="s">
        <v>269</v>
      </c>
      <c r="I24" s="95" t="s">
        <v>239</v>
      </c>
      <c r="J24" s="95" t="s">
        <v>495</v>
      </c>
      <c r="K24" s="101" t="s">
        <v>271</v>
      </c>
      <c r="L24" s="101" t="s">
        <v>242</v>
      </c>
      <c r="M24" s="345" t="s">
        <v>331</v>
      </c>
      <c r="N24" s="442" t="s">
        <v>467</v>
      </c>
      <c r="O24" s="146">
        <v>48.498100000000008</v>
      </c>
      <c r="P24" s="165" t="e">
        <v>#N/A</v>
      </c>
      <c r="Q24" s="157">
        <v>0</v>
      </c>
      <c r="R24" s="109" t="s">
        <v>368</v>
      </c>
      <c r="S24" s="110">
        <v>193888.88</v>
      </c>
      <c r="T24" s="93">
        <v>42701.27</v>
      </c>
      <c r="U24" s="141"/>
      <c r="V24" s="158">
        <f t="shared" si="0"/>
        <v>0</v>
      </c>
      <c r="W24" s="159">
        <v>44418.663194444445</v>
      </c>
      <c r="X24" s="159">
        <v>44421.538888888892</v>
      </c>
      <c r="Y24" s="160">
        <v>44422</v>
      </c>
      <c r="Z24" s="470"/>
      <c r="AA24" s="470"/>
      <c r="AB24" s="470"/>
      <c r="AC24" s="161">
        <f t="shared" si="1"/>
        <v>-44418.663194444445</v>
      </c>
      <c r="AD24" s="161">
        <f t="shared" si="2"/>
        <v>-44421.538888888892</v>
      </c>
      <c r="AE24" s="446">
        <f t="shared" si="3"/>
        <v>0</v>
      </c>
      <c r="AF24" s="160" t="e">
        <f t="shared" si="4"/>
        <v>#N/A</v>
      </c>
      <c r="AG24" s="160" t="e">
        <f t="shared" si="5"/>
        <v>#N/A</v>
      </c>
      <c r="AH24" s="159">
        <f t="shared" si="6"/>
        <v>44468.663194444445</v>
      </c>
      <c r="AI24" s="162" t="e">
        <f t="shared" si="7"/>
        <v>#N/A</v>
      </c>
      <c r="AJ24" s="224">
        <f t="shared" si="8"/>
        <v>0</v>
      </c>
      <c r="AK24" s="225" t="e">
        <f t="shared" si="9"/>
        <v>#N/A</v>
      </c>
      <c r="AL24" s="170">
        <f t="shared" si="10"/>
        <v>36</v>
      </c>
      <c r="AM24" s="170" t="e">
        <f t="shared" si="11"/>
        <v>#N/A</v>
      </c>
      <c r="AN24" s="170" t="e">
        <f t="shared" si="12"/>
        <v>#N/A</v>
      </c>
      <c r="AO24" s="226" t="e">
        <f t="shared" si="13"/>
        <v>#N/A</v>
      </c>
      <c r="AP24" s="227">
        <v>60</v>
      </c>
      <c r="AQ24" s="228">
        <f t="shared" si="14"/>
        <v>57</v>
      </c>
      <c r="AR24" s="228">
        <f t="shared" si="15"/>
        <v>52</v>
      </c>
      <c r="AS24" s="229">
        <f t="shared" si="16"/>
        <v>60</v>
      </c>
      <c r="AT24" s="982">
        <f t="shared" ca="1" si="17"/>
        <v>45895</v>
      </c>
      <c r="AU24" s="50"/>
      <c r="AV24" s="118"/>
      <c r="AW24" s="49"/>
      <c r="AX24" s="49"/>
      <c r="AY24" s="49"/>
      <c r="AZ24" s="300"/>
      <c r="BA24" s="119"/>
      <c r="BB24" s="306"/>
      <c r="BC24" s="231"/>
      <c r="BD24" s="232"/>
      <c r="BE24" s="222">
        <f t="shared" si="18"/>
        <v>15</v>
      </c>
      <c r="BF24" s="233">
        <f t="shared" si="19"/>
        <v>0</v>
      </c>
      <c r="BG24" s="234"/>
      <c r="BH24" s="235"/>
      <c r="BI24" s="234"/>
      <c r="BJ24" s="236"/>
      <c r="BK24" s="237"/>
      <c r="BL24" s="222"/>
      <c r="BM24" s="238"/>
      <c r="BN24" s="222"/>
      <c r="BO24" s="222"/>
      <c r="BP24" s="239"/>
      <c r="BQ24" s="240" t="s">
        <v>246</v>
      </c>
      <c r="BR24" s="238"/>
      <c r="BS24" s="68" t="s">
        <v>369</v>
      </c>
      <c r="BT24" s="69" t="s">
        <v>496</v>
      </c>
      <c r="BU24" s="69" t="s">
        <v>247</v>
      </c>
      <c r="BV24" s="69" t="s">
        <v>497</v>
      </c>
      <c r="BW24" s="75" t="s">
        <v>372</v>
      </c>
      <c r="BX24" s="77"/>
      <c r="BY24" s="78"/>
      <c r="BZ24" s="944"/>
      <c r="CA24" s="42" t="str">
        <f t="shared" si="20"/>
        <v>0</v>
      </c>
      <c r="CB24" s="62">
        <f t="shared" si="21"/>
        <v>-44418.663194444445</v>
      </c>
      <c r="CC24" s="42">
        <f t="shared" si="22"/>
        <v>0</v>
      </c>
      <c r="CD24" s="62">
        <f t="shared" si="23"/>
        <v>-44418.663194444445</v>
      </c>
      <c r="CE24" s="62" t="e">
        <f t="shared" si="24"/>
        <v>#N/A</v>
      </c>
      <c r="CF24" s="145" t="str">
        <f t="shared" si="25"/>
        <v>0</v>
      </c>
      <c r="CG24" s="145"/>
      <c r="CH24" s="443" t="e">
        <f t="shared" si="26"/>
        <v>#N/A</v>
      </c>
      <c r="CI24" s="996" t="e">
        <f t="shared" si="27"/>
        <v>#N/A</v>
      </c>
      <c r="CJ24" s="261">
        <f t="shared" si="28"/>
        <v>0</v>
      </c>
      <c r="CK24" s="458">
        <f t="shared" si="29"/>
        <v>1437.3368055555547</v>
      </c>
      <c r="CL24" t="str">
        <f t="shared" si="30"/>
        <v>NON-REV</v>
      </c>
      <c r="CM24" t="str">
        <f t="shared" si="31"/>
        <v>10 MONTHS AND ABOVE</v>
      </c>
      <c r="CN24" s="635"/>
      <c r="CO24" s="631"/>
      <c r="CP24" s="629" t="str">
        <f t="shared" si="32"/>
        <v>FOR ISSUANCE</v>
      </c>
      <c r="CQ24" s="635"/>
      <c r="CR24" s="697"/>
      <c r="CS24" s="633" t="str">
        <f t="shared" ca="1" si="33"/>
        <v>0</v>
      </c>
      <c r="CT24" s="635"/>
      <c r="CU24" s="631"/>
      <c r="CV24" s="638"/>
      <c r="CW24" s="156" t="s">
        <v>498</v>
      </c>
      <c r="CX24" s="156" t="str">
        <f>VLOOKUP(E24,'[1]List of Work Orders'!$A:$I,9,FALSE)</f>
        <v>ME155242</v>
      </c>
      <c r="CY24" s="156"/>
      <c r="CZ24" s="63"/>
      <c r="DC24" t="str">
        <f>VLOOKUP(E24,'[2]List of Work Orders'!$A:$F,6,FALSE)</f>
        <v>SCHED</v>
      </c>
      <c r="DS24" s="156" t="s">
        <v>397</v>
      </c>
    </row>
    <row r="25" spans="1:123" customFormat="1" ht="15" customHeight="1" x14ac:dyDescent="0.25">
      <c r="A25" s="221">
        <v>44453</v>
      </c>
      <c r="B25" s="222" t="s">
        <v>308</v>
      </c>
      <c r="C25" s="223"/>
      <c r="D25" s="66" t="s">
        <v>361</v>
      </c>
      <c r="E25" s="471" t="s">
        <v>499</v>
      </c>
      <c r="F25" s="95" t="s">
        <v>500</v>
      </c>
      <c r="G25" s="95" t="s">
        <v>501</v>
      </c>
      <c r="H25" s="95" t="s">
        <v>378</v>
      </c>
      <c r="I25" s="95" t="s">
        <v>239</v>
      </c>
      <c r="J25" s="95" t="s">
        <v>502</v>
      </c>
      <c r="K25" s="101" t="s">
        <v>299</v>
      </c>
      <c r="L25" s="101" t="s">
        <v>366</v>
      </c>
      <c r="M25" s="345" t="s">
        <v>272</v>
      </c>
      <c r="N25" s="442" t="s">
        <v>367</v>
      </c>
      <c r="O25" s="1019">
        <v>0</v>
      </c>
      <c r="P25" s="933">
        <v>9.77</v>
      </c>
      <c r="Q25" s="157">
        <v>0</v>
      </c>
      <c r="R25" s="109" t="s">
        <v>368</v>
      </c>
      <c r="S25" s="110">
        <v>195433.93</v>
      </c>
      <c r="T25" s="93">
        <v>25772.589999999997</v>
      </c>
      <c r="U25" s="141"/>
      <c r="V25" s="158">
        <f t="shared" si="0"/>
        <v>0</v>
      </c>
      <c r="W25" s="159">
        <v>44437.966666666667</v>
      </c>
      <c r="X25" s="159">
        <v>44441.4375</v>
      </c>
      <c r="Y25" s="160">
        <v>44454</v>
      </c>
      <c r="Z25" s="470"/>
      <c r="AA25" s="470">
        <v>45735</v>
      </c>
      <c r="AB25" s="470"/>
      <c r="AC25" s="161">
        <f t="shared" si="1"/>
        <v>1297.0333333333328</v>
      </c>
      <c r="AD25" s="161">
        <f t="shared" si="2"/>
        <v>1293.5625</v>
      </c>
      <c r="AE25" s="446">
        <f t="shared" si="3"/>
        <v>-45735</v>
      </c>
      <c r="AF25" s="160">
        <f t="shared" si="4"/>
        <v>44456.740860215054</v>
      </c>
      <c r="AG25" s="160">
        <f t="shared" si="5"/>
        <v>44465.547311827955</v>
      </c>
      <c r="AH25" s="159">
        <f t="shared" si="6"/>
        <v>44487.966666666667</v>
      </c>
      <c r="AI25" s="162">
        <f t="shared" si="7"/>
        <v>44.675592592592579</v>
      </c>
      <c r="AJ25" s="224">
        <f t="shared" si="8"/>
        <v>-762.25</v>
      </c>
      <c r="AK25" s="225">
        <f t="shared" si="9"/>
        <v>20</v>
      </c>
      <c r="AL25" s="170">
        <f t="shared" si="10"/>
        <v>36</v>
      </c>
      <c r="AM25" s="170">
        <f t="shared" si="11"/>
        <v>21.774193548387096</v>
      </c>
      <c r="AN25" s="170">
        <f t="shared" si="12"/>
        <v>27.58064516129032</v>
      </c>
      <c r="AO25" s="226">
        <f t="shared" si="13"/>
        <v>18.774193548387096</v>
      </c>
      <c r="AP25" s="227">
        <v>60</v>
      </c>
      <c r="AQ25" s="228">
        <f t="shared" si="14"/>
        <v>57</v>
      </c>
      <c r="AR25" s="228">
        <f t="shared" si="15"/>
        <v>52</v>
      </c>
      <c r="AS25" s="229">
        <f t="shared" si="16"/>
        <v>45795</v>
      </c>
      <c r="AT25" s="982">
        <f t="shared" ca="1" si="17"/>
        <v>160</v>
      </c>
      <c r="AU25" s="50"/>
      <c r="AV25" s="118"/>
      <c r="AW25" s="49"/>
      <c r="AX25" s="49"/>
      <c r="AY25" s="49"/>
      <c r="AZ25" s="300"/>
      <c r="BA25" s="119"/>
      <c r="BB25" s="306"/>
      <c r="BC25" s="231" t="s">
        <v>13</v>
      </c>
      <c r="BD25" s="232"/>
      <c r="BE25" s="222">
        <f t="shared" si="18"/>
        <v>45750</v>
      </c>
      <c r="BF25" s="233" t="e">
        <f t="shared" si="19"/>
        <v>#VALUE!</v>
      </c>
      <c r="BG25" s="234"/>
      <c r="BH25" s="235"/>
      <c r="BI25" s="234"/>
      <c r="BJ25" s="236"/>
      <c r="BK25" s="237"/>
      <c r="BL25" s="245"/>
      <c r="BM25" s="238"/>
      <c r="BN25" s="222"/>
      <c r="BO25" s="222"/>
      <c r="BP25" s="239"/>
      <c r="BQ25" s="240" t="s">
        <v>246</v>
      </c>
      <c r="BR25" s="238"/>
      <c r="BS25" s="68" t="s">
        <v>369</v>
      </c>
      <c r="BT25" s="69" t="s">
        <v>503</v>
      </c>
      <c r="BU25" s="69" t="s">
        <v>247</v>
      </c>
      <c r="BV25" s="69" t="s">
        <v>497</v>
      </c>
      <c r="BW25" s="75" t="s">
        <v>504</v>
      </c>
      <c r="BX25" s="77"/>
      <c r="BY25" s="78"/>
      <c r="BZ25" s="944"/>
      <c r="CA25" s="42" t="str">
        <f t="shared" si="20"/>
        <v>0</v>
      </c>
      <c r="CB25" s="62">
        <f t="shared" si="21"/>
        <v>1297.0333333333328</v>
      </c>
      <c r="CC25" s="42">
        <f t="shared" si="22"/>
        <v>0</v>
      </c>
      <c r="CD25" s="62">
        <f t="shared" si="23"/>
        <v>1297.0333333333328</v>
      </c>
      <c r="CE25" s="62">
        <f t="shared" si="24"/>
        <v>44.675592592592579</v>
      </c>
      <c r="CF25" s="145">
        <f t="shared" si="25"/>
        <v>134</v>
      </c>
      <c r="CG25" s="145"/>
      <c r="CH25" s="443">
        <f t="shared" si="26"/>
        <v>49.291148148148132</v>
      </c>
      <c r="CI25" s="996">
        <f t="shared" si="27"/>
        <v>49.291148148148132</v>
      </c>
      <c r="CJ25" s="261">
        <f t="shared" si="28"/>
        <v>2.2333333333333334</v>
      </c>
      <c r="CK25" s="458" t="str">
        <f t="shared" si="29"/>
        <v/>
      </c>
      <c r="CL25" t="str">
        <f t="shared" si="30"/>
        <v>NON-REV</v>
      </c>
      <c r="CM25" t="str">
        <f t="shared" si="31"/>
        <v/>
      </c>
      <c r="CN25" s="635"/>
      <c r="CO25" s="631"/>
      <c r="CP25" s="629" t="str">
        <f t="shared" si="32"/>
        <v>FOR ISSUANCE</v>
      </c>
      <c r="CQ25" s="635"/>
      <c r="CR25" s="697"/>
      <c r="CS25" s="633" t="str">
        <f t="shared" ca="1" si="33"/>
        <v>0</v>
      </c>
      <c r="CT25" s="635"/>
      <c r="CU25" s="631"/>
      <c r="CV25" s="638"/>
      <c r="CW25" s="156" t="s">
        <v>505</v>
      </c>
      <c r="CX25" s="156" t="str">
        <f>VLOOKUP(E25,'[1]List of Work Orders'!$A:$I,9,FALSE)</f>
        <v>ME168443</v>
      </c>
      <c r="CY25" s="156"/>
      <c r="DC25" t="str">
        <f>VLOOKUP(E25,'[2]List of Work Orders'!$A:$F,6,FALSE)</f>
        <v>FCOMP</v>
      </c>
      <c r="DS25" s="156" t="s">
        <v>374</v>
      </c>
    </row>
    <row r="26" spans="1:123" customFormat="1" ht="15" customHeight="1" x14ac:dyDescent="0.25">
      <c r="A26" s="242">
        <v>44476</v>
      </c>
      <c r="B26" s="222">
        <v>44469</v>
      </c>
      <c r="C26" s="223"/>
      <c r="D26" s="66" t="s">
        <v>320</v>
      </c>
      <c r="E26" s="404" t="s">
        <v>506</v>
      </c>
      <c r="F26" s="95" t="s">
        <v>507</v>
      </c>
      <c r="G26" s="95" t="s">
        <v>508</v>
      </c>
      <c r="H26" s="95" t="s">
        <v>238</v>
      </c>
      <c r="I26" s="95" t="s">
        <v>239</v>
      </c>
      <c r="J26" s="155" t="s">
        <v>509</v>
      </c>
      <c r="K26" s="101" t="s">
        <v>510</v>
      </c>
      <c r="L26" s="101" t="s">
        <v>5</v>
      </c>
      <c r="M26" s="345" t="s">
        <v>331</v>
      </c>
      <c r="N26" s="442" t="s">
        <v>403</v>
      </c>
      <c r="O26" s="146">
        <v>85.05</v>
      </c>
      <c r="P26" s="165">
        <v>23.26</v>
      </c>
      <c r="Q26" s="157">
        <v>0</v>
      </c>
      <c r="R26" s="109" t="s">
        <v>327</v>
      </c>
      <c r="S26" s="110">
        <v>94979.94</v>
      </c>
      <c r="T26" s="93">
        <v>33678.6</v>
      </c>
      <c r="U26" s="141"/>
      <c r="V26" s="158">
        <f t="shared" si="0"/>
        <v>0</v>
      </c>
      <c r="W26" s="159">
        <v>44463.62777777778</v>
      </c>
      <c r="X26" s="159">
        <v>44469</v>
      </c>
      <c r="Y26" s="160">
        <v>44469</v>
      </c>
      <c r="Z26" s="470"/>
      <c r="AA26" s="470"/>
      <c r="AB26" s="470"/>
      <c r="AC26" s="161">
        <f t="shared" si="1"/>
        <v>-44463.62777777778</v>
      </c>
      <c r="AD26" s="161">
        <f t="shared" si="2"/>
        <v>-44469</v>
      </c>
      <c r="AE26" s="446">
        <f t="shared" si="3"/>
        <v>0</v>
      </c>
      <c r="AF26" s="160">
        <f t="shared" si="4"/>
        <v>44482.401971326166</v>
      </c>
      <c r="AG26" s="160">
        <f>W26+AN26</f>
        <v>44491.208422939068</v>
      </c>
      <c r="AH26" s="159">
        <f t="shared" si="6"/>
        <v>44513.62777777778</v>
      </c>
      <c r="AI26" s="162">
        <f t="shared" si="7"/>
        <v>-1531.5249567901233</v>
      </c>
      <c r="AJ26" s="224">
        <f t="shared" si="8"/>
        <v>0</v>
      </c>
      <c r="AK26" s="225">
        <f t="shared" si="9"/>
        <v>20</v>
      </c>
      <c r="AL26" s="170">
        <f t="shared" si="10"/>
        <v>36</v>
      </c>
      <c r="AM26" s="170">
        <f t="shared" si="11"/>
        <v>21.774193548387096</v>
      </c>
      <c r="AN26" s="170">
        <f t="shared" si="12"/>
        <v>27.58064516129032</v>
      </c>
      <c r="AO26" s="226">
        <f t="shared" si="13"/>
        <v>18.774193548387096</v>
      </c>
      <c r="AP26" s="227">
        <v>60</v>
      </c>
      <c r="AQ26" s="228">
        <f t="shared" si="14"/>
        <v>57</v>
      </c>
      <c r="AR26" s="228">
        <f t="shared" si="15"/>
        <v>52</v>
      </c>
      <c r="AS26" s="229">
        <f t="shared" si="16"/>
        <v>60</v>
      </c>
      <c r="AT26" s="982">
        <f t="shared" ca="1" si="17"/>
        <v>45895</v>
      </c>
      <c r="AU26" s="50"/>
      <c r="AV26" s="118"/>
      <c r="AW26" s="49"/>
      <c r="AX26" s="49"/>
      <c r="AY26" s="49"/>
      <c r="AZ26" s="300"/>
      <c r="BA26" s="119"/>
      <c r="BB26" s="306"/>
      <c r="BC26" s="231"/>
      <c r="BD26" s="232"/>
      <c r="BE26" s="222">
        <f t="shared" si="18"/>
        <v>15</v>
      </c>
      <c r="BF26" s="233">
        <f t="shared" si="19"/>
        <v>0</v>
      </c>
      <c r="BG26" s="234"/>
      <c r="BH26" s="235"/>
      <c r="BI26" s="234"/>
      <c r="BJ26" s="236"/>
      <c r="BK26" s="222"/>
      <c r="BL26" s="222"/>
      <c r="BM26" s="238"/>
      <c r="BN26" s="222"/>
      <c r="BO26" s="222"/>
      <c r="BP26" s="243"/>
      <c r="BQ26" s="244" t="s">
        <v>246</v>
      </c>
      <c r="BR26" s="238"/>
      <c r="BS26" s="67"/>
      <c r="BT26" s="66"/>
      <c r="BU26" s="66"/>
      <c r="BV26" s="66"/>
      <c r="BW26" s="74"/>
      <c r="BX26" s="81"/>
      <c r="BY26" s="78"/>
      <c r="BZ26" s="944" t="s">
        <v>511</v>
      </c>
      <c r="CA26" s="42" t="str">
        <f t="shared" si="20"/>
        <v>0</v>
      </c>
      <c r="CB26" s="62">
        <f t="shared" si="21"/>
        <v>-44463.62777777778</v>
      </c>
      <c r="CC26" s="42">
        <f t="shared" si="22"/>
        <v>0</v>
      </c>
      <c r="CD26" s="62">
        <f t="shared" si="23"/>
        <v>-44463.62777777778</v>
      </c>
      <c r="CE26" s="62">
        <f t="shared" si="24"/>
        <v>-1531.5249567901233</v>
      </c>
      <c r="CF26" s="145" t="str">
        <f t="shared" si="25"/>
        <v>0</v>
      </c>
      <c r="CG26" s="145"/>
      <c r="CH26" s="443">
        <f t="shared" si="26"/>
        <v>48.407265432098704</v>
      </c>
      <c r="CI26" s="996">
        <f t="shared" si="27"/>
        <v>48.407265432098704</v>
      </c>
      <c r="CJ26" s="261">
        <f t="shared" si="28"/>
        <v>0</v>
      </c>
      <c r="CK26" s="458">
        <f t="shared" si="29"/>
        <v>1392.3722222222204</v>
      </c>
      <c r="CL26" t="str">
        <f t="shared" si="30"/>
        <v>NON-REV</v>
      </c>
      <c r="CM26" t="str">
        <f t="shared" si="31"/>
        <v>10 MONTHS AND ABOVE</v>
      </c>
      <c r="CN26" s="635"/>
      <c r="CO26" s="631"/>
      <c r="CP26" s="629" t="str">
        <f t="shared" si="32"/>
        <v>FOR ISSUANCE</v>
      </c>
      <c r="CQ26" s="635"/>
      <c r="CR26" s="697"/>
      <c r="CS26" s="633" t="str">
        <f t="shared" ca="1" si="33"/>
        <v>0</v>
      </c>
      <c r="CT26" s="635"/>
      <c r="CU26" s="631"/>
      <c r="CV26" s="638"/>
      <c r="CW26" s="156" t="s">
        <v>512</v>
      </c>
      <c r="CX26" s="156" t="str">
        <f>VLOOKUP(E26,'[1]List of Work Orders'!$A:$I,9,FALSE)</f>
        <v>ME166067</v>
      </c>
      <c r="CY26" s="156"/>
      <c r="DC26" t="str">
        <f>VLOOKUP(E26,'[2]List of Work Orders'!$A:$F,6,FALSE)</f>
        <v>SCHED</v>
      </c>
      <c r="DS26" s="156" t="s">
        <v>403</v>
      </c>
    </row>
    <row r="27" spans="1:123" customFormat="1" x14ac:dyDescent="0.25">
      <c r="A27" s="242">
        <v>44490</v>
      </c>
      <c r="B27" s="222">
        <v>44491</v>
      </c>
      <c r="C27" s="223" t="s">
        <v>247</v>
      </c>
      <c r="D27" s="66" t="s">
        <v>513</v>
      </c>
      <c r="E27" s="404" t="s">
        <v>514</v>
      </c>
      <c r="F27" s="95" t="s">
        <v>515</v>
      </c>
      <c r="G27" s="95" t="s">
        <v>516</v>
      </c>
      <c r="H27" s="95" t="s">
        <v>253</v>
      </c>
      <c r="I27" s="95" t="s">
        <v>254</v>
      </c>
      <c r="J27" s="95" t="s">
        <v>517</v>
      </c>
      <c r="K27" s="101" t="s">
        <v>299</v>
      </c>
      <c r="L27" s="101" t="s">
        <v>263</v>
      </c>
      <c r="M27" s="345" t="s">
        <v>331</v>
      </c>
      <c r="N27" s="442" t="s">
        <v>467</v>
      </c>
      <c r="O27" s="146">
        <v>1133.2283999999993</v>
      </c>
      <c r="P27" s="165">
        <v>1795.22</v>
      </c>
      <c r="Q27" s="157">
        <v>0</v>
      </c>
      <c r="R27" s="109" t="s">
        <v>327</v>
      </c>
      <c r="S27" s="110">
        <v>1921072.21</v>
      </c>
      <c r="T27" s="93">
        <v>821316.27</v>
      </c>
      <c r="U27" s="141"/>
      <c r="V27" s="158">
        <f t="shared" si="0"/>
        <v>0</v>
      </c>
      <c r="W27" s="159">
        <v>44475.811805555553</v>
      </c>
      <c r="X27" s="159">
        <v>44481</v>
      </c>
      <c r="Y27" s="160">
        <v>44482</v>
      </c>
      <c r="Z27" s="470"/>
      <c r="AA27" s="470"/>
      <c r="AB27" s="470"/>
      <c r="AC27" s="161">
        <f t="shared" si="1"/>
        <v>-44475.811805555553</v>
      </c>
      <c r="AD27" s="161">
        <f t="shared" si="2"/>
        <v>-44481</v>
      </c>
      <c r="AE27" s="446">
        <f t="shared" si="3"/>
        <v>0</v>
      </c>
      <c r="AF27" s="160">
        <f t="shared" si="4"/>
        <v>44502.287788088302</v>
      </c>
      <c r="AG27" s="160">
        <f t="shared" si="5"/>
        <v>44513.148050097036</v>
      </c>
      <c r="AH27" s="159">
        <f t="shared" si="6"/>
        <v>44525.811805555553</v>
      </c>
      <c r="AI27" s="162">
        <f t="shared" si="7"/>
        <v>-1131.6623226080246</v>
      </c>
      <c r="AJ27" s="224">
        <f t="shared" si="8"/>
        <v>0</v>
      </c>
      <c r="AK27" s="225">
        <f t="shared" si="9"/>
        <v>50</v>
      </c>
      <c r="AL27" s="170">
        <f t="shared" si="10"/>
        <v>36</v>
      </c>
      <c r="AM27" s="170">
        <f t="shared" si="11"/>
        <v>29.475982532751093</v>
      </c>
      <c r="AN27" s="170">
        <f t="shared" si="12"/>
        <v>37.336244541484717</v>
      </c>
      <c r="AO27" s="226">
        <f t="shared" si="13"/>
        <v>26.475982532751093</v>
      </c>
      <c r="AP27" s="227">
        <v>60</v>
      </c>
      <c r="AQ27" s="228">
        <f t="shared" si="14"/>
        <v>57</v>
      </c>
      <c r="AR27" s="228">
        <f t="shared" si="15"/>
        <v>52</v>
      </c>
      <c r="AS27" s="229">
        <f t="shared" si="16"/>
        <v>60</v>
      </c>
      <c r="AT27" s="982">
        <f t="shared" ca="1" si="17"/>
        <v>45895</v>
      </c>
      <c r="AU27" s="50"/>
      <c r="AV27" s="118"/>
      <c r="AW27" s="49"/>
      <c r="AX27" s="49"/>
      <c r="AY27" s="49"/>
      <c r="AZ27" s="300"/>
      <c r="BA27" s="119"/>
      <c r="BB27" s="306"/>
      <c r="BC27" s="231"/>
      <c r="BD27" s="232"/>
      <c r="BE27" s="222">
        <f t="shared" si="18"/>
        <v>15</v>
      </c>
      <c r="BF27" s="233">
        <f t="shared" si="19"/>
        <v>0</v>
      </c>
      <c r="BG27" s="234"/>
      <c r="BH27" s="235"/>
      <c r="BI27" s="234"/>
      <c r="BJ27" s="236"/>
      <c r="BK27" s="222"/>
      <c r="BL27" s="222"/>
      <c r="BM27" s="238"/>
      <c r="BN27" s="222"/>
      <c r="BO27" s="222"/>
      <c r="BP27" s="243"/>
      <c r="BQ27" s="244" t="s">
        <v>246</v>
      </c>
      <c r="BR27" s="238"/>
      <c r="BS27" s="67"/>
      <c r="BT27" s="66"/>
      <c r="BU27" s="66"/>
      <c r="BV27" s="66"/>
      <c r="BW27" s="74"/>
      <c r="BX27" s="81"/>
      <c r="BY27" s="78"/>
      <c r="BZ27" s="944"/>
      <c r="CA27" s="42" t="str">
        <f t="shared" si="20"/>
        <v>0</v>
      </c>
      <c r="CB27" s="62">
        <f t="shared" si="21"/>
        <v>-44475.811805555553</v>
      </c>
      <c r="CC27" s="42">
        <f t="shared" si="22"/>
        <v>0</v>
      </c>
      <c r="CD27" s="62">
        <f t="shared" si="23"/>
        <v>-44475.811805555553</v>
      </c>
      <c r="CE27" s="62">
        <f t="shared" si="24"/>
        <v>-1131.6623226080246</v>
      </c>
      <c r="CF27" s="145" t="str">
        <f t="shared" si="25"/>
        <v>0</v>
      </c>
      <c r="CG27" s="145"/>
      <c r="CH27" s="443">
        <f t="shared" si="26"/>
        <v>35.448899614197586</v>
      </c>
      <c r="CI27" s="996">
        <f t="shared" si="27"/>
        <v>35.448899614197586</v>
      </c>
      <c r="CJ27" s="261">
        <f t="shared" si="28"/>
        <v>0</v>
      </c>
      <c r="CK27" s="458">
        <f t="shared" si="29"/>
        <v>1380.1881944444467</v>
      </c>
      <c r="CL27" t="str">
        <f t="shared" si="30"/>
        <v>NON-REV</v>
      </c>
      <c r="CM27" t="str">
        <f t="shared" si="31"/>
        <v>10 MONTHS AND ABOVE</v>
      </c>
      <c r="CN27" s="635"/>
      <c r="CO27" s="631"/>
      <c r="CP27" s="629" t="str">
        <f t="shared" si="32"/>
        <v>FOR ISSUANCE</v>
      </c>
      <c r="CQ27" s="635"/>
      <c r="CR27" s="697"/>
      <c r="CS27" s="633" t="str">
        <f t="shared" ca="1" si="33"/>
        <v>0</v>
      </c>
      <c r="CT27" s="635"/>
      <c r="CU27" s="631"/>
      <c r="CV27" s="638"/>
      <c r="CW27" s="156" t="s">
        <v>518</v>
      </c>
      <c r="CX27" s="156" t="str">
        <f>VLOOKUP(E27,'[1]List of Work Orders'!$A:$I,9,FALSE)</f>
        <v>ME155242</v>
      </c>
      <c r="CY27" s="156"/>
      <c r="DC27" t="str">
        <f>VLOOKUP(E27,'[2]List of Work Orders'!$A:$F,6,FALSE)</f>
        <v>SCHED</v>
      </c>
      <c r="DS27" s="156" t="s">
        <v>397</v>
      </c>
    </row>
    <row r="28" spans="1:123" customFormat="1" ht="15" customHeight="1" x14ac:dyDescent="0.25">
      <c r="A28" s="242">
        <v>44490</v>
      </c>
      <c r="B28" s="222">
        <v>44489</v>
      </c>
      <c r="C28" s="223"/>
      <c r="D28" s="66" t="s">
        <v>284</v>
      </c>
      <c r="E28" s="404" t="s">
        <v>519</v>
      </c>
      <c r="F28" s="95" t="s">
        <v>520</v>
      </c>
      <c r="G28" s="95" t="s">
        <v>304</v>
      </c>
      <c r="H28" s="95" t="s">
        <v>238</v>
      </c>
      <c r="I28" s="95" t="s">
        <v>239</v>
      </c>
      <c r="J28" s="95" t="s">
        <v>521</v>
      </c>
      <c r="K28" s="101" t="s">
        <v>299</v>
      </c>
      <c r="L28" s="101" t="s">
        <v>5</v>
      </c>
      <c r="M28" s="345" t="s">
        <v>380</v>
      </c>
      <c r="N28" s="442" t="s">
        <v>475</v>
      </c>
      <c r="O28" s="146">
        <v>97.660000000000011</v>
      </c>
      <c r="P28" s="165" t="e">
        <v>#N/A</v>
      </c>
      <c r="Q28" s="157">
        <v>0</v>
      </c>
      <c r="R28" s="108" t="s">
        <v>319</v>
      </c>
      <c r="S28" s="110">
        <v>87040.66</v>
      </c>
      <c r="T28" s="93">
        <v>73733.14</v>
      </c>
      <c r="U28" s="141"/>
      <c r="V28" s="158">
        <f t="shared" si="0"/>
        <v>0</v>
      </c>
      <c r="W28" s="159">
        <v>44482.689583333333</v>
      </c>
      <c r="X28" s="159">
        <v>44484</v>
      </c>
      <c r="Y28" s="160">
        <v>44489</v>
      </c>
      <c r="Z28" s="470"/>
      <c r="AA28" s="470" t="s">
        <v>380</v>
      </c>
      <c r="AB28" s="470"/>
      <c r="AC28" s="161" t="e">
        <f t="shared" si="1"/>
        <v>#VALUE!</v>
      </c>
      <c r="AD28" s="161" t="e">
        <f t="shared" si="2"/>
        <v>#VALUE!</v>
      </c>
      <c r="AE28" s="446" t="e">
        <f t="shared" si="3"/>
        <v>#VALUE!</v>
      </c>
      <c r="AF28" s="160" t="e">
        <f t="shared" si="4"/>
        <v>#N/A</v>
      </c>
      <c r="AG28" s="160" t="e">
        <f t="shared" si="5"/>
        <v>#N/A</v>
      </c>
      <c r="AH28" s="159">
        <f t="shared" si="6"/>
        <v>44532.689583333333</v>
      </c>
      <c r="AI28" s="162" t="e">
        <f t="shared" si="7"/>
        <v>#VALUE!</v>
      </c>
      <c r="AJ28" s="224" t="e">
        <f t="shared" si="8"/>
        <v>#VALUE!</v>
      </c>
      <c r="AK28" s="225" t="e">
        <f t="shared" si="9"/>
        <v>#N/A</v>
      </c>
      <c r="AL28" s="170">
        <f t="shared" si="10"/>
        <v>36</v>
      </c>
      <c r="AM28" s="170" t="e">
        <f t="shared" si="11"/>
        <v>#N/A</v>
      </c>
      <c r="AN28" s="170" t="e">
        <f t="shared" si="12"/>
        <v>#N/A</v>
      </c>
      <c r="AO28" s="226" t="e">
        <f t="shared" si="13"/>
        <v>#N/A</v>
      </c>
      <c r="AP28" s="227">
        <v>60</v>
      </c>
      <c r="AQ28" s="228">
        <f t="shared" si="14"/>
        <v>57</v>
      </c>
      <c r="AR28" s="228">
        <f t="shared" si="15"/>
        <v>52</v>
      </c>
      <c r="AS28" s="229" t="e">
        <f t="shared" si="16"/>
        <v>#VALUE!</v>
      </c>
      <c r="AT28" s="982" t="str">
        <f t="shared" ca="1" si="17"/>
        <v/>
      </c>
      <c r="AU28" s="50"/>
      <c r="AV28" s="118"/>
      <c r="AW28" s="49"/>
      <c r="AX28" s="49"/>
      <c r="AY28" s="49"/>
      <c r="AZ28" s="300"/>
      <c r="BA28" s="119"/>
      <c r="BB28" s="306"/>
      <c r="BC28" s="231"/>
      <c r="BD28" s="232"/>
      <c r="BE28" s="222" t="e">
        <f t="shared" si="18"/>
        <v>#VALUE!</v>
      </c>
      <c r="BF28" s="233" t="e">
        <f t="shared" si="19"/>
        <v>#VALUE!</v>
      </c>
      <c r="BG28" s="234"/>
      <c r="BH28" s="235"/>
      <c r="BI28" s="234"/>
      <c r="BJ28" s="236"/>
      <c r="BK28" s="222"/>
      <c r="BL28" s="222"/>
      <c r="BM28" s="238"/>
      <c r="BN28" s="222"/>
      <c r="BO28" s="222"/>
      <c r="BP28" s="243"/>
      <c r="BQ28" s="244" t="s">
        <v>247</v>
      </c>
      <c r="BR28" s="238"/>
      <c r="BS28" s="67"/>
      <c r="BT28" s="66"/>
      <c r="BU28" s="66"/>
      <c r="BV28" s="66"/>
      <c r="BW28" s="74"/>
      <c r="BX28" s="81"/>
      <c r="BY28" s="78"/>
      <c r="BZ28" s="944" t="s">
        <v>522</v>
      </c>
      <c r="CA28" s="42" t="str">
        <f t="shared" si="20"/>
        <v>0</v>
      </c>
      <c r="CB28" s="62" t="e">
        <f t="shared" si="21"/>
        <v>#VALUE!</v>
      </c>
      <c r="CC28" s="42">
        <f t="shared" si="22"/>
        <v>0</v>
      </c>
      <c r="CD28" s="62" t="e">
        <f t="shared" si="23"/>
        <v>#VALUE!</v>
      </c>
      <c r="CE28" s="62" t="e">
        <f t="shared" si="24"/>
        <v>#VALUE!</v>
      </c>
      <c r="CF28" s="145" t="e">
        <f t="shared" si="25"/>
        <v>#VALUE!</v>
      </c>
      <c r="CG28" s="145"/>
      <c r="CH28" s="443" t="e">
        <f t="shared" si="26"/>
        <v>#N/A</v>
      </c>
      <c r="CI28" s="996" t="e">
        <f t="shared" si="27"/>
        <v>#N/A</v>
      </c>
      <c r="CJ28" s="261" t="e">
        <f t="shared" si="28"/>
        <v>#VALUE!</v>
      </c>
      <c r="CK28" s="458" t="str">
        <f t="shared" si="29"/>
        <v/>
      </c>
      <c r="CL28" t="str">
        <f t="shared" si="30"/>
        <v>NON-REV</v>
      </c>
      <c r="CM28" t="str">
        <f t="shared" si="31"/>
        <v/>
      </c>
      <c r="CN28" s="635"/>
      <c r="CO28" s="631"/>
      <c r="CP28" s="629" t="str">
        <f t="shared" si="32"/>
        <v>FOR ISSUANCE</v>
      </c>
      <c r="CQ28" s="635"/>
      <c r="CR28" s="697"/>
      <c r="CS28" s="633" t="str">
        <f t="shared" ca="1" si="33"/>
        <v>0</v>
      </c>
      <c r="CT28" s="635"/>
      <c r="CU28" s="631"/>
      <c r="CV28" s="638"/>
      <c r="CW28" s="156" t="s">
        <v>523</v>
      </c>
      <c r="CX28" s="156" t="str">
        <f>VLOOKUP(E28,'[1]List of Work Orders'!$A:$I,9,FALSE)</f>
        <v>ME185130</v>
      </c>
      <c r="CY28" s="156"/>
      <c r="DC28" t="str">
        <f>VLOOKUP(E28,'[2]List of Work Orders'!$A:$F,6,FALSE)</f>
        <v>PCAN</v>
      </c>
      <c r="DS28" s="156" t="s">
        <v>478</v>
      </c>
    </row>
    <row r="29" spans="1:123" ht="15" customHeight="1" x14ac:dyDescent="0.2">
      <c r="A29" s="242">
        <v>45058</v>
      </c>
      <c r="B29" s="222" t="s">
        <v>308</v>
      </c>
      <c r="C29" s="223"/>
      <c r="D29" s="66" t="s">
        <v>361</v>
      </c>
      <c r="E29" s="404" t="s">
        <v>524</v>
      </c>
      <c r="F29" s="95" t="s">
        <v>525</v>
      </c>
      <c r="G29" s="95" t="s">
        <v>526</v>
      </c>
      <c r="H29" s="95" t="s">
        <v>238</v>
      </c>
      <c r="I29" s="95" t="s">
        <v>239</v>
      </c>
      <c r="J29" s="1134" t="s">
        <v>410</v>
      </c>
      <c r="K29" s="95"/>
      <c r="L29" s="101" t="s">
        <v>255</v>
      </c>
      <c r="M29" s="345" t="s">
        <v>402</v>
      </c>
      <c r="N29" s="442" t="s">
        <v>381</v>
      </c>
      <c r="O29" s="165">
        <v>53.318299999999994</v>
      </c>
      <c r="P29" s="165" t="e">
        <v>#N/A</v>
      </c>
      <c r="Q29" s="157">
        <v>0</v>
      </c>
      <c r="R29" s="109" t="s">
        <v>368</v>
      </c>
      <c r="S29" s="110">
        <v>224779.02</v>
      </c>
      <c r="T29" s="93">
        <v>49304.030000000006</v>
      </c>
      <c r="U29" s="141"/>
      <c r="V29" s="158">
        <f t="shared" si="0"/>
        <v>0</v>
      </c>
      <c r="W29" s="159">
        <v>44484.35833333333</v>
      </c>
      <c r="X29" s="159">
        <v>44484.521527777775</v>
      </c>
      <c r="Y29" s="160">
        <v>44967</v>
      </c>
      <c r="Z29" s="470"/>
      <c r="AA29" s="470"/>
      <c r="AB29" s="470"/>
      <c r="AC29" s="161">
        <f t="shared" si="1"/>
        <v>-44484.35833333333</v>
      </c>
      <c r="AD29" s="161">
        <f t="shared" si="2"/>
        <v>-44484.521527777775</v>
      </c>
      <c r="AE29" s="446">
        <f t="shared" si="3"/>
        <v>0</v>
      </c>
      <c r="AF29" s="160" t="e">
        <f t="shared" si="4"/>
        <v>#N/A</v>
      </c>
      <c r="AG29" s="160" t="e">
        <f t="shared" si="5"/>
        <v>#N/A</v>
      </c>
      <c r="AH29" s="159">
        <f t="shared" si="6"/>
        <v>44534.35833333333</v>
      </c>
      <c r="AI29" s="162" t="e">
        <f t="shared" si="7"/>
        <v>#N/A</v>
      </c>
      <c r="AJ29" s="224">
        <f t="shared" si="8"/>
        <v>0</v>
      </c>
      <c r="AK29" s="225" t="e">
        <f t="shared" si="9"/>
        <v>#N/A</v>
      </c>
      <c r="AL29" s="170">
        <f t="shared" si="10"/>
        <v>36</v>
      </c>
      <c r="AM29" s="170" t="e">
        <f t="shared" si="11"/>
        <v>#N/A</v>
      </c>
      <c r="AN29" s="170" t="e">
        <f t="shared" si="12"/>
        <v>#N/A</v>
      </c>
      <c r="AO29" s="226" t="e">
        <f t="shared" si="13"/>
        <v>#N/A</v>
      </c>
      <c r="AP29" s="227">
        <v>60</v>
      </c>
      <c r="AQ29" s="228">
        <f t="shared" si="14"/>
        <v>57</v>
      </c>
      <c r="AR29" s="228">
        <f t="shared" si="15"/>
        <v>52</v>
      </c>
      <c r="AS29" s="229">
        <f t="shared" si="16"/>
        <v>60</v>
      </c>
      <c r="AT29" s="982">
        <f t="shared" ca="1" si="17"/>
        <v>45895</v>
      </c>
      <c r="AU29" s="1077"/>
      <c r="AV29" s="1078"/>
      <c r="AW29" s="1079"/>
      <c r="AX29" s="1079"/>
      <c r="AY29" s="1079"/>
      <c r="AZ29" s="1080"/>
      <c r="BA29" s="1081"/>
      <c r="BB29" s="1091"/>
      <c r="BC29" s="231"/>
      <c r="BD29" s="232"/>
      <c r="BE29" s="222">
        <f t="shared" si="18"/>
        <v>15</v>
      </c>
      <c r="BF29" s="233">
        <f t="shared" si="19"/>
        <v>0</v>
      </c>
      <c r="BG29" s="234"/>
      <c r="BH29" s="235"/>
      <c r="BI29" s="234"/>
      <c r="BJ29" s="236"/>
      <c r="BK29" s="222"/>
      <c r="BL29" s="237"/>
      <c r="BM29" s="238"/>
      <c r="BN29" s="222"/>
      <c r="BO29" s="222"/>
      <c r="BP29" s="243"/>
      <c r="BQ29" s="244"/>
      <c r="BR29" s="238"/>
      <c r="BS29" s="68" t="s">
        <v>369</v>
      </c>
      <c r="BT29" s="69" t="s">
        <v>527</v>
      </c>
      <c r="BU29" s="69" t="s">
        <v>247</v>
      </c>
      <c r="BV29" s="69" t="s">
        <v>497</v>
      </c>
      <c r="BW29" s="75" t="s">
        <v>528</v>
      </c>
      <c r="BX29" s="81"/>
      <c r="BY29" s="66"/>
      <c r="BZ29" s="944"/>
      <c r="CA29" s="42" t="str">
        <f t="shared" si="20"/>
        <v>0</v>
      </c>
      <c r="CB29" s="62">
        <f t="shared" si="21"/>
        <v>-44484.35833333333</v>
      </c>
      <c r="CC29" s="42">
        <f t="shared" si="22"/>
        <v>0</v>
      </c>
      <c r="CD29" s="62">
        <f t="shared" si="23"/>
        <v>-44484.35833333333</v>
      </c>
      <c r="CE29" s="62" t="e">
        <f t="shared" si="24"/>
        <v>#N/A</v>
      </c>
      <c r="CF29" s="1059" t="str">
        <f t="shared" si="25"/>
        <v>0</v>
      </c>
      <c r="CH29" s="1082" t="e">
        <f t="shared" si="26"/>
        <v>#N/A</v>
      </c>
      <c r="CI29" s="1083" t="e">
        <f t="shared" si="27"/>
        <v>#N/A</v>
      </c>
      <c r="CJ29" s="1084">
        <f t="shared" si="28"/>
        <v>0</v>
      </c>
      <c r="CK29" s="1085">
        <f t="shared" si="29"/>
        <v>1371.6416666666701</v>
      </c>
      <c r="CL29" s="1057" t="str">
        <f t="shared" si="30"/>
        <v>NON-REV</v>
      </c>
      <c r="CM29" s="1057" t="str">
        <f t="shared" si="31"/>
        <v>10 MONTHS AND ABOVE</v>
      </c>
      <c r="CN29" s="1086"/>
      <c r="CO29" s="1087"/>
      <c r="CP29" s="629" t="str">
        <f t="shared" si="32"/>
        <v>FOR ISSUANCE</v>
      </c>
      <c r="CQ29" s="1086"/>
      <c r="CR29" s="1088"/>
      <c r="CS29" s="1089" t="str">
        <f t="shared" ca="1" si="33"/>
        <v>0</v>
      </c>
      <c r="CT29" s="1086"/>
      <c r="CU29" s="1087"/>
      <c r="CV29" s="1090"/>
      <c r="CW29" s="156" t="s">
        <v>529</v>
      </c>
      <c r="CX29" s="156" t="str">
        <f>VLOOKUP(E29,'[1]List of Work Orders'!$A:$I,9,FALSE)</f>
        <v>ME185284</v>
      </c>
      <c r="CY29" s="156"/>
      <c r="DC29" s="1057" t="str">
        <f>VLOOKUP(E29,'[2]List of Work Orders'!$A:$F,6,FALSE)</f>
        <v>INPRG</v>
      </c>
      <c r="DS29" s="156" t="s">
        <v>381</v>
      </c>
    </row>
    <row r="30" spans="1:123" customFormat="1" ht="15" customHeight="1" x14ac:dyDescent="0.25">
      <c r="A30" s="242">
        <v>44518</v>
      </c>
      <c r="B30" s="222">
        <v>44499</v>
      </c>
      <c r="C30" s="223"/>
      <c r="D30" s="66" t="s">
        <v>234</v>
      </c>
      <c r="E30" s="404" t="s">
        <v>530</v>
      </c>
      <c r="F30" s="95" t="s">
        <v>531</v>
      </c>
      <c r="G30" s="95" t="s">
        <v>304</v>
      </c>
      <c r="H30" s="95" t="s">
        <v>238</v>
      </c>
      <c r="I30" s="95" t="s">
        <v>239</v>
      </c>
      <c r="J30" s="95" t="s">
        <v>532</v>
      </c>
      <c r="K30" s="101" t="s">
        <v>533</v>
      </c>
      <c r="L30" s="101" t="s">
        <v>5</v>
      </c>
      <c r="M30" s="345" t="s">
        <v>534</v>
      </c>
      <c r="N30" s="442" t="s">
        <v>403</v>
      </c>
      <c r="O30" s="146">
        <v>118.93339999999999</v>
      </c>
      <c r="P30" s="165" t="e">
        <v>#N/A</v>
      </c>
      <c r="Q30" s="157">
        <v>0</v>
      </c>
      <c r="R30" s="108" t="s">
        <v>319</v>
      </c>
      <c r="S30" s="110">
        <v>139589.22</v>
      </c>
      <c r="T30" s="93">
        <v>107671.03999999999</v>
      </c>
      <c r="U30" s="141"/>
      <c r="V30" s="158">
        <f t="shared" si="0"/>
        <v>0</v>
      </c>
      <c r="W30" s="159">
        <v>44496.597222222219</v>
      </c>
      <c r="X30" s="159">
        <v>44498.635416666664</v>
      </c>
      <c r="Y30" s="160">
        <v>44499</v>
      </c>
      <c r="Z30" s="470"/>
      <c r="AA30" s="470" t="s">
        <v>534</v>
      </c>
      <c r="AB30" s="470"/>
      <c r="AC30" s="161" t="e">
        <f t="shared" si="1"/>
        <v>#VALUE!</v>
      </c>
      <c r="AD30" s="161" t="e">
        <f t="shared" si="2"/>
        <v>#VALUE!</v>
      </c>
      <c r="AE30" s="446" t="e">
        <f t="shared" si="3"/>
        <v>#VALUE!</v>
      </c>
      <c r="AF30" s="160" t="e">
        <f t="shared" si="4"/>
        <v>#N/A</v>
      </c>
      <c r="AG30" s="160" t="e">
        <f t="shared" si="5"/>
        <v>#N/A</v>
      </c>
      <c r="AH30" s="159">
        <f t="shared" si="6"/>
        <v>44546.597222222219</v>
      </c>
      <c r="AI30" s="162" t="e">
        <f t="shared" si="7"/>
        <v>#VALUE!</v>
      </c>
      <c r="AJ30" s="224" t="e">
        <f t="shared" si="8"/>
        <v>#VALUE!</v>
      </c>
      <c r="AK30" s="225" t="e">
        <f t="shared" si="9"/>
        <v>#N/A</v>
      </c>
      <c r="AL30" s="170">
        <f t="shared" si="10"/>
        <v>36</v>
      </c>
      <c r="AM30" s="170" t="e">
        <f t="shared" si="11"/>
        <v>#N/A</v>
      </c>
      <c r="AN30" s="170" t="e">
        <f t="shared" si="12"/>
        <v>#N/A</v>
      </c>
      <c r="AO30" s="226" t="e">
        <f t="shared" si="13"/>
        <v>#N/A</v>
      </c>
      <c r="AP30" s="227">
        <v>60</v>
      </c>
      <c r="AQ30" s="228">
        <f t="shared" si="14"/>
        <v>57</v>
      </c>
      <c r="AR30" s="228">
        <f t="shared" si="15"/>
        <v>52</v>
      </c>
      <c r="AS30" s="229" t="e">
        <f t="shared" si="16"/>
        <v>#VALUE!</v>
      </c>
      <c r="AT30" s="982" t="str">
        <f t="shared" ca="1" si="17"/>
        <v/>
      </c>
      <c r="AU30" s="50"/>
      <c r="AV30" s="118"/>
      <c r="AW30" s="49"/>
      <c r="AX30" s="49"/>
      <c r="AY30" s="49"/>
      <c r="AZ30" s="300"/>
      <c r="BA30" s="119"/>
      <c r="BB30" s="306"/>
      <c r="BC30" s="231" t="s">
        <v>535</v>
      </c>
      <c r="BD30" s="232" t="s">
        <v>536</v>
      </c>
      <c r="BE30" s="222" t="e">
        <f t="shared" si="18"/>
        <v>#VALUE!</v>
      </c>
      <c r="BF30" s="233" t="e">
        <f t="shared" si="19"/>
        <v>#VALUE!</v>
      </c>
      <c r="BG30" s="234"/>
      <c r="BH30" s="235"/>
      <c r="BI30" s="234"/>
      <c r="BJ30" s="236"/>
      <c r="BK30" s="222"/>
      <c r="BL30" s="222"/>
      <c r="BM30" s="238"/>
      <c r="BN30" s="222"/>
      <c r="BO30" s="222"/>
      <c r="BP30" s="243"/>
      <c r="BQ30" s="244" t="s">
        <v>247</v>
      </c>
      <c r="BR30" s="238"/>
      <c r="BS30" s="67"/>
      <c r="BT30" s="66"/>
      <c r="BU30" s="66"/>
      <c r="BV30" s="66"/>
      <c r="BW30" s="74"/>
      <c r="BX30" s="81"/>
      <c r="BY30" s="66"/>
      <c r="BZ30" s="944" t="s">
        <v>537</v>
      </c>
      <c r="CA30" s="42" t="str">
        <f t="shared" si="20"/>
        <v>0</v>
      </c>
      <c r="CB30" s="62" t="e">
        <f t="shared" si="21"/>
        <v>#VALUE!</v>
      </c>
      <c r="CC30" s="42">
        <f t="shared" si="22"/>
        <v>0</v>
      </c>
      <c r="CD30" s="62" t="e">
        <f t="shared" si="23"/>
        <v>#VALUE!</v>
      </c>
      <c r="CE30" s="62" t="e">
        <f t="shared" si="24"/>
        <v>#VALUE!</v>
      </c>
      <c r="CF30" s="145" t="e">
        <f t="shared" si="25"/>
        <v>#VALUE!</v>
      </c>
      <c r="CG30" s="145"/>
      <c r="CH30" s="443" t="e">
        <f t="shared" si="26"/>
        <v>#N/A</v>
      </c>
      <c r="CI30" s="996" t="e">
        <f t="shared" si="27"/>
        <v>#N/A</v>
      </c>
      <c r="CJ30" s="261" t="e">
        <f t="shared" si="28"/>
        <v>#VALUE!</v>
      </c>
      <c r="CK30" s="458" t="str">
        <f t="shared" si="29"/>
        <v/>
      </c>
      <c r="CL30" t="str">
        <f t="shared" si="30"/>
        <v>NON-REV</v>
      </c>
      <c r="CM30" t="str">
        <f t="shared" si="31"/>
        <v/>
      </c>
      <c r="CN30" s="635"/>
      <c r="CO30" s="631"/>
      <c r="CP30" s="629" t="str">
        <f t="shared" si="32"/>
        <v>FOR ISSUANCE</v>
      </c>
      <c r="CQ30" s="635"/>
      <c r="CR30" s="697"/>
      <c r="CS30" s="633" t="str">
        <f t="shared" ca="1" si="33"/>
        <v>0</v>
      </c>
      <c r="CT30" s="635"/>
      <c r="CU30" s="631"/>
      <c r="CV30" s="638"/>
      <c r="CW30" s="156" t="s">
        <v>538</v>
      </c>
      <c r="CX30" s="156" t="str">
        <f>VLOOKUP(E30,'[1]List of Work Orders'!$A:$I,9,FALSE)</f>
        <v>ME166067</v>
      </c>
      <c r="CY30" s="156"/>
      <c r="DC30" t="str">
        <f>VLOOKUP(E30,'[2]List of Work Orders'!$A:$F,6,FALSE)</f>
        <v>SCHED</v>
      </c>
      <c r="DS30" s="156" t="s">
        <v>403</v>
      </c>
    </row>
    <row r="31" spans="1:123" customFormat="1" ht="15" customHeight="1" x14ac:dyDescent="0.25">
      <c r="A31" s="242">
        <v>44532</v>
      </c>
      <c r="B31" s="222">
        <v>44518</v>
      </c>
      <c r="C31" s="223"/>
      <c r="D31" s="66" t="s">
        <v>284</v>
      </c>
      <c r="E31" s="404" t="s">
        <v>539</v>
      </c>
      <c r="F31" s="95" t="s">
        <v>540</v>
      </c>
      <c r="G31" s="95" t="s">
        <v>541</v>
      </c>
      <c r="H31" s="95" t="s">
        <v>238</v>
      </c>
      <c r="I31" s="95" t="s">
        <v>239</v>
      </c>
      <c r="J31" s="95"/>
      <c r="K31" s="101" t="s">
        <v>299</v>
      </c>
      <c r="L31" s="101" t="s">
        <v>5</v>
      </c>
      <c r="M31" s="345" t="s">
        <v>331</v>
      </c>
      <c r="N31" s="442" t="s">
        <v>403</v>
      </c>
      <c r="O31" s="146">
        <v>97.325899999999976</v>
      </c>
      <c r="P31" s="165">
        <v>256.04000000000002</v>
      </c>
      <c r="Q31" s="157">
        <v>0</v>
      </c>
      <c r="R31" s="109" t="s">
        <v>327</v>
      </c>
      <c r="S31" s="110">
        <v>541158.15</v>
      </c>
      <c r="T31" s="93">
        <v>110955.08</v>
      </c>
      <c r="U31" s="141"/>
      <c r="V31" s="158">
        <f t="shared" si="0"/>
        <v>0</v>
      </c>
      <c r="W31" s="159">
        <v>44512.695833333331</v>
      </c>
      <c r="X31" s="159">
        <v>44518.52847222222</v>
      </c>
      <c r="Y31" s="160">
        <v>44518</v>
      </c>
      <c r="Z31" s="470"/>
      <c r="AA31" s="470"/>
      <c r="AB31" s="470"/>
      <c r="AC31" s="161">
        <f t="shared" si="1"/>
        <v>-44512.695833333331</v>
      </c>
      <c r="AD31" s="161">
        <f t="shared" si="2"/>
        <v>-44518.52847222222</v>
      </c>
      <c r="AE31" s="446">
        <f t="shared" si="3"/>
        <v>0</v>
      </c>
      <c r="AF31" s="160">
        <f t="shared" si="4"/>
        <v>44534.564254385965</v>
      </c>
      <c r="AG31" s="160">
        <f t="shared" si="5"/>
        <v>44544.195833333331</v>
      </c>
      <c r="AH31" s="159">
        <f t="shared" si="6"/>
        <v>44562.695833333331</v>
      </c>
      <c r="AI31" s="162">
        <f t="shared" si="7"/>
        <v>-1342.4463822751322</v>
      </c>
      <c r="AJ31" s="224">
        <f t="shared" si="8"/>
        <v>0</v>
      </c>
      <c r="AK31" s="225">
        <f t="shared" si="9"/>
        <v>28</v>
      </c>
      <c r="AL31" s="170">
        <f t="shared" si="10"/>
        <v>36</v>
      </c>
      <c r="AM31" s="170">
        <f t="shared" si="11"/>
        <v>24.868421052631579</v>
      </c>
      <c r="AN31" s="170">
        <f t="shared" si="12"/>
        <v>31.499999999999996</v>
      </c>
      <c r="AO31" s="226">
        <f t="shared" si="13"/>
        <v>21.868421052631579</v>
      </c>
      <c r="AP31" s="227">
        <v>60</v>
      </c>
      <c r="AQ31" s="228">
        <f t="shared" si="14"/>
        <v>57</v>
      </c>
      <c r="AR31" s="228">
        <f t="shared" si="15"/>
        <v>52</v>
      </c>
      <c r="AS31" s="229">
        <f t="shared" si="16"/>
        <v>60</v>
      </c>
      <c r="AT31" s="982">
        <f t="shared" ca="1" si="17"/>
        <v>45895</v>
      </c>
      <c r="AU31" s="50"/>
      <c r="AV31" s="118"/>
      <c r="AW31" s="49"/>
      <c r="AX31" s="49"/>
      <c r="AY31" s="49"/>
      <c r="AZ31" s="300"/>
      <c r="BA31" s="119"/>
      <c r="BB31" s="306"/>
      <c r="BC31" s="231"/>
      <c r="BD31" s="232"/>
      <c r="BE31" s="222">
        <f t="shared" si="18"/>
        <v>15</v>
      </c>
      <c r="BF31" s="233">
        <f t="shared" si="19"/>
        <v>0</v>
      </c>
      <c r="BG31" s="234"/>
      <c r="BH31" s="235"/>
      <c r="BI31" s="234"/>
      <c r="BJ31" s="236"/>
      <c r="BK31" s="222"/>
      <c r="BL31" s="222"/>
      <c r="BM31" s="238"/>
      <c r="BN31" s="222"/>
      <c r="BO31" s="222"/>
      <c r="BP31" s="243"/>
      <c r="BQ31" s="244" t="s">
        <v>247</v>
      </c>
      <c r="BR31" s="238"/>
      <c r="BS31" s="67"/>
      <c r="BT31" s="66"/>
      <c r="BU31" s="66"/>
      <c r="BV31" s="66"/>
      <c r="BW31" s="74"/>
      <c r="BX31" s="81"/>
      <c r="BY31" s="78"/>
      <c r="BZ31" s="944" t="s">
        <v>542</v>
      </c>
      <c r="CA31" s="42" t="str">
        <f t="shared" si="20"/>
        <v>0</v>
      </c>
      <c r="CB31" s="62">
        <f t="shared" si="21"/>
        <v>-44512.695833333331</v>
      </c>
      <c r="CC31" s="42">
        <f t="shared" si="22"/>
        <v>0</v>
      </c>
      <c r="CD31" s="62">
        <f t="shared" si="23"/>
        <v>-44512.695833333331</v>
      </c>
      <c r="CE31" s="62">
        <f t="shared" si="24"/>
        <v>-1342.4463822751322</v>
      </c>
      <c r="CF31" s="145" t="str">
        <f t="shared" si="25"/>
        <v>0</v>
      </c>
      <c r="CG31" s="145"/>
      <c r="CH31" s="443">
        <f t="shared" si="26"/>
        <v>40.904411375661432</v>
      </c>
      <c r="CI31" s="996">
        <f t="shared" si="27"/>
        <v>40.904411375661432</v>
      </c>
      <c r="CJ31" s="261">
        <f t="shared" si="28"/>
        <v>0</v>
      </c>
      <c r="CK31" s="458">
        <f t="shared" si="29"/>
        <v>1343.3041666666686</v>
      </c>
      <c r="CL31" t="str">
        <f t="shared" si="30"/>
        <v>NON-REV</v>
      </c>
      <c r="CM31" t="str">
        <f t="shared" si="31"/>
        <v>10 MONTHS AND ABOVE</v>
      </c>
      <c r="CN31" s="635"/>
      <c r="CO31" s="631"/>
      <c r="CP31" s="629" t="str">
        <f t="shared" si="32"/>
        <v>FOR ISSUANCE</v>
      </c>
      <c r="CQ31" s="635"/>
      <c r="CR31" s="697"/>
      <c r="CS31" s="633" t="str">
        <f t="shared" ca="1" si="33"/>
        <v>0</v>
      </c>
      <c r="CT31" s="635"/>
      <c r="CU31" s="631"/>
      <c r="CV31" s="638"/>
      <c r="CW31" s="156" t="s">
        <v>543</v>
      </c>
      <c r="CX31" s="156" t="str">
        <f>VLOOKUP(E31,'[1]List of Work Orders'!$A:$I,9,FALSE)</f>
        <v>ME166067</v>
      </c>
      <c r="CY31" s="156"/>
      <c r="DC31" t="str">
        <f>VLOOKUP(E31,'[2]List of Work Orders'!$A:$F,6,FALSE)</f>
        <v>SCHED</v>
      </c>
      <c r="DS31" s="156" t="s">
        <v>403</v>
      </c>
    </row>
    <row r="32" spans="1:123" customFormat="1" ht="15" customHeight="1" x14ac:dyDescent="0.25">
      <c r="A32" s="242">
        <v>44551</v>
      </c>
      <c r="B32" s="246">
        <v>44524</v>
      </c>
      <c r="C32" s="223"/>
      <c r="D32" s="66" t="s">
        <v>320</v>
      </c>
      <c r="E32" s="404" t="s">
        <v>544</v>
      </c>
      <c r="F32" s="95" t="s">
        <v>545</v>
      </c>
      <c r="G32" s="95" t="s">
        <v>546</v>
      </c>
      <c r="H32" s="95" t="s">
        <v>238</v>
      </c>
      <c r="I32" s="95" t="s">
        <v>239</v>
      </c>
      <c r="J32" s="95" t="s">
        <v>547</v>
      </c>
      <c r="K32" s="101" t="s">
        <v>299</v>
      </c>
      <c r="L32" s="101" t="s">
        <v>288</v>
      </c>
      <c r="M32" s="345" t="s">
        <v>438</v>
      </c>
      <c r="N32" s="442" t="s">
        <v>381</v>
      </c>
      <c r="O32" s="146">
        <v>26.167999999999996</v>
      </c>
      <c r="P32" s="165" t="e">
        <v>#N/A</v>
      </c>
      <c r="Q32" s="157">
        <v>44</v>
      </c>
      <c r="R32" s="109" t="s">
        <v>548</v>
      </c>
      <c r="S32" s="110">
        <v>201770.89</v>
      </c>
      <c r="T32" s="93">
        <v>30870.26</v>
      </c>
      <c r="U32" s="141"/>
      <c r="V32" s="158">
        <f t="shared" si="0"/>
        <v>0</v>
      </c>
      <c r="W32" s="159">
        <v>44518.701388888891</v>
      </c>
      <c r="X32" s="159">
        <v>44524</v>
      </c>
      <c r="Y32" s="160">
        <v>44524</v>
      </c>
      <c r="Z32" s="470"/>
      <c r="AA32" s="470"/>
      <c r="AB32" s="470"/>
      <c r="AC32" s="161">
        <f t="shared" si="1"/>
        <v>-44518.701388888891</v>
      </c>
      <c r="AD32" s="161">
        <f t="shared" si="2"/>
        <v>-44524</v>
      </c>
      <c r="AE32" s="446">
        <f t="shared" si="3"/>
        <v>0</v>
      </c>
      <c r="AF32" s="160" t="e">
        <f t="shared" si="4"/>
        <v>#N/A</v>
      </c>
      <c r="AG32" s="160" t="e">
        <f t="shared" si="5"/>
        <v>#N/A</v>
      </c>
      <c r="AH32" s="159">
        <f t="shared" si="6"/>
        <v>44568.701388888891</v>
      </c>
      <c r="AI32" s="162" t="e">
        <f t="shared" si="7"/>
        <v>#N/A</v>
      </c>
      <c r="AJ32" s="224">
        <f t="shared" si="8"/>
        <v>0</v>
      </c>
      <c r="AK32" s="225" t="e">
        <f t="shared" si="9"/>
        <v>#N/A</v>
      </c>
      <c r="AL32" s="170">
        <f t="shared" si="10"/>
        <v>36</v>
      </c>
      <c r="AM32" s="170" t="e">
        <f t="shared" si="11"/>
        <v>#N/A</v>
      </c>
      <c r="AN32" s="170" t="e">
        <f t="shared" si="12"/>
        <v>#N/A</v>
      </c>
      <c r="AO32" s="226" t="e">
        <f t="shared" si="13"/>
        <v>#N/A</v>
      </c>
      <c r="AP32" s="227">
        <v>60</v>
      </c>
      <c r="AQ32" s="228">
        <f t="shared" si="14"/>
        <v>57</v>
      </c>
      <c r="AR32" s="228">
        <f t="shared" si="15"/>
        <v>52</v>
      </c>
      <c r="AS32" s="229">
        <f t="shared" si="16"/>
        <v>60</v>
      </c>
      <c r="AT32" s="982">
        <f t="shared" ca="1" si="17"/>
        <v>45895</v>
      </c>
      <c r="AU32" s="50"/>
      <c r="AV32" s="118"/>
      <c r="AW32" s="49"/>
      <c r="AX32" s="49"/>
      <c r="AY32" s="49"/>
      <c r="AZ32" s="300"/>
      <c r="BA32" s="119"/>
      <c r="BB32" s="306"/>
      <c r="BC32" s="231"/>
      <c r="BD32" s="232"/>
      <c r="BE32" s="222">
        <f t="shared" si="18"/>
        <v>15</v>
      </c>
      <c r="BF32" s="233">
        <f t="shared" si="19"/>
        <v>0</v>
      </c>
      <c r="BG32" s="234"/>
      <c r="BH32" s="235"/>
      <c r="BI32" s="234"/>
      <c r="BJ32" s="236"/>
      <c r="BK32" s="222"/>
      <c r="BL32" s="222"/>
      <c r="BM32" s="238"/>
      <c r="BN32" s="222"/>
      <c r="BO32" s="222"/>
      <c r="BP32" s="243"/>
      <c r="BQ32" s="244" t="s">
        <v>247</v>
      </c>
      <c r="BR32" s="238"/>
      <c r="BS32" s="67"/>
      <c r="BT32" s="66"/>
      <c r="BU32" s="66"/>
      <c r="BV32" s="66"/>
      <c r="BW32" s="74"/>
      <c r="BX32" s="81"/>
      <c r="BY32" s="78"/>
      <c r="BZ32" s="944" t="s">
        <v>549</v>
      </c>
      <c r="CA32" s="42" t="str">
        <f t="shared" si="20"/>
        <v>0</v>
      </c>
      <c r="CB32" s="62">
        <f t="shared" si="21"/>
        <v>-44518.701388888891</v>
      </c>
      <c r="CC32" s="42">
        <f t="shared" si="22"/>
        <v>0</v>
      </c>
      <c r="CD32" s="62">
        <f t="shared" si="23"/>
        <v>-44518.701388888891</v>
      </c>
      <c r="CE32" s="62" t="e">
        <f t="shared" si="24"/>
        <v>#N/A</v>
      </c>
      <c r="CF32" s="145" t="str">
        <f t="shared" si="25"/>
        <v>0</v>
      </c>
      <c r="CG32" s="145"/>
      <c r="CH32" s="443" t="e">
        <f t="shared" si="26"/>
        <v>#N/A</v>
      </c>
      <c r="CI32" s="996" t="e">
        <f t="shared" si="27"/>
        <v>#N/A</v>
      </c>
      <c r="CJ32" s="261">
        <f t="shared" si="28"/>
        <v>0</v>
      </c>
      <c r="CK32" s="458">
        <f t="shared" si="29"/>
        <v>1337.2986111111095</v>
      </c>
      <c r="CL32" t="str">
        <f t="shared" si="30"/>
        <v>NON-REV</v>
      </c>
      <c r="CM32" t="str">
        <f t="shared" si="31"/>
        <v>10 MONTHS AND ABOVE</v>
      </c>
      <c r="CN32" s="635"/>
      <c r="CO32" s="631"/>
      <c r="CP32" s="629" t="str">
        <f t="shared" si="32"/>
        <v>FOR ISSUANCE</v>
      </c>
      <c r="CQ32" s="635"/>
      <c r="CR32" s="697"/>
      <c r="CS32" s="633" t="str">
        <f t="shared" ca="1" si="33"/>
        <v>0</v>
      </c>
      <c r="CT32" s="635"/>
      <c r="CU32" s="631"/>
      <c r="CV32" s="638"/>
      <c r="CW32" s="156" t="s">
        <v>550</v>
      </c>
      <c r="CX32" s="156" t="str">
        <f>VLOOKUP(E32,'[1]List of Work Orders'!$A:$I,9,FALSE)</f>
        <v>ME185284</v>
      </c>
      <c r="CY32" s="156"/>
      <c r="DC32" t="str">
        <f>VLOOKUP(E32,'[2]List of Work Orders'!$A:$F,6,FALSE)</f>
        <v>PCAN3</v>
      </c>
      <c r="DS32" s="156" t="s">
        <v>381</v>
      </c>
    </row>
    <row r="33" spans="1:123" customFormat="1" ht="15" customHeight="1" x14ac:dyDescent="0.25">
      <c r="A33" s="242">
        <v>44532</v>
      </c>
      <c r="B33" s="222">
        <v>44532</v>
      </c>
      <c r="C33" s="241"/>
      <c r="D33" s="66" t="s">
        <v>320</v>
      </c>
      <c r="E33" s="404" t="s">
        <v>551</v>
      </c>
      <c r="F33" s="95" t="s">
        <v>552</v>
      </c>
      <c r="G33" s="95" t="s">
        <v>553</v>
      </c>
      <c r="H33" s="95" t="s">
        <v>318</v>
      </c>
      <c r="I33" s="95" t="s">
        <v>239</v>
      </c>
      <c r="J33" s="95" t="s">
        <v>554</v>
      </c>
      <c r="K33" s="101" t="s">
        <v>299</v>
      </c>
      <c r="L33" s="101" t="s">
        <v>242</v>
      </c>
      <c r="M33" s="345" t="s">
        <v>555</v>
      </c>
      <c r="N33" s="442" t="s">
        <v>467</v>
      </c>
      <c r="O33" s="146">
        <v>169.18339999999995</v>
      </c>
      <c r="P33" s="165" t="e">
        <v>#N/A</v>
      </c>
      <c r="Q33" s="157">
        <v>14</v>
      </c>
      <c r="R33" s="108" t="s">
        <v>548</v>
      </c>
      <c r="S33" s="110">
        <v>814987.11</v>
      </c>
      <c r="T33" s="93">
        <v>132587.32999999999</v>
      </c>
      <c r="U33" s="141"/>
      <c r="V33" s="158">
        <f t="shared" si="0"/>
        <v>0</v>
      </c>
      <c r="W33" s="159">
        <v>44524.494444444441</v>
      </c>
      <c r="X33" s="159">
        <v>44529.524305555555</v>
      </c>
      <c r="Y33" s="160">
        <v>44531</v>
      </c>
      <c r="Z33" s="470"/>
      <c r="AA33" s="470"/>
      <c r="AB33" s="470"/>
      <c r="AC33" s="161">
        <f t="shared" si="1"/>
        <v>-44524.494444444441</v>
      </c>
      <c r="AD33" s="161">
        <f t="shared" si="2"/>
        <v>-44529.524305555555</v>
      </c>
      <c r="AE33" s="446">
        <f t="shared" si="3"/>
        <v>0</v>
      </c>
      <c r="AF33" s="160" t="e">
        <f t="shared" si="4"/>
        <v>#N/A</v>
      </c>
      <c r="AG33" s="160" t="e">
        <f t="shared" si="5"/>
        <v>#N/A</v>
      </c>
      <c r="AH33" s="159">
        <f t="shared" si="6"/>
        <v>44574.494444444441</v>
      </c>
      <c r="AI33" s="162" t="e">
        <f t="shared" si="7"/>
        <v>#N/A</v>
      </c>
      <c r="AJ33" s="224">
        <f t="shared" si="8"/>
        <v>0</v>
      </c>
      <c r="AK33" s="225" t="e">
        <f t="shared" si="9"/>
        <v>#N/A</v>
      </c>
      <c r="AL33" s="170">
        <f t="shared" si="10"/>
        <v>36</v>
      </c>
      <c r="AM33" s="170" t="e">
        <f t="shared" si="11"/>
        <v>#N/A</v>
      </c>
      <c r="AN33" s="170" t="e">
        <f t="shared" si="12"/>
        <v>#N/A</v>
      </c>
      <c r="AO33" s="226" t="e">
        <f t="shared" si="13"/>
        <v>#N/A</v>
      </c>
      <c r="AP33" s="227">
        <v>60</v>
      </c>
      <c r="AQ33" s="228">
        <f t="shared" si="14"/>
        <v>57</v>
      </c>
      <c r="AR33" s="228">
        <f t="shared" si="15"/>
        <v>52</v>
      </c>
      <c r="AS33" s="229">
        <f t="shared" si="16"/>
        <v>60</v>
      </c>
      <c r="AT33" s="982">
        <f t="shared" ca="1" si="17"/>
        <v>45895</v>
      </c>
      <c r="AU33" s="50"/>
      <c r="AV33" s="118"/>
      <c r="AW33" s="49"/>
      <c r="AX33" s="49"/>
      <c r="AY33" s="49"/>
      <c r="AZ33" s="300"/>
      <c r="BA33" s="119"/>
      <c r="BB33" s="306"/>
      <c r="BC33" s="231" t="s">
        <v>264</v>
      </c>
      <c r="BD33" s="232"/>
      <c r="BE33" s="222">
        <f t="shared" si="18"/>
        <v>15</v>
      </c>
      <c r="BF33" s="233">
        <f t="shared" si="19"/>
        <v>0</v>
      </c>
      <c r="BG33" s="234"/>
      <c r="BH33" s="235"/>
      <c r="BI33" s="234"/>
      <c r="BJ33" s="236"/>
      <c r="BK33" s="222"/>
      <c r="BL33" s="222"/>
      <c r="BM33" s="238"/>
      <c r="BN33" s="222"/>
      <c r="BO33" s="222"/>
      <c r="BP33" s="243"/>
      <c r="BQ33" s="244" t="s">
        <v>247</v>
      </c>
      <c r="BR33" s="238"/>
      <c r="BS33" s="67"/>
      <c r="BT33" s="66"/>
      <c r="BU33" s="66"/>
      <c r="BV33" s="66"/>
      <c r="BW33" s="74"/>
      <c r="BX33" s="81"/>
      <c r="BY33" s="78"/>
      <c r="BZ33" s="944" t="s">
        <v>556</v>
      </c>
      <c r="CA33" s="42" t="str">
        <f t="shared" si="20"/>
        <v>0</v>
      </c>
      <c r="CB33" s="62">
        <f t="shared" si="21"/>
        <v>-44524.494444444441</v>
      </c>
      <c r="CC33" s="42">
        <f t="shared" si="22"/>
        <v>0</v>
      </c>
      <c r="CD33" s="62">
        <f t="shared" si="23"/>
        <v>-44524.494444444441</v>
      </c>
      <c r="CE33" s="62" t="e">
        <f t="shared" si="24"/>
        <v>#N/A</v>
      </c>
      <c r="CF33" s="145" t="str">
        <f t="shared" si="25"/>
        <v>0</v>
      </c>
      <c r="CG33" s="145"/>
      <c r="CH33" s="443" t="e">
        <f t="shared" si="26"/>
        <v>#N/A</v>
      </c>
      <c r="CI33" s="996" t="e">
        <f t="shared" si="27"/>
        <v>#N/A</v>
      </c>
      <c r="CJ33" s="261">
        <f t="shared" si="28"/>
        <v>0</v>
      </c>
      <c r="CK33" s="458">
        <f t="shared" si="29"/>
        <v>1331.5055555555591</v>
      </c>
      <c r="CL33" t="str">
        <f t="shared" si="30"/>
        <v>NON-REV</v>
      </c>
      <c r="CM33" t="str">
        <f t="shared" si="31"/>
        <v>10 MONTHS AND ABOVE</v>
      </c>
      <c r="CN33" s="635">
        <v>45839</v>
      </c>
      <c r="CO33" s="631">
        <v>18334.939999999999</v>
      </c>
      <c r="CP33" s="629" t="str">
        <f t="shared" si="32"/>
        <v>NTC ISSUED</v>
      </c>
      <c r="CQ33" s="635">
        <v>45841</v>
      </c>
      <c r="CR33" s="697"/>
      <c r="CS33" s="633">
        <f t="shared" ca="1" si="33"/>
        <v>54</v>
      </c>
      <c r="CT33" s="635"/>
      <c r="CU33" s="631"/>
      <c r="CV33" s="638"/>
      <c r="CW33" s="156" t="s">
        <v>557</v>
      </c>
      <c r="CX33" s="156" t="str">
        <f>VLOOKUP(E33,'[1]List of Work Orders'!$A:$I,9,FALSE)</f>
        <v>ME155242</v>
      </c>
      <c r="CY33" s="156"/>
      <c r="CZ33" s="63"/>
      <c r="DC33" t="str">
        <f>VLOOKUP(E33,'[2]List of Work Orders'!$A:$F,6,FALSE)</f>
        <v>PCAN</v>
      </c>
      <c r="DS33" s="156" t="s">
        <v>397</v>
      </c>
    </row>
    <row r="34" spans="1:123" customFormat="1" ht="15" customHeight="1" x14ac:dyDescent="0.25">
      <c r="A34" s="242">
        <v>44544</v>
      </c>
      <c r="B34" s="222">
        <v>44534</v>
      </c>
      <c r="C34" s="223"/>
      <c r="D34" s="66" t="s">
        <v>320</v>
      </c>
      <c r="E34" s="407" t="s">
        <v>558</v>
      </c>
      <c r="F34" s="95" t="s">
        <v>559</v>
      </c>
      <c r="G34" s="95" t="s">
        <v>560</v>
      </c>
      <c r="H34" s="95" t="s">
        <v>253</v>
      </c>
      <c r="I34" s="95" t="s">
        <v>254</v>
      </c>
      <c r="J34" s="95" t="s">
        <v>561</v>
      </c>
      <c r="K34" s="101" t="s">
        <v>299</v>
      </c>
      <c r="L34" s="101" t="s">
        <v>254</v>
      </c>
      <c r="M34" s="345" t="s">
        <v>331</v>
      </c>
      <c r="N34" s="442" t="s">
        <v>562</v>
      </c>
      <c r="O34" s="146">
        <v>261.88480000000004</v>
      </c>
      <c r="P34" s="165">
        <v>708.58</v>
      </c>
      <c r="Q34" s="157">
        <v>0</v>
      </c>
      <c r="R34" s="109" t="s">
        <v>327</v>
      </c>
      <c r="S34" s="110">
        <v>1370048.35</v>
      </c>
      <c r="T34" s="93">
        <v>323549.71999999997</v>
      </c>
      <c r="U34" s="141"/>
      <c r="V34" s="158">
        <f t="shared" si="0"/>
        <v>0</v>
      </c>
      <c r="W34" s="159">
        <v>44531.654861111114</v>
      </c>
      <c r="X34" s="159">
        <v>44533</v>
      </c>
      <c r="Y34" s="160">
        <v>44533</v>
      </c>
      <c r="Z34" s="470"/>
      <c r="AA34" s="470"/>
      <c r="AB34" s="470"/>
      <c r="AC34" s="161">
        <f t="shared" si="1"/>
        <v>-44531.654861111114</v>
      </c>
      <c r="AD34" s="161">
        <f t="shared" si="2"/>
        <v>-44533</v>
      </c>
      <c r="AE34" s="446">
        <f t="shared" si="3"/>
        <v>0</v>
      </c>
      <c r="AF34" s="160">
        <f t="shared" si="4"/>
        <v>44556.489912657504</v>
      </c>
      <c r="AG34" s="160">
        <f t="shared" si="5"/>
        <v>44566.912593069879</v>
      </c>
      <c r="AH34" s="159">
        <f t="shared" si="6"/>
        <v>44581.654861111114</v>
      </c>
      <c r="AI34" s="162">
        <f t="shared" si="7"/>
        <v>-1199.8807004243827</v>
      </c>
      <c r="AJ34" s="224">
        <f t="shared" si="8"/>
        <v>0</v>
      </c>
      <c r="AK34" s="225">
        <f t="shared" si="9"/>
        <v>40</v>
      </c>
      <c r="AL34" s="170">
        <f t="shared" si="10"/>
        <v>36</v>
      </c>
      <c r="AM34" s="170">
        <f t="shared" si="11"/>
        <v>27.835051546391753</v>
      </c>
      <c r="AN34" s="170">
        <f t="shared" si="12"/>
        <v>35.257731958762882</v>
      </c>
      <c r="AO34" s="226">
        <f t="shared" si="13"/>
        <v>24.835051546391753</v>
      </c>
      <c r="AP34" s="227">
        <v>60</v>
      </c>
      <c r="AQ34" s="228">
        <f t="shared" si="14"/>
        <v>57</v>
      </c>
      <c r="AR34" s="228">
        <f t="shared" si="15"/>
        <v>52</v>
      </c>
      <c r="AS34" s="229">
        <f t="shared" si="16"/>
        <v>60</v>
      </c>
      <c r="AT34" s="982">
        <f t="shared" ca="1" si="17"/>
        <v>45895</v>
      </c>
      <c r="AU34" s="50"/>
      <c r="AV34" s="118"/>
      <c r="AW34" s="49"/>
      <c r="AX34" s="49"/>
      <c r="AY34" s="49"/>
      <c r="AZ34" s="300"/>
      <c r="BA34" s="119"/>
      <c r="BB34" s="306"/>
      <c r="BC34" s="231"/>
      <c r="BD34" s="232"/>
      <c r="BE34" s="222">
        <f t="shared" si="18"/>
        <v>15</v>
      </c>
      <c r="BF34" s="233">
        <f t="shared" si="19"/>
        <v>0</v>
      </c>
      <c r="BG34" s="234"/>
      <c r="BH34" s="235"/>
      <c r="BI34" s="234"/>
      <c r="BJ34" s="236"/>
      <c r="BK34" s="222"/>
      <c r="BL34" s="222"/>
      <c r="BM34" s="238"/>
      <c r="BN34" s="222"/>
      <c r="BO34" s="222"/>
      <c r="BP34" s="243"/>
      <c r="BQ34" s="244" t="s">
        <v>246</v>
      </c>
      <c r="BR34" s="238"/>
      <c r="BS34" s="67"/>
      <c r="BT34" s="66"/>
      <c r="BU34" s="66"/>
      <c r="BV34" s="66"/>
      <c r="BW34" s="74"/>
      <c r="BX34" s="81"/>
      <c r="BY34" s="78"/>
      <c r="BZ34" s="944" t="s">
        <v>563</v>
      </c>
      <c r="CA34" s="42" t="str">
        <f t="shared" si="20"/>
        <v>0</v>
      </c>
      <c r="CB34" s="62">
        <f t="shared" si="21"/>
        <v>-44531.654861111114</v>
      </c>
      <c r="CC34" s="42">
        <f t="shared" si="22"/>
        <v>0</v>
      </c>
      <c r="CD34" s="62">
        <f t="shared" si="23"/>
        <v>-44531.654861111114</v>
      </c>
      <c r="CE34" s="62">
        <f t="shared" si="24"/>
        <v>-1199.8807004243827</v>
      </c>
      <c r="CF34" s="145" t="str">
        <f t="shared" si="25"/>
        <v>0</v>
      </c>
      <c r="CG34" s="145"/>
      <c r="CH34" s="443">
        <f t="shared" si="26"/>
        <v>36.034021797839429</v>
      </c>
      <c r="CI34" s="996">
        <f t="shared" si="27"/>
        <v>36.034021797839429</v>
      </c>
      <c r="CJ34" s="261">
        <f t="shared" si="28"/>
        <v>0</v>
      </c>
      <c r="CK34" s="458">
        <f t="shared" si="29"/>
        <v>1324.3451388888861</v>
      </c>
      <c r="CL34" t="str">
        <f t="shared" si="30"/>
        <v>NON-REV</v>
      </c>
      <c r="CM34" t="str">
        <f t="shared" si="31"/>
        <v>10 MONTHS AND ABOVE</v>
      </c>
      <c r="CN34" s="635"/>
      <c r="CO34" s="631"/>
      <c r="CP34" s="629" t="str">
        <f t="shared" si="32"/>
        <v>FOR ISSUANCE</v>
      </c>
      <c r="CQ34" s="635"/>
      <c r="CR34" s="697"/>
      <c r="CS34" s="633" t="str">
        <f t="shared" ca="1" si="33"/>
        <v>0</v>
      </c>
      <c r="CT34" s="635"/>
      <c r="CU34" s="631"/>
      <c r="CV34" s="638"/>
      <c r="CW34" s="156" t="s">
        <v>564</v>
      </c>
      <c r="CX34" s="156" t="str">
        <f>VLOOKUP(E34,'[1]List of Work Orders'!$A:$I,9,FALSE)</f>
        <v>ME155242</v>
      </c>
      <c r="CY34" s="156"/>
      <c r="DC34" t="str">
        <f>VLOOKUP(E34,'[2]List of Work Orders'!$A:$F,6,FALSE)</f>
        <v>SCHED</v>
      </c>
      <c r="DS34" s="156" t="s">
        <v>397</v>
      </c>
    </row>
    <row r="35" spans="1:123" customFormat="1" ht="15" customHeight="1" x14ac:dyDescent="0.25">
      <c r="A35" s="242">
        <v>44623</v>
      </c>
      <c r="B35" s="222" t="s">
        <v>470</v>
      </c>
      <c r="C35" s="223" t="s">
        <v>247</v>
      </c>
      <c r="D35" s="66" t="s">
        <v>234</v>
      </c>
      <c r="E35" s="404" t="s">
        <v>565</v>
      </c>
      <c r="F35" s="95" t="s">
        <v>329</v>
      </c>
      <c r="G35" s="95" t="s">
        <v>566</v>
      </c>
      <c r="H35" s="95" t="s">
        <v>238</v>
      </c>
      <c r="I35" s="95" t="s">
        <v>239</v>
      </c>
      <c r="J35" s="95" t="s">
        <v>567</v>
      </c>
      <c r="K35" s="101" t="s">
        <v>299</v>
      </c>
      <c r="L35" s="101" t="s">
        <v>5</v>
      </c>
      <c r="M35" s="345" t="s">
        <v>272</v>
      </c>
      <c r="N35" s="442" t="s">
        <v>403</v>
      </c>
      <c r="O35" s="146">
        <v>382.92960000000033</v>
      </c>
      <c r="P35" s="933">
        <v>638.83000000000004</v>
      </c>
      <c r="Q35" s="157">
        <v>0</v>
      </c>
      <c r="R35" s="109" t="s">
        <v>568</v>
      </c>
      <c r="S35" s="110">
        <v>1414835.62</v>
      </c>
      <c r="T35" s="93">
        <v>433240.12</v>
      </c>
      <c r="U35" s="141"/>
      <c r="V35" s="158">
        <f t="shared" si="0"/>
        <v>0</v>
      </c>
      <c r="W35" s="159">
        <v>44621.599999999999</v>
      </c>
      <c r="X35" s="159">
        <v>44623.522916666669</v>
      </c>
      <c r="Y35" s="160">
        <v>44623</v>
      </c>
      <c r="Z35" s="470"/>
      <c r="AA35" s="470">
        <v>45818</v>
      </c>
      <c r="AB35" s="470"/>
      <c r="AC35" s="161">
        <f t="shared" si="1"/>
        <v>1196.4000000000015</v>
      </c>
      <c r="AD35" s="161">
        <f t="shared" ref="AD35:AD71" si="34">AA35-X35</f>
        <v>1194.4770833333314</v>
      </c>
      <c r="AE35" s="446">
        <f t="shared" ref="AE35:AE71" si="35">AB35-AA35</f>
        <v>-45818</v>
      </c>
      <c r="AF35" s="160">
        <f t="shared" ref="AF35:AF71" si="36">W35+AO35</f>
        <v>44646.435051546388</v>
      </c>
      <c r="AG35" s="160">
        <f t="shared" ref="AG35:AG71" si="37">W35+AN35</f>
        <v>44656.857731958764</v>
      </c>
      <c r="AH35" s="159">
        <f t="shared" ref="AH35:AH71" si="38">W35+50</f>
        <v>44671.6</v>
      </c>
      <c r="AI35" s="162">
        <f t="shared" si="7"/>
        <v>32.236333333333377</v>
      </c>
      <c r="AJ35" s="224">
        <f t="shared" ref="AJ35:AJ71" si="39">AE35/AP35</f>
        <v>-763.63333333333333</v>
      </c>
      <c r="AK35" s="225">
        <f t="shared" si="9"/>
        <v>40</v>
      </c>
      <c r="AL35" s="170">
        <f t="shared" si="10"/>
        <v>36</v>
      </c>
      <c r="AM35" s="170">
        <f t="shared" si="11"/>
        <v>27.835051546391753</v>
      </c>
      <c r="AN35" s="170">
        <f t="shared" si="12"/>
        <v>35.257731958762882</v>
      </c>
      <c r="AO35" s="226">
        <f t="shared" si="13"/>
        <v>24.835051546391753</v>
      </c>
      <c r="AP35" s="227">
        <v>60</v>
      </c>
      <c r="AQ35" s="228">
        <f t="shared" si="14"/>
        <v>57</v>
      </c>
      <c r="AR35" s="228">
        <f t="shared" si="15"/>
        <v>52</v>
      </c>
      <c r="AS35" s="229">
        <f t="shared" si="16"/>
        <v>45878</v>
      </c>
      <c r="AT35" s="982">
        <f t="shared" ca="1" si="17"/>
        <v>77</v>
      </c>
      <c r="AU35" s="50"/>
      <c r="AV35" s="118"/>
      <c r="AW35" s="49"/>
      <c r="AX35" s="49"/>
      <c r="AY35" s="49"/>
      <c r="AZ35" s="300"/>
      <c r="BA35" s="119"/>
      <c r="BB35" s="306"/>
      <c r="BC35" s="231" t="s">
        <v>13</v>
      </c>
      <c r="BD35" s="232"/>
      <c r="BE35" s="222">
        <f t="shared" ref="BE35:BE66" si="40">AA35+15</f>
        <v>45833</v>
      </c>
      <c r="BF35" s="233" t="e">
        <f t="shared" ref="BF35:BF66" si="41">IF(ISBLANK(AA35),0,IF(ISBLANK(BH35),(BE35-$L$1),(BH35-BE35)))</f>
        <v>#VALUE!</v>
      </c>
      <c r="BG35" s="234"/>
      <c r="BH35" s="235"/>
      <c r="BI35" s="234"/>
      <c r="BJ35" s="236"/>
      <c r="BK35" s="222"/>
      <c r="BL35" s="222"/>
      <c r="BM35" s="238"/>
      <c r="BN35" s="222"/>
      <c r="BO35" s="222"/>
      <c r="BP35" s="243"/>
      <c r="BQ35" s="244" t="s">
        <v>247</v>
      </c>
      <c r="BR35" s="238"/>
      <c r="BS35" s="67"/>
      <c r="BT35" s="66"/>
      <c r="BU35" s="66"/>
      <c r="BV35" s="66"/>
      <c r="BW35" s="74"/>
      <c r="BX35" s="81"/>
      <c r="BY35" s="78"/>
      <c r="BZ35" s="944"/>
      <c r="CA35" s="42" t="str">
        <f t="shared" si="20"/>
        <v>0</v>
      </c>
      <c r="CB35" s="62">
        <f t="shared" si="21"/>
        <v>1196.4000000000015</v>
      </c>
      <c r="CC35" s="42">
        <f t="shared" si="22"/>
        <v>0</v>
      </c>
      <c r="CD35" s="62">
        <f t="shared" si="23"/>
        <v>1196.4000000000015</v>
      </c>
      <c r="CE35" s="62">
        <f t="shared" si="24"/>
        <v>32.236333333333377</v>
      </c>
      <c r="CF35" s="145">
        <f t="shared" si="25"/>
        <v>51</v>
      </c>
      <c r="CG35" s="145"/>
      <c r="CH35" s="443">
        <f t="shared" si="26"/>
        <v>33.610500000000037</v>
      </c>
      <c r="CI35" s="996">
        <f t="shared" si="27"/>
        <v>33.610500000000037</v>
      </c>
      <c r="CJ35" s="261">
        <f t="shared" si="28"/>
        <v>0.85</v>
      </c>
      <c r="CK35" s="458" t="str">
        <f t="shared" si="29"/>
        <v/>
      </c>
      <c r="CL35" t="str">
        <f t="shared" si="30"/>
        <v>NON-REV</v>
      </c>
      <c r="CM35" t="str">
        <f t="shared" si="31"/>
        <v/>
      </c>
      <c r="CN35" s="635"/>
      <c r="CO35" s="631"/>
      <c r="CP35" s="629" t="str">
        <f t="shared" ref="CP35:CP66" si="42">IF(CQ35,"NTC ISSUED","FOR ISSUANCE")</f>
        <v>FOR ISSUANCE</v>
      </c>
      <c r="CQ35" s="635"/>
      <c r="CR35" s="697"/>
      <c r="CS35" s="633" t="str">
        <f t="shared" ca="1" si="33"/>
        <v>0</v>
      </c>
      <c r="CT35" s="635"/>
      <c r="CU35" s="631"/>
      <c r="CV35" s="638"/>
      <c r="CW35" s="156" t="s">
        <v>569</v>
      </c>
      <c r="CX35" s="156" t="str">
        <f>VLOOKUP(E35,'[1]List of Work Orders'!$A:$I,9,FALSE)</f>
        <v>ME166067</v>
      </c>
      <c r="CY35" s="156"/>
      <c r="DC35" t="str">
        <f>VLOOKUP(E35,'[2]List of Work Orders'!$A:$F,6,FALSE)</f>
        <v>SCHED</v>
      </c>
      <c r="DS35" s="156" t="s">
        <v>403</v>
      </c>
    </row>
    <row r="36" spans="1:123" customFormat="1" ht="15" customHeight="1" x14ac:dyDescent="0.25">
      <c r="A36" s="221">
        <v>44697</v>
      </c>
      <c r="B36" s="222" t="s">
        <v>308</v>
      </c>
      <c r="C36" s="223"/>
      <c r="D36" s="66" t="s">
        <v>513</v>
      </c>
      <c r="E36" s="404" t="s">
        <v>570</v>
      </c>
      <c r="F36" s="95" t="s">
        <v>571</v>
      </c>
      <c r="G36" s="95" t="s">
        <v>572</v>
      </c>
      <c r="H36" s="95" t="s">
        <v>253</v>
      </c>
      <c r="I36" s="95" t="s">
        <v>254</v>
      </c>
      <c r="J36" s="155" t="s">
        <v>573</v>
      </c>
      <c r="K36" s="101" t="s">
        <v>271</v>
      </c>
      <c r="L36" s="101" t="s">
        <v>263</v>
      </c>
      <c r="M36" s="345" t="s">
        <v>272</v>
      </c>
      <c r="N36" s="442" t="s">
        <v>467</v>
      </c>
      <c r="O36" s="933">
        <v>635.52</v>
      </c>
      <c r="P36" s="933">
        <v>1991.66</v>
      </c>
      <c r="Q36" s="157">
        <v>0</v>
      </c>
      <c r="R36" s="109" t="s">
        <v>574</v>
      </c>
      <c r="S36" s="110">
        <v>2185454.33</v>
      </c>
      <c r="T36" s="93">
        <v>433474.43</v>
      </c>
      <c r="U36" s="141"/>
      <c r="V36" s="158">
        <f t="shared" si="0"/>
        <v>0</v>
      </c>
      <c r="W36" s="159">
        <v>44669.789583333331</v>
      </c>
      <c r="X36" s="159">
        <v>44687.572222222225</v>
      </c>
      <c r="Y36" s="160">
        <v>44686</v>
      </c>
      <c r="Z36" s="470"/>
      <c r="AA36" s="470">
        <v>45770</v>
      </c>
      <c r="AB36" s="470"/>
      <c r="AC36" s="161">
        <f t="shared" si="1"/>
        <v>1100.2104166666686</v>
      </c>
      <c r="AD36" s="161">
        <f t="shared" si="34"/>
        <v>1082.4277777777752</v>
      </c>
      <c r="AE36" s="446">
        <f t="shared" si="35"/>
        <v>-45770</v>
      </c>
      <c r="AF36" s="160">
        <f t="shared" si="36"/>
        <v>44696.265565866081</v>
      </c>
      <c r="AG36" s="160">
        <f t="shared" si="37"/>
        <v>44707.125827874814</v>
      </c>
      <c r="AH36" s="159">
        <f t="shared" si="38"/>
        <v>44719.789583333331</v>
      </c>
      <c r="AI36" s="162">
        <f t="shared" si="7"/>
        <v>27.994242824074124</v>
      </c>
      <c r="AJ36" s="224">
        <f t="shared" si="39"/>
        <v>-762.83333333333337</v>
      </c>
      <c r="AK36" s="225">
        <f t="shared" si="9"/>
        <v>50</v>
      </c>
      <c r="AL36" s="170">
        <f t="shared" si="10"/>
        <v>36</v>
      </c>
      <c r="AM36" s="170">
        <f t="shared" si="11"/>
        <v>29.475982532751093</v>
      </c>
      <c r="AN36" s="170">
        <f t="shared" si="12"/>
        <v>37.336244541484717</v>
      </c>
      <c r="AO36" s="226">
        <f t="shared" si="13"/>
        <v>26.475982532751093</v>
      </c>
      <c r="AP36" s="227">
        <v>60</v>
      </c>
      <c r="AQ36" s="228">
        <f t="shared" si="14"/>
        <v>57</v>
      </c>
      <c r="AR36" s="228">
        <f t="shared" si="15"/>
        <v>52</v>
      </c>
      <c r="AS36" s="229">
        <f t="shared" si="16"/>
        <v>45830</v>
      </c>
      <c r="AT36" s="982">
        <f t="shared" ca="1" si="17"/>
        <v>125</v>
      </c>
      <c r="AU36" s="50"/>
      <c r="AV36" s="118"/>
      <c r="AW36" s="49"/>
      <c r="AX36" s="49"/>
      <c r="AY36" s="49"/>
      <c r="AZ36" s="300"/>
      <c r="BA36" s="119"/>
      <c r="BB36" s="306"/>
      <c r="BC36" s="231" t="s">
        <v>13</v>
      </c>
      <c r="BD36" s="232"/>
      <c r="BE36" s="222">
        <f t="shared" si="40"/>
        <v>45785</v>
      </c>
      <c r="BF36" s="233" t="e">
        <f t="shared" si="41"/>
        <v>#VALUE!</v>
      </c>
      <c r="BG36" s="234"/>
      <c r="BH36" s="235"/>
      <c r="BI36" s="234"/>
      <c r="BJ36" s="236"/>
      <c r="BK36" s="237"/>
      <c r="BL36" s="222"/>
      <c r="BM36" s="238"/>
      <c r="BN36" s="222"/>
      <c r="BO36" s="222"/>
      <c r="BP36" s="239"/>
      <c r="BQ36" s="240" t="s">
        <v>246</v>
      </c>
      <c r="BR36" s="238"/>
      <c r="BS36" s="68"/>
      <c r="BT36" s="69"/>
      <c r="BU36" s="69"/>
      <c r="BV36" s="69"/>
      <c r="BW36" s="75"/>
      <c r="BX36" s="77"/>
      <c r="BY36" s="78"/>
      <c r="BZ36" s="944"/>
      <c r="CA36" s="42" t="str">
        <f t="shared" si="20"/>
        <v>0</v>
      </c>
      <c r="CB36" s="62">
        <f t="shared" si="21"/>
        <v>1100.2104166666686</v>
      </c>
      <c r="CC36" s="42">
        <f t="shared" si="22"/>
        <v>0</v>
      </c>
      <c r="CD36" s="62">
        <f t="shared" si="23"/>
        <v>1100.2104166666686</v>
      </c>
      <c r="CE36" s="62">
        <f t="shared" si="24"/>
        <v>27.994242824074124</v>
      </c>
      <c r="CF36" s="145">
        <f t="shared" si="25"/>
        <v>99</v>
      </c>
      <c r="CG36" s="145"/>
      <c r="CH36" s="443">
        <f t="shared" si="26"/>
        <v>30.513242824074119</v>
      </c>
      <c r="CI36" s="996">
        <f t="shared" si="27"/>
        <v>30.513242824074119</v>
      </c>
      <c r="CJ36" s="261">
        <f t="shared" si="28"/>
        <v>1.65</v>
      </c>
      <c r="CK36" s="458" t="str">
        <f t="shared" si="29"/>
        <v/>
      </c>
      <c r="CL36" t="str">
        <f t="shared" si="30"/>
        <v>NON-REV</v>
      </c>
      <c r="CM36" t="str">
        <f t="shared" si="31"/>
        <v/>
      </c>
      <c r="CN36" s="635"/>
      <c r="CO36" s="631"/>
      <c r="CP36" s="629" t="str">
        <f t="shared" si="42"/>
        <v>FOR ISSUANCE</v>
      </c>
      <c r="CQ36" s="635"/>
      <c r="CR36" s="697"/>
      <c r="CS36" s="633" t="str">
        <f t="shared" ca="1" si="33"/>
        <v>0</v>
      </c>
      <c r="CT36" s="635"/>
      <c r="CU36" s="631"/>
      <c r="CV36" s="638"/>
      <c r="CW36" s="156" t="s">
        <v>575</v>
      </c>
      <c r="CX36" s="156" t="str">
        <f>VLOOKUP(E36,'[1]List of Work Orders'!$A:$I,9,FALSE)</f>
        <v>ME155242</v>
      </c>
      <c r="CY36" s="156"/>
      <c r="DC36" t="str">
        <f>VLOOKUP(E36,'[2]List of Work Orders'!$A:$F,6,FALSE)</f>
        <v>FCOMP</v>
      </c>
      <c r="DS36" s="156" t="s">
        <v>397</v>
      </c>
    </row>
    <row r="37" spans="1:123" customFormat="1" ht="15" customHeight="1" x14ac:dyDescent="0.25">
      <c r="A37" s="242">
        <v>44680</v>
      </c>
      <c r="B37" s="222" t="s">
        <v>470</v>
      </c>
      <c r="C37" s="223" t="s">
        <v>247</v>
      </c>
      <c r="D37" s="66" t="s">
        <v>234</v>
      </c>
      <c r="E37" s="404" t="s">
        <v>576</v>
      </c>
      <c r="F37" s="95" t="s">
        <v>577</v>
      </c>
      <c r="G37" s="95" t="s">
        <v>473</v>
      </c>
      <c r="H37" s="95" t="s">
        <v>378</v>
      </c>
      <c r="I37" s="95" t="s">
        <v>239</v>
      </c>
      <c r="J37" s="95" t="s">
        <v>578</v>
      </c>
      <c r="K37" s="101" t="s">
        <v>271</v>
      </c>
      <c r="L37" s="101" t="s">
        <v>288</v>
      </c>
      <c r="M37" s="345" t="s">
        <v>579</v>
      </c>
      <c r="N37" s="442" t="s">
        <v>580</v>
      </c>
      <c r="O37" s="164">
        <v>102.0535</v>
      </c>
      <c r="P37" s="165" t="e">
        <v>#N/A</v>
      </c>
      <c r="Q37" s="157">
        <v>0</v>
      </c>
      <c r="R37" s="109" t="s">
        <v>327</v>
      </c>
      <c r="S37" s="110">
        <v>160444.01999999999</v>
      </c>
      <c r="T37" s="93">
        <v>92012.91</v>
      </c>
      <c r="U37" s="141">
        <v>83552.45</v>
      </c>
      <c r="V37" s="158">
        <f t="shared" si="0"/>
        <v>0.90805138105076766</v>
      </c>
      <c r="W37" s="159">
        <v>44673.324305555558</v>
      </c>
      <c r="X37" s="159">
        <v>44679</v>
      </c>
      <c r="Y37" s="160">
        <v>44678</v>
      </c>
      <c r="Z37" s="470"/>
      <c r="AA37" s="470"/>
      <c r="AB37" s="470"/>
      <c r="AC37" s="161">
        <f t="shared" si="1"/>
        <v>-44673.324305555558</v>
      </c>
      <c r="AD37" s="161">
        <f t="shared" si="34"/>
        <v>-44679</v>
      </c>
      <c r="AE37" s="446">
        <f t="shared" si="35"/>
        <v>0</v>
      </c>
      <c r="AF37" s="160" t="e">
        <f t="shared" si="36"/>
        <v>#N/A</v>
      </c>
      <c r="AG37" s="160" t="e">
        <f t="shared" si="37"/>
        <v>#N/A</v>
      </c>
      <c r="AH37" s="159">
        <f t="shared" si="38"/>
        <v>44723.324305555558</v>
      </c>
      <c r="AI37" s="162" t="e">
        <f t="shared" si="7"/>
        <v>#N/A</v>
      </c>
      <c r="AJ37" s="224">
        <f t="shared" si="39"/>
        <v>0</v>
      </c>
      <c r="AK37" s="225" t="e">
        <f t="shared" si="9"/>
        <v>#N/A</v>
      </c>
      <c r="AL37" s="170">
        <f t="shared" si="10"/>
        <v>36</v>
      </c>
      <c r="AM37" s="170" t="e">
        <f t="shared" si="11"/>
        <v>#N/A</v>
      </c>
      <c r="AN37" s="170" t="e">
        <f t="shared" si="12"/>
        <v>#N/A</v>
      </c>
      <c r="AO37" s="226" t="e">
        <f t="shared" si="13"/>
        <v>#N/A</v>
      </c>
      <c r="AP37" s="227">
        <v>60</v>
      </c>
      <c r="AQ37" s="228">
        <f t="shared" si="14"/>
        <v>57</v>
      </c>
      <c r="AR37" s="228">
        <f t="shared" si="15"/>
        <v>52</v>
      </c>
      <c r="AS37" s="229">
        <f t="shared" si="16"/>
        <v>60</v>
      </c>
      <c r="AT37" s="982">
        <f t="shared" ca="1" si="17"/>
        <v>45895</v>
      </c>
      <c r="AU37" s="50"/>
      <c r="AV37" s="118"/>
      <c r="AW37" s="49"/>
      <c r="AX37" s="49"/>
      <c r="AY37" s="49"/>
      <c r="AZ37" s="300"/>
      <c r="BA37" s="119"/>
      <c r="BB37" s="306"/>
      <c r="BC37" s="231" t="s">
        <v>581</v>
      </c>
      <c r="BD37" s="232" t="s">
        <v>582</v>
      </c>
      <c r="BE37" s="222">
        <f t="shared" si="40"/>
        <v>15</v>
      </c>
      <c r="BF37" s="233">
        <f t="shared" si="41"/>
        <v>0</v>
      </c>
      <c r="BG37" s="234">
        <v>44700</v>
      </c>
      <c r="BH37" s="235">
        <v>44737</v>
      </c>
      <c r="BI37" s="234">
        <v>44762</v>
      </c>
      <c r="BJ37" s="236" t="s">
        <v>245</v>
      </c>
      <c r="BK37" s="237" t="s">
        <v>247</v>
      </c>
      <c r="BL37" s="237" t="s">
        <v>247</v>
      </c>
      <c r="BM37" s="238">
        <v>44762</v>
      </c>
      <c r="BN37" s="222"/>
      <c r="BO37" s="222"/>
      <c r="BP37" s="239"/>
      <c r="BQ37" s="240" t="s">
        <v>246</v>
      </c>
      <c r="BR37" s="238"/>
      <c r="BS37" s="67"/>
      <c r="BT37" s="66"/>
      <c r="BU37" s="66"/>
      <c r="BV37" s="66"/>
      <c r="BW37" s="74"/>
      <c r="BX37" s="77" t="s">
        <v>583</v>
      </c>
      <c r="BY37" s="78"/>
      <c r="BZ37" s="944" t="s">
        <v>584</v>
      </c>
      <c r="CA37" s="42" t="str">
        <f t="shared" si="20"/>
        <v>0</v>
      </c>
      <c r="CB37" s="62">
        <f t="shared" si="21"/>
        <v>-44673.324305555558</v>
      </c>
      <c r="CC37" s="42">
        <f t="shared" si="22"/>
        <v>0</v>
      </c>
      <c r="CD37" s="62">
        <f t="shared" si="23"/>
        <v>-44673.324305555558</v>
      </c>
      <c r="CE37" s="62" t="e">
        <f t="shared" si="24"/>
        <v>#N/A</v>
      </c>
      <c r="CF37" s="145" t="str">
        <f t="shared" si="25"/>
        <v>0</v>
      </c>
      <c r="CG37" s="145"/>
      <c r="CH37" s="443" t="e">
        <f t="shared" si="26"/>
        <v>#N/A</v>
      </c>
      <c r="CI37" s="996" t="e">
        <f t="shared" si="27"/>
        <v>#N/A</v>
      </c>
      <c r="CJ37" s="261">
        <f t="shared" si="28"/>
        <v>0</v>
      </c>
      <c r="CK37" s="458">
        <f t="shared" si="29"/>
        <v>1182.6756944444423</v>
      </c>
      <c r="CL37" t="str">
        <f t="shared" si="30"/>
        <v>NON-REV</v>
      </c>
      <c r="CM37" t="str">
        <f t="shared" si="31"/>
        <v>10 MONTHS AND ABOVE</v>
      </c>
      <c r="CN37" s="635"/>
      <c r="CO37" s="631"/>
      <c r="CP37" s="629" t="str">
        <f t="shared" si="42"/>
        <v>FOR ISSUANCE</v>
      </c>
      <c r="CQ37" s="635"/>
      <c r="CR37" s="697"/>
      <c r="CS37" s="633" t="str">
        <f t="shared" ca="1" si="33"/>
        <v>0</v>
      </c>
      <c r="CT37" s="635"/>
      <c r="CU37" s="631"/>
      <c r="CV37" s="638"/>
      <c r="CW37" s="156" t="s">
        <v>585</v>
      </c>
      <c r="CX37" s="156" t="str">
        <f>VLOOKUP(E37,'[1]List of Work Orders'!$A:$I,9,FALSE)</f>
        <v>ME164318</v>
      </c>
      <c r="CY37" s="156"/>
      <c r="DC37" t="str">
        <f>VLOOKUP(E37,'[2]List of Work Orders'!$A:$F,6,FALSE)</f>
        <v>DPRG-PCR</v>
      </c>
      <c r="DS37" s="156" t="s">
        <v>586</v>
      </c>
    </row>
    <row r="38" spans="1:123" customFormat="1" ht="15" customHeight="1" x14ac:dyDescent="0.25">
      <c r="A38" s="242">
        <v>44680</v>
      </c>
      <c r="B38" s="222" t="s">
        <v>470</v>
      </c>
      <c r="C38" s="241" t="s">
        <v>247</v>
      </c>
      <c r="D38" s="66" t="s">
        <v>513</v>
      </c>
      <c r="E38" s="404" t="s">
        <v>587</v>
      </c>
      <c r="F38" s="95" t="s">
        <v>329</v>
      </c>
      <c r="G38" s="95" t="s">
        <v>588</v>
      </c>
      <c r="H38" s="95" t="s">
        <v>238</v>
      </c>
      <c r="I38" s="95" t="s">
        <v>239</v>
      </c>
      <c r="J38" s="95" t="s">
        <v>589</v>
      </c>
      <c r="K38" s="101" t="s">
        <v>299</v>
      </c>
      <c r="L38" s="101" t="s">
        <v>242</v>
      </c>
      <c r="M38" s="345" t="s">
        <v>331</v>
      </c>
      <c r="N38" s="442" t="s">
        <v>467</v>
      </c>
      <c r="O38" s="146">
        <v>717.71599999999887</v>
      </c>
      <c r="P38" s="165">
        <v>1361.61</v>
      </c>
      <c r="Q38" s="157">
        <v>0</v>
      </c>
      <c r="R38" s="109" t="s">
        <v>327</v>
      </c>
      <c r="S38" s="110">
        <v>1575766.41</v>
      </c>
      <c r="T38" s="93">
        <v>923509.73</v>
      </c>
      <c r="U38" s="141"/>
      <c r="V38" s="158">
        <f t="shared" si="0"/>
        <v>0</v>
      </c>
      <c r="W38" s="159">
        <v>44677.561805555553</v>
      </c>
      <c r="X38" s="159">
        <v>44680.636805555558</v>
      </c>
      <c r="Y38" s="160">
        <v>44680</v>
      </c>
      <c r="Z38" s="470"/>
      <c r="AA38" s="470"/>
      <c r="AB38" s="470"/>
      <c r="AC38" s="161">
        <f t="shared" si="1"/>
        <v>-44677.561805555553</v>
      </c>
      <c r="AD38" s="161">
        <f t="shared" si="34"/>
        <v>-44680.636805555558</v>
      </c>
      <c r="AE38" s="446">
        <f t="shared" si="35"/>
        <v>0</v>
      </c>
      <c r="AF38" s="160">
        <f t="shared" si="36"/>
        <v>44704.037788088302</v>
      </c>
      <c r="AG38" s="160">
        <f t="shared" si="37"/>
        <v>44714.898050097036</v>
      </c>
      <c r="AH38" s="159">
        <f t="shared" si="38"/>
        <v>44727.561805555553</v>
      </c>
      <c r="AI38" s="162">
        <f t="shared" si="7"/>
        <v>-1136.7957392746912</v>
      </c>
      <c r="AJ38" s="224">
        <f t="shared" si="39"/>
        <v>0</v>
      </c>
      <c r="AK38" s="225">
        <f t="shared" si="9"/>
        <v>50</v>
      </c>
      <c r="AL38" s="170">
        <f t="shared" si="10"/>
        <v>36</v>
      </c>
      <c r="AM38" s="170">
        <f t="shared" si="11"/>
        <v>29.475982532751093</v>
      </c>
      <c r="AN38" s="170">
        <f t="shared" si="12"/>
        <v>37.336244541484717</v>
      </c>
      <c r="AO38" s="226">
        <f t="shared" si="13"/>
        <v>26.475982532751093</v>
      </c>
      <c r="AP38" s="227">
        <v>60</v>
      </c>
      <c r="AQ38" s="228">
        <f t="shared" si="14"/>
        <v>57</v>
      </c>
      <c r="AR38" s="228">
        <f t="shared" si="15"/>
        <v>52</v>
      </c>
      <c r="AS38" s="229">
        <f t="shared" si="16"/>
        <v>60</v>
      </c>
      <c r="AT38" s="982">
        <f t="shared" ca="1" si="17"/>
        <v>45895</v>
      </c>
      <c r="AU38" s="50"/>
      <c r="AV38" s="118"/>
      <c r="AW38" s="49"/>
      <c r="AX38" s="49"/>
      <c r="AY38" s="49"/>
      <c r="AZ38" s="300"/>
      <c r="BA38" s="119"/>
      <c r="BB38" s="306"/>
      <c r="BC38" s="231"/>
      <c r="BD38" s="232"/>
      <c r="BE38" s="222">
        <f t="shared" si="40"/>
        <v>15</v>
      </c>
      <c r="BF38" s="233">
        <f t="shared" si="41"/>
        <v>0</v>
      </c>
      <c r="BG38" s="234"/>
      <c r="BH38" s="235"/>
      <c r="BI38" s="234"/>
      <c r="BJ38" s="236"/>
      <c r="BK38" s="222"/>
      <c r="BL38" s="222"/>
      <c r="BM38" s="238"/>
      <c r="BN38" s="222"/>
      <c r="BO38" s="222"/>
      <c r="BP38" s="243"/>
      <c r="BQ38" s="244" t="s">
        <v>246</v>
      </c>
      <c r="BR38" s="238"/>
      <c r="BS38" s="67"/>
      <c r="BT38" s="66"/>
      <c r="BU38" s="66"/>
      <c r="BV38" s="66"/>
      <c r="BW38" s="74"/>
      <c r="BX38" s="81" t="s">
        <v>248</v>
      </c>
      <c r="BY38" s="66"/>
      <c r="BZ38" s="944"/>
      <c r="CA38" s="42" t="str">
        <f t="shared" si="20"/>
        <v>0</v>
      </c>
      <c r="CB38" s="62">
        <f t="shared" si="21"/>
        <v>-44677.561805555553</v>
      </c>
      <c r="CC38" s="42">
        <f t="shared" si="22"/>
        <v>0</v>
      </c>
      <c r="CD38" s="62">
        <f t="shared" si="23"/>
        <v>-44677.561805555553</v>
      </c>
      <c r="CE38" s="62">
        <f t="shared" si="24"/>
        <v>-1136.7957392746912</v>
      </c>
      <c r="CF38" s="145" t="str">
        <f t="shared" si="25"/>
        <v>0</v>
      </c>
      <c r="CG38" s="145"/>
      <c r="CH38" s="443">
        <f t="shared" si="26"/>
        <v>30.315482947530921</v>
      </c>
      <c r="CI38" s="996">
        <f t="shared" si="27"/>
        <v>30.315482947530921</v>
      </c>
      <c r="CJ38" s="261">
        <f t="shared" si="28"/>
        <v>0</v>
      </c>
      <c r="CK38" s="458">
        <f t="shared" si="29"/>
        <v>1178.4381944444467</v>
      </c>
      <c r="CL38" t="str">
        <f t="shared" si="30"/>
        <v>NON-REV</v>
      </c>
      <c r="CM38" t="str">
        <f t="shared" si="31"/>
        <v>10 MONTHS AND ABOVE</v>
      </c>
      <c r="CN38" s="635"/>
      <c r="CO38" s="631"/>
      <c r="CP38" s="629" t="str">
        <f t="shared" si="42"/>
        <v>FOR ISSUANCE</v>
      </c>
      <c r="CQ38" s="635"/>
      <c r="CR38" s="697"/>
      <c r="CS38" s="633" t="str">
        <f t="shared" ca="1" si="33"/>
        <v>0</v>
      </c>
      <c r="CT38" s="635"/>
      <c r="CU38" s="631"/>
      <c r="CV38" s="638"/>
      <c r="CW38" s="156" t="s">
        <v>590</v>
      </c>
      <c r="CX38" s="156" t="str">
        <f>VLOOKUP(E38,'[1]List of Work Orders'!$A:$I,9,FALSE)</f>
        <v>ME155242</v>
      </c>
      <c r="CY38" s="156"/>
      <c r="CZ38" s="63"/>
      <c r="DC38" t="str">
        <f>VLOOKUP(E38,'[2]List of Work Orders'!$A:$F,6,FALSE)</f>
        <v>SCHED</v>
      </c>
      <c r="DS38" s="156" t="s">
        <v>397</v>
      </c>
    </row>
    <row r="39" spans="1:123" customFormat="1" ht="15" customHeight="1" x14ac:dyDescent="0.25">
      <c r="A39" s="242">
        <v>44805</v>
      </c>
      <c r="B39" s="222">
        <v>44797</v>
      </c>
      <c r="C39" s="223" t="s">
        <v>247</v>
      </c>
      <c r="D39" s="66" t="s">
        <v>320</v>
      </c>
      <c r="E39" s="404" t="s">
        <v>591</v>
      </c>
      <c r="F39" s="95" t="s">
        <v>592</v>
      </c>
      <c r="G39" s="95" t="s">
        <v>593</v>
      </c>
      <c r="H39" s="95" t="s">
        <v>238</v>
      </c>
      <c r="I39" s="95" t="s">
        <v>239</v>
      </c>
      <c r="J39" s="95" t="s">
        <v>594</v>
      </c>
      <c r="K39" s="101" t="s">
        <v>299</v>
      </c>
      <c r="L39" s="101" t="s">
        <v>288</v>
      </c>
      <c r="M39" s="345" t="s">
        <v>438</v>
      </c>
      <c r="N39" s="442" t="s">
        <v>475</v>
      </c>
      <c r="O39" s="146">
        <v>162.57659999999993</v>
      </c>
      <c r="P39" s="165" t="e">
        <v>#N/A</v>
      </c>
      <c r="Q39" s="157">
        <v>45</v>
      </c>
      <c r="R39" s="109" t="s">
        <v>548</v>
      </c>
      <c r="S39" s="110">
        <v>803861.8</v>
      </c>
      <c r="T39" s="93">
        <v>139773.07999999999</v>
      </c>
      <c r="U39" s="141"/>
      <c r="V39" s="158">
        <f t="shared" si="0"/>
        <v>0</v>
      </c>
      <c r="W39" s="159">
        <v>44796.46875</v>
      </c>
      <c r="X39" s="159">
        <v>44804</v>
      </c>
      <c r="Y39" s="160">
        <v>44804</v>
      </c>
      <c r="Z39" s="470"/>
      <c r="AA39" s="470"/>
      <c r="AB39" s="470"/>
      <c r="AC39" s="161">
        <f t="shared" si="1"/>
        <v>-44796.46875</v>
      </c>
      <c r="AD39" s="161">
        <f t="shared" si="34"/>
        <v>-44804</v>
      </c>
      <c r="AE39" s="446">
        <f t="shared" si="35"/>
        <v>0</v>
      </c>
      <c r="AF39" s="160" t="e">
        <f t="shared" si="36"/>
        <v>#N/A</v>
      </c>
      <c r="AG39" s="160" t="e">
        <f t="shared" si="37"/>
        <v>#N/A</v>
      </c>
      <c r="AH39" s="159">
        <f t="shared" si="38"/>
        <v>44846.46875</v>
      </c>
      <c r="AI39" s="162" t="e">
        <f t="shared" si="7"/>
        <v>#N/A</v>
      </c>
      <c r="AJ39" s="224">
        <f t="shared" si="39"/>
        <v>0</v>
      </c>
      <c r="AK39" s="225" t="e">
        <f t="shared" si="9"/>
        <v>#N/A</v>
      </c>
      <c r="AL39" s="170">
        <f t="shared" si="10"/>
        <v>36</v>
      </c>
      <c r="AM39" s="170" t="e">
        <f t="shared" si="11"/>
        <v>#N/A</v>
      </c>
      <c r="AN39" s="170" t="e">
        <f t="shared" si="12"/>
        <v>#N/A</v>
      </c>
      <c r="AO39" s="226" t="e">
        <f t="shared" si="13"/>
        <v>#N/A</v>
      </c>
      <c r="AP39" s="227">
        <v>60</v>
      </c>
      <c r="AQ39" s="228">
        <f t="shared" si="14"/>
        <v>57</v>
      </c>
      <c r="AR39" s="228">
        <f t="shared" si="15"/>
        <v>52</v>
      </c>
      <c r="AS39" s="229">
        <f t="shared" si="16"/>
        <v>60</v>
      </c>
      <c r="AT39" s="982">
        <f t="shared" ca="1" si="17"/>
        <v>45895</v>
      </c>
      <c r="AU39" s="50"/>
      <c r="AV39" s="118"/>
      <c r="AW39" s="49"/>
      <c r="AX39" s="49"/>
      <c r="AY39" s="49"/>
      <c r="AZ39" s="300"/>
      <c r="BA39" s="119"/>
      <c r="BB39" s="304"/>
      <c r="BC39" s="231"/>
      <c r="BD39" s="232"/>
      <c r="BE39" s="222">
        <f t="shared" si="40"/>
        <v>15</v>
      </c>
      <c r="BF39" s="233">
        <f t="shared" si="41"/>
        <v>0</v>
      </c>
      <c r="BG39" s="234"/>
      <c r="BH39" s="235"/>
      <c r="BI39" s="234"/>
      <c r="BJ39" s="236"/>
      <c r="BK39" s="222"/>
      <c r="BL39" s="222"/>
      <c r="BM39" s="238"/>
      <c r="BN39" s="222"/>
      <c r="BO39" s="222"/>
      <c r="BP39" s="243"/>
      <c r="BQ39" s="244" t="s">
        <v>247</v>
      </c>
      <c r="BR39" s="238"/>
      <c r="BS39" s="67"/>
      <c r="BT39" s="66"/>
      <c r="BU39" s="66"/>
      <c r="BV39" s="66"/>
      <c r="BW39" s="74"/>
      <c r="BX39" s="81"/>
      <c r="BY39" s="78"/>
      <c r="BZ39" s="944" t="s">
        <v>595</v>
      </c>
      <c r="CA39" s="42" t="str">
        <f t="shared" si="20"/>
        <v>0</v>
      </c>
      <c r="CB39" s="62">
        <f t="shared" si="21"/>
        <v>-44796.46875</v>
      </c>
      <c r="CC39" s="42">
        <f t="shared" si="22"/>
        <v>0</v>
      </c>
      <c r="CD39" s="62">
        <f t="shared" si="23"/>
        <v>-44796.46875</v>
      </c>
      <c r="CE39" s="62" t="e">
        <f t="shared" si="24"/>
        <v>#N/A</v>
      </c>
      <c r="CF39" s="145" t="str">
        <f t="shared" si="25"/>
        <v>0</v>
      </c>
      <c r="CG39" s="145"/>
      <c r="CH39" s="443" t="e">
        <f t="shared" si="26"/>
        <v>#N/A</v>
      </c>
      <c r="CI39" s="996" t="e">
        <f t="shared" si="27"/>
        <v>#N/A</v>
      </c>
      <c r="CJ39" s="261">
        <f t="shared" si="28"/>
        <v>0</v>
      </c>
      <c r="CK39" s="458">
        <f t="shared" si="29"/>
        <v>1059.53125</v>
      </c>
      <c r="CL39" t="str">
        <f t="shared" si="30"/>
        <v>NON-REV</v>
      </c>
      <c r="CM39" t="str">
        <f t="shared" si="31"/>
        <v>10 MONTHS AND ABOVE</v>
      </c>
      <c r="CN39" s="635"/>
      <c r="CO39" s="631"/>
      <c r="CP39" s="629" t="str">
        <f t="shared" si="42"/>
        <v>FOR ISSUANCE</v>
      </c>
      <c r="CQ39" s="635"/>
      <c r="CR39" s="697"/>
      <c r="CS39" s="633" t="str">
        <f t="shared" ca="1" si="33"/>
        <v>0</v>
      </c>
      <c r="CT39" s="635"/>
      <c r="CU39" s="631"/>
      <c r="CV39" s="638"/>
      <c r="CW39" s="156" t="s">
        <v>596</v>
      </c>
      <c r="CX39" s="156" t="str">
        <f>VLOOKUP(E39,'[1]List of Work Orders'!$A:$I,9,FALSE)</f>
        <v>ME185130</v>
      </c>
      <c r="CY39" s="156"/>
      <c r="DC39" t="str">
        <f>VLOOKUP(E39,'[2]List of Work Orders'!$A:$F,6,FALSE)</f>
        <v>PCAN3</v>
      </c>
      <c r="DS39" s="156" t="s">
        <v>478</v>
      </c>
    </row>
    <row r="40" spans="1:123" customFormat="1" ht="15" customHeight="1" x14ac:dyDescent="0.25">
      <c r="A40" s="242">
        <v>44814</v>
      </c>
      <c r="B40" s="222">
        <v>44813</v>
      </c>
      <c r="C40" s="241"/>
      <c r="D40" s="66" t="s">
        <v>234</v>
      </c>
      <c r="E40" s="404" t="s">
        <v>597</v>
      </c>
      <c r="F40" s="95" t="s">
        <v>598</v>
      </c>
      <c r="G40" s="95" t="s">
        <v>599</v>
      </c>
      <c r="H40" s="95" t="s">
        <v>238</v>
      </c>
      <c r="I40" s="95" t="s">
        <v>239</v>
      </c>
      <c r="J40" s="95" t="s">
        <v>600</v>
      </c>
      <c r="K40" s="101" t="s">
        <v>299</v>
      </c>
      <c r="L40" s="101" t="s">
        <v>242</v>
      </c>
      <c r="M40" s="345" t="s">
        <v>272</v>
      </c>
      <c r="N40" s="442" t="s">
        <v>467</v>
      </c>
      <c r="O40" s="146">
        <v>79.675600000000017</v>
      </c>
      <c r="P40" s="933">
        <v>155.01</v>
      </c>
      <c r="Q40" s="157">
        <v>0</v>
      </c>
      <c r="R40" s="109" t="s">
        <v>327</v>
      </c>
      <c r="S40" s="110">
        <v>412145.24</v>
      </c>
      <c r="T40" s="93">
        <v>84176.76</v>
      </c>
      <c r="U40" s="141">
        <v>98865.27</v>
      </c>
      <c r="V40" s="158">
        <f t="shared" si="0"/>
        <v>1.1744960247935416</v>
      </c>
      <c r="W40" s="159">
        <v>44809.640277777777</v>
      </c>
      <c r="X40" s="159">
        <v>44811</v>
      </c>
      <c r="Y40" s="160">
        <v>44811</v>
      </c>
      <c r="Z40" s="470">
        <v>45687</v>
      </c>
      <c r="AA40" s="470">
        <v>45687</v>
      </c>
      <c r="AB40" s="470"/>
      <c r="AC40" s="161">
        <f t="shared" si="1"/>
        <v>877.35972222222335</v>
      </c>
      <c r="AD40" s="161">
        <f t="shared" si="34"/>
        <v>876</v>
      </c>
      <c r="AE40" s="446">
        <f t="shared" si="35"/>
        <v>-45687</v>
      </c>
      <c r="AF40" s="160">
        <f t="shared" si="36"/>
        <v>44830.847174329501</v>
      </c>
      <c r="AG40" s="160">
        <f t="shared" si="37"/>
        <v>44840.302346743294</v>
      </c>
      <c r="AH40" s="159">
        <f t="shared" si="38"/>
        <v>44859.640277777777</v>
      </c>
      <c r="AI40" s="162">
        <f t="shared" si="7"/>
        <v>27.18315378679965</v>
      </c>
      <c r="AJ40" s="224">
        <f t="shared" si="39"/>
        <v>-761.45</v>
      </c>
      <c r="AK40" s="225">
        <f t="shared" si="9"/>
        <v>26</v>
      </c>
      <c r="AL40" s="170">
        <f t="shared" si="10"/>
        <v>36</v>
      </c>
      <c r="AM40" s="170">
        <f t="shared" si="11"/>
        <v>24.206896551724139</v>
      </c>
      <c r="AN40" s="170">
        <f t="shared" si="12"/>
        <v>30.662068965517239</v>
      </c>
      <c r="AO40" s="226">
        <f t="shared" si="13"/>
        <v>21.206896551724139</v>
      </c>
      <c r="AP40" s="227">
        <v>60</v>
      </c>
      <c r="AQ40" s="228">
        <f t="shared" si="14"/>
        <v>57</v>
      </c>
      <c r="AR40" s="228">
        <f t="shared" si="15"/>
        <v>52</v>
      </c>
      <c r="AS40" s="229">
        <f t="shared" si="16"/>
        <v>45747</v>
      </c>
      <c r="AT40" s="982">
        <f t="shared" ca="1" si="17"/>
        <v>208</v>
      </c>
      <c r="AU40" s="50"/>
      <c r="AV40" s="118"/>
      <c r="AW40" s="49"/>
      <c r="AX40" s="49"/>
      <c r="AY40" s="49"/>
      <c r="AZ40" s="300"/>
      <c r="BA40" s="119"/>
      <c r="BB40" s="304"/>
      <c r="BC40" s="231" t="s">
        <v>13</v>
      </c>
      <c r="BD40" s="232" t="s">
        <v>601</v>
      </c>
      <c r="BE40" s="222">
        <f t="shared" si="40"/>
        <v>45702</v>
      </c>
      <c r="BF40" s="233" t="e">
        <f t="shared" si="41"/>
        <v>#VALUE!</v>
      </c>
      <c r="BG40" s="234"/>
      <c r="BH40" s="235"/>
      <c r="BI40" s="234"/>
      <c r="BJ40" s="236"/>
      <c r="BK40" s="222"/>
      <c r="BL40" s="222"/>
      <c r="BM40" s="238"/>
      <c r="BN40" s="222"/>
      <c r="BO40" s="222"/>
      <c r="BP40" s="243"/>
      <c r="BQ40" s="244" t="s">
        <v>246</v>
      </c>
      <c r="BR40" s="238"/>
      <c r="BS40" s="67"/>
      <c r="BT40" s="66"/>
      <c r="BU40" s="66"/>
      <c r="BV40" s="66"/>
      <c r="BW40" s="74"/>
      <c r="BX40" s="81"/>
      <c r="BY40" s="66"/>
      <c r="BZ40" s="944"/>
      <c r="CA40" s="42" t="str">
        <f t="shared" si="20"/>
        <v>0</v>
      </c>
      <c r="CB40" s="62">
        <f t="shared" si="21"/>
        <v>877.35972222222335</v>
      </c>
      <c r="CC40" s="42">
        <f t="shared" si="22"/>
        <v>0</v>
      </c>
      <c r="CD40" s="62">
        <f t="shared" si="23"/>
        <v>877.35972222222335</v>
      </c>
      <c r="CE40" s="62">
        <f t="shared" si="24"/>
        <v>27.18315378679965</v>
      </c>
      <c r="CF40" s="145">
        <f t="shared" si="25"/>
        <v>182</v>
      </c>
      <c r="CG40" s="145"/>
      <c r="CH40" s="443">
        <f t="shared" si="26"/>
        <v>32.822042675688543</v>
      </c>
      <c r="CI40" s="996">
        <f t="shared" si="27"/>
        <v>32.822042675688543</v>
      </c>
      <c r="CJ40" s="261">
        <f t="shared" si="28"/>
        <v>3.0333333333333332</v>
      </c>
      <c r="CK40" s="458" t="str">
        <f t="shared" si="29"/>
        <v/>
      </c>
      <c r="CL40" t="str">
        <f t="shared" si="30"/>
        <v>NON-REV</v>
      </c>
      <c r="CM40" t="str">
        <f t="shared" si="31"/>
        <v/>
      </c>
      <c r="CN40" s="635"/>
      <c r="CO40" s="631"/>
      <c r="CP40" s="629" t="str">
        <f t="shared" si="42"/>
        <v>FOR ISSUANCE</v>
      </c>
      <c r="CQ40" s="635"/>
      <c r="CR40" s="697"/>
      <c r="CS40" s="633" t="str">
        <f t="shared" ca="1" si="33"/>
        <v>0</v>
      </c>
      <c r="CT40" s="635"/>
      <c r="CU40" s="631"/>
      <c r="CV40" s="638"/>
      <c r="CW40" s="156" t="s">
        <v>602</v>
      </c>
      <c r="CX40" s="156" t="str">
        <f>VLOOKUP(E40,'[1]List of Work Orders'!$A:$I,9,FALSE)</f>
        <v>ME155242</v>
      </c>
      <c r="CY40" s="156"/>
      <c r="CZ40" s="63"/>
      <c r="DC40" t="str">
        <f>VLOOKUP(E40,'[2]List of Work Orders'!$A:$F,6,FALSE)</f>
        <v>FCOMP</v>
      </c>
      <c r="DS40" s="156" t="s">
        <v>397</v>
      </c>
    </row>
    <row r="41" spans="1:123" customFormat="1" ht="15" customHeight="1" x14ac:dyDescent="0.25">
      <c r="A41" s="242">
        <v>44814</v>
      </c>
      <c r="B41" s="222" t="s">
        <v>470</v>
      </c>
      <c r="C41" s="241" t="s">
        <v>247</v>
      </c>
      <c r="D41" s="66" t="s">
        <v>513</v>
      </c>
      <c r="E41" s="404" t="s">
        <v>603</v>
      </c>
      <c r="F41" s="95" t="s">
        <v>329</v>
      </c>
      <c r="G41" s="95" t="s">
        <v>604</v>
      </c>
      <c r="H41" s="95" t="s">
        <v>238</v>
      </c>
      <c r="I41" s="95" t="s">
        <v>239</v>
      </c>
      <c r="J41" s="95" t="s">
        <v>605</v>
      </c>
      <c r="K41" s="101" t="s">
        <v>299</v>
      </c>
      <c r="L41" s="101" t="s">
        <v>242</v>
      </c>
      <c r="M41" s="345" t="s">
        <v>272</v>
      </c>
      <c r="N41" s="442" t="s">
        <v>467</v>
      </c>
      <c r="O41" s="146">
        <v>812.46230000000037</v>
      </c>
      <c r="P41" s="933">
        <v>1110.82</v>
      </c>
      <c r="Q41" s="157">
        <v>0</v>
      </c>
      <c r="R41" s="109" t="s">
        <v>327</v>
      </c>
      <c r="S41" s="110">
        <v>2403133.25</v>
      </c>
      <c r="T41" s="93">
        <v>809631.02</v>
      </c>
      <c r="U41" s="141">
        <f>101348.51+73663.35</f>
        <v>175011.86</v>
      </c>
      <c r="V41" s="158">
        <f t="shared" si="0"/>
        <v>0.21616249337877394</v>
      </c>
      <c r="W41" s="159">
        <v>44811.328472222223</v>
      </c>
      <c r="X41" s="159">
        <v>44813</v>
      </c>
      <c r="Y41" s="160">
        <v>44816</v>
      </c>
      <c r="Z41" s="470">
        <v>45758</v>
      </c>
      <c r="AA41" s="470">
        <v>45769</v>
      </c>
      <c r="AB41" s="470"/>
      <c r="AC41" s="161">
        <f t="shared" si="1"/>
        <v>957.67152777777665</v>
      </c>
      <c r="AD41" s="161">
        <f t="shared" si="34"/>
        <v>956</v>
      </c>
      <c r="AE41" s="446">
        <f t="shared" si="35"/>
        <v>-45769</v>
      </c>
      <c r="AF41" s="160">
        <f t="shared" si="36"/>
        <v>44837.804454754973</v>
      </c>
      <c r="AG41" s="160">
        <f t="shared" si="37"/>
        <v>44848.664716763706</v>
      </c>
      <c r="AH41" s="159">
        <f t="shared" si="38"/>
        <v>44861.328472222223</v>
      </c>
      <c r="AI41" s="162">
        <f t="shared" si="7"/>
        <v>24.367419984567871</v>
      </c>
      <c r="AJ41" s="224">
        <f t="shared" si="39"/>
        <v>-762.81666666666672</v>
      </c>
      <c r="AK41" s="225">
        <f t="shared" si="9"/>
        <v>50</v>
      </c>
      <c r="AL41" s="170">
        <f t="shared" si="10"/>
        <v>36</v>
      </c>
      <c r="AM41" s="170">
        <f t="shared" si="11"/>
        <v>29.475982532751093</v>
      </c>
      <c r="AN41" s="170">
        <f t="shared" si="12"/>
        <v>37.336244541484717</v>
      </c>
      <c r="AO41" s="226">
        <f t="shared" si="13"/>
        <v>26.475982532751093</v>
      </c>
      <c r="AP41" s="227">
        <v>60</v>
      </c>
      <c r="AQ41" s="228">
        <f t="shared" si="14"/>
        <v>57</v>
      </c>
      <c r="AR41" s="228">
        <f t="shared" si="15"/>
        <v>52</v>
      </c>
      <c r="AS41" s="229">
        <f t="shared" si="16"/>
        <v>45829</v>
      </c>
      <c r="AT41" s="982">
        <f t="shared" ca="1" si="17"/>
        <v>126</v>
      </c>
      <c r="AU41" s="50"/>
      <c r="AV41" s="118"/>
      <c r="AW41" s="49"/>
      <c r="AX41" s="49"/>
      <c r="AY41" s="49"/>
      <c r="AZ41" s="300"/>
      <c r="BA41" s="119"/>
      <c r="BB41" s="304"/>
      <c r="BC41" s="231" t="s">
        <v>13</v>
      </c>
      <c r="BD41" s="232" t="s">
        <v>601</v>
      </c>
      <c r="BE41" s="222">
        <f t="shared" si="40"/>
        <v>45784</v>
      </c>
      <c r="BF41" s="233" t="e">
        <f t="shared" si="41"/>
        <v>#VALUE!</v>
      </c>
      <c r="BG41" s="234"/>
      <c r="BH41" s="235"/>
      <c r="BI41" s="234"/>
      <c r="BJ41" s="236"/>
      <c r="BK41" s="222"/>
      <c r="BL41" s="222"/>
      <c r="BM41" s="238"/>
      <c r="BN41" s="222"/>
      <c r="BO41" s="222"/>
      <c r="BP41" s="243"/>
      <c r="BQ41" s="244" t="s">
        <v>246</v>
      </c>
      <c r="BR41" s="238"/>
      <c r="BS41" s="67"/>
      <c r="BT41" s="66"/>
      <c r="BU41" s="66"/>
      <c r="BV41" s="66"/>
      <c r="BW41" s="74"/>
      <c r="BX41" s="81"/>
      <c r="BY41" s="66"/>
      <c r="BZ41" s="944"/>
      <c r="CA41" s="42" t="str">
        <f t="shared" si="20"/>
        <v>0</v>
      </c>
      <c r="CB41" s="62">
        <f t="shared" si="21"/>
        <v>957.67152777777665</v>
      </c>
      <c r="CC41" s="42">
        <f t="shared" si="22"/>
        <v>0</v>
      </c>
      <c r="CD41" s="62">
        <f t="shared" si="23"/>
        <v>957.67152777777665</v>
      </c>
      <c r="CE41" s="62">
        <f t="shared" si="24"/>
        <v>24.367419984567871</v>
      </c>
      <c r="CF41" s="145">
        <f t="shared" si="25"/>
        <v>100</v>
      </c>
      <c r="CG41" s="145"/>
      <c r="CH41" s="443">
        <f t="shared" si="26"/>
        <v>26.911864429012315</v>
      </c>
      <c r="CI41" s="996">
        <f t="shared" si="27"/>
        <v>26.911864429012315</v>
      </c>
      <c r="CJ41" s="261">
        <f t="shared" si="28"/>
        <v>1.6666666666666667</v>
      </c>
      <c r="CK41" s="458" t="str">
        <f t="shared" si="29"/>
        <v/>
      </c>
      <c r="CL41" t="str">
        <f t="shared" si="30"/>
        <v>NON-REV</v>
      </c>
      <c r="CM41" t="str">
        <f t="shared" si="31"/>
        <v/>
      </c>
      <c r="CN41" s="635"/>
      <c r="CO41" s="631"/>
      <c r="CP41" s="629" t="str">
        <f t="shared" si="42"/>
        <v>FOR ISSUANCE</v>
      </c>
      <c r="CQ41" s="635"/>
      <c r="CR41" s="697"/>
      <c r="CS41" s="633" t="str">
        <f t="shared" ca="1" si="33"/>
        <v>0</v>
      </c>
      <c r="CT41" s="635"/>
      <c r="CU41" s="631"/>
      <c r="CV41" s="638"/>
      <c r="CW41" s="156" t="s">
        <v>606</v>
      </c>
      <c r="CX41" s="156" t="str">
        <f>VLOOKUP(E41,'[1]List of Work Orders'!$A:$I,9,FALSE)</f>
        <v>ME155242</v>
      </c>
      <c r="CY41" s="156"/>
      <c r="CZ41" s="63"/>
      <c r="DC41" t="str">
        <f>VLOOKUP(E41,'[2]List of Work Orders'!$A:$F,6,FALSE)</f>
        <v>FCOMP</v>
      </c>
      <c r="DS41" s="156" t="s">
        <v>397</v>
      </c>
    </row>
    <row r="42" spans="1:123" customFormat="1" ht="15" customHeight="1" x14ac:dyDescent="0.25">
      <c r="A42" s="242">
        <v>44852</v>
      </c>
      <c r="B42" s="222">
        <v>44847</v>
      </c>
      <c r="C42" s="223"/>
      <c r="D42" s="66" t="s">
        <v>320</v>
      </c>
      <c r="E42" s="408" t="s">
        <v>607</v>
      </c>
      <c r="F42" s="95" t="s">
        <v>608</v>
      </c>
      <c r="G42" s="95" t="s">
        <v>609</v>
      </c>
      <c r="H42" s="95" t="s">
        <v>238</v>
      </c>
      <c r="I42" s="95" t="s">
        <v>239</v>
      </c>
      <c r="J42" s="163" t="s">
        <v>610</v>
      </c>
      <c r="K42" s="101" t="s">
        <v>299</v>
      </c>
      <c r="L42" s="101" t="s">
        <v>288</v>
      </c>
      <c r="M42" s="345" t="s">
        <v>331</v>
      </c>
      <c r="N42" s="442" t="s">
        <v>381</v>
      </c>
      <c r="O42" s="146">
        <v>29.89</v>
      </c>
      <c r="P42" s="165">
        <v>109.96</v>
      </c>
      <c r="Q42" s="157">
        <v>45</v>
      </c>
      <c r="R42" s="109" t="s">
        <v>548</v>
      </c>
      <c r="S42" s="110">
        <v>167939.25</v>
      </c>
      <c r="T42" s="93">
        <v>22082.54</v>
      </c>
      <c r="U42" s="141"/>
      <c r="V42" s="158">
        <f t="shared" si="0"/>
        <v>0</v>
      </c>
      <c r="W42" s="159">
        <v>44845.652083333334</v>
      </c>
      <c r="X42" s="159">
        <v>44848</v>
      </c>
      <c r="Y42" s="160">
        <v>44847</v>
      </c>
      <c r="Z42" s="470"/>
      <c r="AA42" s="470"/>
      <c r="AB42" s="470"/>
      <c r="AC42" s="161">
        <f t="shared" si="1"/>
        <v>-44845.652083333334</v>
      </c>
      <c r="AD42" s="161">
        <f t="shared" si="34"/>
        <v>-44848</v>
      </c>
      <c r="AE42" s="446">
        <f t="shared" si="35"/>
        <v>0</v>
      </c>
      <c r="AF42" s="160">
        <f t="shared" si="36"/>
        <v>44866.858979885059</v>
      </c>
      <c r="AG42" s="160">
        <f t="shared" si="37"/>
        <v>44876.314152298852</v>
      </c>
      <c r="AH42" s="159">
        <f t="shared" si="38"/>
        <v>44895.652083333334</v>
      </c>
      <c r="AI42" s="162">
        <f t="shared" si="7"/>
        <v>-1389.4486222400283</v>
      </c>
      <c r="AJ42" s="224">
        <f t="shared" si="39"/>
        <v>0</v>
      </c>
      <c r="AK42" s="225">
        <f t="shared" si="9"/>
        <v>26</v>
      </c>
      <c r="AL42" s="170">
        <f t="shared" si="10"/>
        <v>36</v>
      </c>
      <c r="AM42" s="170">
        <f t="shared" si="11"/>
        <v>24.206896551724139</v>
      </c>
      <c r="AN42" s="170">
        <f t="shared" si="12"/>
        <v>30.662068965517239</v>
      </c>
      <c r="AO42" s="226">
        <f t="shared" si="13"/>
        <v>21.206896551724139</v>
      </c>
      <c r="AP42" s="227">
        <v>60</v>
      </c>
      <c r="AQ42" s="228">
        <f t="shared" si="14"/>
        <v>57</v>
      </c>
      <c r="AR42" s="228">
        <f t="shared" si="15"/>
        <v>52</v>
      </c>
      <c r="AS42" s="229">
        <f t="shared" si="16"/>
        <v>60</v>
      </c>
      <c r="AT42" s="982">
        <f t="shared" ca="1" si="17"/>
        <v>45895</v>
      </c>
      <c r="AU42" s="50"/>
      <c r="AV42" s="118"/>
      <c r="AW42" s="49"/>
      <c r="AX42" s="49"/>
      <c r="AY42" s="49"/>
      <c r="AZ42" s="300"/>
      <c r="BA42" s="119"/>
      <c r="BB42" s="304"/>
      <c r="BC42" s="231"/>
      <c r="BD42" s="232"/>
      <c r="BE42" s="222">
        <f t="shared" si="40"/>
        <v>15</v>
      </c>
      <c r="BF42" s="233">
        <f t="shared" si="41"/>
        <v>0</v>
      </c>
      <c r="BG42" s="234"/>
      <c r="BH42" s="235"/>
      <c r="BI42" s="234"/>
      <c r="BJ42" s="236"/>
      <c r="BK42" s="222"/>
      <c r="BL42" s="222"/>
      <c r="BM42" s="238"/>
      <c r="BN42" s="222"/>
      <c r="BO42" s="222"/>
      <c r="BP42" s="243"/>
      <c r="BQ42" s="244" t="s">
        <v>246</v>
      </c>
      <c r="BR42" s="238"/>
      <c r="BS42" s="67"/>
      <c r="BT42" s="66"/>
      <c r="BU42" s="66"/>
      <c r="BV42" s="66"/>
      <c r="BW42" s="74"/>
      <c r="BX42" s="81"/>
      <c r="BY42" s="66"/>
      <c r="BZ42" s="944" t="s">
        <v>611</v>
      </c>
      <c r="CA42" s="42" t="str">
        <f t="shared" si="20"/>
        <v>0</v>
      </c>
      <c r="CB42" s="62">
        <f t="shared" si="21"/>
        <v>-44845.652083333334</v>
      </c>
      <c r="CC42" s="42">
        <f t="shared" si="22"/>
        <v>0</v>
      </c>
      <c r="CD42" s="62">
        <f t="shared" si="23"/>
        <v>-44845.652083333334</v>
      </c>
      <c r="CE42" s="62">
        <f t="shared" si="24"/>
        <v>-1389.4486222400283</v>
      </c>
      <c r="CF42" s="145" t="str">
        <f t="shared" si="25"/>
        <v>0</v>
      </c>
      <c r="CG42" s="145"/>
      <c r="CH42" s="443">
        <f t="shared" si="26"/>
        <v>31.706292289886008</v>
      </c>
      <c r="CI42" s="996">
        <f t="shared" si="27"/>
        <v>31.706292289886008</v>
      </c>
      <c r="CJ42" s="261">
        <f t="shared" si="28"/>
        <v>0</v>
      </c>
      <c r="CK42" s="458">
        <f t="shared" si="29"/>
        <v>1010.3479166666657</v>
      </c>
      <c r="CL42" t="str">
        <f t="shared" si="30"/>
        <v>NON-REV</v>
      </c>
      <c r="CM42" t="str">
        <f t="shared" si="31"/>
        <v>10 MONTHS AND ABOVE</v>
      </c>
      <c r="CN42" s="635"/>
      <c r="CO42" s="631"/>
      <c r="CP42" s="629" t="str">
        <f t="shared" si="42"/>
        <v>FOR ISSUANCE</v>
      </c>
      <c r="CQ42" s="635"/>
      <c r="CR42" s="697"/>
      <c r="CS42" s="633" t="str">
        <f t="shared" ca="1" si="33"/>
        <v>0</v>
      </c>
      <c r="CT42" s="635"/>
      <c r="CU42" s="631"/>
      <c r="CV42" s="638"/>
      <c r="CW42" s="156" t="s">
        <v>612</v>
      </c>
      <c r="CX42" s="156" t="str">
        <f>VLOOKUP(E42,'[1]List of Work Orders'!$A:$I,9,FALSE)</f>
        <v>ME185284</v>
      </c>
      <c r="CY42" s="156"/>
      <c r="DC42" t="str">
        <f>VLOOKUP(E42,'[2]List of Work Orders'!$A:$F,6,FALSE)</f>
        <v>SCHED</v>
      </c>
      <c r="DS42" s="156" t="s">
        <v>381</v>
      </c>
    </row>
    <row r="43" spans="1:123" customFormat="1" ht="15" customHeight="1" x14ac:dyDescent="0.25">
      <c r="A43" s="242">
        <v>44888</v>
      </c>
      <c r="B43" s="222">
        <v>44883</v>
      </c>
      <c r="C43" s="223" t="s">
        <v>247</v>
      </c>
      <c r="D43" s="66" t="s">
        <v>234</v>
      </c>
      <c r="E43" s="404" t="s">
        <v>613</v>
      </c>
      <c r="F43" s="95" t="s">
        <v>614</v>
      </c>
      <c r="G43" s="95" t="s">
        <v>615</v>
      </c>
      <c r="H43" s="95" t="s">
        <v>269</v>
      </c>
      <c r="I43" s="95" t="s">
        <v>239</v>
      </c>
      <c r="J43" s="155" t="s">
        <v>616</v>
      </c>
      <c r="K43" s="101" t="s">
        <v>299</v>
      </c>
      <c r="L43" s="101" t="s">
        <v>263</v>
      </c>
      <c r="M43" s="345" t="s">
        <v>380</v>
      </c>
      <c r="N43" s="442" t="s">
        <v>467</v>
      </c>
      <c r="O43" s="146">
        <v>76.258500000000026</v>
      </c>
      <c r="P43" s="165" t="e">
        <v>#N/A</v>
      </c>
      <c r="Q43" s="157">
        <v>23</v>
      </c>
      <c r="R43" s="109" t="s">
        <v>548</v>
      </c>
      <c r="S43" s="110">
        <v>359981.35</v>
      </c>
      <c r="T43" s="93">
        <v>63350.41</v>
      </c>
      <c r="U43" s="141"/>
      <c r="V43" s="158">
        <f t="shared" si="0"/>
        <v>0</v>
      </c>
      <c r="W43" s="159">
        <v>44881.379895833335</v>
      </c>
      <c r="X43" s="159">
        <v>44886</v>
      </c>
      <c r="Y43" s="160">
        <v>44883</v>
      </c>
      <c r="Z43" s="470"/>
      <c r="AA43" s="470" t="s">
        <v>380</v>
      </c>
      <c r="AB43" s="470"/>
      <c r="AC43" s="161" t="e">
        <f t="shared" si="1"/>
        <v>#VALUE!</v>
      </c>
      <c r="AD43" s="161" t="e">
        <f t="shared" si="34"/>
        <v>#VALUE!</v>
      </c>
      <c r="AE43" s="446" t="e">
        <f t="shared" si="35"/>
        <v>#VALUE!</v>
      </c>
      <c r="AF43" s="160" t="e">
        <f t="shared" si="36"/>
        <v>#N/A</v>
      </c>
      <c r="AG43" s="160" t="e">
        <f t="shared" si="37"/>
        <v>#N/A</v>
      </c>
      <c r="AH43" s="159">
        <f t="shared" si="38"/>
        <v>44931.379895833335</v>
      </c>
      <c r="AI43" s="162" t="e">
        <f t="shared" si="7"/>
        <v>#VALUE!</v>
      </c>
      <c r="AJ43" s="224" t="e">
        <f t="shared" si="39"/>
        <v>#VALUE!</v>
      </c>
      <c r="AK43" s="225" t="e">
        <f t="shared" si="9"/>
        <v>#N/A</v>
      </c>
      <c r="AL43" s="170">
        <f t="shared" si="10"/>
        <v>36</v>
      </c>
      <c r="AM43" s="170" t="e">
        <f t="shared" si="11"/>
        <v>#N/A</v>
      </c>
      <c r="AN43" s="170" t="e">
        <f t="shared" si="12"/>
        <v>#N/A</v>
      </c>
      <c r="AO43" s="226" t="e">
        <f t="shared" si="13"/>
        <v>#N/A</v>
      </c>
      <c r="AP43" s="227">
        <v>60</v>
      </c>
      <c r="AQ43" s="228">
        <f t="shared" si="14"/>
        <v>57</v>
      </c>
      <c r="AR43" s="228">
        <f t="shared" si="15"/>
        <v>52</v>
      </c>
      <c r="AS43" s="229" t="e">
        <f t="shared" si="16"/>
        <v>#VALUE!</v>
      </c>
      <c r="AT43" s="982" t="str">
        <f t="shared" ca="1" si="17"/>
        <v/>
      </c>
      <c r="AU43" s="50"/>
      <c r="AV43" s="118"/>
      <c r="AW43" s="49"/>
      <c r="AX43" s="49"/>
      <c r="AY43" s="49"/>
      <c r="AZ43" s="300"/>
      <c r="BA43" s="119"/>
      <c r="BB43" s="304"/>
      <c r="BC43" s="231"/>
      <c r="BD43" s="232"/>
      <c r="BE43" s="222" t="e">
        <f t="shared" si="40"/>
        <v>#VALUE!</v>
      </c>
      <c r="BF43" s="233" t="e">
        <f t="shared" si="41"/>
        <v>#VALUE!</v>
      </c>
      <c r="BG43" s="234"/>
      <c r="BH43" s="235"/>
      <c r="BI43" s="234"/>
      <c r="BJ43" s="236"/>
      <c r="BK43" s="222"/>
      <c r="BL43" s="222"/>
      <c r="BM43" s="238"/>
      <c r="BN43" s="222"/>
      <c r="BO43" s="222"/>
      <c r="BP43" s="243"/>
      <c r="BQ43" s="244" t="s">
        <v>247</v>
      </c>
      <c r="BR43" s="238"/>
      <c r="BS43" s="67"/>
      <c r="BT43" s="66"/>
      <c r="BU43" s="66"/>
      <c r="BV43" s="66"/>
      <c r="BW43" s="74"/>
      <c r="BX43" s="81"/>
      <c r="BY43" s="66"/>
      <c r="BZ43" s="944" t="s">
        <v>617</v>
      </c>
      <c r="CA43" s="42" t="str">
        <f t="shared" si="20"/>
        <v>0</v>
      </c>
      <c r="CB43" s="62" t="e">
        <f t="shared" si="21"/>
        <v>#VALUE!</v>
      </c>
      <c r="CC43" s="42">
        <f t="shared" si="22"/>
        <v>0</v>
      </c>
      <c r="CD43" s="62" t="e">
        <f t="shared" si="23"/>
        <v>#VALUE!</v>
      </c>
      <c r="CE43" s="62" t="e">
        <f t="shared" si="24"/>
        <v>#VALUE!</v>
      </c>
      <c r="CF43" s="145" t="e">
        <f t="shared" si="25"/>
        <v>#VALUE!</v>
      </c>
      <c r="CG43" s="145"/>
      <c r="CH43" s="443" t="e">
        <f t="shared" si="26"/>
        <v>#N/A</v>
      </c>
      <c r="CI43" s="996" t="e">
        <f t="shared" si="27"/>
        <v>#N/A</v>
      </c>
      <c r="CJ43" s="261" t="e">
        <f t="shared" si="28"/>
        <v>#VALUE!</v>
      </c>
      <c r="CK43" s="458" t="str">
        <f t="shared" si="29"/>
        <v/>
      </c>
      <c r="CL43" t="str">
        <f t="shared" si="30"/>
        <v>NON-REV</v>
      </c>
      <c r="CM43" t="str">
        <f t="shared" si="31"/>
        <v/>
      </c>
      <c r="CN43" s="635"/>
      <c r="CO43" s="631"/>
      <c r="CP43" s="629" t="str">
        <f t="shared" si="42"/>
        <v>FOR ISSUANCE</v>
      </c>
      <c r="CQ43" s="635"/>
      <c r="CR43" s="697"/>
      <c r="CS43" s="633" t="str">
        <f t="shared" ca="1" si="33"/>
        <v>0</v>
      </c>
      <c r="CT43" s="635"/>
      <c r="CU43" s="631"/>
      <c r="CV43" s="638"/>
      <c r="CW43" s="156" t="s">
        <v>618</v>
      </c>
      <c r="CX43" s="156" t="str">
        <f>VLOOKUP(E43,'[1]List of Work Orders'!$A:$I,9,FALSE)</f>
        <v>ME155242</v>
      </c>
      <c r="CY43" s="156"/>
      <c r="DC43" t="str">
        <f>VLOOKUP(E43,'[2]List of Work Orders'!$A:$F,6,FALSE)</f>
        <v>CAN</v>
      </c>
      <c r="DS43" s="156" t="s">
        <v>397</v>
      </c>
    </row>
    <row r="44" spans="1:123" customFormat="1" ht="15" customHeight="1" x14ac:dyDescent="0.25">
      <c r="A44" s="221">
        <v>44938</v>
      </c>
      <c r="B44" s="222" t="s">
        <v>308</v>
      </c>
      <c r="C44" s="223"/>
      <c r="D44" s="66" t="s">
        <v>361</v>
      </c>
      <c r="E44" s="404" t="s">
        <v>619</v>
      </c>
      <c r="F44" s="95" t="s">
        <v>620</v>
      </c>
      <c r="G44" s="95" t="s">
        <v>621</v>
      </c>
      <c r="H44" s="95" t="s">
        <v>318</v>
      </c>
      <c r="I44" s="95" t="s">
        <v>239</v>
      </c>
      <c r="J44" s="95" t="s">
        <v>622</v>
      </c>
      <c r="K44" s="101" t="s">
        <v>271</v>
      </c>
      <c r="L44" s="101" t="s">
        <v>263</v>
      </c>
      <c r="M44" s="345" t="s">
        <v>331</v>
      </c>
      <c r="N44" s="442" t="s">
        <v>467</v>
      </c>
      <c r="O44" s="146">
        <v>111.413</v>
      </c>
      <c r="P44" s="165" t="e">
        <v>#N/A</v>
      </c>
      <c r="Q44" s="157">
        <v>0</v>
      </c>
      <c r="R44" s="109" t="s">
        <v>623</v>
      </c>
      <c r="S44" s="110">
        <v>223165.1</v>
      </c>
      <c r="T44" s="93">
        <v>121601.57999999996</v>
      </c>
      <c r="U44" s="141"/>
      <c r="V44" s="158">
        <f t="shared" si="0"/>
        <v>0</v>
      </c>
      <c r="W44" s="159">
        <v>44897.614583333336</v>
      </c>
      <c r="X44" s="159">
        <v>44937.443055555559</v>
      </c>
      <c r="Y44" s="160">
        <v>44939</v>
      </c>
      <c r="Z44" s="470"/>
      <c r="AA44" s="470"/>
      <c r="AB44" s="470"/>
      <c r="AC44" s="161">
        <f t="shared" si="1"/>
        <v>-44897.614583333336</v>
      </c>
      <c r="AD44" s="161">
        <f t="shared" si="34"/>
        <v>-44937.443055555559</v>
      </c>
      <c r="AE44" s="446">
        <f t="shared" si="35"/>
        <v>0</v>
      </c>
      <c r="AF44" s="160" t="e">
        <f t="shared" si="36"/>
        <v>#N/A</v>
      </c>
      <c r="AG44" s="160" t="e">
        <f t="shared" si="37"/>
        <v>#N/A</v>
      </c>
      <c r="AH44" s="159">
        <f t="shared" si="38"/>
        <v>44947.614583333336</v>
      </c>
      <c r="AI44" s="162" t="e">
        <f t="shared" si="7"/>
        <v>#N/A</v>
      </c>
      <c r="AJ44" s="224">
        <f t="shared" si="39"/>
        <v>0</v>
      </c>
      <c r="AK44" s="225" t="e">
        <f t="shared" si="9"/>
        <v>#N/A</v>
      </c>
      <c r="AL44" s="170">
        <f t="shared" si="10"/>
        <v>36</v>
      </c>
      <c r="AM44" s="170" t="e">
        <f t="shared" si="11"/>
        <v>#N/A</v>
      </c>
      <c r="AN44" s="170" t="e">
        <f t="shared" si="12"/>
        <v>#N/A</v>
      </c>
      <c r="AO44" s="226" t="e">
        <f t="shared" si="13"/>
        <v>#N/A</v>
      </c>
      <c r="AP44" s="227">
        <v>60</v>
      </c>
      <c r="AQ44" s="228">
        <f t="shared" si="14"/>
        <v>57</v>
      </c>
      <c r="AR44" s="228">
        <f t="shared" si="15"/>
        <v>52</v>
      </c>
      <c r="AS44" s="229">
        <f t="shared" si="16"/>
        <v>60</v>
      </c>
      <c r="AT44" s="982">
        <f t="shared" ca="1" si="17"/>
        <v>45895</v>
      </c>
      <c r="AU44" s="50"/>
      <c r="AV44" s="118"/>
      <c r="AW44" s="49"/>
      <c r="AX44" s="49"/>
      <c r="AY44" s="49"/>
      <c r="AZ44" s="300"/>
      <c r="BA44" s="119"/>
      <c r="BB44" s="306"/>
      <c r="BC44" s="231"/>
      <c r="BD44" s="232"/>
      <c r="BE44" s="222">
        <f t="shared" si="40"/>
        <v>15</v>
      </c>
      <c r="BF44" s="233">
        <f t="shared" si="41"/>
        <v>0</v>
      </c>
      <c r="BG44" s="234"/>
      <c r="BH44" s="235"/>
      <c r="BI44" s="234"/>
      <c r="BJ44" s="236"/>
      <c r="BK44" s="237"/>
      <c r="BL44" s="222"/>
      <c r="BM44" s="238"/>
      <c r="BN44" s="222"/>
      <c r="BO44" s="222"/>
      <c r="BP44" s="239"/>
      <c r="BQ44" s="240" t="s">
        <v>246</v>
      </c>
      <c r="BR44" s="238"/>
      <c r="BS44" s="68"/>
      <c r="BT44" s="69"/>
      <c r="BU44" s="69"/>
      <c r="BV44" s="69"/>
      <c r="BW44" s="75"/>
      <c r="BX44" s="77"/>
      <c r="BY44" s="66"/>
      <c r="BZ44" s="944"/>
      <c r="CA44" s="42" t="str">
        <f t="shared" si="20"/>
        <v>0</v>
      </c>
      <c r="CB44" s="62">
        <f t="shared" si="21"/>
        <v>-44897.614583333336</v>
      </c>
      <c r="CC44" s="42">
        <f t="shared" si="22"/>
        <v>0</v>
      </c>
      <c r="CD44" s="62">
        <f t="shared" si="23"/>
        <v>-44897.614583333336</v>
      </c>
      <c r="CE44" s="62" t="e">
        <f t="shared" si="24"/>
        <v>#N/A</v>
      </c>
      <c r="CF44" s="145" t="str">
        <f t="shared" si="25"/>
        <v>0</v>
      </c>
      <c r="CG44" s="145"/>
      <c r="CH44" s="443" t="e">
        <f t="shared" si="26"/>
        <v>#N/A</v>
      </c>
      <c r="CI44" s="996" t="e">
        <f t="shared" si="27"/>
        <v>#N/A</v>
      </c>
      <c r="CJ44" s="261">
        <f t="shared" si="28"/>
        <v>0</v>
      </c>
      <c r="CK44" s="458">
        <f t="shared" si="29"/>
        <v>958.38541666666424</v>
      </c>
      <c r="CL44" t="str">
        <f t="shared" si="30"/>
        <v>NON-REV</v>
      </c>
      <c r="CM44" t="str">
        <f t="shared" si="31"/>
        <v>10 MONTHS AND ABOVE</v>
      </c>
      <c r="CN44" s="635"/>
      <c r="CO44" s="631"/>
      <c r="CP44" s="629" t="str">
        <f t="shared" si="42"/>
        <v>FOR ISSUANCE</v>
      </c>
      <c r="CQ44" s="635"/>
      <c r="CR44" s="697"/>
      <c r="CS44" s="633" t="str">
        <f t="shared" ca="1" si="33"/>
        <v>0</v>
      </c>
      <c r="CT44" s="635"/>
      <c r="CU44" s="631"/>
      <c r="CV44" s="638"/>
      <c r="CW44" s="156" t="s">
        <v>624</v>
      </c>
      <c r="CX44" s="156" t="str">
        <f>VLOOKUP(E44,'[1]List of Work Orders'!$A:$I,9,FALSE)</f>
        <v>ME155242</v>
      </c>
      <c r="CY44" s="156"/>
      <c r="DC44" t="str">
        <f>VLOOKUP(E44,'[2]List of Work Orders'!$A:$F,6,FALSE)</f>
        <v>SCHED</v>
      </c>
      <c r="DS44" s="156" t="s">
        <v>397</v>
      </c>
    </row>
    <row r="45" spans="1:123" customFormat="1" ht="15" customHeight="1" x14ac:dyDescent="0.25">
      <c r="A45" s="221">
        <v>44938</v>
      </c>
      <c r="B45" s="222" t="s">
        <v>308</v>
      </c>
      <c r="C45" s="241"/>
      <c r="D45" s="66" t="s">
        <v>361</v>
      </c>
      <c r="E45" s="404" t="s">
        <v>625</v>
      </c>
      <c r="F45" s="95" t="s">
        <v>626</v>
      </c>
      <c r="G45" s="95" t="s">
        <v>627</v>
      </c>
      <c r="H45" s="95" t="s">
        <v>318</v>
      </c>
      <c r="I45" s="95" t="s">
        <v>239</v>
      </c>
      <c r="J45" s="95" t="s">
        <v>461</v>
      </c>
      <c r="K45" s="101" t="s">
        <v>271</v>
      </c>
      <c r="L45" s="101" t="s">
        <v>242</v>
      </c>
      <c r="M45" s="345" t="s">
        <v>331</v>
      </c>
      <c r="N45" s="442" t="s">
        <v>467</v>
      </c>
      <c r="O45" s="165">
        <v>39.280100000000004</v>
      </c>
      <c r="P45" s="165" t="e">
        <v>#N/A</v>
      </c>
      <c r="Q45" s="157">
        <v>0</v>
      </c>
      <c r="R45" s="109" t="s">
        <v>623</v>
      </c>
      <c r="S45" s="110">
        <v>69142.179999999993</v>
      </c>
      <c r="T45" s="93">
        <v>30610.91</v>
      </c>
      <c r="U45" s="141"/>
      <c r="V45" s="158">
        <f t="shared" si="0"/>
        <v>0</v>
      </c>
      <c r="W45" s="159">
        <v>44899.900694444441</v>
      </c>
      <c r="X45" s="159">
        <v>44937.4375</v>
      </c>
      <c r="Y45" s="160">
        <v>44940</v>
      </c>
      <c r="Z45" s="470"/>
      <c r="AA45" s="470"/>
      <c r="AB45" s="470"/>
      <c r="AC45" s="161">
        <f t="shared" si="1"/>
        <v>-44899.900694444441</v>
      </c>
      <c r="AD45" s="161">
        <f t="shared" si="34"/>
        <v>-44937.4375</v>
      </c>
      <c r="AE45" s="446">
        <f t="shared" si="35"/>
        <v>0</v>
      </c>
      <c r="AF45" s="160" t="e">
        <f t="shared" si="36"/>
        <v>#N/A</v>
      </c>
      <c r="AG45" s="160" t="e">
        <f t="shared" si="37"/>
        <v>#N/A</v>
      </c>
      <c r="AH45" s="159">
        <f t="shared" si="38"/>
        <v>44949.900694444441</v>
      </c>
      <c r="AI45" s="162" t="e">
        <f t="shared" si="7"/>
        <v>#N/A</v>
      </c>
      <c r="AJ45" s="224">
        <f t="shared" si="39"/>
        <v>0</v>
      </c>
      <c r="AK45" s="225" t="e">
        <f t="shared" si="9"/>
        <v>#N/A</v>
      </c>
      <c r="AL45" s="170">
        <f t="shared" si="10"/>
        <v>36</v>
      </c>
      <c r="AM45" s="170" t="e">
        <f t="shared" si="11"/>
        <v>#N/A</v>
      </c>
      <c r="AN45" s="170" t="e">
        <f t="shared" si="12"/>
        <v>#N/A</v>
      </c>
      <c r="AO45" s="226" t="e">
        <f t="shared" si="13"/>
        <v>#N/A</v>
      </c>
      <c r="AP45" s="227">
        <v>60</v>
      </c>
      <c r="AQ45" s="228">
        <f t="shared" si="14"/>
        <v>57</v>
      </c>
      <c r="AR45" s="228">
        <f t="shared" si="15"/>
        <v>52</v>
      </c>
      <c r="AS45" s="229">
        <f t="shared" si="16"/>
        <v>60</v>
      </c>
      <c r="AT45" s="982">
        <f t="shared" ca="1" si="17"/>
        <v>45895</v>
      </c>
      <c r="AU45" s="50"/>
      <c r="AV45" s="118"/>
      <c r="AW45" s="49"/>
      <c r="AX45" s="49"/>
      <c r="AY45" s="49"/>
      <c r="AZ45" s="300"/>
      <c r="BA45" s="119"/>
      <c r="BB45" s="306"/>
      <c r="BC45" s="231"/>
      <c r="BD45" s="232"/>
      <c r="BE45" s="222">
        <f t="shared" si="40"/>
        <v>15</v>
      </c>
      <c r="BF45" s="233">
        <f t="shared" si="41"/>
        <v>0</v>
      </c>
      <c r="BG45" s="234"/>
      <c r="BH45" s="235"/>
      <c r="BI45" s="234"/>
      <c r="BJ45" s="236"/>
      <c r="BK45" s="237"/>
      <c r="BL45" s="222"/>
      <c r="BM45" s="238"/>
      <c r="BN45" s="222"/>
      <c r="BO45" s="222"/>
      <c r="BP45" s="239"/>
      <c r="BQ45" s="240" t="s">
        <v>246</v>
      </c>
      <c r="BR45" s="238"/>
      <c r="BS45" s="68"/>
      <c r="BT45" s="69"/>
      <c r="BU45" s="69"/>
      <c r="BV45" s="69"/>
      <c r="BW45" s="75"/>
      <c r="BX45" s="77"/>
      <c r="BY45" s="66"/>
      <c r="BZ45" s="944"/>
      <c r="CA45" s="42" t="str">
        <f t="shared" si="20"/>
        <v>0</v>
      </c>
      <c r="CB45" s="62">
        <f t="shared" si="21"/>
        <v>-44899.900694444441</v>
      </c>
      <c r="CC45" s="42">
        <f t="shared" si="22"/>
        <v>0</v>
      </c>
      <c r="CD45" s="62">
        <f t="shared" si="23"/>
        <v>-44899.900694444441</v>
      </c>
      <c r="CE45" s="62" t="e">
        <f t="shared" si="24"/>
        <v>#N/A</v>
      </c>
      <c r="CF45" s="145" t="str">
        <f t="shared" si="25"/>
        <v>0</v>
      </c>
      <c r="CG45" s="145"/>
      <c r="CH45" s="443" t="e">
        <f t="shared" si="26"/>
        <v>#N/A</v>
      </c>
      <c r="CI45" s="996" t="e">
        <f t="shared" si="27"/>
        <v>#N/A</v>
      </c>
      <c r="CJ45" s="261">
        <f t="shared" si="28"/>
        <v>0</v>
      </c>
      <c r="CK45" s="458">
        <f t="shared" si="29"/>
        <v>956.09930555555911</v>
      </c>
      <c r="CL45" t="str">
        <f t="shared" si="30"/>
        <v>NON-REV</v>
      </c>
      <c r="CM45" t="str">
        <f t="shared" si="31"/>
        <v>10 MONTHS AND ABOVE</v>
      </c>
      <c r="CN45" s="635"/>
      <c r="CO45" s="631"/>
      <c r="CP45" s="629" t="str">
        <f t="shared" si="42"/>
        <v>FOR ISSUANCE</v>
      </c>
      <c r="CQ45" s="635"/>
      <c r="CR45" s="697"/>
      <c r="CS45" s="633" t="str">
        <f t="shared" ca="1" si="33"/>
        <v>0</v>
      </c>
      <c r="CT45" s="635"/>
      <c r="CU45" s="631"/>
      <c r="CV45" s="638"/>
      <c r="CW45" s="156" t="s">
        <v>628</v>
      </c>
      <c r="CX45" s="156" t="str">
        <f>VLOOKUP(E45,'[1]List of Work Orders'!$A:$I,9,FALSE)</f>
        <v>ME155242</v>
      </c>
      <c r="CY45" s="156"/>
      <c r="CZ45" s="63"/>
      <c r="DC45" t="str">
        <f>VLOOKUP(E45,'[2]List of Work Orders'!$A:$F,6,FALSE)</f>
        <v>SCHED</v>
      </c>
      <c r="DS45" s="156" t="s">
        <v>397</v>
      </c>
    </row>
    <row r="46" spans="1:123" customFormat="1" ht="15" customHeight="1" x14ac:dyDescent="0.25">
      <c r="A46" s="221">
        <v>44938</v>
      </c>
      <c r="B46" s="222" t="s">
        <v>308</v>
      </c>
      <c r="C46" s="223"/>
      <c r="D46" s="66" t="s">
        <v>361</v>
      </c>
      <c r="E46" s="404" t="s">
        <v>629</v>
      </c>
      <c r="F46" s="95" t="s">
        <v>630</v>
      </c>
      <c r="G46" s="95" t="s">
        <v>627</v>
      </c>
      <c r="H46" s="95" t="s">
        <v>318</v>
      </c>
      <c r="I46" s="95" t="s">
        <v>239</v>
      </c>
      <c r="J46" s="95" t="s">
        <v>622</v>
      </c>
      <c r="K46" s="101" t="s">
        <v>271</v>
      </c>
      <c r="L46" s="101" t="s">
        <v>263</v>
      </c>
      <c r="M46" s="345" t="s">
        <v>331</v>
      </c>
      <c r="N46" s="442" t="s">
        <v>467</v>
      </c>
      <c r="O46" s="146">
        <v>40.302400000000006</v>
      </c>
      <c r="P46" s="165" t="e">
        <v>#N/A</v>
      </c>
      <c r="Q46" s="157">
        <v>0</v>
      </c>
      <c r="R46" s="109" t="s">
        <v>623</v>
      </c>
      <c r="S46" s="110">
        <v>70118.66</v>
      </c>
      <c r="T46" s="93">
        <v>31407.589999999997</v>
      </c>
      <c r="U46" s="141"/>
      <c r="V46" s="158">
        <f t="shared" si="0"/>
        <v>0</v>
      </c>
      <c r="W46" s="159">
        <v>44900.446527777778</v>
      </c>
      <c r="X46" s="159">
        <v>44937.439583333333</v>
      </c>
      <c r="Y46" s="160">
        <v>44939</v>
      </c>
      <c r="Z46" s="470"/>
      <c r="AA46" s="470"/>
      <c r="AB46" s="470"/>
      <c r="AC46" s="161">
        <f t="shared" si="1"/>
        <v>-44900.446527777778</v>
      </c>
      <c r="AD46" s="161">
        <f t="shared" si="34"/>
        <v>-44937.439583333333</v>
      </c>
      <c r="AE46" s="446">
        <f t="shared" si="35"/>
        <v>0</v>
      </c>
      <c r="AF46" s="160" t="e">
        <f t="shared" si="36"/>
        <v>#N/A</v>
      </c>
      <c r="AG46" s="160" t="e">
        <f t="shared" si="37"/>
        <v>#N/A</v>
      </c>
      <c r="AH46" s="159">
        <f t="shared" si="38"/>
        <v>44950.446527777778</v>
      </c>
      <c r="AI46" s="162" t="e">
        <f t="shared" si="7"/>
        <v>#N/A</v>
      </c>
      <c r="AJ46" s="224">
        <f t="shared" si="39"/>
        <v>0</v>
      </c>
      <c r="AK46" s="225" t="e">
        <f t="shared" si="9"/>
        <v>#N/A</v>
      </c>
      <c r="AL46" s="170">
        <f t="shared" si="10"/>
        <v>36</v>
      </c>
      <c r="AM46" s="170" t="e">
        <f t="shared" si="11"/>
        <v>#N/A</v>
      </c>
      <c r="AN46" s="170" t="e">
        <f t="shared" si="12"/>
        <v>#N/A</v>
      </c>
      <c r="AO46" s="226" t="e">
        <f t="shared" si="13"/>
        <v>#N/A</v>
      </c>
      <c r="AP46" s="227">
        <v>60</v>
      </c>
      <c r="AQ46" s="228">
        <f t="shared" si="14"/>
        <v>57</v>
      </c>
      <c r="AR46" s="228">
        <f t="shared" si="15"/>
        <v>52</v>
      </c>
      <c r="AS46" s="229">
        <f t="shared" si="16"/>
        <v>60</v>
      </c>
      <c r="AT46" s="982">
        <f t="shared" ca="1" si="17"/>
        <v>45895</v>
      </c>
      <c r="AU46" s="50"/>
      <c r="AV46" s="118"/>
      <c r="AW46" s="49"/>
      <c r="AX46" s="49"/>
      <c r="AY46" s="49"/>
      <c r="AZ46" s="300"/>
      <c r="BA46" s="119"/>
      <c r="BB46" s="306"/>
      <c r="BC46" s="231"/>
      <c r="BD46" s="232"/>
      <c r="BE46" s="222">
        <f t="shared" si="40"/>
        <v>15</v>
      </c>
      <c r="BF46" s="233">
        <f t="shared" si="41"/>
        <v>0</v>
      </c>
      <c r="BG46" s="234"/>
      <c r="BH46" s="235"/>
      <c r="BI46" s="234"/>
      <c r="BJ46" s="236"/>
      <c r="BK46" s="237"/>
      <c r="BL46" s="222"/>
      <c r="BM46" s="238"/>
      <c r="BN46" s="222"/>
      <c r="BO46" s="222"/>
      <c r="BP46" s="239"/>
      <c r="BQ46" s="240" t="s">
        <v>246</v>
      </c>
      <c r="BR46" s="238"/>
      <c r="BS46" s="68"/>
      <c r="BT46" s="69"/>
      <c r="BU46" s="69"/>
      <c r="BV46" s="69"/>
      <c r="BW46" s="75"/>
      <c r="BX46" s="77"/>
      <c r="BY46" s="66"/>
      <c r="BZ46" s="944"/>
      <c r="CA46" s="42" t="str">
        <f t="shared" si="20"/>
        <v>0</v>
      </c>
      <c r="CB46" s="62">
        <f t="shared" si="21"/>
        <v>-44900.446527777778</v>
      </c>
      <c r="CC46" s="42">
        <f t="shared" si="22"/>
        <v>0</v>
      </c>
      <c r="CD46" s="62">
        <f t="shared" si="23"/>
        <v>-44900.446527777778</v>
      </c>
      <c r="CE46" s="62" t="e">
        <f t="shared" si="24"/>
        <v>#N/A</v>
      </c>
      <c r="CF46" s="145" t="str">
        <f t="shared" si="25"/>
        <v>0</v>
      </c>
      <c r="CG46" s="145"/>
      <c r="CH46" s="443" t="e">
        <f t="shared" si="26"/>
        <v>#N/A</v>
      </c>
      <c r="CI46" s="996" t="e">
        <f t="shared" si="27"/>
        <v>#N/A</v>
      </c>
      <c r="CJ46" s="261">
        <f t="shared" si="28"/>
        <v>0</v>
      </c>
      <c r="CK46" s="458">
        <f t="shared" si="29"/>
        <v>955.5534722222219</v>
      </c>
      <c r="CL46" t="str">
        <f t="shared" si="30"/>
        <v>NON-REV</v>
      </c>
      <c r="CM46" t="str">
        <f t="shared" si="31"/>
        <v>10 MONTHS AND ABOVE</v>
      </c>
      <c r="CN46" s="635"/>
      <c r="CO46" s="631"/>
      <c r="CP46" s="629" t="str">
        <f t="shared" si="42"/>
        <v>FOR ISSUANCE</v>
      </c>
      <c r="CQ46" s="635"/>
      <c r="CR46" s="697"/>
      <c r="CS46" s="633" t="str">
        <f t="shared" ca="1" si="33"/>
        <v>0</v>
      </c>
      <c r="CT46" s="635"/>
      <c r="CU46" s="631"/>
      <c r="CV46" s="638"/>
      <c r="CW46" s="156" t="s">
        <v>631</v>
      </c>
      <c r="CX46" s="156" t="str">
        <f>VLOOKUP(E46,'[1]List of Work Orders'!$A:$I,9,FALSE)</f>
        <v>ME155242</v>
      </c>
      <c r="CY46" s="156"/>
      <c r="DC46" t="str">
        <f>VLOOKUP(E46,'[2]List of Work Orders'!$A:$F,6,FALSE)</f>
        <v>SCHED</v>
      </c>
      <c r="DS46" s="156" t="s">
        <v>397</v>
      </c>
    </row>
    <row r="47" spans="1:123" customFormat="1" ht="15" customHeight="1" x14ac:dyDescent="0.25">
      <c r="A47" s="221">
        <v>44938</v>
      </c>
      <c r="B47" s="222" t="s">
        <v>308</v>
      </c>
      <c r="C47" s="241"/>
      <c r="D47" s="66" t="s">
        <v>361</v>
      </c>
      <c r="E47" s="404" t="s">
        <v>632</v>
      </c>
      <c r="F47" s="95" t="s">
        <v>633</v>
      </c>
      <c r="G47" s="95" t="s">
        <v>634</v>
      </c>
      <c r="H47" s="95" t="s">
        <v>318</v>
      </c>
      <c r="I47" s="95" t="s">
        <v>239</v>
      </c>
      <c r="J47" s="95" t="s">
        <v>461</v>
      </c>
      <c r="K47" s="101" t="s">
        <v>271</v>
      </c>
      <c r="L47" s="101" t="s">
        <v>242</v>
      </c>
      <c r="M47" s="345" t="s">
        <v>331</v>
      </c>
      <c r="N47" s="442" t="s">
        <v>467</v>
      </c>
      <c r="O47" s="165">
        <v>42.586100000000002</v>
      </c>
      <c r="P47" s="165" t="e">
        <v>#N/A</v>
      </c>
      <c r="Q47" s="157">
        <v>0</v>
      </c>
      <c r="R47" s="109" t="s">
        <v>623</v>
      </c>
      <c r="S47" s="110">
        <v>73123.350000000006</v>
      </c>
      <c r="T47" s="93">
        <v>33187.269999999997</v>
      </c>
      <c r="U47" s="141"/>
      <c r="V47" s="158">
        <f t="shared" si="0"/>
        <v>0</v>
      </c>
      <c r="W47" s="159">
        <v>44901.941666666666</v>
      </c>
      <c r="X47" s="159">
        <v>44937.597222222219</v>
      </c>
      <c r="Y47" s="160">
        <v>44940</v>
      </c>
      <c r="Z47" s="470"/>
      <c r="AA47" s="470"/>
      <c r="AB47" s="470"/>
      <c r="AC47" s="161">
        <f t="shared" si="1"/>
        <v>-44901.941666666666</v>
      </c>
      <c r="AD47" s="161">
        <f t="shared" si="34"/>
        <v>-44937.597222222219</v>
      </c>
      <c r="AE47" s="446">
        <f t="shared" si="35"/>
        <v>0</v>
      </c>
      <c r="AF47" s="160" t="e">
        <f t="shared" si="36"/>
        <v>#N/A</v>
      </c>
      <c r="AG47" s="160" t="e">
        <f t="shared" si="37"/>
        <v>#N/A</v>
      </c>
      <c r="AH47" s="159">
        <f t="shared" si="38"/>
        <v>44951.941666666666</v>
      </c>
      <c r="AI47" s="162" t="e">
        <f t="shared" si="7"/>
        <v>#N/A</v>
      </c>
      <c r="AJ47" s="224">
        <f t="shared" si="39"/>
        <v>0</v>
      </c>
      <c r="AK47" s="225" t="e">
        <f t="shared" si="9"/>
        <v>#N/A</v>
      </c>
      <c r="AL47" s="170">
        <f t="shared" si="10"/>
        <v>36</v>
      </c>
      <c r="AM47" s="170" t="e">
        <f t="shared" si="11"/>
        <v>#N/A</v>
      </c>
      <c r="AN47" s="170" t="e">
        <f t="shared" si="12"/>
        <v>#N/A</v>
      </c>
      <c r="AO47" s="226" t="e">
        <f t="shared" si="13"/>
        <v>#N/A</v>
      </c>
      <c r="AP47" s="227">
        <v>60</v>
      </c>
      <c r="AQ47" s="228">
        <f t="shared" si="14"/>
        <v>57</v>
      </c>
      <c r="AR47" s="228">
        <f t="shared" si="15"/>
        <v>52</v>
      </c>
      <c r="AS47" s="229">
        <f t="shared" si="16"/>
        <v>60</v>
      </c>
      <c r="AT47" s="982">
        <f t="shared" ca="1" si="17"/>
        <v>45895</v>
      </c>
      <c r="AU47" s="50"/>
      <c r="AV47" s="118"/>
      <c r="AW47" s="49"/>
      <c r="AX47" s="49"/>
      <c r="AY47" s="49"/>
      <c r="AZ47" s="300"/>
      <c r="BA47" s="119"/>
      <c r="BB47" s="306"/>
      <c r="BC47" s="231"/>
      <c r="BD47" s="232"/>
      <c r="BE47" s="222">
        <f t="shared" si="40"/>
        <v>15</v>
      </c>
      <c r="BF47" s="233">
        <f t="shared" si="41"/>
        <v>0</v>
      </c>
      <c r="BG47" s="234"/>
      <c r="BH47" s="235"/>
      <c r="BI47" s="234"/>
      <c r="BJ47" s="236"/>
      <c r="BK47" s="237"/>
      <c r="BL47" s="222"/>
      <c r="BM47" s="238"/>
      <c r="BN47" s="222"/>
      <c r="BO47" s="222"/>
      <c r="BP47" s="239"/>
      <c r="BQ47" s="240" t="s">
        <v>246</v>
      </c>
      <c r="BR47" s="238"/>
      <c r="BS47" s="68"/>
      <c r="BT47" s="69"/>
      <c r="BU47" s="69"/>
      <c r="BV47" s="69"/>
      <c r="BW47" s="75"/>
      <c r="BX47" s="77"/>
      <c r="BY47" s="66"/>
      <c r="BZ47" s="944"/>
      <c r="CA47" s="42" t="str">
        <f t="shared" si="20"/>
        <v>0</v>
      </c>
      <c r="CB47" s="62">
        <f t="shared" si="21"/>
        <v>-44901.941666666666</v>
      </c>
      <c r="CC47" s="42">
        <f t="shared" si="22"/>
        <v>0</v>
      </c>
      <c r="CD47" s="62">
        <f t="shared" si="23"/>
        <v>-44901.941666666666</v>
      </c>
      <c r="CE47" s="62" t="e">
        <f t="shared" si="24"/>
        <v>#N/A</v>
      </c>
      <c r="CF47" s="145" t="str">
        <f t="shared" si="25"/>
        <v>0</v>
      </c>
      <c r="CG47" s="145"/>
      <c r="CH47" s="443" t="e">
        <f t="shared" si="26"/>
        <v>#N/A</v>
      </c>
      <c r="CI47" s="996" t="e">
        <f t="shared" si="27"/>
        <v>#N/A</v>
      </c>
      <c r="CJ47" s="261">
        <f t="shared" si="28"/>
        <v>0</v>
      </c>
      <c r="CK47" s="458">
        <f t="shared" si="29"/>
        <v>954.0583333333343</v>
      </c>
      <c r="CL47" t="str">
        <f t="shared" si="30"/>
        <v>NON-REV</v>
      </c>
      <c r="CM47" t="str">
        <f t="shared" si="31"/>
        <v>10 MONTHS AND ABOVE</v>
      </c>
      <c r="CN47" s="635"/>
      <c r="CO47" s="631"/>
      <c r="CP47" s="629" t="str">
        <f t="shared" si="42"/>
        <v>FOR ISSUANCE</v>
      </c>
      <c r="CQ47" s="635"/>
      <c r="CR47" s="697"/>
      <c r="CS47" s="633" t="str">
        <f t="shared" ca="1" si="33"/>
        <v>0</v>
      </c>
      <c r="CT47" s="635"/>
      <c r="CU47" s="631"/>
      <c r="CV47" s="638"/>
      <c r="CW47" s="156" t="s">
        <v>635</v>
      </c>
      <c r="CX47" s="156" t="str">
        <f>VLOOKUP(E47,'[1]List of Work Orders'!$A:$I,9,FALSE)</f>
        <v>ME155242</v>
      </c>
      <c r="CY47" s="156"/>
      <c r="CZ47" s="63"/>
      <c r="DC47" t="str">
        <f>VLOOKUP(E47,'[2]List of Work Orders'!$A:$F,6,FALSE)</f>
        <v>SCHED</v>
      </c>
      <c r="DS47" s="156" t="s">
        <v>397</v>
      </c>
    </row>
    <row r="48" spans="1:123" customFormat="1" ht="15" customHeight="1" x14ac:dyDescent="0.25">
      <c r="A48" s="221">
        <v>44938</v>
      </c>
      <c r="B48" s="222" t="s">
        <v>308</v>
      </c>
      <c r="C48" s="223"/>
      <c r="D48" s="66" t="s">
        <v>361</v>
      </c>
      <c r="E48" s="404" t="s">
        <v>636</v>
      </c>
      <c r="F48" s="95" t="s">
        <v>637</v>
      </c>
      <c r="G48" s="95" t="s">
        <v>621</v>
      </c>
      <c r="H48" s="95" t="s">
        <v>318</v>
      </c>
      <c r="I48" s="95" t="s">
        <v>239</v>
      </c>
      <c r="J48" s="95" t="s">
        <v>622</v>
      </c>
      <c r="K48" s="101" t="s">
        <v>271</v>
      </c>
      <c r="L48" s="101" t="s">
        <v>263</v>
      </c>
      <c r="M48" s="345" t="s">
        <v>331</v>
      </c>
      <c r="N48" s="442" t="s">
        <v>467</v>
      </c>
      <c r="O48" s="146">
        <v>51.012500000000003</v>
      </c>
      <c r="P48" s="165" t="e">
        <v>#N/A</v>
      </c>
      <c r="Q48" s="157">
        <v>0</v>
      </c>
      <c r="R48" s="109" t="s">
        <v>623</v>
      </c>
      <c r="S48" s="110">
        <v>80899.28</v>
      </c>
      <c r="T48" s="93">
        <v>39753.950000000004</v>
      </c>
      <c r="U48" s="141"/>
      <c r="V48" s="158">
        <f t="shared" si="0"/>
        <v>0</v>
      </c>
      <c r="W48" s="159">
        <v>44901.943055555559</v>
      </c>
      <c r="X48" s="159">
        <v>44937.599999999999</v>
      </c>
      <c r="Y48" s="160">
        <v>44939</v>
      </c>
      <c r="Z48" s="470"/>
      <c r="AA48" s="470"/>
      <c r="AB48" s="470"/>
      <c r="AC48" s="161">
        <f t="shared" si="1"/>
        <v>-44901.943055555559</v>
      </c>
      <c r="AD48" s="161">
        <f t="shared" si="34"/>
        <v>-44937.599999999999</v>
      </c>
      <c r="AE48" s="446">
        <f t="shared" si="35"/>
        <v>0</v>
      </c>
      <c r="AF48" s="160" t="e">
        <f t="shared" si="36"/>
        <v>#N/A</v>
      </c>
      <c r="AG48" s="160" t="e">
        <f t="shared" si="37"/>
        <v>#N/A</v>
      </c>
      <c r="AH48" s="159">
        <f t="shared" si="38"/>
        <v>44951.943055555559</v>
      </c>
      <c r="AI48" s="162" t="e">
        <f t="shared" si="7"/>
        <v>#N/A</v>
      </c>
      <c r="AJ48" s="224">
        <f t="shared" si="39"/>
        <v>0</v>
      </c>
      <c r="AK48" s="225" t="e">
        <f t="shared" si="9"/>
        <v>#N/A</v>
      </c>
      <c r="AL48" s="170">
        <f t="shared" si="10"/>
        <v>36</v>
      </c>
      <c r="AM48" s="170" t="e">
        <f t="shared" si="11"/>
        <v>#N/A</v>
      </c>
      <c r="AN48" s="170" t="e">
        <f t="shared" si="12"/>
        <v>#N/A</v>
      </c>
      <c r="AO48" s="226" t="e">
        <f t="shared" si="13"/>
        <v>#N/A</v>
      </c>
      <c r="AP48" s="227">
        <v>60</v>
      </c>
      <c r="AQ48" s="228">
        <f t="shared" si="14"/>
        <v>57</v>
      </c>
      <c r="AR48" s="228">
        <f t="shared" si="15"/>
        <v>52</v>
      </c>
      <c r="AS48" s="229">
        <f t="shared" si="16"/>
        <v>60</v>
      </c>
      <c r="AT48" s="982">
        <f t="shared" ca="1" si="17"/>
        <v>45895</v>
      </c>
      <c r="AU48" s="50"/>
      <c r="AV48" s="118"/>
      <c r="AW48" s="49"/>
      <c r="AX48" s="49"/>
      <c r="AY48" s="49"/>
      <c r="AZ48" s="300"/>
      <c r="BA48" s="119"/>
      <c r="BB48" s="306"/>
      <c r="BC48" s="231"/>
      <c r="BD48" s="232"/>
      <c r="BE48" s="222">
        <f t="shared" si="40"/>
        <v>15</v>
      </c>
      <c r="BF48" s="233">
        <f t="shared" si="41"/>
        <v>0</v>
      </c>
      <c r="BG48" s="234"/>
      <c r="BH48" s="235"/>
      <c r="BI48" s="234"/>
      <c r="BJ48" s="236"/>
      <c r="BK48" s="237"/>
      <c r="BL48" s="222"/>
      <c r="BM48" s="238"/>
      <c r="BN48" s="222"/>
      <c r="BO48" s="222"/>
      <c r="BP48" s="239"/>
      <c r="BQ48" s="240" t="s">
        <v>246</v>
      </c>
      <c r="BR48" s="238"/>
      <c r="BS48" s="68"/>
      <c r="BT48" s="69"/>
      <c r="BU48" s="69"/>
      <c r="BV48" s="69"/>
      <c r="BW48" s="75"/>
      <c r="BX48" s="77"/>
      <c r="BY48" s="66"/>
      <c r="BZ48" s="944"/>
      <c r="CA48" s="42" t="str">
        <f t="shared" si="20"/>
        <v>0</v>
      </c>
      <c r="CB48" s="62">
        <f t="shared" si="21"/>
        <v>-44901.943055555559</v>
      </c>
      <c r="CC48" s="42">
        <f t="shared" si="22"/>
        <v>0</v>
      </c>
      <c r="CD48" s="62">
        <f t="shared" si="23"/>
        <v>-44901.943055555559</v>
      </c>
      <c r="CE48" s="62" t="e">
        <f t="shared" si="24"/>
        <v>#N/A</v>
      </c>
      <c r="CF48" s="145" t="str">
        <f t="shared" si="25"/>
        <v>0</v>
      </c>
      <c r="CG48" s="145"/>
      <c r="CH48" s="443" t="e">
        <f t="shared" si="26"/>
        <v>#N/A</v>
      </c>
      <c r="CI48" s="996" t="e">
        <f t="shared" si="27"/>
        <v>#N/A</v>
      </c>
      <c r="CJ48" s="261">
        <f t="shared" si="28"/>
        <v>0</v>
      </c>
      <c r="CK48" s="458">
        <f t="shared" si="29"/>
        <v>954.05694444444089</v>
      </c>
      <c r="CL48" t="str">
        <f t="shared" si="30"/>
        <v>NON-REV</v>
      </c>
      <c r="CM48" t="str">
        <f t="shared" si="31"/>
        <v>10 MONTHS AND ABOVE</v>
      </c>
      <c r="CN48" s="635"/>
      <c r="CO48" s="631"/>
      <c r="CP48" s="629" t="str">
        <f t="shared" si="42"/>
        <v>FOR ISSUANCE</v>
      </c>
      <c r="CQ48" s="635"/>
      <c r="CR48" s="697"/>
      <c r="CS48" s="633" t="str">
        <f t="shared" ca="1" si="33"/>
        <v>0</v>
      </c>
      <c r="CT48" s="635"/>
      <c r="CU48" s="631"/>
      <c r="CV48" s="638"/>
      <c r="CW48" s="156" t="s">
        <v>638</v>
      </c>
      <c r="CX48" s="156" t="str">
        <f>VLOOKUP(E48,'[1]List of Work Orders'!$A:$I,9,FALSE)</f>
        <v>ME155242</v>
      </c>
      <c r="CY48" s="156"/>
      <c r="DC48" t="str">
        <f>VLOOKUP(E48,'[2]List of Work Orders'!$A:$F,6,FALSE)</f>
        <v>SCHED</v>
      </c>
      <c r="DS48" s="156" t="s">
        <v>397</v>
      </c>
    </row>
    <row r="49" spans="1:123" customFormat="1" ht="15" customHeight="1" x14ac:dyDescent="0.25">
      <c r="A49" s="221">
        <v>44938</v>
      </c>
      <c r="B49" s="222" t="s">
        <v>308</v>
      </c>
      <c r="C49" s="223"/>
      <c r="D49" s="66" t="s">
        <v>361</v>
      </c>
      <c r="E49" s="404" t="s">
        <v>639</v>
      </c>
      <c r="F49" s="95" t="s">
        <v>640</v>
      </c>
      <c r="G49" s="95" t="s">
        <v>641</v>
      </c>
      <c r="H49" s="95" t="s">
        <v>318</v>
      </c>
      <c r="I49" s="95" t="s">
        <v>239</v>
      </c>
      <c r="J49" s="95" t="s">
        <v>622</v>
      </c>
      <c r="K49" s="101" t="s">
        <v>271</v>
      </c>
      <c r="L49" s="101" t="s">
        <v>263</v>
      </c>
      <c r="M49" s="345" t="s">
        <v>331</v>
      </c>
      <c r="N49" s="442" t="s">
        <v>467</v>
      </c>
      <c r="O49" s="146">
        <v>39.280100000000004</v>
      </c>
      <c r="P49" s="165" t="e">
        <v>#N/A</v>
      </c>
      <c r="Q49" s="157">
        <v>0</v>
      </c>
      <c r="R49" s="109" t="s">
        <v>623</v>
      </c>
      <c r="S49" s="110">
        <v>69142.179999999993</v>
      </c>
      <c r="T49" s="93">
        <v>30610.91</v>
      </c>
      <c r="U49" s="141"/>
      <c r="V49" s="158">
        <f t="shared" si="0"/>
        <v>0</v>
      </c>
      <c r="W49" s="159">
        <v>44901.943749999999</v>
      </c>
      <c r="X49" s="159">
        <v>44937.603472222225</v>
      </c>
      <c r="Y49" s="160">
        <v>44939</v>
      </c>
      <c r="Z49" s="470"/>
      <c r="AA49" s="470"/>
      <c r="AB49" s="470"/>
      <c r="AC49" s="161">
        <f t="shared" si="1"/>
        <v>-44901.943749999999</v>
      </c>
      <c r="AD49" s="161">
        <f t="shared" si="34"/>
        <v>-44937.603472222225</v>
      </c>
      <c r="AE49" s="446">
        <f t="shared" si="35"/>
        <v>0</v>
      </c>
      <c r="AF49" s="160" t="e">
        <f t="shared" si="36"/>
        <v>#N/A</v>
      </c>
      <c r="AG49" s="160" t="e">
        <f t="shared" si="37"/>
        <v>#N/A</v>
      </c>
      <c r="AH49" s="159">
        <f t="shared" si="38"/>
        <v>44951.943749999999</v>
      </c>
      <c r="AI49" s="162" t="e">
        <f t="shared" si="7"/>
        <v>#N/A</v>
      </c>
      <c r="AJ49" s="224">
        <f t="shared" si="39"/>
        <v>0</v>
      </c>
      <c r="AK49" s="225" t="e">
        <f t="shared" si="9"/>
        <v>#N/A</v>
      </c>
      <c r="AL49" s="170">
        <f t="shared" si="10"/>
        <v>36</v>
      </c>
      <c r="AM49" s="170" t="e">
        <f t="shared" si="11"/>
        <v>#N/A</v>
      </c>
      <c r="AN49" s="170" t="e">
        <f t="shared" si="12"/>
        <v>#N/A</v>
      </c>
      <c r="AO49" s="226" t="e">
        <f t="shared" si="13"/>
        <v>#N/A</v>
      </c>
      <c r="AP49" s="227">
        <v>60</v>
      </c>
      <c r="AQ49" s="228">
        <f t="shared" si="14"/>
        <v>57</v>
      </c>
      <c r="AR49" s="228">
        <f t="shared" si="15"/>
        <v>52</v>
      </c>
      <c r="AS49" s="229">
        <f t="shared" si="16"/>
        <v>60</v>
      </c>
      <c r="AT49" s="982">
        <f t="shared" ca="1" si="17"/>
        <v>45895</v>
      </c>
      <c r="AU49" s="50"/>
      <c r="AV49" s="118"/>
      <c r="AW49" s="49"/>
      <c r="AX49" s="49"/>
      <c r="AY49" s="49"/>
      <c r="AZ49" s="300"/>
      <c r="BA49" s="119"/>
      <c r="BB49" s="306"/>
      <c r="BC49" s="231"/>
      <c r="BD49" s="232"/>
      <c r="BE49" s="222">
        <f t="shared" si="40"/>
        <v>15</v>
      </c>
      <c r="BF49" s="233">
        <f t="shared" si="41"/>
        <v>0</v>
      </c>
      <c r="BG49" s="234"/>
      <c r="BH49" s="235"/>
      <c r="BI49" s="234"/>
      <c r="BJ49" s="236"/>
      <c r="BK49" s="237"/>
      <c r="BL49" s="222"/>
      <c r="BM49" s="238"/>
      <c r="BN49" s="222"/>
      <c r="BO49" s="222"/>
      <c r="BP49" s="239"/>
      <c r="BQ49" s="240" t="s">
        <v>246</v>
      </c>
      <c r="BR49" s="238"/>
      <c r="BS49" s="68"/>
      <c r="BT49" s="69"/>
      <c r="BU49" s="69"/>
      <c r="BV49" s="69"/>
      <c r="BW49" s="75"/>
      <c r="BX49" s="77"/>
      <c r="BY49" s="66"/>
      <c r="BZ49" s="944"/>
      <c r="CA49" s="42" t="str">
        <f t="shared" si="20"/>
        <v>0</v>
      </c>
      <c r="CB49" s="62">
        <f t="shared" si="21"/>
        <v>-44901.943749999999</v>
      </c>
      <c r="CC49" s="42">
        <f t="shared" si="22"/>
        <v>0</v>
      </c>
      <c r="CD49" s="62">
        <f t="shared" si="23"/>
        <v>-44901.943749999999</v>
      </c>
      <c r="CE49" s="62" t="e">
        <f t="shared" si="24"/>
        <v>#N/A</v>
      </c>
      <c r="CF49" s="145" t="str">
        <f t="shared" si="25"/>
        <v>0</v>
      </c>
      <c r="CG49" s="145"/>
      <c r="CH49" s="443" t="e">
        <f t="shared" si="26"/>
        <v>#N/A</v>
      </c>
      <c r="CI49" s="996" t="e">
        <f t="shared" si="27"/>
        <v>#N/A</v>
      </c>
      <c r="CJ49" s="261">
        <f t="shared" si="28"/>
        <v>0</v>
      </c>
      <c r="CK49" s="458">
        <f t="shared" si="29"/>
        <v>954.05625000000146</v>
      </c>
      <c r="CL49" t="str">
        <f t="shared" si="30"/>
        <v>NON-REV</v>
      </c>
      <c r="CM49" t="str">
        <f t="shared" si="31"/>
        <v>10 MONTHS AND ABOVE</v>
      </c>
      <c r="CN49" s="635"/>
      <c r="CO49" s="631"/>
      <c r="CP49" s="629" t="str">
        <f t="shared" si="42"/>
        <v>FOR ISSUANCE</v>
      </c>
      <c r="CQ49" s="635"/>
      <c r="CR49" s="697"/>
      <c r="CS49" s="633" t="str">
        <f t="shared" ca="1" si="33"/>
        <v>0</v>
      </c>
      <c r="CT49" s="635"/>
      <c r="CU49" s="631"/>
      <c r="CV49" s="638"/>
      <c r="CW49" s="156" t="s">
        <v>642</v>
      </c>
      <c r="CX49" s="156" t="str">
        <f>VLOOKUP(E49,'[1]List of Work Orders'!$A:$I,9,FALSE)</f>
        <v>ME155242</v>
      </c>
      <c r="CY49" s="156"/>
      <c r="DC49" t="str">
        <f>VLOOKUP(E49,'[2]List of Work Orders'!$A:$F,6,FALSE)</f>
        <v>SCHED</v>
      </c>
      <c r="DS49" s="156" t="s">
        <v>397</v>
      </c>
    </row>
    <row r="50" spans="1:123" customFormat="1" ht="15" customHeight="1" x14ac:dyDescent="0.25">
      <c r="A50" s="221">
        <v>44938</v>
      </c>
      <c r="B50" s="222" t="s">
        <v>308</v>
      </c>
      <c r="C50" s="241"/>
      <c r="D50" s="66" t="s">
        <v>361</v>
      </c>
      <c r="E50" s="404" t="s">
        <v>643</v>
      </c>
      <c r="F50" s="95" t="s">
        <v>644</v>
      </c>
      <c r="G50" s="95" t="s">
        <v>634</v>
      </c>
      <c r="H50" s="95" t="s">
        <v>318</v>
      </c>
      <c r="I50" s="95" t="s">
        <v>239</v>
      </c>
      <c r="J50" s="95" t="s">
        <v>461</v>
      </c>
      <c r="K50" s="101" t="s">
        <v>271</v>
      </c>
      <c r="L50" s="101" t="s">
        <v>242</v>
      </c>
      <c r="M50" s="345" t="s">
        <v>331</v>
      </c>
      <c r="N50" s="442" t="s">
        <v>467</v>
      </c>
      <c r="O50" s="165">
        <v>51.012500000000003</v>
      </c>
      <c r="P50" s="165" t="e">
        <v>#N/A</v>
      </c>
      <c r="Q50" s="157">
        <v>0</v>
      </c>
      <c r="R50" s="109" t="s">
        <v>623</v>
      </c>
      <c r="S50" s="110">
        <v>80899.28</v>
      </c>
      <c r="T50" s="93">
        <v>29912.66</v>
      </c>
      <c r="U50" s="141"/>
      <c r="V50" s="158">
        <f t="shared" si="0"/>
        <v>0</v>
      </c>
      <c r="W50" s="159">
        <v>44901.944444444445</v>
      </c>
      <c r="X50" s="159">
        <v>44937.59652777778</v>
      </c>
      <c r="Y50" s="160">
        <v>44940</v>
      </c>
      <c r="Z50" s="470"/>
      <c r="AA50" s="470"/>
      <c r="AB50" s="470"/>
      <c r="AC50" s="161">
        <f t="shared" si="1"/>
        <v>-44901.944444444445</v>
      </c>
      <c r="AD50" s="161">
        <f t="shared" si="34"/>
        <v>-44937.59652777778</v>
      </c>
      <c r="AE50" s="446">
        <f t="shared" si="35"/>
        <v>0</v>
      </c>
      <c r="AF50" s="160" t="e">
        <f t="shared" si="36"/>
        <v>#N/A</v>
      </c>
      <c r="AG50" s="160" t="e">
        <f t="shared" si="37"/>
        <v>#N/A</v>
      </c>
      <c r="AH50" s="159">
        <f t="shared" si="38"/>
        <v>44951.944444444445</v>
      </c>
      <c r="AI50" s="162" t="e">
        <f t="shared" si="7"/>
        <v>#N/A</v>
      </c>
      <c r="AJ50" s="224">
        <f t="shared" si="39"/>
        <v>0</v>
      </c>
      <c r="AK50" s="225" t="e">
        <f t="shared" si="9"/>
        <v>#N/A</v>
      </c>
      <c r="AL50" s="170">
        <f t="shared" si="10"/>
        <v>36</v>
      </c>
      <c r="AM50" s="170" t="e">
        <f t="shared" si="11"/>
        <v>#N/A</v>
      </c>
      <c r="AN50" s="170" t="e">
        <f t="shared" si="12"/>
        <v>#N/A</v>
      </c>
      <c r="AO50" s="226" t="e">
        <f t="shared" si="13"/>
        <v>#N/A</v>
      </c>
      <c r="AP50" s="227">
        <v>60</v>
      </c>
      <c r="AQ50" s="228">
        <f t="shared" si="14"/>
        <v>57</v>
      </c>
      <c r="AR50" s="228">
        <f t="shared" si="15"/>
        <v>52</v>
      </c>
      <c r="AS50" s="229">
        <f t="shared" si="16"/>
        <v>60</v>
      </c>
      <c r="AT50" s="982">
        <f t="shared" ca="1" si="17"/>
        <v>45895</v>
      </c>
      <c r="AU50" s="50"/>
      <c r="AV50" s="118"/>
      <c r="AW50" s="49"/>
      <c r="AX50" s="49"/>
      <c r="AY50" s="49"/>
      <c r="AZ50" s="300"/>
      <c r="BA50" s="119"/>
      <c r="BB50" s="306"/>
      <c r="BC50" s="231"/>
      <c r="BD50" s="232"/>
      <c r="BE50" s="222">
        <f t="shared" si="40"/>
        <v>15</v>
      </c>
      <c r="BF50" s="233">
        <f t="shared" si="41"/>
        <v>0</v>
      </c>
      <c r="BG50" s="234"/>
      <c r="BH50" s="235"/>
      <c r="BI50" s="234"/>
      <c r="BJ50" s="236"/>
      <c r="BK50" s="237"/>
      <c r="BL50" s="222"/>
      <c r="BM50" s="238"/>
      <c r="BN50" s="222"/>
      <c r="BO50" s="222"/>
      <c r="BP50" s="239"/>
      <c r="BQ50" s="240" t="s">
        <v>246</v>
      </c>
      <c r="BR50" s="238"/>
      <c r="BS50" s="68"/>
      <c r="BT50" s="69"/>
      <c r="BU50" s="69"/>
      <c r="BV50" s="69"/>
      <c r="BW50" s="75"/>
      <c r="BX50" s="77"/>
      <c r="BY50" s="66"/>
      <c r="BZ50" s="944"/>
      <c r="CA50" s="42" t="str">
        <f t="shared" si="20"/>
        <v>0</v>
      </c>
      <c r="CB50" s="62">
        <f t="shared" si="21"/>
        <v>-44901.944444444445</v>
      </c>
      <c r="CC50" s="42">
        <f t="shared" si="22"/>
        <v>0</v>
      </c>
      <c r="CD50" s="62">
        <f t="shared" si="23"/>
        <v>-44901.944444444445</v>
      </c>
      <c r="CE50" s="62" t="e">
        <f t="shared" si="24"/>
        <v>#N/A</v>
      </c>
      <c r="CF50" s="145" t="str">
        <f t="shared" si="25"/>
        <v>0</v>
      </c>
      <c r="CG50" s="145"/>
      <c r="CH50" s="443" t="e">
        <f t="shared" si="26"/>
        <v>#N/A</v>
      </c>
      <c r="CI50" s="996" t="e">
        <f t="shared" si="27"/>
        <v>#N/A</v>
      </c>
      <c r="CJ50" s="261">
        <f t="shared" si="28"/>
        <v>0</v>
      </c>
      <c r="CK50" s="458">
        <f t="shared" si="29"/>
        <v>954.05555555555475</v>
      </c>
      <c r="CL50" t="str">
        <f t="shared" si="30"/>
        <v>NON-REV</v>
      </c>
      <c r="CM50" t="str">
        <f t="shared" si="31"/>
        <v>10 MONTHS AND ABOVE</v>
      </c>
      <c r="CN50" s="635"/>
      <c r="CO50" s="631"/>
      <c r="CP50" s="629" t="str">
        <f t="shared" si="42"/>
        <v>FOR ISSUANCE</v>
      </c>
      <c r="CQ50" s="635"/>
      <c r="CR50" s="697"/>
      <c r="CS50" s="633" t="str">
        <f t="shared" ca="1" si="33"/>
        <v>0</v>
      </c>
      <c r="CT50" s="635"/>
      <c r="CU50" s="631"/>
      <c r="CV50" s="638"/>
      <c r="CW50" s="156" t="s">
        <v>645</v>
      </c>
      <c r="CX50" s="156" t="str">
        <f>VLOOKUP(E50,'[1]List of Work Orders'!$A:$I,9,FALSE)</f>
        <v>ME155242</v>
      </c>
      <c r="CY50" s="156"/>
      <c r="CZ50" s="63"/>
      <c r="DC50" t="str">
        <f>VLOOKUP(E50,'[2]List of Work Orders'!$A:$F,6,FALSE)</f>
        <v>SCHED</v>
      </c>
      <c r="DS50" s="156" t="s">
        <v>397</v>
      </c>
    </row>
    <row r="51" spans="1:123" customFormat="1" ht="15" customHeight="1" x14ac:dyDescent="0.25">
      <c r="A51" s="221">
        <v>44938</v>
      </c>
      <c r="B51" s="222" t="s">
        <v>308</v>
      </c>
      <c r="C51" s="223"/>
      <c r="D51" s="66" t="s">
        <v>361</v>
      </c>
      <c r="E51" s="404" t="s">
        <v>646</v>
      </c>
      <c r="F51" s="95" t="s">
        <v>647</v>
      </c>
      <c r="G51" s="95" t="s">
        <v>648</v>
      </c>
      <c r="H51" s="95" t="s">
        <v>318</v>
      </c>
      <c r="I51" s="95" t="s">
        <v>239</v>
      </c>
      <c r="J51" s="95" t="s">
        <v>622</v>
      </c>
      <c r="K51" s="101" t="s">
        <v>271</v>
      </c>
      <c r="L51" s="101" t="s">
        <v>263</v>
      </c>
      <c r="M51" s="345" t="s">
        <v>331</v>
      </c>
      <c r="N51" s="442" t="s">
        <v>467</v>
      </c>
      <c r="O51" s="146">
        <v>39.280100000000004</v>
      </c>
      <c r="P51" s="165" t="e">
        <v>#N/A</v>
      </c>
      <c r="Q51" s="157">
        <v>0</v>
      </c>
      <c r="R51" s="109" t="s">
        <v>623</v>
      </c>
      <c r="S51" s="110">
        <v>69142.179999999993</v>
      </c>
      <c r="T51" s="93">
        <v>30610.91</v>
      </c>
      <c r="U51" s="141"/>
      <c r="V51" s="158">
        <f t="shared" si="0"/>
        <v>0</v>
      </c>
      <c r="W51" s="159">
        <v>44901.945138888892</v>
      </c>
      <c r="X51" s="159">
        <v>44938</v>
      </c>
      <c r="Y51" s="160">
        <v>44939</v>
      </c>
      <c r="Z51" s="470"/>
      <c r="AA51" s="470"/>
      <c r="AB51" s="470"/>
      <c r="AC51" s="161">
        <f t="shared" si="1"/>
        <v>-44901.945138888892</v>
      </c>
      <c r="AD51" s="161">
        <f t="shared" si="34"/>
        <v>-44938</v>
      </c>
      <c r="AE51" s="446">
        <f t="shared" si="35"/>
        <v>0</v>
      </c>
      <c r="AF51" s="160" t="e">
        <f t="shared" si="36"/>
        <v>#N/A</v>
      </c>
      <c r="AG51" s="160" t="e">
        <f t="shared" si="37"/>
        <v>#N/A</v>
      </c>
      <c r="AH51" s="159">
        <f t="shared" si="38"/>
        <v>44951.945138888892</v>
      </c>
      <c r="AI51" s="162" t="e">
        <f t="shared" si="7"/>
        <v>#N/A</v>
      </c>
      <c r="AJ51" s="224">
        <f t="shared" si="39"/>
        <v>0</v>
      </c>
      <c r="AK51" s="225" t="e">
        <f t="shared" si="9"/>
        <v>#N/A</v>
      </c>
      <c r="AL51" s="170">
        <f t="shared" si="10"/>
        <v>36</v>
      </c>
      <c r="AM51" s="170" t="e">
        <f t="shared" si="11"/>
        <v>#N/A</v>
      </c>
      <c r="AN51" s="170" t="e">
        <f t="shared" si="12"/>
        <v>#N/A</v>
      </c>
      <c r="AO51" s="226" t="e">
        <f t="shared" si="13"/>
        <v>#N/A</v>
      </c>
      <c r="AP51" s="227">
        <v>60</v>
      </c>
      <c r="AQ51" s="228">
        <f t="shared" si="14"/>
        <v>57</v>
      </c>
      <c r="AR51" s="228">
        <f t="shared" si="15"/>
        <v>52</v>
      </c>
      <c r="AS51" s="229">
        <f t="shared" si="16"/>
        <v>60</v>
      </c>
      <c r="AT51" s="982">
        <f t="shared" ca="1" si="17"/>
        <v>45895</v>
      </c>
      <c r="AU51" s="50"/>
      <c r="AV51" s="118"/>
      <c r="AW51" s="49"/>
      <c r="AX51" s="49"/>
      <c r="AY51" s="49"/>
      <c r="AZ51" s="300"/>
      <c r="BA51" s="119"/>
      <c r="BB51" s="306"/>
      <c r="BC51" s="231"/>
      <c r="BD51" s="232"/>
      <c r="BE51" s="222">
        <f t="shared" si="40"/>
        <v>15</v>
      </c>
      <c r="BF51" s="233">
        <f t="shared" si="41"/>
        <v>0</v>
      </c>
      <c r="BG51" s="234"/>
      <c r="BH51" s="235"/>
      <c r="BI51" s="234"/>
      <c r="BJ51" s="236"/>
      <c r="BK51" s="237"/>
      <c r="BL51" s="222"/>
      <c r="BM51" s="238"/>
      <c r="BN51" s="222"/>
      <c r="BO51" s="222"/>
      <c r="BP51" s="239"/>
      <c r="BQ51" s="240" t="s">
        <v>246</v>
      </c>
      <c r="BR51" s="238"/>
      <c r="BS51" s="68"/>
      <c r="BT51" s="69"/>
      <c r="BU51" s="69"/>
      <c r="BV51" s="69"/>
      <c r="BW51" s="75"/>
      <c r="BX51" s="77"/>
      <c r="BY51" s="66"/>
      <c r="BZ51" s="944"/>
      <c r="CA51" s="42" t="str">
        <f t="shared" si="20"/>
        <v>0</v>
      </c>
      <c r="CB51" s="62">
        <f t="shared" si="21"/>
        <v>-44901.945138888892</v>
      </c>
      <c r="CC51" s="42">
        <f t="shared" si="22"/>
        <v>0</v>
      </c>
      <c r="CD51" s="62">
        <f t="shared" si="23"/>
        <v>-44901.945138888892</v>
      </c>
      <c r="CE51" s="62" t="e">
        <f t="shared" si="24"/>
        <v>#N/A</v>
      </c>
      <c r="CF51" s="145" t="str">
        <f t="shared" si="25"/>
        <v>0</v>
      </c>
      <c r="CG51" s="145"/>
      <c r="CH51" s="443" t="e">
        <f t="shared" si="26"/>
        <v>#N/A</v>
      </c>
      <c r="CI51" s="996" t="e">
        <f t="shared" si="27"/>
        <v>#N/A</v>
      </c>
      <c r="CJ51" s="261">
        <f t="shared" si="28"/>
        <v>0</v>
      </c>
      <c r="CK51" s="458">
        <f t="shared" si="29"/>
        <v>954.05486111110804</v>
      </c>
      <c r="CL51" t="str">
        <f t="shared" si="30"/>
        <v>NON-REV</v>
      </c>
      <c r="CM51" t="str">
        <f t="shared" si="31"/>
        <v>10 MONTHS AND ABOVE</v>
      </c>
      <c r="CN51" s="635"/>
      <c r="CO51" s="631"/>
      <c r="CP51" s="629" t="str">
        <f t="shared" si="42"/>
        <v>FOR ISSUANCE</v>
      </c>
      <c r="CQ51" s="635"/>
      <c r="CR51" s="697"/>
      <c r="CS51" s="633" t="str">
        <f t="shared" ca="1" si="33"/>
        <v>0</v>
      </c>
      <c r="CT51" s="635"/>
      <c r="CU51" s="631"/>
      <c r="CV51" s="638"/>
      <c r="CW51" s="156" t="s">
        <v>649</v>
      </c>
      <c r="CX51" s="156" t="str">
        <f>VLOOKUP(E51,'[1]List of Work Orders'!$A:$I,9,FALSE)</f>
        <v>ME155242</v>
      </c>
      <c r="CY51" s="156"/>
      <c r="DC51" t="str">
        <f>VLOOKUP(E51,'[2]List of Work Orders'!$A:$F,6,FALSE)</f>
        <v>SCHED</v>
      </c>
      <c r="DS51" s="156" t="s">
        <v>397</v>
      </c>
    </row>
    <row r="52" spans="1:123" customFormat="1" ht="15" customHeight="1" x14ac:dyDescent="0.25">
      <c r="A52" s="221">
        <v>44938</v>
      </c>
      <c r="B52" s="222" t="s">
        <v>308</v>
      </c>
      <c r="C52" s="223"/>
      <c r="D52" s="66" t="s">
        <v>361</v>
      </c>
      <c r="E52" s="404" t="s">
        <v>650</v>
      </c>
      <c r="F52" s="95" t="s">
        <v>651</v>
      </c>
      <c r="G52" s="95" t="s">
        <v>652</v>
      </c>
      <c r="H52" s="95" t="s">
        <v>318</v>
      </c>
      <c r="I52" s="95" t="s">
        <v>239</v>
      </c>
      <c r="J52" s="95" t="s">
        <v>653</v>
      </c>
      <c r="K52" s="101" t="s">
        <v>299</v>
      </c>
      <c r="L52" s="101" t="s">
        <v>5</v>
      </c>
      <c r="M52" s="345" t="s">
        <v>331</v>
      </c>
      <c r="N52" s="442" t="s">
        <v>403</v>
      </c>
      <c r="O52" s="165">
        <v>39.280100000000004</v>
      </c>
      <c r="P52" s="165" t="e">
        <v>#N/A</v>
      </c>
      <c r="Q52" s="157">
        <v>0</v>
      </c>
      <c r="R52" s="109" t="s">
        <v>623</v>
      </c>
      <c r="S52" s="110">
        <v>69142.179999999993</v>
      </c>
      <c r="T52" s="93">
        <v>30610.91</v>
      </c>
      <c r="U52" s="141"/>
      <c r="V52" s="158">
        <f t="shared" si="0"/>
        <v>0</v>
      </c>
      <c r="W52" s="159">
        <v>44901.948611111111</v>
      </c>
      <c r="X52" s="159">
        <v>44938</v>
      </c>
      <c r="Y52" s="160">
        <v>44940</v>
      </c>
      <c r="Z52" s="470"/>
      <c r="AA52" s="470"/>
      <c r="AB52" s="470"/>
      <c r="AC52" s="161">
        <f t="shared" si="1"/>
        <v>-44901.948611111111</v>
      </c>
      <c r="AD52" s="161">
        <f t="shared" si="34"/>
        <v>-44938</v>
      </c>
      <c r="AE52" s="446">
        <f t="shared" si="35"/>
        <v>0</v>
      </c>
      <c r="AF52" s="160" t="e">
        <f t="shared" si="36"/>
        <v>#N/A</v>
      </c>
      <c r="AG52" s="160" t="e">
        <f t="shared" si="37"/>
        <v>#N/A</v>
      </c>
      <c r="AH52" s="159">
        <f t="shared" si="38"/>
        <v>44951.948611111111</v>
      </c>
      <c r="AI52" s="162" t="e">
        <f t="shared" si="7"/>
        <v>#N/A</v>
      </c>
      <c r="AJ52" s="224">
        <f t="shared" si="39"/>
        <v>0</v>
      </c>
      <c r="AK52" s="225" t="e">
        <f t="shared" si="9"/>
        <v>#N/A</v>
      </c>
      <c r="AL52" s="170">
        <f t="shared" si="10"/>
        <v>36</v>
      </c>
      <c r="AM52" s="170" t="e">
        <f t="shared" si="11"/>
        <v>#N/A</v>
      </c>
      <c r="AN52" s="170" t="e">
        <f t="shared" si="12"/>
        <v>#N/A</v>
      </c>
      <c r="AO52" s="226" t="e">
        <f t="shared" si="13"/>
        <v>#N/A</v>
      </c>
      <c r="AP52" s="227">
        <v>60</v>
      </c>
      <c r="AQ52" s="228">
        <f t="shared" si="14"/>
        <v>57</v>
      </c>
      <c r="AR52" s="228">
        <f t="shared" si="15"/>
        <v>52</v>
      </c>
      <c r="AS52" s="229">
        <f t="shared" si="16"/>
        <v>60</v>
      </c>
      <c r="AT52" s="982">
        <f t="shared" ca="1" si="17"/>
        <v>45895</v>
      </c>
      <c r="AU52" s="50"/>
      <c r="AV52" s="118"/>
      <c r="AW52" s="49"/>
      <c r="AX52" s="49"/>
      <c r="AY52" s="49"/>
      <c r="AZ52" s="300"/>
      <c r="BA52" s="119"/>
      <c r="BB52" s="306"/>
      <c r="BC52" s="231"/>
      <c r="BD52" s="232"/>
      <c r="BE52" s="222">
        <f t="shared" si="40"/>
        <v>15</v>
      </c>
      <c r="BF52" s="233">
        <f t="shared" si="41"/>
        <v>0</v>
      </c>
      <c r="BG52" s="234"/>
      <c r="BH52" s="235"/>
      <c r="BI52" s="234"/>
      <c r="BJ52" s="236"/>
      <c r="BK52" s="237"/>
      <c r="BL52" s="222"/>
      <c r="BM52" s="238"/>
      <c r="BN52" s="222"/>
      <c r="BO52" s="222"/>
      <c r="BP52" s="239"/>
      <c r="BQ52" s="240" t="s">
        <v>246</v>
      </c>
      <c r="BR52" s="238"/>
      <c r="BS52" s="68"/>
      <c r="BT52" s="69"/>
      <c r="BU52" s="69"/>
      <c r="BV52" s="69"/>
      <c r="BW52" s="75"/>
      <c r="BX52" s="77"/>
      <c r="BY52" s="66"/>
      <c r="BZ52" s="944"/>
      <c r="CA52" s="42" t="str">
        <f t="shared" si="20"/>
        <v>0</v>
      </c>
      <c r="CB52" s="62">
        <f t="shared" si="21"/>
        <v>-44901.948611111111</v>
      </c>
      <c r="CC52" s="42">
        <f t="shared" si="22"/>
        <v>0</v>
      </c>
      <c r="CD52" s="62">
        <f t="shared" si="23"/>
        <v>-44901.948611111111</v>
      </c>
      <c r="CE52" s="62" t="e">
        <f t="shared" si="24"/>
        <v>#N/A</v>
      </c>
      <c r="CF52" s="145" t="str">
        <f t="shared" si="25"/>
        <v>0</v>
      </c>
      <c r="CG52" s="145"/>
      <c r="CH52" s="443" t="e">
        <f t="shared" si="26"/>
        <v>#N/A</v>
      </c>
      <c r="CI52" s="996" t="e">
        <f t="shared" si="27"/>
        <v>#N/A</v>
      </c>
      <c r="CJ52" s="261">
        <f t="shared" si="28"/>
        <v>0</v>
      </c>
      <c r="CK52" s="458">
        <f t="shared" si="29"/>
        <v>954.05138888888905</v>
      </c>
      <c r="CL52" t="str">
        <f t="shared" si="30"/>
        <v>NON-REV</v>
      </c>
      <c r="CM52" t="str">
        <f t="shared" si="31"/>
        <v>10 MONTHS AND ABOVE</v>
      </c>
      <c r="CN52" s="635"/>
      <c r="CO52" s="631"/>
      <c r="CP52" s="629" t="str">
        <f t="shared" si="42"/>
        <v>FOR ISSUANCE</v>
      </c>
      <c r="CQ52" s="635"/>
      <c r="CR52" s="697"/>
      <c r="CS52" s="633" t="str">
        <f t="shared" ca="1" si="33"/>
        <v>0</v>
      </c>
      <c r="CT52" s="635"/>
      <c r="CU52" s="631"/>
      <c r="CV52" s="638"/>
      <c r="CW52" s="156" t="s">
        <v>654</v>
      </c>
      <c r="CX52" s="156" t="str">
        <f>VLOOKUP(E52,'[1]List of Work Orders'!$A:$I,9,FALSE)</f>
        <v>ME166067</v>
      </c>
      <c r="CY52" s="156"/>
      <c r="DC52" t="str">
        <f>VLOOKUP(E52,'[2]List of Work Orders'!$A:$F,6,FALSE)</f>
        <v>SCHED</v>
      </c>
      <c r="DS52" s="156" t="s">
        <v>403</v>
      </c>
    </row>
    <row r="53" spans="1:123" customFormat="1" ht="15" customHeight="1" x14ac:dyDescent="0.25">
      <c r="A53" s="221">
        <v>44938</v>
      </c>
      <c r="B53" s="222" t="s">
        <v>308</v>
      </c>
      <c r="C53" s="223"/>
      <c r="D53" s="66" t="s">
        <v>361</v>
      </c>
      <c r="E53" s="404" t="s">
        <v>655</v>
      </c>
      <c r="F53" s="95" t="s">
        <v>656</v>
      </c>
      <c r="G53" s="95" t="s">
        <v>657</v>
      </c>
      <c r="H53" s="95" t="s">
        <v>318</v>
      </c>
      <c r="I53" s="95" t="s">
        <v>239</v>
      </c>
      <c r="J53" s="95" t="s">
        <v>658</v>
      </c>
      <c r="K53" s="101" t="s">
        <v>271</v>
      </c>
      <c r="L53" s="101" t="s">
        <v>5</v>
      </c>
      <c r="M53" s="345" t="s">
        <v>331</v>
      </c>
      <c r="N53" s="442" t="s">
        <v>403</v>
      </c>
      <c r="O53" s="165">
        <v>38.384100000000004</v>
      </c>
      <c r="P53" s="165" t="e">
        <v>#N/A</v>
      </c>
      <c r="Q53" s="157">
        <v>0</v>
      </c>
      <c r="R53" s="109" t="s">
        <v>623</v>
      </c>
      <c r="S53" s="110">
        <v>68226.09</v>
      </c>
      <c r="T53" s="93">
        <v>29912.66</v>
      </c>
      <c r="U53" s="141"/>
      <c r="V53" s="158">
        <f t="shared" si="0"/>
        <v>0</v>
      </c>
      <c r="W53" s="159">
        <v>44901.95</v>
      </c>
      <c r="X53" s="159">
        <v>44938</v>
      </c>
      <c r="Y53" s="160">
        <v>44940</v>
      </c>
      <c r="Z53" s="470"/>
      <c r="AA53" s="470"/>
      <c r="AB53" s="470"/>
      <c r="AC53" s="161">
        <f t="shared" si="1"/>
        <v>-44901.95</v>
      </c>
      <c r="AD53" s="161">
        <f t="shared" si="34"/>
        <v>-44938</v>
      </c>
      <c r="AE53" s="446">
        <f t="shared" si="35"/>
        <v>0</v>
      </c>
      <c r="AF53" s="160" t="e">
        <f t="shared" si="36"/>
        <v>#N/A</v>
      </c>
      <c r="AG53" s="160" t="e">
        <f t="shared" si="37"/>
        <v>#N/A</v>
      </c>
      <c r="AH53" s="159">
        <f t="shared" si="38"/>
        <v>44951.95</v>
      </c>
      <c r="AI53" s="162" t="e">
        <f t="shared" si="7"/>
        <v>#N/A</v>
      </c>
      <c r="AJ53" s="224">
        <f t="shared" si="39"/>
        <v>0</v>
      </c>
      <c r="AK53" s="225" t="e">
        <f t="shared" si="9"/>
        <v>#N/A</v>
      </c>
      <c r="AL53" s="170">
        <f t="shared" si="10"/>
        <v>36</v>
      </c>
      <c r="AM53" s="170" t="e">
        <f t="shared" si="11"/>
        <v>#N/A</v>
      </c>
      <c r="AN53" s="170" t="e">
        <f t="shared" si="12"/>
        <v>#N/A</v>
      </c>
      <c r="AO53" s="226" t="e">
        <f t="shared" si="13"/>
        <v>#N/A</v>
      </c>
      <c r="AP53" s="227">
        <v>60</v>
      </c>
      <c r="AQ53" s="228">
        <f t="shared" si="14"/>
        <v>57</v>
      </c>
      <c r="AR53" s="228">
        <f t="shared" si="15"/>
        <v>52</v>
      </c>
      <c r="AS53" s="229">
        <f t="shared" si="16"/>
        <v>60</v>
      </c>
      <c r="AT53" s="982">
        <f t="shared" ca="1" si="17"/>
        <v>45895</v>
      </c>
      <c r="AU53" s="50"/>
      <c r="AV53" s="118"/>
      <c r="AW53" s="49"/>
      <c r="AX53" s="49"/>
      <c r="AY53" s="49"/>
      <c r="AZ53" s="300"/>
      <c r="BA53" s="119"/>
      <c r="BB53" s="306"/>
      <c r="BC53" s="231"/>
      <c r="BD53" s="232"/>
      <c r="BE53" s="222">
        <f t="shared" si="40"/>
        <v>15</v>
      </c>
      <c r="BF53" s="233">
        <f t="shared" si="41"/>
        <v>0</v>
      </c>
      <c r="BG53" s="234"/>
      <c r="BH53" s="235"/>
      <c r="BI53" s="234"/>
      <c r="BJ53" s="236"/>
      <c r="BK53" s="237"/>
      <c r="BL53" s="222"/>
      <c r="BM53" s="238"/>
      <c r="BN53" s="222"/>
      <c r="BO53" s="222"/>
      <c r="BP53" s="239"/>
      <c r="BQ53" s="240" t="s">
        <v>246</v>
      </c>
      <c r="BR53" s="238"/>
      <c r="BS53" s="68"/>
      <c r="BT53" s="69"/>
      <c r="BU53" s="69"/>
      <c r="BV53" s="69"/>
      <c r="BW53" s="75"/>
      <c r="BX53" s="77"/>
      <c r="BY53" s="66"/>
      <c r="BZ53" s="944"/>
      <c r="CA53" s="42" t="str">
        <f t="shared" si="20"/>
        <v>0</v>
      </c>
      <c r="CB53" s="62">
        <f t="shared" si="21"/>
        <v>-44901.95</v>
      </c>
      <c r="CC53" s="42">
        <f t="shared" si="22"/>
        <v>0</v>
      </c>
      <c r="CD53" s="62">
        <f t="shared" si="23"/>
        <v>-44901.95</v>
      </c>
      <c r="CE53" s="62" t="e">
        <f t="shared" si="24"/>
        <v>#N/A</v>
      </c>
      <c r="CF53" s="145" t="str">
        <f t="shared" si="25"/>
        <v>0</v>
      </c>
      <c r="CG53" s="145"/>
      <c r="CH53" s="443" t="e">
        <f t="shared" si="26"/>
        <v>#N/A</v>
      </c>
      <c r="CI53" s="996" t="e">
        <f t="shared" si="27"/>
        <v>#N/A</v>
      </c>
      <c r="CJ53" s="261">
        <f t="shared" si="28"/>
        <v>0</v>
      </c>
      <c r="CK53" s="458">
        <f t="shared" si="29"/>
        <v>954.05000000000291</v>
      </c>
      <c r="CL53" t="str">
        <f t="shared" si="30"/>
        <v>NON-REV</v>
      </c>
      <c r="CM53" t="str">
        <f t="shared" si="31"/>
        <v>10 MONTHS AND ABOVE</v>
      </c>
      <c r="CN53" s="635"/>
      <c r="CO53" s="631"/>
      <c r="CP53" s="629" t="str">
        <f t="shared" si="42"/>
        <v>FOR ISSUANCE</v>
      </c>
      <c r="CQ53" s="635"/>
      <c r="CR53" s="697"/>
      <c r="CS53" s="633" t="str">
        <f t="shared" ca="1" si="33"/>
        <v>0</v>
      </c>
      <c r="CT53" s="635"/>
      <c r="CU53" s="631"/>
      <c r="CV53" s="638"/>
      <c r="CW53" s="156" t="s">
        <v>659</v>
      </c>
      <c r="CX53" s="156" t="str">
        <f>VLOOKUP(E53,'[1]List of Work Orders'!$A:$I,9,FALSE)</f>
        <v>ME166067</v>
      </c>
      <c r="CY53" s="156"/>
      <c r="DC53" t="str">
        <f>VLOOKUP(E53,'[2]List of Work Orders'!$A:$F,6,FALSE)</f>
        <v>SCHED</v>
      </c>
      <c r="DS53" s="156" t="s">
        <v>403</v>
      </c>
    </row>
    <row r="54" spans="1:123" customFormat="1" ht="15" customHeight="1" x14ac:dyDescent="0.25">
      <c r="A54" s="221">
        <v>44938</v>
      </c>
      <c r="B54" s="222" t="s">
        <v>308</v>
      </c>
      <c r="C54" s="223"/>
      <c r="D54" s="66" t="s">
        <v>361</v>
      </c>
      <c r="E54" s="404" t="s">
        <v>660</v>
      </c>
      <c r="F54" s="95" t="s">
        <v>661</v>
      </c>
      <c r="G54" s="95" t="s">
        <v>662</v>
      </c>
      <c r="H54" s="95" t="s">
        <v>318</v>
      </c>
      <c r="I54" s="95" t="s">
        <v>239</v>
      </c>
      <c r="J54" s="95" t="s">
        <v>663</v>
      </c>
      <c r="K54" s="101" t="s">
        <v>271</v>
      </c>
      <c r="L54" s="101" t="s">
        <v>5</v>
      </c>
      <c r="M54" s="345" t="s">
        <v>331</v>
      </c>
      <c r="N54" s="442" t="s">
        <v>403</v>
      </c>
      <c r="O54" s="165">
        <v>39.280100000000004</v>
      </c>
      <c r="P54" s="165" t="e">
        <v>#N/A</v>
      </c>
      <c r="Q54" s="157">
        <v>0</v>
      </c>
      <c r="R54" s="109" t="s">
        <v>623</v>
      </c>
      <c r="S54" s="110">
        <v>69095.41</v>
      </c>
      <c r="T54" s="93">
        <v>30610.91</v>
      </c>
      <c r="U54" s="141"/>
      <c r="V54" s="158">
        <f t="shared" si="0"/>
        <v>0</v>
      </c>
      <c r="W54" s="159">
        <v>44903.962500000001</v>
      </c>
      <c r="X54" s="159">
        <v>44938</v>
      </c>
      <c r="Y54" s="160">
        <v>44940</v>
      </c>
      <c r="Z54" s="470"/>
      <c r="AA54" s="470"/>
      <c r="AB54" s="470"/>
      <c r="AC54" s="161">
        <f t="shared" si="1"/>
        <v>-44903.962500000001</v>
      </c>
      <c r="AD54" s="161">
        <f t="shared" si="34"/>
        <v>-44938</v>
      </c>
      <c r="AE54" s="446">
        <f t="shared" si="35"/>
        <v>0</v>
      </c>
      <c r="AF54" s="160" t="e">
        <f t="shared" si="36"/>
        <v>#N/A</v>
      </c>
      <c r="AG54" s="160" t="e">
        <f t="shared" si="37"/>
        <v>#N/A</v>
      </c>
      <c r="AH54" s="159">
        <f t="shared" si="38"/>
        <v>44953.962500000001</v>
      </c>
      <c r="AI54" s="162" t="e">
        <f t="shared" si="7"/>
        <v>#N/A</v>
      </c>
      <c r="AJ54" s="224">
        <f t="shared" si="39"/>
        <v>0</v>
      </c>
      <c r="AK54" s="225" t="e">
        <f t="shared" si="9"/>
        <v>#N/A</v>
      </c>
      <c r="AL54" s="170">
        <f t="shared" si="10"/>
        <v>36</v>
      </c>
      <c r="AM54" s="170" t="e">
        <f t="shared" si="11"/>
        <v>#N/A</v>
      </c>
      <c r="AN54" s="170" t="e">
        <f t="shared" si="12"/>
        <v>#N/A</v>
      </c>
      <c r="AO54" s="226" t="e">
        <f t="shared" si="13"/>
        <v>#N/A</v>
      </c>
      <c r="AP54" s="227">
        <v>60</v>
      </c>
      <c r="AQ54" s="228">
        <f t="shared" si="14"/>
        <v>57</v>
      </c>
      <c r="AR54" s="228">
        <f t="shared" si="15"/>
        <v>52</v>
      </c>
      <c r="AS54" s="229">
        <f t="shared" si="16"/>
        <v>60</v>
      </c>
      <c r="AT54" s="982">
        <f t="shared" ca="1" si="17"/>
        <v>45895</v>
      </c>
      <c r="AU54" s="50"/>
      <c r="AV54" s="118"/>
      <c r="AW54" s="49"/>
      <c r="AX54" s="49"/>
      <c r="AY54" s="49"/>
      <c r="AZ54" s="300"/>
      <c r="BA54" s="119"/>
      <c r="BB54" s="306"/>
      <c r="BC54" s="231"/>
      <c r="BD54" s="232"/>
      <c r="BE54" s="222">
        <f t="shared" si="40"/>
        <v>15</v>
      </c>
      <c r="BF54" s="233">
        <f t="shared" si="41"/>
        <v>0</v>
      </c>
      <c r="BG54" s="234"/>
      <c r="BH54" s="235"/>
      <c r="BI54" s="234"/>
      <c r="BJ54" s="236"/>
      <c r="BK54" s="237"/>
      <c r="BL54" s="222"/>
      <c r="BM54" s="238"/>
      <c r="BN54" s="222"/>
      <c r="BO54" s="222"/>
      <c r="BP54" s="239"/>
      <c r="BQ54" s="240" t="s">
        <v>246</v>
      </c>
      <c r="BR54" s="238"/>
      <c r="BS54" s="68"/>
      <c r="BT54" s="69"/>
      <c r="BU54" s="69"/>
      <c r="BV54" s="69"/>
      <c r="BW54" s="75"/>
      <c r="BX54" s="77"/>
      <c r="BY54" s="66"/>
      <c r="BZ54" s="944"/>
      <c r="CA54" s="42" t="str">
        <f t="shared" si="20"/>
        <v>0</v>
      </c>
      <c r="CB54" s="62">
        <f t="shared" si="21"/>
        <v>-44903.962500000001</v>
      </c>
      <c r="CC54" s="42">
        <f t="shared" si="22"/>
        <v>0</v>
      </c>
      <c r="CD54" s="62">
        <f t="shared" si="23"/>
        <v>-44903.962500000001</v>
      </c>
      <c r="CE54" s="62" t="e">
        <f t="shared" si="24"/>
        <v>#N/A</v>
      </c>
      <c r="CF54" s="145" t="str">
        <f t="shared" si="25"/>
        <v>0</v>
      </c>
      <c r="CG54" s="145"/>
      <c r="CH54" s="443" t="e">
        <f t="shared" si="26"/>
        <v>#N/A</v>
      </c>
      <c r="CI54" s="996" t="e">
        <f t="shared" si="27"/>
        <v>#N/A</v>
      </c>
      <c r="CJ54" s="261">
        <f t="shared" si="28"/>
        <v>0</v>
      </c>
      <c r="CK54" s="458">
        <f t="shared" si="29"/>
        <v>952.03749999999854</v>
      </c>
      <c r="CL54" t="str">
        <f t="shared" si="30"/>
        <v>NON-REV</v>
      </c>
      <c r="CM54" t="str">
        <f t="shared" si="31"/>
        <v>10 MONTHS AND ABOVE</v>
      </c>
      <c r="CN54" s="635"/>
      <c r="CO54" s="631"/>
      <c r="CP54" s="629" t="str">
        <f t="shared" si="42"/>
        <v>FOR ISSUANCE</v>
      </c>
      <c r="CQ54" s="635"/>
      <c r="CR54" s="697"/>
      <c r="CS54" s="633" t="str">
        <f t="shared" ca="1" si="33"/>
        <v>0</v>
      </c>
      <c r="CT54" s="635"/>
      <c r="CU54" s="631"/>
      <c r="CV54" s="638"/>
      <c r="CW54" s="156" t="s">
        <v>664</v>
      </c>
      <c r="CX54" s="156" t="str">
        <f>VLOOKUP(E54,'[1]List of Work Orders'!$A:$I,9,FALSE)</f>
        <v>ME166067</v>
      </c>
      <c r="CY54" s="156"/>
      <c r="DC54" t="str">
        <f>VLOOKUP(E54,'[2]List of Work Orders'!$A:$F,6,FALSE)</f>
        <v>SCHED</v>
      </c>
      <c r="DS54" s="156" t="s">
        <v>403</v>
      </c>
    </row>
    <row r="55" spans="1:123" customFormat="1" ht="15" customHeight="1" x14ac:dyDescent="0.25">
      <c r="A55" s="242">
        <v>44911</v>
      </c>
      <c r="B55" s="222" t="s">
        <v>470</v>
      </c>
      <c r="C55" s="241"/>
      <c r="D55" s="66" t="s">
        <v>320</v>
      </c>
      <c r="E55" s="404" t="s">
        <v>665</v>
      </c>
      <c r="F55" s="95" t="s">
        <v>666</v>
      </c>
      <c r="G55" s="95" t="s">
        <v>667</v>
      </c>
      <c r="H55" s="95" t="s">
        <v>253</v>
      </c>
      <c r="I55" s="95" t="s">
        <v>254</v>
      </c>
      <c r="J55" s="155" t="s">
        <v>668</v>
      </c>
      <c r="K55" s="101" t="s">
        <v>299</v>
      </c>
      <c r="L55" s="101" t="s">
        <v>242</v>
      </c>
      <c r="M55" s="345" t="s">
        <v>669</v>
      </c>
      <c r="N55" s="442" t="s">
        <v>467</v>
      </c>
      <c r="O55" s="146">
        <v>13.004099999999999</v>
      </c>
      <c r="P55" s="165" t="e">
        <v>#N/A</v>
      </c>
      <c r="Q55" s="157">
        <v>0</v>
      </c>
      <c r="R55" s="109" t="s">
        <v>327</v>
      </c>
      <c r="S55" s="110">
        <v>37045.870000000003</v>
      </c>
      <c r="T55" s="93">
        <v>13135.2</v>
      </c>
      <c r="U55" s="141"/>
      <c r="V55" s="158">
        <f t="shared" si="0"/>
        <v>0</v>
      </c>
      <c r="W55" s="159">
        <v>44904</v>
      </c>
      <c r="X55" s="159">
        <v>44909</v>
      </c>
      <c r="Y55" s="160">
        <v>44910</v>
      </c>
      <c r="Z55" s="470"/>
      <c r="AA55" s="470"/>
      <c r="AB55" s="470"/>
      <c r="AC55" s="161">
        <f t="shared" si="1"/>
        <v>-44904</v>
      </c>
      <c r="AD55" s="161">
        <f t="shared" si="34"/>
        <v>-44909</v>
      </c>
      <c r="AE55" s="446">
        <f t="shared" si="35"/>
        <v>0</v>
      </c>
      <c r="AF55" s="160" t="e">
        <f t="shared" si="36"/>
        <v>#N/A</v>
      </c>
      <c r="AG55" s="160" t="e">
        <f t="shared" si="37"/>
        <v>#N/A</v>
      </c>
      <c r="AH55" s="159">
        <f t="shared" si="38"/>
        <v>44954</v>
      </c>
      <c r="AI55" s="162" t="e">
        <f t="shared" si="7"/>
        <v>#N/A</v>
      </c>
      <c r="AJ55" s="224">
        <f t="shared" si="39"/>
        <v>0</v>
      </c>
      <c r="AK55" s="225" t="e">
        <f t="shared" si="9"/>
        <v>#N/A</v>
      </c>
      <c r="AL55" s="170">
        <f t="shared" si="10"/>
        <v>36</v>
      </c>
      <c r="AM55" s="170" t="e">
        <f t="shared" si="11"/>
        <v>#N/A</v>
      </c>
      <c r="AN55" s="170" t="e">
        <f t="shared" si="12"/>
        <v>#N/A</v>
      </c>
      <c r="AO55" s="226" t="e">
        <f t="shared" si="13"/>
        <v>#N/A</v>
      </c>
      <c r="AP55" s="227">
        <v>60</v>
      </c>
      <c r="AQ55" s="228">
        <f t="shared" si="14"/>
        <v>57</v>
      </c>
      <c r="AR55" s="228">
        <f t="shared" si="15"/>
        <v>52</v>
      </c>
      <c r="AS55" s="229">
        <f t="shared" si="16"/>
        <v>60</v>
      </c>
      <c r="AT55" s="982">
        <f t="shared" ca="1" si="17"/>
        <v>45895</v>
      </c>
      <c r="AU55" s="50"/>
      <c r="AV55" s="118"/>
      <c r="AW55" s="49"/>
      <c r="AX55" s="49"/>
      <c r="AY55" s="49"/>
      <c r="AZ55" s="300"/>
      <c r="BA55" s="119"/>
      <c r="BB55" s="304"/>
      <c r="BC55" s="231"/>
      <c r="BD55" s="232"/>
      <c r="BE55" s="222">
        <f t="shared" si="40"/>
        <v>15</v>
      </c>
      <c r="BF55" s="233">
        <f t="shared" si="41"/>
        <v>0</v>
      </c>
      <c r="BG55" s="234"/>
      <c r="BH55" s="235"/>
      <c r="BI55" s="234"/>
      <c r="BJ55" s="236"/>
      <c r="BK55" s="222"/>
      <c r="BL55" s="237"/>
      <c r="BM55" s="238"/>
      <c r="BN55" s="222"/>
      <c r="BO55" s="222"/>
      <c r="BP55" s="243"/>
      <c r="BQ55" s="244" t="s">
        <v>246</v>
      </c>
      <c r="BR55" s="238"/>
      <c r="BS55" s="67"/>
      <c r="BT55" s="66"/>
      <c r="BU55" s="66"/>
      <c r="BV55" s="66"/>
      <c r="BW55" s="74"/>
      <c r="BX55" s="81"/>
      <c r="BY55" s="66"/>
      <c r="BZ55" s="944"/>
      <c r="CA55" s="42" t="str">
        <f t="shared" si="20"/>
        <v>0</v>
      </c>
      <c r="CB55" s="62">
        <f t="shared" si="21"/>
        <v>-44904</v>
      </c>
      <c r="CC55" s="42">
        <f t="shared" si="22"/>
        <v>0</v>
      </c>
      <c r="CD55" s="62">
        <f t="shared" si="23"/>
        <v>-44904</v>
      </c>
      <c r="CE55" s="62" t="e">
        <f t="shared" si="24"/>
        <v>#N/A</v>
      </c>
      <c r="CF55" s="145" t="str">
        <f t="shared" si="25"/>
        <v>0</v>
      </c>
      <c r="CG55" s="145"/>
      <c r="CH55" s="443" t="e">
        <f t="shared" si="26"/>
        <v>#N/A</v>
      </c>
      <c r="CI55" s="996" t="e">
        <f t="shared" si="27"/>
        <v>#N/A</v>
      </c>
      <c r="CJ55" s="261">
        <f t="shared" si="28"/>
        <v>0</v>
      </c>
      <c r="CK55" s="458">
        <f t="shared" si="29"/>
        <v>952</v>
      </c>
      <c r="CL55" t="str">
        <f t="shared" si="30"/>
        <v>NON-REV</v>
      </c>
      <c r="CM55" t="str">
        <f t="shared" si="31"/>
        <v>10 MONTHS AND ABOVE</v>
      </c>
      <c r="CN55" s="635"/>
      <c r="CO55" s="631"/>
      <c r="CP55" s="629" t="str">
        <f t="shared" si="42"/>
        <v>FOR ISSUANCE</v>
      </c>
      <c r="CQ55" s="635"/>
      <c r="CR55" s="697"/>
      <c r="CS55" s="633" t="str">
        <f t="shared" ca="1" si="33"/>
        <v>0</v>
      </c>
      <c r="CT55" s="635"/>
      <c r="CU55" s="631"/>
      <c r="CV55" s="638"/>
      <c r="CW55" s="156" t="s">
        <v>670</v>
      </c>
      <c r="CX55" s="156" t="str">
        <f>VLOOKUP(E55,'[1]List of Work Orders'!$A:$I,9,FALSE)</f>
        <v>ME155242</v>
      </c>
      <c r="CY55" s="156"/>
      <c r="CZ55" s="63"/>
      <c r="DC55" t="str">
        <f>VLOOKUP(E55,'[2]List of Work Orders'!$A:$F,6,FALSE)</f>
        <v>PCAN4</v>
      </c>
      <c r="DS55" s="156" t="s">
        <v>397</v>
      </c>
    </row>
    <row r="56" spans="1:123" customFormat="1" ht="15" customHeight="1" x14ac:dyDescent="0.25">
      <c r="A56" s="221">
        <v>44938</v>
      </c>
      <c r="B56" s="222" t="s">
        <v>308</v>
      </c>
      <c r="C56" s="223"/>
      <c r="D56" s="66" t="s">
        <v>361</v>
      </c>
      <c r="E56" s="404" t="s">
        <v>671</v>
      </c>
      <c r="F56" s="95" t="s">
        <v>672</v>
      </c>
      <c r="G56" s="95" t="s">
        <v>652</v>
      </c>
      <c r="H56" s="95" t="s">
        <v>318</v>
      </c>
      <c r="I56" s="95" t="s">
        <v>239</v>
      </c>
      <c r="J56" s="95" t="s">
        <v>673</v>
      </c>
      <c r="K56" s="101" t="s">
        <v>271</v>
      </c>
      <c r="L56" s="101" t="s">
        <v>5</v>
      </c>
      <c r="M56" s="345" t="s">
        <v>331</v>
      </c>
      <c r="N56" s="442" t="s">
        <v>403</v>
      </c>
      <c r="O56" s="165">
        <v>39.280100000000004</v>
      </c>
      <c r="P56" s="165" t="e">
        <v>#N/A</v>
      </c>
      <c r="Q56" s="157">
        <v>0</v>
      </c>
      <c r="R56" s="109" t="s">
        <v>623</v>
      </c>
      <c r="S56" s="110">
        <v>69101.47</v>
      </c>
      <c r="T56" s="93">
        <v>30610.91</v>
      </c>
      <c r="U56" s="141"/>
      <c r="V56" s="158">
        <f t="shared" si="0"/>
        <v>0</v>
      </c>
      <c r="W56" s="159">
        <v>44904.591666666667</v>
      </c>
      <c r="X56" s="159">
        <v>44938</v>
      </c>
      <c r="Y56" s="160">
        <v>44940</v>
      </c>
      <c r="Z56" s="470"/>
      <c r="AA56" s="470"/>
      <c r="AB56" s="470"/>
      <c r="AC56" s="161">
        <f t="shared" si="1"/>
        <v>-44904.591666666667</v>
      </c>
      <c r="AD56" s="161">
        <f t="shared" si="34"/>
        <v>-44938</v>
      </c>
      <c r="AE56" s="446">
        <f t="shared" si="35"/>
        <v>0</v>
      </c>
      <c r="AF56" s="160" t="e">
        <f t="shared" si="36"/>
        <v>#N/A</v>
      </c>
      <c r="AG56" s="160" t="e">
        <f t="shared" si="37"/>
        <v>#N/A</v>
      </c>
      <c r="AH56" s="159">
        <f t="shared" si="38"/>
        <v>44954.591666666667</v>
      </c>
      <c r="AI56" s="162" t="e">
        <f t="shared" si="7"/>
        <v>#N/A</v>
      </c>
      <c r="AJ56" s="224">
        <f t="shared" si="39"/>
        <v>0</v>
      </c>
      <c r="AK56" s="225" t="e">
        <f t="shared" si="9"/>
        <v>#N/A</v>
      </c>
      <c r="AL56" s="170">
        <f t="shared" si="10"/>
        <v>36</v>
      </c>
      <c r="AM56" s="170" t="e">
        <f t="shared" si="11"/>
        <v>#N/A</v>
      </c>
      <c r="AN56" s="170" t="e">
        <f t="shared" si="12"/>
        <v>#N/A</v>
      </c>
      <c r="AO56" s="226" t="e">
        <f t="shared" si="13"/>
        <v>#N/A</v>
      </c>
      <c r="AP56" s="227">
        <v>60</v>
      </c>
      <c r="AQ56" s="228">
        <f t="shared" si="14"/>
        <v>57</v>
      </c>
      <c r="AR56" s="228">
        <f t="shared" si="15"/>
        <v>52</v>
      </c>
      <c r="AS56" s="229">
        <f t="shared" si="16"/>
        <v>60</v>
      </c>
      <c r="AT56" s="982">
        <f t="shared" ca="1" si="17"/>
        <v>45895</v>
      </c>
      <c r="AU56" s="50"/>
      <c r="AV56" s="118"/>
      <c r="AW56" s="49"/>
      <c r="AX56" s="49"/>
      <c r="AY56" s="49"/>
      <c r="AZ56" s="300"/>
      <c r="BA56" s="119"/>
      <c r="BB56" s="306"/>
      <c r="BC56" s="231"/>
      <c r="BD56" s="232"/>
      <c r="BE56" s="222">
        <f t="shared" si="40"/>
        <v>15</v>
      </c>
      <c r="BF56" s="233">
        <f t="shared" si="41"/>
        <v>0</v>
      </c>
      <c r="BG56" s="234"/>
      <c r="BH56" s="235"/>
      <c r="BI56" s="234"/>
      <c r="BJ56" s="236"/>
      <c r="BK56" s="237"/>
      <c r="BL56" s="222"/>
      <c r="BM56" s="238"/>
      <c r="BN56" s="222"/>
      <c r="BO56" s="222"/>
      <c r="BP56" s="239"/>
      <c r="BQ56" s="240" t="s">
        <v>246</v>
      </c>
      <c r="BR56" s="238"/>
      <c r="BS56" s="68"/>
      <c r="BT56" s="69"/>
      <c r="BU56" s="69"/>
      <c r="BV56" s="69"/>
      <c r="BW56" s="75"/>
      <c r="BX56" s="77"/>
      <c r="BY56" s="66"/>
      <c r="BZ56" s="944"/>
      <c r="CA56" s="42" t="str">
        <f t="shared" si="20"/>
        <v>0</v>
      </c>
      <c r="CB56" s="62">
        <f t="shared" si="21"/>
        <v>-44904.591666666667</v>
      </c>
      <c r="CC56" s="42">
        <f t="shared" si="22"/>
        <v>0</v>
      </c>
      <c r="CD56" s="62">
        <f t="shared" si="23"/>
        <v>-44904.591666666667</v>
      </c>
      <c r="CE56" s="62" t="e">
        <f t="shared" si="24"/>
        <v>#N/A</v>
      </c>
      <c r="CF56" s="145" t="str">
        <f t="shared" si="25"/>
        <v>0</v>
      </c>
      <c r="CG56" s="145"/>
      <c r="CH56" s="443" t="e">
        <f t="shared" si="26"/>
        <v>#N/A</v>
      </c>
      <c r="CI56" s="996" t="e">
        <f t="shared" si="27"/>
        <v>#N/A</v>
      </c>
      <c r="CJ56" s="261">
        <f t="shared" si="28"/>
        <v>0</v>
      </c>
      <c r="CK56" s="458">
        <f t="shared" si="29"/>
        <v>951.40833333333285</v>
      </c>
      <c r="CL56" t="str">
        <f t="shared" si="30"/>
        <v>NON-REV</v>
      </c>
      <c r="CM56" t="str">
        <f t="shared" si="31"/>
        <v>10 MONTHS AND ABOVE</v>
      </c>
      <c r="CN56" s="635"/>
      <c r="CO56" s="631"/>
      <c r="CP56" s="629" t="str">
        <f t="shared" si="42"/>
        <v>FOR ISSUANCE</v>
      </c>
      <c r="CQ56" s="635"/>
      <c r="CR56" s="697"/>
      <c r="CS56" s="633" t="str">
        <f t="shared" ca="1" si="33"/>
        <v>0</v>
      </c>
      <c r="CT56" s="635"/>
      <c r="CU56" s="631"/>
      <c r="CV56" s="638"/>
      <c r="CW56" s="156" t="s">
        <v>674</v>
      </c>
      <c r="CX56" s="156" t="str">
        <f>VLOOKUP(E56,'[1]List of Work Orders'!$A:$I,9,FALSE)</f>
        <v>ME166067</v>
      </c>
      <c r="CY56" s="156"/>
      <c r="DC56" t="str">
        <f>VLOOKUP(E56,'[2]List of Work Orders'!$A:$F,6,FALSE)</f>
        <v>SCHED</v>
      </c>
      <c r="DS56" s="156" t="s">
        <v>403</v>
      </c>
    </row>
    <row r="57" spans="1:123" ht="15" customHeight="1" x14ac:dyDescent="0.2">
      <c r="A57" s="221">
        <v>44938</v>
      </c>
      <c r="B57" s="222" t="s">
        <v>308</v>
      </c>
      <c r="C57" s="223"/>
      <c r="D57" s="66" t="s">
        <v>361</v>
      </c>
      <c r="E57" s="404" t="s">
        <v>675</v>
      </c>
      <c r="F57" s="95" t="s">
        <v>676</v>
      </c>
      <c r="G57" s="95" t="s">
        <v>648</v>
      </c>
      <c r="H57" s="95" t="s">
        <v>318</v>
      </c>
      <c r="I57" s="95" t="s">
        <v>239</v>
      </c>
      <c r="J57" s="1134" t="s">
        <v>410</v>
      </c>
      <c r="K57" s="101" t="s">
        <v>271</v>
      </c>
      <c r="L57" s="101" t="s">
        <v>255</v>
      </c>
      <c r="M57" s="345" t="s">
        <v>331</v>
      </c>
      <c r="N57" s="442" t="s">
        <v>381</v>
      </c>
      <c r="O57" s="146">
        <v>39.280100000000004</v>
      </c>
      <c r="P57" s="165" t="e">
        <v>#N/A</v>
      </c>
      <c r="Q57" s="157">
        <v>0</v>
      </c>
      <c r="R57" s="109" t="s">
        <v>623</v>
      </c>
      <c r="S57" s="110">
        <v>69083.289999999994</v>
      </c>
      <c r="T57" s="93">
        <v>30610.91</v>
      </c>
      <c r="U57" s="141"/>
      <c r="V57" s="158">
        <f t="shared" si="0"/>
        <v>0</v>
      </c>
      <c r="W57" s="159">
        <v>44906.914583333331</v>
      </c>
      <c r="X57" s="159">
        <v>44937.602083333331</v>
      </c>
      <c r="Y57" s="160">
        <v>44939</v>
      </c>
      <c r="Z57" s="470"/>
      <c r="AA57" s="470"/>
      <c r="AB57" s="470"/>
      <c r="AC57" s="161">
        <f t="shared" si="1"/>
        <v>-44906.914583333331</v>
      </c>
      <c r="AD57" s="161">
        <f t="shared" si="34"/>
        <v>-44937.602083333331</v>
      </c>
      <c r="AE57" s="446">
        <f t="shared" si="35"/>
        <v>0</v>
      </c>
      <c r="AF57" s="160" t="e">
        <f t="shared" si="36"/>
        <v>#N/A</v>
      </c>
      <c r="AG57" s="160" t="e">
        <f t="shared" si="37"/>
        <v>#N/A</v>
      </c>
      <c r="AH57" s="159">
        <f t="shared" si="38"/>
        <v>44956.914583333331</v>
      </c>
      <c r="AI57" s="162" t="e">
        <f t="shared" si="7"/>
        <v>#N/A</v>
      </c>
      <c r="AJ57" s="224">
        <f t="shared" si="39"/>
        <v>0</v>
      </c>
      <c r="AK57" s="225" t="e">
        <f t="shared" si="9"/>
        <v>#N/A</v>
      </c>
      <c r="AL57" s="170">
        <f t="shared" si="10"/>
        <v>36</v>
      </c>
      <c r="AM57" s="170" t="e">
        <f t="shared" si="11"/>
        <v>#N/A</v>
      </c>
      <c r="AN57" s="170" t="e">
        <f t="shared" si="12"/>
        <v>#N/A</v>
      </c>
      <c r="AO57" s="226" t="e">
        <f t="shared" si="13"/>
        <v>#N/A</v>
      </c>
      <c r="AP57" s="227">
        <v>60</v>
      </c>
      <c r="AQ57" s="228">
        <f t="shared" si="14"/>
        <v>57</v>
      </c>
      <c r="AR57" s="228">
        <f t="shared" si="15"/>
        <v>52</v>
      </c>
      <c r="AS57" s="229">
        <f t="shared" si="16"/>
        <v>60</v>
      </c>
      <c r="AT57" s="982">
        <f t="shared" ca="1" si="17"/>
        <v>45895</v>
      </c>
      <c r="AU57" s="1077"/>
      <c r="AV57" s="1078"/>
      <c r="AW57" s="1079"/>
      <c r="AX57" s="1079"/>
      <c r="AY57" s="1079"/>
      <c r="AZ57" s="1080"/>
      <c r="BA57" s="1081"/>
      <c r="BB57" s="306"/>
      <c r="BC57" s="231"/>
      <c r="BD57" s="232"/>
      <c r="BE57" s="222">
        <f t="shared" si="40"/>
        <v>15</v>
      </c>
      <c r="BF57" s="233">
        <f t="shared" si="41"/>
        <v>0</v>
      </c>
      <c r="BG57" s="234"/>
      <c r="BH57" s="235"/>
      <c r="BI57" s="234"/>
      <c r="BJ57" s="236"/>
      <c r="BK57" s="237"/>
      <c r="BL57" s="222"/>
      <c r="BM57" s="238"/>
      <c r="BN57" s="222"/>
      <c r="BO57" s="222"/>
      <c r="BP57" s="239"/>
      <c r="BQ57" s="240" t="s">
        <v>246</v>
      </c>
      <c r="BR57" s="238"/>
      <c r="BS57" s="68"/>
      <c r="BT57" s="69"/>
      <c r="BU57" s="69"/>
      <c r="BV57" s="69"/>
      <c r="BW57" s="75"/>
      <c r="BX57" s="77"/>
      <c r="BY57" s="66"/>
      <c r="BZ57" s="944"/>
      <c r="CA57" s="42" t="str">
        <f t="shared" si="20"/>
        <v>0</v>
      </c>
      <c r="CB57" s="62">
        <f t="shared" si="21"/>
        <v>-44906.914583333331</v>
      </c>
      <c r="CC57" s="42">
        <f t="shared" si="22"/>
        <v>0</v>
      </c>
      <c r="CD57" s="62">
        <f t="shared" si="23"/>
        <v>-44906.914583333331</v>
      </c>
      <c r="CE57" s="62" t="e">
        <f t="shared" si="24"/>
        <v>#N/A</v>
      </c>
      <c r="CF57" s="1059" t="str">
        <f t="shared" si="25"/>
        <v>0</v>
      </c>
      <c r="CH57" s="1082" t="e">
        <f t="shared" si="26"/>
        <v>#N/A</v>
      </c>
      <c r="CI57" s="1083" t="e">
        <f t="shared" si="27"/>
        <v>#N/A</v>
      </c>
      <c r="CJ57" s="1084">
        <f t="shared" si="28"/>
        <v>0</v>
      </c>
      <c r="CK57" s="1085">
        <f t="shared" si="29"/>
        <v>949.08541666666861</v>
      </c>
      <c r="CL57" s="1057" t="str">
        <f t="shared" si="30"/>
        <v>NON-REV</v>
      </c>
      <c r="CM57" s="1057" t="str">
        <f t="shared" si="31"/>
        <v>10 MONTHS AND ABOVE</v>
      </c>
      <c r="CN57" s="1086"/>
      <c r="CO57" s="1087"/>
      <c r="CP57" s="629" t="str">
        <f t="shared" si="42"/>
        <v>FOR ISSUANCE</v>
      </c>
      <c r="CQ57" s="1086"/>
      <c r="CR57" s="1088"/>
      <c r="CS57" s="1089" t="str">
        <f t="shared" ca="1" si="33"/>
        <v>0</v>
      </c>
      <c r="CT57" s="1086"/>
      <c r="CU57" s="1087"/>
      <c r="CV57" s="1090"/>
      <c r="CW57" s="156" t="s">
        <v>677</v>
      </c>
      <c r="CX57" s="156" t="str">
        <f>VLOOKUP(E57,'[1]List of Work Orders'!$A:$I,9,FALSE)</f>
        <v>ME185284</v>
      </c>
      <c r="CY57" s="156"/>
      <c r="DC57" s="1057" t="str">
        <f>VLOOKUP(E57,'[2]List of Work Orders'!$A:$F,6,FALSE)</f>
        <v>SCHED</v>
      </c>
      <c r="DS57" s="156" t="s">
        <v>381</v>
      </c>
    </row>
    <row r="58" spans="1:123" ht="15" customHeight="1" x14ac:dyDescent="0.2">
      <c r="A58" s="221">
        <v>44938</v>
      </c>
      <c r="B58" s="222" t="s">
        <v>308</v>
      </c>
      <c r="C58" s="223"/>
      <c r="D58" s="66" t="s">
        <v>361</v>
      </c>
      <c r="E58" s="404" t="s">
        <v>678</v>
      </c>
      <c r="F58" s="95" t="s">
        <v>679</v>
      </c>
      <c r="G58" s="95" t="s">
        <v>621</v>
      </c>
      <c r="H58" s="95" t="s">
        <v>318</v>
      </c>
      <c r="I58" s="95" t="s">
        <v>239</v>
      </c>
      <c r="J58" s="1134" t="s">
        <v>410</v>
      </c>
      <c r="K58" s="101" t="s">
        <v>271</v>
      </c>
      <c r="L58" s="101" t="s">
        <v>255</v>
      </c>
      <c r="M58" s="345" t="s">
        <v>331</v>
      </c>
      <c r="N58" s="442" t="s">
        <v>381</v>
      </c>
      <c r="O58" s="146">
        <v>39.280100000000004</v>
      </c>
      <c r="P58" s="165" t="e">
        <v>#N/A</v>
      </c>
      <c r="Q58" s="157">
        <v>0</v>
      </c>
      <c r="R58" s="109" t="s">
        <v>623</v>
      </c>
      <c r="S58" s="110">
        <v>69095.41</v>
      </c>
      <c r="T58" s="93">
        <v>30610.91</v>
      </c>
      <c r="U58" s="141"/>
      <c r="V58" s="158">
        <f t="shared" si="0"/>
        <v>0</v>
      </c>
      <c r="W58" s="159">
        <v>44906.915277777778</v>
      </c>
      <c r="X58" s="159">
        <v>44937.600694444445</v>
      </c>
      <c r="Y58" s="160">
        <v>44939</v>
      </c>
      <c r="Z58" s="470"/>
      <c r="AA58" s="470"/>
      <c r="AB58" s="470"/>
      <c r="AC58" s="161">
        <f t="shared" si="1"/>
        <v>-44906.915277777778</v>
      </c>
      <c r="AD58" s="161">
        <f t="shared" si="34"/>
        <v>-44937.600694444445</v>
      </c>
      <c r="AE58" s="446">
        <f t="shared" si="35"/>
        <v>0</v>
      </c>
      <c r="AF58" s="160" t="e">
        <f t="shared" si="36"/>
        <v>#N/A</v>
      </c>
      <c r="AG58" s="160" t="e">
        <f t="shared" si="37"/>
        <v>#N/A</v>
      </c>
      <c r="AH58" s="159">
        <f t="shared" si="38"/>
        <v>44956.915277777778</v>
      </c>
      <c r="AI58" s="162" t="e">
        <f t="shared" si="7"/>
        <v>#N/A</v>
      </c>
      <c r="AJ58" s="224">
        <f t="shared" si="39"/>
        <v>0</v>
      </c>
      <c r="AK58" s="225" t="e">
        <f t="shared" si="9"/>
        <v>#N/A</v>
      </c>
      <c r="AL58" s="170">
        <f t="shared" si="10"/>
        <v>36</v>
      </c>
      <c r="AM58" s="170" t="e">
        <f t="shared" si="11"/>
        <v>#N/A</v>
      </c>
      <c r="AN58" s="170" t="e">
        <f t="shared" si="12"/>
        <v>#N/A</v>
      </c>
      <c r="AO58" s="226" t="e">
        <f t="shared" si="13"/>
        <v>#N/A</v>
      </c>
      <c r="AP58" s="227">
        <v>60</v>
      </c>
      <c r="AQ58" s="228">
        <f t="shared" si="14"/>
        <v>57</v>
      </c>
      <c r="AR58" s="228">
        <f t="shared" si="15"/>
        <v>52</v>
      </c>
      <c r="AS58" s="229">
        <f t="shared" si="16"/>
        <v>60</v>
      </c>
      <c r="AT58" s="982">
        <f t="shared" ca="1" si="17"/>
        <v>45895</v>
      </c>
      <c r="AU58" s="1077"/>
      <c r="AV58" s="1078"/>
      <c r="AW58" s="1079"/>
      <c r="AX58" s="1079"/>
      <c r="AY58" s="1079"/>
      <c r="AZ58" s="1080"/>
      <c r="BA58" s="1081"/>
      <c r="BB58" s="306"/>
      <c r="BC58" s="231"/>
      <c r="BD58" s="232"/>
      <c r="BE58" s="222">
        <f t="shared" si="40"/>
        <v>15</v>
      </c>
      <c r="BF58" s="233">
        <f t="shared" si="41"/>
        <v>0</v>
      </c>
      <c r="BG58" s="234"/>
      <c r="BH58" s="235"/>
      <c r="BI58" s="234"/>
      <c r="BJ58" s="236"/>
      <c r="BK58" s="237"/>
      <c r="BL58" s="222"/>
      <c r="BM58" s="238"/>
      <c r="BN58" s="222"/>
      <c r="BO58" s="222"/>
      <c r="BP58" s="239"/>
      <c r="BQ58" s="240" t="s">
        <v>246</v>
      </c>
      <c r="BR58" s="238"/>
      <c r="BS58" s="68"/>
      <c r="BT58" s="69"/>
      <c r="BU58" s="69"/>
      <c r="BV58" s="69"/>
      <c r="BW58" s="75"/>
      <c r="BX58" s="77"/>
      <c r="BY58" s="66"/>
      <c r="BZ58" s="944"/>
      <c r="CA58" s="42" t="str">
        <f t="shared" si="20"/>
        <v>0</v>
      </c>
      <c r="CB58" s="62">
        <f t="shared" si="21"/>
        <v>-44906.915277777778</v>
      </c>
      <c r="CC58" s="42">
        <f t="shared" si="22"/>
        <v>0</v>
      </c>
      <c r="CD58" s="62">
        <f t="shared" si="23"/>
        <v>-44906.915277777778</v>
      </c>
      <c r="CE58" s="62" t="e">
        <f t="shared" si="24"/>
        <v>#N/A</v>
      </c>
      <c r="CF58" s="1059" t="str">
        <f t="shared" si="25"/>
        <v>0</v>
      </c>
      <c r="CH58" s="1082" t="e">
        <f t="shared" si="26"/>
        <v>#N/A</v>
      </c>
      <c r="CI58" s="1083" t="e">
        <f t="shared" si="27"/>
        <v>#N/A</v>
      </c>
      <c r="CJ58" s="1084">
        <f t="shared" si="28"/>
        <v>0</v>
      </c>
      <c r="CK58" s="1085">
        <f t="shared" si="29"/>
        <v>949.0847222222219</v>
      </c>
      <c r="CL58" s="1057" t="str">
        <f t="shared" si="30"/>
        <v>NON-REV</v>
      </c>
      <c r="CM58" s="1057" t="str">
        <f t="shared" si="31"/>
        <v>10 MONTHS AND ABOVE</v>
      </c>
      <c r="CN58" s="1086"/>
      <c r="CO58" s="1087"/>
      <c r="CP58" s="629" t="str">
        <f t="shared" si="42"/>
        <v>FOR ISSUANCE</v>
      </c>
      <c r="CQ58" s="1086"/>
      <c r="CR58" s="1088"/>
      <c r="CS58" s="1089" t="str">
        <f t="shared" ca="1" si="33"/>
        <v>0</v>
      </c>
      <c r="CT58" s="1086"/>
      <c r="CU58" s="1087"/>
      <c r="CV58" s="1090"/>
      <c r="CW58" s="156" t="s">
        <v>680</v>
      </c>
      <c r="CX58" s="156" t="str">
        <f>VLOOKUP(E58,'[1]List of Work Orders'!$A:$I,9,FALSE)</f>
        <v>ME185284</v>
      </c>
      <c r="CY58" s="156"/>
      <c r="DC58" s="1057" t="str">
        <f>VLOOKUP(E58,'[2]List of Work Orders'!$A:$F,6,FALSE)</f>
        <v>SCHED</v>
      </c>
      <c r="DS58" s="156" t="s">
        <v>381</v>
      </c>
    </row>
    <row r="59" spans="1:123" ht="15" customHeight="1" x14ac:dyDescent="0.2">
      <c r="A59" s="221">
        <v>44938</v>
      </c>
      <c r="B59" s="222" t="s">
        <v>308</v>
      </c>
      <c r="C59" s="223"/>
      <c r="D59" s="66" t="s">
        <v>361</v>
      </c>
      <c r="E59" s="404" t="s">
        <v>681</v>
      </c>
      <c r="F59" s="95" t="s">
        <v>682</v>
      </c>
      <c r="G59" s="95" t="s">
        <v>683</v>
      </c>
      <c r="H59" s="95" t="s">
        <v>318</v>
      </c>
      <c r="I59" s="95" t="s">
        <v>239</v>
      </c>
      <c r="J59" s="1134" t="s">
        <v>410</v>
      </c>
      <c r="K59" s="95" t="s">
        <v>271</v>
      </c>
      <c r="L59" s="101" t="s">
        <v>255</v>
      </c>
      <c r="M59" s="345" t="s">
        <v>331</v>
      </c>
      <c r="N59" s="442" t="s">
        <v>381</v>
      </c>
      <c r="O59" s="146">
        <v>54.862300000000005</v>
      </c>
      <c r="P59" s="165" t="e">
        <v>#N/A</v>
      </c>
      <c r="Q59" s="157">
        <v>0</v>
      </c>
      <c r="R59" s="109" t="s">
        <v>623</v>
      </c>
      <c r="S59" s="110">
        <v>95850.85</v>
      </c>
      <c r="T59" s="93">
        <v>42754.090000000004</v>
      </c>
      <c r="U59" s="141"/>
      <c r="V59" s="158">
        <f t="shared" si="0"/>
        <v>0</v>
      </c>
      <c r="W59" s="159">
        <v>44906.931944444441</v>
      </c>
      <c r="X59" s="159">
        <v>44937.440972222219</v>
      </c>
      <c r="Y59" s="160">
        <v>44939</v>
      </c>
      <c r="Z59" s="470"/>
      <c r="AA59" s="470"/>
      <c r="AB59" s="470"/>
      <c r="AC59" s="161">
        <f t="shared" si="1"/>
        <v>-44906.931944444441</v>
      </c>
      <c r="AD59" s="161">
        <f t="shared" si="34"/>
        <v>-44937.440972222219</v>
      </c>
      <c r="AE59" s="446">
        <f t="shared" si="35"/>
        <v>0</v>
      </c>
      <c r="AF59" s="160" t="e">
        <f t="shared" si="36"/>
        <v>#N/A</v>
      </c>
      <c r="AG59" s="160" t="e">
        <f t="shared" si="37"/>
        <v>#N/A</v>
      </c>
      <c r="AH59" s="159">
        <f t="shared" si="38"/>
        <v>44956.931944444441</v>
      </c>
      <c r="AI59" s="162" t="e">
        <f t="shared" si="7"/>
        <v>#N/A</v>
      </c>
      <c r="AJ59" s="224">
        <f t="shared" si="39"/>
        <v>0</v>
      </c>
      <c r="AK59" s="225" t="e">
        <f t="shared" si="9"/>
        <v>#N/A</v>
      </c>
      <c r="AL59" s="170">
        <f t="shared" si="10"/>
        <v>36</v>
      </c>
      <c r="AM59" s="170" t="e">
        <f t="shared" si="11"/>
        <v>#N/A</v>
      </c>
      <c r="AN59" s="170" t="e">
        <f t="shared" si="12"/>
        <v>#N/A</v>
      </c>
      <c r="AO59" s="226" t="e">
        <f t="shared" si="13"/>
        <v>#N/A</v>
      </c>
      <c r="AP59" s="227">
        <v>60</v>
      </c>
      <c r="AQ59" s="228">
        <f t="shared" si="14"/>
        <v>57</v>
      </c>
      <c r="AR59" s="228">
        <f t="shared" si="15"/>
        <v>52</v>
      </c>
      <c r="AS59" s="229">
        <f t="shared" si="16"/>
        <v>60</v>
      </c>
      <c r="AT59" s="982">
        <f t="shared" ca="1" si="17"/>
        <v>45895</v>
      </c>
      <c r="AU59" s="1077"/>
      <c r="AV59" s="1078"/>
      <c r="AW59" s="1079"/>
      <c r="AX59" s="1079"/>
      <c r="AY59" s="1079"/>
      <c r="AZ59" s="1080"/>
      <c r="BA59" s="1081"/>
      <c r="BB59" s="306"/>
      <c r="BC59" s="231"/>
      <c r="BD59" s="232"/>
      <c r="BE59" s="222">
        <f t="shared" si="40"/>
        <v>15</v>
      </c>
      <c r="BF59" s="233">
        <f t="shared" si="41"/>
        <v>0</v>
      </c>
      <c r="BG59" s="234"/>
      <c r="BH59" s="235"/>
      <c r="BI59" s="234"/>
      <c r="BJ59" s="236"/>
      <c r="BK59" s="237"/>
      <c r="BL59" s="222"/>
      <c r="BM59" s="238"/>
      <c r="BN59" s="222"/>
      <c r="BO59" s="222"/>
      <c r="BP59" s="239"/>
      <c r="BQ59" s="240" t="s">
        <v>246</v>
      </c>
      <c r="BR59" s="238"/>
      <c r="BS59" s="68"/>
      <c r="BT59" s="69"/>
      <c r="BU59" s="69"/>
      <c r="BV59" s="69"/>
      <c r="BW59" s="75"/>
      <c r="BX59" s="77"/>
      <c r="BY59" s="66"/>
      <c r="BZ59" s="944"/>
      <c r="CA59" s="42" t="str">
        <f t="shared" si="20"/>
        <v>0</v>
      </c>
      <c r="CB59" s="62">
        <f t="shared" si="21"/>
        <v>-44906.931944444441</v>
      </c>
      <c r="CC59" s="42">
        <f t="shared" si="22"/>
        <v>0</v>
      </c>
      <c r="CD59" s="62">
        <f t="shared" si="23"/>
        <v>-44906.931944444441</v>
      </c>
      <c r="CE59" s="62" t="e">
        <f t="shared" si="24"/>
        <v>#N/A</v>
      </c>
      <c r="CF59" s="1059" t="str">
        <f t="shared" si="25"/>
        <v>0</v>
      </c>
      <c r="CH59" s="1082" t="e">
        <f t="shared" si="26"/>
        <v>#N/A</v>
      </c>
      <c r="CI59" s="1083" t="e">
        <f t="shared" si="27"/>
        <v>#N/A</v>
      </c>
      <c r="CJ59" s="1084">
        <f t="shared" si="28"/>
        <v>0</v>
      </c>
      <c r="CK59" s="1085">
        <f t="shared" si="29"/>
        <v>949.06805555555911</v>
      </c>
      <c r="CL59" s="1057" t="str">
        <f t="shared" si="30"/>
        <v>NON-REV</v>
      </c>
      <c r="CM59" s="1057" t="str">
        <f t="shared" si="31"/>
        <v>10 MONTHS AND ABOVE</v>
      </c>
      <c r="CN59" s="1086"/>
      <c r="CO59" s="1087"/>
      <c r="CP59" s="629" t="str">
        <f t="shared" si="42"/>
        <v>FOR ISSUANCE</v>
      </c>
      <c r="CQ59" s="1086"/>
      <c r="CR59" s="1088"/>
      <c r="CS59" s="1089" t="str">
        <f t="shared" ca="1" si="33"/>
        <v>0</v>
      </c>
      <c r="CT59" s="1086"/>
      <c r="CU59" s="1087"/>
      <c r="CV59" s="1090"/>
      <c r="CW59" s="156" t="s">
        <v>684</v>
      </c>
      <c r="CX59" s="156" t="str">
        <f>VLOOKUP(E59,'[1]List of Work Orders'!$A:$I,9,FALSE)</f>
        <v>ME185284</v>
      </c>
      <c r="CY59" s="156"/>
      <c r="DC59" s="1057" t="str">
        <f>VLOOKUP(E59,'[2]List of Work Orders'!$A:$F,6,FALSE)</f>
        <v>SCHED</v>
      </c>
      <c r="DS59" s="156" t="s">
        <v>381</v>
      </c>
    </row>
    <row r="60" spans="1:123" ht="15" customHeight="1" x14ac:dyDescent="0.2">
      <c r="A60" s="221">
        <v>44938</v>
      </c>
      <c r="B60" s="222" t="s">
        <v>308</v>
      </c>
      <c r="C60" s="223"/>
      <c r="D60" s="66" t="s">
        <v>361</v>
      </c>
      <c r="E60" s="404" t="s">
        <v>685</v>
      </c>
      <c r="F60" s="95" t="s">
        <v>686</v>
      </c>
      <c r="G60" s="95" t="s">
        <v>687</v>
      </c>
      <c r="H60" s="95" t="s">
        <v>318</v>
      </c>
      <c r="I60" s="95" t="s">
        <v>239</v>
      </c>
      <c r="J60" s="1134" t="s">
        <v>410</v>
      </c>
      <c r="K60" s="101" t="s">
        <v>271</v>
      </c>
      <c r="L60" s="101" t="s">
        <v>255</v>
      </c>
      <c r="M60" s="345" t="s">
        <v>331</v>
      </c>
      <c r="N60" s="442" t="s">
        <v>381</v>
      </c>
      <c r="O60" s="146">
        <v>47.498399999999997</v>
      </c>
      <c r="P60" s="165" t="e">
        <v>#N/A</v>
      </c>
      <c r="Q60" s="157">
        <v>0</v>
      </c>
      <c r="R60" s="109" t="s">
        <v>623</v>
      </c>
      <c r="S60" s="110">
        <v>77366.97</v>
      </c>
      <c r="T60" s="93">
        <v>37015.410000000003</v>
      </c>
      <c r="U60" s="141"/>
      <c r="V60" s="158">
        <f t="shared" si="0"/>
        <v>0</v>
      </c>
      <c r="W60" s="159">
        <v>44906.933333333334</v>
      </c>
      <c r="X60" s="159">
        <v>44937.602777777778</v>
      </c>
      <c r="Y60" s="160">
        <v>44939</v>
      </c>
      <c r="Z60" s="470"/>
      <c r="AA60" s="470"/>
      <c r="AB60" s="470"/>
      <c r="AC60" s="161">
        <f t="shared" si="1"/>
        <v>-44906.933333333334</v>
      </c>
      <c r="AD60" s="161">
        <f t="shared" si="34"/>
        <v>-44937.602777777778</v>
      </c>
      <c r="AE60" s="446">
        <f t="shared" si="35"/>
        <v>0</v>
      </c>
      <c r="AF60" s="160" t="e">
        <f t="shared" si="36"/>
        <v>#N/A</v>
      </c>
      <c r="AG60" s="160" t="e">
        <f t="shared" si="37"/>
        <v>#N/A</v>
      </c>
      <c r="AH60" s="159">
        <f t="shared" si="38"/>
        <v>44956.933333333334</v>
      </c>
      <c r="AI60" s="162" t="e">
        <f t="shared" si="7"/>
        <v>#N/A</v>
      </c>
      <c r="AJ60" s="224">
        <f t="shared" si="39"/>
        <v>0</v>
      </c>
      <c r="AK60" s="225" t="e">
        <f t="shared" si="9"/>
        <v>#N/A</v>
      </c>
      <c r="AL60" s="170">
        <f t="shared" si="10"/>
        <v>36</v>
      </c>
      <c r="AM60" s="170" t="e">
        <f t="shared" si="11"/>
        <v>#N/A</v>
      </c>
      <c r="AN60" s="170" t="e">
        <f t="shared" si="12"/>
        <v>#N/A</v>
      </c>
      <c r="AO60" s="226" t="e">
        <f t="shared" si="13"/>
        <v>#N/A</v>
      </c>
      <c r="AP60" s="227">
        <v>60</v>
      </c>
      <c r="AQ60" s="228">
        <f t="shared" si="14"/>
        <v>57</v>
      </c>
      <c r="AR60" s="228">
        <f t="shared" si="15"/>
        <v>52</v>
      </c>
      <c r="AS60" s="229">
        <f t="shared" si="16"/>
        <v>60</v>
      </c>
      <c r="AT60" s="982">
        <f t="shared" ca="1" si="17"/>
        <v>45895</v>
      </c>
      <c r="AU60" s="1077"/>
      <c r="AV60" s="1078"/>
      <c r="AW60" s="1079"/>
      <c r="AX60" s="1079"/>
      <c r="AY60" s="1079"/>
      <c r="AZ60" s="1080"/>
      <c r="BA60" s="1081"/>
      <c r="BB60" s="306"/>
      <c r="BC60" s="231"/>
      <c r="BD60" s="232"/>
      <c r="BE60" s="222">
        <f t="shared" si="40"/>
        <v>15</v>
      </c>
      <c r="BF60" s="233">
        <f t="shared" si="41"/>
        <v>0</v>
      </c>
      <c r="BG60" s="234"/>
      <c r="BH60" s="235"/>
      <c r="BI60" s="234"/>
      <c r="BJ60" s="236"/>
      <c r="BK60" s="237"/>
      <c r="BL60" s="222"/>
      <c r="BM60" s="238"/>
      <c r="BN60" s="222"/>
      <c r="BO60" s="222"/>
      <c r="BP60" s="239"/>
      <c r="BQ60" s="240" t="s">
        <v>246</v>
      </c>
      <c r="BR60" s="238"/>
      <c r="BS60" s="68"/>
      <c r="BT60" s="69"/>
      <c r="BU60" s="69"/>
      <c r="BV60" s="69"/>
      <c r="BW60" s="75"/>
      <c r="BX60" s="77"/>
      <c r="BY60" s="66"/>
      <c r="BZ60" s="944"/>
      <c r="CA60" s="42" t="str">
        <f t="shared" si="20"/>
        <v>0</v>
      </c>
      <c r="CB60" s="62">
        <f t="shared" si="21"/>
        <v>-44906.933333333334</v>
      </c>
      <c r="CC60" s="42">
        <f t="shared" si="22"/>
        <v>0</v>
      </c>
      <c r="CD60" s="62">
        <f t="shared" si="23"/>
        <v>-44906.933333333334</v>
      </c>
      <c r="CE60" s="62" t="e">
        <f t="shared" si="24"/>
        <v>#N/A</v>
      </c>
      <c r="CF60" s="1059" t="str">
        <f t="shared" si="25"/>
        <v>0</v>
      </c>
      <c r="CH60" s="1082" t="e">
        <f t="shared" si="26"/>
        <v>#N/A</v>
      </c>
      <c r="CI60" s="1083" t="e">
        <f t="shared" si="27"/>
        <v>#N/A</v>
      </c>
      <c r="CJ60" s="1084">
        <f t="shared" si="28"/>
        <v>0</v>
      </c>
      <c r="CK60" s="1085">
        <f t="shared" si="29"/>
        <v>949.0666666666657</v>
      </c>
      <c r="CL60" s="1057" t="str">
        <f t="shared" si="30"/>
        <v>NON-REV</v>
      </c>
      <c r="CM60" s="1057" t="str">
        <f t="shared" si="31"/>
        <v>10 MONTHS AND ABOVE</v>
      </c>
      <c r="CN60" s="1086"/>
      <c r="CO60" s="1087"/>
      <c r="CP60" s="629" t="str">
        <f t="shared" si="42"/>
        <v>FOR ISSUANCE</v>
      </c>
      <c r="CQ60" s="1086"/>
      <c r="CR60" s="1088"/>
      <c r="CS60" s="1089" t="str">
        <f t="shared" ca="1" si="33"/>
        <v>0</v>
      </c>
      <c r="CT60" s="1086"/>
      <c r="CU60" s="1087"/>
      <c r="CV60" s="1090"/>
      <c r="CW60" s="156" t="s">
        <v>688</v>
      </c>
      <c r="CX60" s="156" t="str">
        <f>VLOOKUP(E60,'[1]List of Work Orders'!$A:$I,9,FALSE)</f>
        <v>ME185284</v>
      </c>
      <c r="CY60" s="156"/>
      <c r="DC60" s="1057" t="str">
        <f>VLOOKUP(E60,'[2]List of Work Orders'!$A:$F,6,FALSE)</f>
        <v>SCHED</v>
      </c>
      <c r="DS60" s="156" t="s">
        <v>381</v>
      </c>
    </row>
    <row r="61" spans="1:123" customFormat="1" ht="15" customHeight="1" x14ac:dyDescent="0.25">
      <c r="A61" s="221">
        <v>44938</v>
      </c>
      <c r="B61" s="222" t="s">
        <v>308</v>
      </c>
      <c r="C61" s="241"/>
      <c r="D61" s="66" t="s">
        <v>361</v>
      </c>
      <c r="E61" s="404" t="s">
        <v>689</v>
      </c>
      <c r="F61" s="95" t="s">
        <v>690</v>
      </c>
      <c r="G61" s="95" t="s">
        <v>691</v>
      </c>
      <c r="H61" s="95" t="s">
        <v>318</v>
      </c>
      <c r="I61" s="95" t="s">
        <v>239</v>
      </c>
      <c r="J61" s="95" t="s">
        <v>461</v>
      </c>
      <c r="K61" s="101" t="s">
        <v>271</v>
      </c>
      <c r="L61" s="101" t="s">
        <v>242</v>
      </c>
      <c r="M61" s="345" t="s">
        <v>331</v>
      </c>
      <c r="N61" s="442" t="s">
        <v>467</v>
      </c>
      <c r="O61" s="165">
        <v>39.280100000000004</v>
      </c>
      <c r="P61" s="165" t="e">
        <v>#N/A</v>
      </c>
      <c r="Q61" s="157">
        <v>0</v>
      </c>
      <c r="R61" s="109" t="s">
        <v>623</v>
      </c>
      <c r="S61" s="110">
        <v>69142.179999999993</v>
      </c>
      <c r="T61" s="93">
        <v>30610.91</v>
      </c>
      <c r="U61" s="141"/>
      <c r="V61" s="158">
        <f t="shared" si="0"/>
        <v>0</v>
      </c>
      <c r="W61" s="159">
        <v>44906.933333333334</v>
      </c>
      <c r="X61" s="159">
        <v>44937.597916666666</v>
      </c>
      <c r="Y61" s="160">
        <v>44940</v>
      </c>
      <c r="Z61" s="470"/>
      <c r="AA61" s="470"/>
      <c r="AB61" s="470"/>
      <c r="AC61" s="161">
        <f t="shared" si="1"/>
        <v>-44906.933333333334</v>
      </c>
      <c r="AD61" s="161">
        <f t="shared" si="34"/>
        <v>-44937.597916666666</v>
      </c>
      <c r="AE61" s="446">
        <f t="shared" si="35"/>
        <v>0</v>
      </c>
      <c r="AF61" s="160" t="e">
        <f t="shared" si="36"/>
        <v>#N/A</v>
      </c>
      <c r="AG61" s="160" t="e">
        <f t="shared" si="37"/>
        <v>#N/A</v>
      </c>
      <c r="AH61" s="159">
        <f t="shared" si="38"/>
        <v>44956.933333333334</v>
      </c>
      <c r="AI61" s="162" t="e">
        <f t="shared" si="7"/>
        <v>#N/A</v>
      </c>
      <c r="AJ61" s="224">
        <f t="shared" si="39"/>
        <v>0</v>
      </c>
      <c r="AK61" s="225" t="e">
        <f t="shared" si="9"/>
        <v>#N/A</v>
      </c>
      <c r="AL61" s="170">
        <f t="shared" si="10"/>
        <v>36</v>
      </c>
      <c r="AM61" s="170" t="e">
        <f t="shared" si="11"/>
        <v>#N/A</v>
      </c>
      <c r="AN61" s="170" t="e">
        <f t="shared" si="12"/>
        <v>#N/A</v>
      </c>
      <c r="AO61" s="226" t="e">
        <f t="shared" si="13"/>
        <v>#N/A</v>
      </c>
      <c r="AP61" s="227">
        <v>60</v>
      </c>
      <c r="AQ61" s="228">
        <f t="shared" si="14"/>
        <v>57</v>
      </c>
      <c r="AR61" s="228">
        <f t="shared" si="15"/>
        <v>52</v>
      </c>
      <c r="AS61" s="229">
        <f t="shared" si="16"/>
        <v>60</v>
      </c>
      <c r="AT61" s="982">
        <f t="shared" ca="1" si="17"/>
        <v>45895</v>
      </c>
      <c r="AU61" s="50"/>
      <c r="AV61" s="118"/>
      <c r="AW61" s="49"/>
      <c r="AX61" s="49"/>
      <c r="AY61" s="49"/>
      <c r="AZ61" s="300"/>
      <c r="BA61" s="119"/>
      <c r="BB61" s="306"/>
      <c r="BC61" s="231"/>
      <c r="BD61" s="232"/>
      <c r="BE61" s="222">
        <f t="shared" si="40"/>
        <v>15</v>
      </c>
      <c r="BF61" s="233">
        <f t="shared" si="41"/>
        <v>0</v>
      </c>
      <c r="BG61" s="234"/>
      <c r="BH61" s="235"/>
      <c r="BI61" s="234"/>
      <c r="BJ61" s="236"/>
      <c r="BK61" s="237"/>
      <c r="BL61" s="222"/>
      <c r="BM61" s="238"/>
      <c r="BN61" s="222"/>
      <c r="BO61" s="222"/>
      <c r="BP61" s="239"/>
      <c r="BQ61" s="240" t="s">
        <v>246</v>
      </c>
      <c r="BR61" s="238"/>
      <c r="BS61" s="68"/>
      <c r="BT61" s="69"/>
      <c r="BU61" s="69"/>
      <c r="BV61" s="69"/>
      <c r="BW61" s="75"/>
      <c r="BX61" s="77"/>
      <c r="BY61" s="66"/>
      <c r="BZ61" s="944"/>
      <c r="CA61" s="42" t="str">
        <f t="shared" si="20"/>
        <v>0</v>
      </c>
      <c r="CB61" s="62">
        <f t="shared" si="21"/>
        <v>-44906.933333333334</v>
      </c>
      <c r="CC61" s="42">
        <f t="shared" si="22"/>
        <v>0</v>
      </c>
      <c r="CD61" s="62">
        <f t="shared" si="23"/>
        <v>-44906.933333333334</v>
      </c>
      <c r="CE61" s="62" t="e">
        <f t="shared" si="24"/>
        <v>#N/A</v>
      </c>
      <c r="CF61" s="145" t="str">
        <f t="shared" si="25"/>
        <v>0</v>
      </c>
      <c r="CG61" s="145"/>
      <c r="CH61" s="443" t="e">
        <f t="shared" si="26"/>
        <v>#N/A</v>
      </c>
      <c r="CI61" s="996" t="e">
        <f t="shared" si="27"/>
        <v>#N/A</v>
      </c>
      <c r="CJ61" s="261">
        <f t="shared" si="28"/>
        <v>0</v>
      </c>
      <c r="CK61" s="458">
        <f t="shared" si="29"/>
        <v>949.0666666666657</v>
      </c>
      <c r="CL61" t="str">
        <f t="shared" si="30"/>
        <v>NON-REV</v>
      </c>
      <c r="CM61" t="str">
        <f t="shared" si="31"/>
        <v>10 MONTHS AND ABOVE</v>
      </c>
      <c r="CN61" s="635"/>
      <c r="CO61" s="631"/>
      <c r="CP61" s="629" t="str">
        <f t="shared" si="42"/>
        <v>FOR ISSUANCE</v>
      </c>
      <c r="CQ61" s="635"/>
      <c r="CR61" s="697"/>
      <c r="CS61" s="633" t="str">
        <f t="shared" ca="1" si="33"/>
        <v>0</v>
      </c>
      <c r="CT61" s="635"/>
      <c r="CU61" s="631"/>
      <c r="CV61" s="638"/>
      <c r="CW61" s="156" t="s">
        <v>692</v>
      </c>
      <c r="CX61" s="156" t="str">
        <f>VLOOKUP(E61,'[1]List of Work Orders'!$A:$I,9,FALSE)</f>
        <v>ME155242</v>
      </c>
      <c r="CY61" s="156"/>
      <c r="CZ61" s="63"/>
      <c r="DC61" t="str">
        <f>VLOOKUP(E61,'[2]List of Work Orders'!$A:$F,6,FALSE)</f>
        <v>SCHED</v>
      </c>
      <c r="DS61" s="156" t="s">
        <v>397</v>
      </c>
    </row>
    <row r="62" spans="1:123" ht="15" customHeight="1" x14ac:dyDescent="0.2">
      <c r="A62" s="221">
        <v>44938</v>
      </c>
      <c r="B62" s="222" t="s">
        <v>308</v>
      </c>
      <c r="C62" s="223"/>
      <c r="D62" s="66" t="s">
        <v>361</v>
      </c>
      <c r="E62" s="404" t="s">
        <v>693</v>
      </c>
      <c r="F62" s="95" t="s">
        <v>694</v>
      </c>
      <c r="G62" s="95" t="s">
        <v>695</v>
      </c>
      <c r="H62" s="95" t="s">
        <v>253</v>
      </c>
      <c r="I62" s="95" t="s">
        <v>254</v>
      </c>
      <c r="J62" s="1134" t="s">
        <v>410</v>
      </c>
      <c r="K62" s="101" t="s">
        <v>271</v>
      </c>
      <c r="L62" s="101" t="s">
        <v>255</v>
      </c>
      <c r="M62" s="345" t="s">
        <v>331</v>
      </c>
      <c r="N62" s="442" t="s">
        <v>381</v>
      </c>
      <c r="O62" s="146">
        <v>38.384100000000004</v>
      </c>
      <c r="P62" s="165" t="e">
        <v>#N/A</v>
      </c>
      <c r="Q62" s="157">
        <v>0</v>
      </c>
      <c r="R62" s="109" t="s">
        <v>623</v>
      </c>
      <c r="S62" s="110">
        <v>68226.09</v>
      </c>
      <c r="T62" s="93">
        <v>29912.66</v>
      </c>
      <c r="U62" s="141"/>
      <c r="V62" s="158">
        <f t="shared" si="0"/>
        <v>0</v>
      </c>
      <c r="W62" s="159">
        <v>44906.935416666667</v>
      </c>
      <c r="X62" s="159">
        <v>44937.59652777778</v>
      </c>
      <c r="Y62" s="160">
        <v>44939</v>
      </c>
      <c r="Z62" s="470"/>
      <c r="AA62" s="470"/>
      <c r="AB62" s="470"/>
      <c r="AC62" s="161">
        <f t="shared" si="1"/>
        <v>-44906.935416666667</v>
      </c>
      <c r="AD62" s="161">
        <f t="shared" si="34"/>
        <v>-44937.59652777778</v>
      </c>
      <c r="AE62" s="446">
        <f t="shared" si="35"/>
        <v>0</v>
      </c>
      <c r="AF62" s="160" t="e">
        <f t="shared" si="36"/>
        <v>#N/A</v>
      </c>
      <c r="AG62" s="160" t="e">
        <f t="shared" si="37"/>
        <v>#N/A</v>
      </c>
      <c r="AH62" s="159">
        <f t="shared" si="38"/>
        <v>44956.935416666667</v>
      </c>
      <c r="AI62" s="162" t="e">
        <f t="shared" si="7"/>
        <v>#N/A</v>
      </c>
      <c r="AJ62" s="224">
        <f t="shared" si="39"/>
        <v>0</v>
      </c>
      <c r="AK62" s="225" t="e">
        <f t="shared" si="9"/>
        <v>#N/A</v>
      </c>
      <c r="AL62" s="170">
        <f t="shared" si="10"/>
        <v>36</v>
      </c>
      <c r="AM62" s="170" t="e">
        <f t="shared" si="11"/>
        <v>#N/A</v>
      </c>
      <c r="AN62" s="170" t="e">
        <f t="shared" si="12"/>
        <v>#N/A</v>
      </c>
      <c r="AO62" s="226" t="e">
        <f t="shared" si="13"/>
        <v>#N/A</v>
      </c>
      <c r="AP62" s="227">
        <v>60</v>
      </c>
      <c r="AQ62" s="228">
        <f t="shared" si="14"/>
        <v>57</v>
      </c>
      <c r="AR62" s="228">
        <f t="shared" si="15"/>
        <v>52</v>
      </c>
      <c r="AS62" s="229">
        <f t="shared" si="16"/>
        <v>60</v>
      </c>
      <c r="AT62" s="982">
        <f t="shared" ca="1" si="17"/>
        <v>45895</v>
      </c>
      <c r="AU62" s="1077"/>
      <c r="AV62" s="1078"/>
      <c r="AW62" s="1079"/>
      <c r="AX62" s="1079"/>
      <c r="AY62" s="1079"/>
      <c r="AZ62" s="1080"/>
      <c r="BA62" s="1081"/>
      <c r="BB62" s="306"/>
      <c r="BC62" s="231"/>
      <c r="BD62" s="232"/>
      <c r="BE62" s="222">
        <f t="shared" si="40"/>
        <v>15</v>
      </c>
      <c r="BF62" s="233">
        <f t="shared" si="41"/>
        <v>0</v>
      </c>
      <c r="BG62" s="234"/>
      <c r="BH62" s="235"/>
      <c r="BI62" s="234"/>
      <c r="BJ62" s="236"/>
      <c r="BK62" s="237"/>
      <c r="BL62" s="222"/>
      <c r="BM62" s="238"/>
      <c r="BN62" s="222"/>
      <c r="BO62" s="222"/>
      <c r="BP62" s="239"/>
      <c r="BQ62" s="240" t="s">
        <v>246</v>
      </c>
      <c r="BR62" s="238"/>
      <c r="BS62" s="68"/>
      <c r="BT62" s="69"/>
      <c r="BU62" s="69"/>
      <c r="BV62" s="69"/>
      <c r="BW62" s="75"/>
      <c r="BX62" s="77"/>
      <c r="BY62" s="66"/>
      <c r="BZ62" s="944"/>
      <c r="CA62" s="42" t="str">
        <f t="shared" si="20"/>
        <v>0</v>
      </c>
      <c r="CB62" s="62">
        <f t="shared" si="21"/>
        <v>-44906.935416666667</v>
      </c>
      <c r="CC62" s="42">
        <f t="shared" si="22"/>
        <v>0</v>
      </c>
      <c r="CD62" s="62">
        <f t="shared" si="23"/>
        <v>-44906.935416666667</v>
      </c>
      <c r="CE62" s="62" t="e">
        <f t="shared" si="24"/>
        <v>#N/A</v>
      </c>
      <c r="CF62" s="1059" t="str">
        <f t="shared" si="25"/>
        <v>0</v>
      </c>
      <c r="CH62" s="1082" t="e">
        <f t="shared" si="26"/>
        <v>#N/A</v>
      </c>
      <c r="CI62" s="1083" t="e">
        <f t="shared" si="27"/>
        <v>#N/A</v>
      </c>
      <c r="CJ62" s="1084">
        <f t="shared" si="28"/>
        <v>0</v>
      </c>
      <c r="CK62" s="1085">
        <f t="shared" si="29"/>
        <v>949.06458333333285</v>
      </c>
      <c r="CL62" s="1057" t="str">
        <f t="shared" si="30"/>
        <v>NON-REV</v>
      </c>
      <c r="CM62" s="1057" t="str">
        <f t="shared" si="31"/>
        <v>10 MONTHS AND ABOVE</v>
      </c>
      <c r="CN62" s="1086"/>
      <c r="CO62" s="1087"/>
      <c r="CP62" s="629" t="str">
        <f t="shared" si="42"/>
        <v>FOR ISSUANCE</v>
      </c>
      <c r="CQ62" s="1086"/>
      <c r="CR62" s="1088"/>
      <c r="CS62" s="1089" t="str">
        <f t="shared" ca="1" si="33"/>
        <v>0</v>
      </c>
      <c r="CT62" s="1086"/>
      <c r="CU62" s="1087"/>
      <c r="CV62" s="1090"/>
      <c r="CW62" s="156" t="s">
        <v>696</v>
      </c>
      <c r="CX62" s="156" t="str">
        <f>VLOOKUP(E62,'[1]List of Work Orders'!$A:$I,9,FALSE)</f>
        <v>ME185284</v>
      </c>
      <c r="CY62" s="156"/>
      <c r="DC62" s="1057" t="str">
        <f>VLOOKUP(E62,'[2]List of Work Orders'!$A:$F,6,FALSE)</f>
        <v>SCHED</v>
      </c>
      <c r="DS62" s="156" t="s">
        <v>381</v>
      </c>
    </row>
    <row r="63" spans="1:123" customFormat="1" ht="15" customHeight="1" x14ac:dyDescent="0.25">
      <c r="A63" s="221">
        <v>44938</v>
      </c>
      <c r="B63" s="222" t="s">
        <v>308</v>
      </c>
      <c r="C63" s="223"/>
      <c r="D63" s="66" t="s">
        <v>361</v>
      </c>
      <c r="E63" s="404" t="s">
        <v>697</v>
      </c>
      <c r="F63" s="95" t="s">
        <v>698</v>
      </c>
      <c r="G63" s="95" t="s">
        <v>699</v>
      </c>
      <c r="H63" s="95" t="s">
        <v>318</v>
      </c>
      <c r="I63" s="95" t="s">
        <v>239</v>
      </c>
      <c r="J63" s="95" t="s">
        <v>700</v>
      </c>
      <c r="K63" s="101" t="s">
        <v>271</v>
      </c>
      <c r="L63" s="101" t="s">
        <v>5</v>
      </c>
      <c r="M63" s="345" t="s">
        <v>402</v>
      </c>
      <c r="N63" s="442" t="s">
        <v>403</v>
      </c>
      <c r="O63" s="165">
        <v>51.012500000000003</v>
      </c>
      <c r="P63" s="165" t="e">
        <v>#N/A</v>
      </c>
      <c r="Q63" s="157">
        <v>0</v>
      </c>
      <c r="R63" s="109" t="s">
        <v>623</v>
      </c>
      <c r="S63" s="110">
        <v>80899.28</v>
      </c>
      <c r="T63" s="93">
        <v>39753.950000000004</v>
      </c>
      <c r="U63" s="141"/>
      <c r="V63" s="158">
        <f t="shared" si="0"/>
        <v>0</v>
      </c>
      <c r="W63" s="159">
        <v>44906.936111111114</v>
      </c>
      <c r="X63" s="159">
        <v>44937.599305555559</v>
      </c>
      <c r="Y63" s="160">
        <v>44940</v>
      </c>
      <c r="Z63" s="470"/>
      <c r="AA63" s="470"/>
      <c r="AB63" s="470"/>
      <c r="AC63" s="161">
        <f t="shared" si="1"/>
        <v>-44906.936111111114</v>
      </c>
      <c r="AD63" s="161">
        <f t="shared" si="34"/>
        <v>-44937.599305555559</v>
      </c>
      <c r="AE63" s="446">
        <f t="shared" si="35"/>
        <v>0</v>
      </c>
      <c r="AF63" s="160" t="e">
        <f t="shared" si="36"/>
        <v>#N/A</v>
      </c>
      <c r="AG63" s="160" t="e">
        <f t="shared" si="37"/>
        <v>#N/A</v>
      </c>
      <c r="AH63" s="159">
        <f t="shared" si="38"/>
        <v>44956.936111111114</v>
      </c>
      <c r="AI63" s="162" t="e">
        <f t="shared" si="7"/>
        <v>#N/A</v>
      </c>
      <c r="AJ63" s="224">
        <f t="shared" si="39"/>
        <v>0</v>
      </c>
      <c r="AK63" s="225" t="e">
        <f t="shared" si="9"/>
        <v>#N/A</v>
      </c>
      <c r="AL63" s="170">
        <f t="shared" si="10"/>
        <v>36</v>
      </c>
      <c r="AM63" s="170" t="e">
        <f t="shared" si="11"/>
        <v>#N/A</v>
      </c>
      <c r="AN63" s="170" t="e">
        <f t="shared" si="12"/>
        <v>#N/A</v>
      </c>
      <c r="AO63" s="226" t="e">
        <f t="shared" si="13"/>
        <v>#N/A</v>
      </c>
      <c r="AP63" s="227">
        <v>60</v>
      </c>
      <c r="AQ63" s="228">
        <f t="shared" si="14"/>
        <v>57</v>
      </c>
      <c r="AR63" s="228">
        <f t="shared" si="15"/>
        <v>52</v>
      </c>
      <c r="AS63" s="229">
        <f t="shared" si="16"/>
        <v>60</v>
      </c>
      <c r="AT63" s="982">
        <f t="shared" ca="1" si="17"/>
        <v>45895</v>
      </c>
      <c r="AU63" s="50"/>
      <c r="AV63" s="118"/>
      <c r="AW63" s="49"/>
      <c r="AX63" s="49"/>
      <c r="AY63" s="49"/>
      <c r="AZ63" s="300"/>
      <c r="BA63" s="119"/>
      <c r="BB63" s="306"/>
      <c r="BC63" s="231"/>
      <c r="BD63" s="232"/>
      <c r="BE63" s="222">
        <f t="shared" si="40"/>
        <v>15</v>
      </c>
      <c r="BF63" s="233">
        <f t="shared" si="41"/>
        <v>0</v>
      </c>
      <c r="BG63" s="234"/>
      <c r="BH63" s="235"/>
      <c r="BI63" s="234"/>
      <c r="BJ63" s="236"/>
      <c r="BK63" s="237"/>
      <c r="BL63" s="222"/>
      <c r="BM63" s="238"/>
      <c r="BN63" s="222"/>
      <c r="BO63" s="222"/>
      <c r="BP63" s="239"/>
      <c r="BQ63" s="240" t="s">
        <v>246</v>
      </c>
      <c r="BR63" s="238"/>
      <c r="BS63" s="68"/>
      <c r="BT63" s="69"/>
      <c r="BU63" s="69"/>
      <c r="BV63" s="69"/>
      <c r="BW63" s="75"/>
      <c r="BX63" s="77"/>
      <c r="BY63" s="66"/>
      <c r="BZ63" s="944"/>
      <c r="CA63" s="42" t="str">
        <f t="shared" si="20"/>
        <v>0</v>
      </c>
      <c r="CB63" s="62">
        <f t="shared" si="21"/>
        <v>-44906.936111111114</v>
      </c>
      <c r="CC63" s="42">
        <f t="shared" si="22"/>
        <v>0</v>
      </c>
      <c r="CD63" s="62">
        <f t="shared" si="23"/>
        <v>-44906.936111111114</v>
      </c>
      <c r="CE63" s="62" t="e">
        <f t="shared" si="24"/>
        <v>#N/A</v>
      </c>
      <c r="CF63" s="145" t="str">
        <f t="shared" si="25"/>
        <v>0</v>
      </c>
      <c r="CG63" s="145"/>
      <c r="CH63" s="443" t="e">
        <f t="shared" si="26"/>
        <v>#N/A</v>
      </c>
      <c r="CI63" s="996" t="e">
        <f t="shared" si="27"/>
        <v>#N/A</v>
      </c>
      <c r="CJ63" s="261">
        <f t="shared" si="28"/>
        <v>0</v>
      </c>
      <c r="CK63" s="458">
        <f t="shared" si="29"/>
        <v>949.06388888888614</v>
      </c>
      <c r="CL63" t="str">
        <f t="shared" si="30"/>
        <v>NON-REV</v>
      </c>
      <c r="CM63" t="str">
        <f t="shared" si="31"/>
        <v>10 MONTHS AND ABOVE</v>
      </c>
      <c r="CN63" s="635"/>
      <c r="CO63" s="631"/>
      <c r="CP63" s="629" t="str">
        <f t="shared" si="42"/>
        <v>FOR ISSUANCE</v>
      </c>
      <c r="CQ63" s="635"/>
      <c r="CR63" s="697"/>
      <c r="CS63" s="633" t="str">
        <f t="shared" ca="1" si="33"/>
        <v>0</v>
      </c>
      <c r="CT63" s="635"/>
      <c r="CU63" s="631"/>
      <c r="CV63" s="638"/>
      <c r="CW63" s="156" t="s">
        <v>701</v>
      </c>
      <c r="CX63" s="156" t="str">
        <f>VLOOKUP(E63,'[1]List of Work Orders'!$A:$I,9,FALSE)</f>
        <v>ME166067</v>
      </c>
      <c r="CY63" s="156"/>
      <c r="DC63" t="str">
        <f>VLOOKUP(E63,'[2]List of Work Orders'!$A:$F,6,FALSE)</f>
        <v>INPRG</v>
      </c>
      <c r="DS63" s="156" t="s">
        <v>403</v>
      </c>
    </row>
    <row r="64" spans="1:123" customFormat="1" ht="15" customHeight="1" x14ac:dyDescent="0.25">
      <c r="A64" s="221">
        <v>44938</v>
      </c>
      <c r="B64" s="222" t="s">
        <v>308</v>
      </c>
      <c r="C64" s="223"/>
      <c r="D64" s="66" t="s">
        <v>361</v>
      </c>
      <c r="E64" s="404" t="s">
        <v>702</v>
      </c>
      <c r="F64" s="95" t="s">
        <v>703</v>
      </c>
      <c r="G64" s="95" t="s">
        <v>704</v>
      </c>
      <c r="H64" s="95" t="s">
        <v>318</v>
      </c>
      <c r="I64" s="95" t="s">
        <v>239</v>
      </c>
      <c r="J64" s="95" t="s">
        <v>622</v>
      </c>
      <c r="K64" s="101" t="s">
        <v>271</v>
      </c>
      <c r="L64" s="101" t="s">
        <v>263</v>
      </c>
      <c r="M64" s="345" t="s">
        <v>331</v>
      </c>
      <c r="N64" s="442" t="s">
        <v>467</v>
      </c>
      <c r="O64" s="146">
        <v>38.384100000000004</v>
      </c>
      <c r="P64" s="165" t="e">
        <v>#N/A</v>
      </c>
      <c r="Q64" s="157">
        <v>0</v>
      </c>
      <c r="R64" s="109" t="s">
        <v>623</v>
      </c>
      <c r="S64" s="110">
        <v>68226.09</v>
      </c>
      <c r="T64" s="93">
        <v>29912.66</v>
      </c>
      <c r="U64" s="141"/>
      <c r="V64" s="158">
        <f t="shared" si="0"/>
        <v>0</v>
      </c>
      <c r="W64" s="159">
        <v>44906.965277777781</v>
      </c>
      <c r="X64" s="159">
        <v>44937.598611111112</v>
      </c>
      <c r="Y64" s="160">
        <v>44939</v>
      </c>
      <c r="Z64" s="470"/>
      <c r="AA64" s="470"/>
      <c r="AB64" s="470"/>
      <c r="AC64" s="161">
        <f t="shared" si="1"/>
        <v>-44906.965277777781</v>
      </c>
      <c r="AD64" s="161">
        <f t="shared" si="34"/>
        <v>-44937.598611111112</v>
      </c>
      <c r="AE64" s="446">
        <f t="shared" si="35"/>
        <v>0</v>
      </c>
      <c r="AF64" s="160" t="e">
        <f t="shared" si="36"/>
        <v>#N/A</v>
      </c>
      <c r="AG64" s="160" t="e">
        <f t="shared" si="37"/>
        <v>#N/A</v>
      </c>
      <c r="AH64" s="159">
        <f t="shared" si="38"/>
        <v>44956.965277777781</v>
      </c>
      <c r="AI64" s="162" t="e">
        <f t="shared" si="7"/>
        <v>#N/A</v>
      </c>
      <c r="AJ64" s="224">
        <f t="shared" si="39"/>
        <v>0</v>
      </c>
      <c r="AK64" s="225" t="e">
        <f t="shared" si="9"/>
        <v>#N/A</v>
      </c>
      <c r="AL64" s="170">
        <f t="shared" si="10"/>
        <v>36</v>
      </c>
      <c r="AM64" s="170" t="e">
        <f t="shared" si="11"/>
        <v>#N/A</v>
      </c>
      <c r="AN64" s="170" t="e">
        <f t="shared" si="12"/>
        <v>#N/A</v>
      </c>
      <c r="AO64" s="226" t="e">
        <f t="shared" si="13"/>
        <v>#N/A</v>
      </c>
      <c r="AP64" s="227">
        <v>60</v>
      </c>
      <c r="AQ64" s="228">
        <f t="shared" si="14"/>
        <v>57</v>
      </c>
      <c r="AR64" s="228">
        <f t="shared" si="15"/>
        <v>52</v>
      </c>
      <c r="AS64" s="229">
        <f t="shared" si="16"/>
        <v>60</v>
      </c>
      <c r="AT64" s="982">
        <f t="shared" ca="1" si="17"/>
        <v>45895</v>
      </c>
      <c r="AU64" s="50"/>
      <c r="AV64" s="118"/>
      <c r="AW64" s="49"/>
      <c r="AX64" s="49"/>
      <c r="AY64" s="49"/>
      <c r="AZ64" s="300"/>
      <c r="BA64" s="119"/>
      <c r="BB64" s="306"/>
      <c r="BC64" s="231"/>
      <c r="BD64" s="232"/>
      <c r="BE64" s="222">
        <f t="shared" si="40"/>
        <v>15</v>
      </c>
      <c r="BF64" s="233">
        <f t="shared" si="41"/>
        <v>0</v>
      </c>
      <c r="BG64" s="234"/>
      <c r="BH64" s="235"/>
      <c r="BI64" s="234"/>
      <c r="BJ64" s="236"/>
      <c r="BK64" s="237"/>
      <c r="BL64" s="222"/>
      <c r="BM64" s="238"/>
      <c r="BN64" s="222"/>
      <c r="BO64" s="222"/>
      <c r="BP64" s="239"/>
      <c r="BQ64" s="240" t="s">
        <v>246</v>
      </c>
      <c r="BR64" s="238"/>
      <c r="BS64" s="68"/>
      <c r="BT64" s="69"/>
      <c r="BU64" s="69"/>
      <c r="BV64" s="69"/>
      <c r="BW64" s="75"/>
      <c r="BX64" s="77"/>
      <c r="BY64" s="66"/>
      <c r="BZ64" s="944"/>
      <c r="CA64" s="42" t="str">
        <f t="shared" si="20"/>
        <v>0</v>
      </c>
      <c r="CB64" s="62">
        <f t="shared" si="21"/>
        <v>-44906.965277777781</v>
      </c>
      <c r="CC64" s="42">
        <f t="shared" si="22"/>
        <v>0</v>
      </c>
      <c r="CD64" s="62">
        <f t="shared" si="23"/>
        <v>-44906.965277777781</v>
      </c>
      <c r="CE64" s="62" t="e">
        <f t="shared" si="24"/>
        <v>#N/A</v>
      </c>
      <c r="CF64" s="145" t="str">
        <f t="shared" si="25"/>
        <v>0</v>
      </c>
      <c r="CG64" s="145"/>
      <c r="CH64" s="443" t="e">
        <f t="shared" si="26"/>
        <v>#N/A</v>
      </c>
      <c r="CI64" s="996" t="e">
        <f t="shared" si="27"/>
        <v>#N/A</v>
      </c>
      <c r="CJ64" s="261">
        <f t="shared" si="28"/>
        <v>0</v>
      </c>
      <c r="CK64" s="458">
        <f t="shared" si="29"/>
        <v>949.03472222221899</v>
      </c>
      <c r="CL64" t="str">
        <f t="shared" si="30"/>
        <v>NON-REV</v>
      </c>
      <c r="CM64" t="str">
        <f t="shared" si="31"/>
        <v>10 MONTHS AND ABOVE</v>
      </c>
      <c r="CN64" s="635"/>
      <c r="CO64" s="631"/>
      <c r="CP64" s="629" t="str">
        <f t="shared" si="42"/>
        <v>FOR ISSUANCE</v>
      </c>
      <c r="CQ64" s="635"/>
      <c r="CR64" s="697"/>
      <c r="CS64" s="633" t="str">
        <f t="shared" ca="1" si="33"/>
        <v>0</v>
      </c>
      <c r="CT64" s="635"/>
      <c r="CU64" s="631"/>
      <c r="CV64" s="638"/>
      <c r="CW64" s="156" t="s">
        <v>705</v>
      </c>
      <c r="CX64" s="156" t="str">
        <f>VLOOKUP(E64,'[1]List of Work Orders'!$A:$I,9,FALSE)</f>
        <v>ME155242</v>
      </c>
      <c r="CY64" s="156"/>
      <c r="DC64" t="str">
        <f>VLOOKUP(E64,'[2]List of Work Orders'!$A:$F,6,FALSE)</f>
        <v>SCHED</v>
      </c>
      <c r="DS64" s="156" t="s">
        <v>397</v>
      </c>
    </row>
    <row r="65" spans="1:123" customFormat="1" ht="15" customHeight="1" x14ac:dyDescent="0.25">
      <c r="A65" s="221">
        <v>44938</v>
      </c>
      <c r="B65" s="222" t="s">
        <v>308</v>
      </c>
      <c r="C65" s="223"/>
      <c r="D65" s="66" t="s">
        <v>361</v>
      </c>
      <c r="E65" s="404" t="s">
        <v>706</v>
      </c>
      <c r="F65" s="95" t="s">
        <v>707</v>
      </c>
      <c r="G65" s="95" t="s">
        <v>648</v>
      </c>
      <c r="H65" s="95" t="s">
        <v>318</v>
      </c>
      <c r="I65" s="95" t="s">
        <v>239</v>
      </c>
      <c r="J65" s="95" t="s">
        <v>663</v>
      </c>
      <c r="K65" s="101" t="s">
        <v>271</v>
      </c>
      <c r="L65" s="101" t="s">
        <v>5</v>
      </c>
      <c r="M65" s="345" t="s">
        <v>331</v>
      </c>
      <c r="N65" s="442" t="s">
        <v>403</v>
      </c>
      <c r="O65" s="165">
        <v>39.280100000000004</v>
      </c>
      <c r="P65" s="165" t="e">
        <v>#N/A</v>
      </c>
      <c r="Q65" s="157">
        <v>0</v>
      </c>
      <c r="R65" s="109" t="s">
        <v>623</v>
      </c>
      <c r="S65" s="110">
        <v>67679.289999999994</v>
      </c>
      <c r="T65" s="93">
        <v>30610.91</v>
      </c>
      <c r="U65" s="141"/>
      <c r="V65" s="158">
        <f t="shared" si="0"/>
        <v>0</v>
      </c>
      <c r="W65" s="159">
        <v>44906.972222222219</v>
      </c>
      <c r="X65" s="159">
        <v>44938</v>
      </c>
      <c r="Y65" s="160">
        <v>44940</v>
      </c>
      <c r="Z65" s="470"/>
      <c r="AA65" s="470"/>
      <c r="AB65" s="470"/>
      <c r="AC65" s="161">
        <f t="shared" si="1"/>
        <v>-44906.972222222219</v>
      </c>
      <c r="AD65" s="161">
        <f t="shared" si="34"/>
        <v>-44938</v>
      </c>
      <c r="AE65" s="446">
        <f t="shared" si="35"/>
        <v>0</v>
      </c>
      <c r="AF65" s="160" t="e">
        <f t="shared" si="36"/>
        <v>#N/A</v>
      </c>
      <c r="AG65" s="160" t="e">
        <f t="shared" si="37"/>
        <v>#N/A</v>
      </c>
      <c r="AH65" s="159">
        <f t="shared" si="38"/>
        <v>44956.972222222219</v>
      </c>
      <c r="AI65" s="162" t="e">
        <f t="shared" si="7"/>
        <v>#N/A</v>
      </c>
      <c r="AJ65" s="224">
        <f t="shared" si="39"/>
        <v>0</v>
      </c>
      <c r="AK65" s="225" t="e">
        <f t="shared" si="9"/>
        <v>#N/A</v>
      </c>
      <c r="AL65" s="170">
        <f t="shared" si="10"/>
        <v>36</v>
      </c>
      <c r="AM65" s="170" t="e">
        <f t="shared" si="11"/>
        <v>#N/A</v>
      </c>
      <c r="AN65" s="170" t="e">
        <f t="shared" si="12"/>
        <v>#N/A</v>
      </c>
      <c r="AO65" s="226" t="e">
        <f t="shared" si="13"/>
        <v>#N/A</v>
      </c>
      <c r="AP65" s="227">
        <v>60</v>
      </c>
      <c r="AQ65" s="228">
        <f t="shared" si="14"/>
        <v>57</v>
      </c>
      <c r="AR65" s="228">
        <f t="shared" si="15"/>
        <v>52</v>
      </c>
      <c r="AS65" s="229">
        <f t="shared" si="16"/>
        <v>60</v>
      </c>
      <c r="AT65" s="982">
        <f t="shared" ca="1" si="17"/>
        <v>45895</v>
      </c>
      <c r="AU65" s="50"/>
      <c r="AV65" s="118"/>
      <c r="AW65" s="49"/>
      <c r="AX65" s="49"/>
      <c r="AY65" s="49"/>
      <c r="AZ65" s="300"/>
      <c r="BA65" s="119"/>
      <c r="BB65" s="306"/>
      <c r="BC65" s="231"/>
      <c r="BD65" s="232"/>
      <c r="BE65" s="222">
        <f t="shared" si="40"/>
        <v>15</v>
      </c>
      <c r="BF65" s="233">
        <f t="shared" si="41"/>
        <v>0</v>
      </c>
      <c r="BG65" s="234"/>
      <c r="BH65" s="235"/>
      <c r="BI65" s="234"/>
      <c r="BJ65" s="236"/>
      <c r="BK65" s="237"/>
      <c r="BL65" s="222"/>
      <c r="BM65" s="238"/>
      <c r="BN65" s="222"/>
      <c r="BO65" s="222"/>
      <c r="BP65" s="239"/>
      <c r="BQ65" s="240" t="s">
        <v>246</v>
      </c>
      <c r="BR65" s="238"/>
      <c r="BS65" s="68"/>
      <c r="BT65" s="69"/>
      <c r="BU65" s="69"/>
      <c r="BV65" s="69"/>
      <c r="BW65" s="75"/>
      <c r="BX65" s="77"/>
      <c r="BY65" s="66"/>
      <c r="BZ65" s="944"/>
      <c r="CA65" s="42" t="str">
        <f t="shared" si="20"/>
        <v>0</v>
      </c>
      <c r="CB65" s="62">
        <f t="shared" si="21"/>
        <v>-44906.972222222219</v>
      </c>
      <c r="CC65" s="42">
        <f t="shared" si="22"/>
        <v>0</v>
      </c>
      <c r="CD65" s="62">
        <f t="shared" si="23"/>
        <v>-44906.972222222219</v>
      </c>
      <c r="CE65" s="62" t="e">
        <f t="shared" si="24"/>
        <v>#N/A</v>
      </c>
      <c r="CF65" s="145" t="str">
        <f t="shared" si="25"/>
        <v>0</v>
      </c>
      <c r="CG65" s="145"/>
      <c r="CH65" s="443" t="e">
        <f t="shared" si="26"/>
        <v>#N/A</v>
      </c>
      <c r="CI65" s="996" t="e">
        <f t="shared" si="27"/>
        <v>#N/A</v>
      </c>
      <c r="CJ65" s="261">
        <f t="shared" si="28"/>
        <v>0</v>
      </c>
      <c r="CK65" s="458">
        <f t="shared" si="29"/>
        <v>949.02777777778101</v>
      </c>
      <c r="CL65" t="str">
        <f t="shared" si="30"/>
        <v>NON-REV</v>
      </c>
      <c r="CM65" t="str">
        <f t="shared" si="31"/>
        <v>10 MONTHS AND ABOVE</v>
      </c>
      <c r="CN65" s="635"/>
      <c r="CO65" s="631"/>
      <c r="CP65" s="629" t="str">
        <f t="shared" si="42"/>
        <v>FOR ISSUANCE</v>
      </c>
      <c r="CQ65" s="635"/>
      <c r="CR65" s="697"/>
      <c r="CS65" s="633" t="str">
        <f t="shared" ca="1" si="33"/>
        <v>0</v>
      </c>
      <c r="CT65" s="635"/>
      <c r="CU65" s="631"/>
      <c r="CV65" s="638"/>
      <c r="CW65" s="156" t="s">
        <v>708</v>
      </c>
      <c r="CX65" s="156" t="str">
        <f>VLOOKUP(E65,'[1]List of Work Orders'!$A:$I,9,FALSE)</f>
        <v>ME166067</v>
      </c>
      <c r="CY65" s="156"/>
      <c r="DC65" t="str">
        <f>VLOOKUP(E65,'[2]List of Work Orders'!$A:$F,6,FALSE)</f>
        <v>SCHED</v>
      </c>
      <c r="DS65" s="156" t="s">
        <v>403</v>
      </c>
    </row>
    <row r="66" spans="1:123" customFormat="1" ht="15" customHeight="1" x14ac:dyDescent="0.25">
      <c r="A66" s="221">
        <v>44938</v>
      </c>
      <c r="B66" s="222" t="s">
        <v>308</v>
      </c>
      <c r="C66" s="223"/>
      <c r="D66" s="66" t="s">
        <v>361</v>
      </c>
      <c r="E66" s="404" t="s">
        <v>709</v>
      </c>
      <c r="F66" s="95" t="s">
        <v>710</v>
      </c>
      <c r="G66" s="95" t="s">
        <v>711</v>
      </c>
      <c r="H66" s="95" t="s">
        <v>318</v>
      </c>
      <c r="I66" s="95" t="s">
        <v>239</v>
      </c>
      <c r="J66" s="95" t="s">
        <v>622</v>
      </c>
      <c r="K66" s="101" t="s">
        <v>271</v>
      </c>
      <c r="L66" s="101" t="s">
        <v>263</v>
      </c>
      <c r="M66" s="345" t="s">
        <v>331</v>
      </c>
      <c r="N66" s="442" t="s">
        <v>467</v>
      </c>
      <c r="O66" s="146">
        <v>39.280100000000004</v>
      </c>
      <c r="P66" s="165" t="e">
        <v>#N/A</v>
      </c>
      <c r="Q66" s="157">
        <v>0</v>
      </c>
      <c r="R66" s="109" t="s">
        <v>623</v>
      </c>
      <c r="S66" s="110">
        <v>69101.47</v>
      </c>
      <c r="T66" s="93">
        <v>30610.91</v>
      </c>
      <c r="U66" s="141"/>
      <c r="V66" s="158">
        <f t="shared" si="0"/>
        <v>0</v>
      </c>
      <c r="W66" s="159">
        <v>44906.977083333331</v>
      </c>
      <c r="X66" s="159">
        <v>44938</v>
      </c>
      <c r="Y66" s="160">
        <v>44939</v>
      </c>
      <c r="Z66" s="470"/>
      <c r="AA66" s="470"/>
      <c r="AB66" s="470"/>
      <c r="AC66" s="161">
        <f t="shared" si="1"/>
        <v>-44906.977083333331</v>
      </c>
      <c r="AD66" s="161">
        <f t="shared" si="34"/>
        <v>-44938</v>
      </c>
      <c r="AE66" s="446">
        <f t="shared" si="35"/>
        <v>0</v>
      </c>
      <c r="AF66" s="160" t="e">
        <f t="shared" si="36"/>
        <v>#N/A</v>
      </c>
      <c r="AG66" s="160" t="e">
        <f t="shared" si="37"/>
        <v>#N/A</v>
      </c>
      <c r="AH66" s="159">
        <f t="shared" si="38"/>
        <v>44956.977083333331</v>
      </c>
      <c r="AI66" s="162" t="e">
        <f t="shared" si="7"/>
        <v>#N/A</v>
      </c>
      <c r="AJ66" s="224">
        <f t="shared" si="39"/>
        <v>0</v>
      </c>
      <c r="AK66" s="225" t="e">
        <f t="shared" si="9"/>
        <v>#N/A</v>
      </c>
      <c r="AL66" s="170">
        <f t="shared" si="10"/>
        <v>36</v>
      </c>
      <c r="AM66" s="170" t="e">
        <f t="shared" si="11"/>
        <v>#N/A</v>
      </c>
      <c r="AN66" s="170" t="e">
        <f t="shared" si="12"/>
        <v>#N/A</v>
      </c>
      <c r="AO66" s="226" t="e">
        <f t="shared" si="13"/>
        <v>#N/A</v>
      </c>
      <c r="AP66" s="227">
        <v>60</v>
      </c>
      <c r="AQ66" s="228">
        <f t="shared" si="14"/>
        <v>57</v>
      </c>
      <c r="AR66" s="228">
        <f t="shared" si="15"/>
        <v>52</v>
      </c>
      <c r="AS66" s="229">
        <f t="shared" si="16"/>
        <v>60</v>
      </c>
      <c r="AT66" s="982">
        <f t="shared" ca="1" si="17"/>
        <v>45895</v>
      </c>
      <c r="AU66" s="50"/>
      <c r="AV66" s="118"/>
      <c r="AW66" s="49"/>
      <c r="AX66" s="49"/>
      <c r="AY66" s="49"/>
      <c r="AZ66" s="300"/>
      <c r="BA66" s="119"/>
      <c r="BB66" s="306"/>
      <c r="BC66" s="231"/>
      <c r="BD66" s="232"/>
      <c r="BE66" s="222">
        <f t="shared" si="40"/>
        <v>15</v>
      </c>
      <c r="BF66" s="233">
        <f t="shared" si="41"/>
        <v>0</v>
      </c>
      <c r="BG66" s="234"/>
      <c r="BH66" s="235"/>
      <c r="BI66" s="234"/>
      <c r="BJ66" s="236"/>
      <c r="BK66" s="237"/>
      <c r="BL66" s="222"/>
      <c r="BM66" s="238"/>
      <c r="BN66" s="222"/>
      <c r="BO66" s="222"/>
      <c r="BP66" s="239"/>
      <c r="BQ66" s="240" t="s">
        <v>246</v>
      </c>
      <c r="BR66" s="238"/>
      <c r="BS66" s="68"/>
      <c r="BT66" s="69"/>
      <c r="BU66" s="69"/>
      <c r="BV66" s="69"/>
      <c r="BW66" s="75"/>
      <c r="BX66" s="77"/>
      <c r="BY66" s="66"/>
      <c r="BZ66" s="944"/>
      <c r="CA66" s="42" t="str">
        <f t="shared" si="20"/>
        <v>0</v>
      </c>
      <c r="CB66" s="62">
        <f t="shared" si="21"/>
        <v>-44906.977083333331</v>
      </c>
      <c r="CC66" s="42">
        <f t="shared" si="22"/>
        <v>0</v>
      </c>
      <c r="CD66" s="62">
        <f t="shared" si="23"/>
        <v>-44906.977083333331</v>
      </c>
      <c r="CE66" s="62" t="e">
        <f t="shared" si="24"/>
        <v>#N/A</v>
      </c>
      <c r="CF66" s="145" t="str">
        <f t="shared" si="25"/>
        <v>0</v>
      </c>
      <c r="CG66" s="145"/>
      <c r="CH66" s="443" t="e">
        <f t="shared" si="26"/>
        <v>#N/A</v>
      </c>
      <c r="CI66" s="996" t="e">
        <f t="shared" si="27"/>
        <v>#N/A</v>
      </c>
      <c r="CJ66" s="261">
        <f t="shared" si="28"/>
        <v>0</v>
      </c>
      <c r="CK66" s="458">
        <f t="shared" si="29"/>
        <v>949.02291666666861</v>
      </c>
      <c r="CL66" t="str">
        <f t="shared" si="30"/>
        <v>NON-REV</v>
      </c>
      <c r="CM66" t="str">
        <f t="shared" si="31"/>
        <v>10 MONTHS AND ABOVE</v>
      </c>
      <c r="CN66" s="635"/>
      <c r="CO66" s="631"/>
      <c r="CP66" s="629" t="str">
        <f t="shared" si="42"/>
        <v>FOR ISSUANCE</v>
      </c>
      <c r="CQ66" s="635"/>
      <c r="CR66" s="697"/>
      <c r="CS66" s="633" t="str">
        <f t="shared" ca="1" si="33"/>
        <v>0</v>
      </c>
      <c r="CT66" s="635"/>
      <c r="CU66" s="631"/>
      <c r="CV66" s="638"/>
      <c r="CW66" s="156" t="s">
        <v>712</v>
      </c>
      <c r="CX66" s="156" t="str">
        <f>VLOOKUP(E66,'[1]List of Work Orders'!$A:$I,9,FALSE)</f>
        <v>ME155242</v>
      </c>
      <c r="CY66" s="156"/>
      <c r="DC66" t="str">
        <f>VLOOKUP(E66,'[2]List of Work Orders'!$A:$F,6,FALSE)</f>
        <v>SCHED</v>
      </c>
      <c r="DS66" s="156" t="s">
        <v>397</v>
      </c>
    </row>
    <row r="67" spans="1:123" customFormat="1" ht="15" customHeight="1" x14ac:dyDescent="0.25">
      <c r="A67" s="242">
        <v>44929</v>
      </c>
      <c r="B67" s="222">
        <v>44922</v>
      </c>
      <c r="C67" s="223"/>
      <c r="D67" s="66" t="s">
        <v>284</v>
      </c>
      <c r="E67" s="404" t="s">
        <v>713</v>
      </c>
      <c r="F67" s="95" t="s">
        <v>714</v>
      </c>
      <c r="G67" s="95" t="s">
        <v>715</v>
      </c>
      <c r="H67" s="95" t="s">
        <v>269</v>
      </c>
      <c r="I67" s="95" t="s">
        <v>239</v>
      </c>
      <c r="J67" s="95" t="s">
        <v>716</v>
      </c>
      <c r="K67" s="101" t="s">
        <v>271</v>
      </c>
      <c r="L67" s="101" t="s">
        <v>263</v>
      </c>
      <c r="M67" s="345" t="s">
        <v>555</v>
      </c>
      <c r="N67" s="442" t="s">
        <v>467</v>
      </c>
      <c r="O67" s="146">
        <v>112.44670000000002</v>
      </c>
      <c r="P67" s="165" t="e">
        <v>#N/A</v>
      </c>
      <c r="Q67" s="157">
        <v>0</v>
      </c>
      <c r="R67" s="109" t="s">
        <v>319</v>
      </c>
      <c r="S67" s="110">
        <v>139047.79999999999</v>
      </c>
      <c r="T67" s="93">
        <v>104815.37</v>
      </c>
      <c r="U67" s="141"/>
      <c r="V67" s="158">
        <f t="shared" ref="V67:V130" si="43">U67/T67</f>
        <v>0</v>
      </c>
      <c r="W67" s="159">
        <v>44916.529166666667</v>
      </c>
      <c r="X67" s="159">
        <v>44924</v>
      </c>
      <c r="Y67" s="160">
        <v>44922</v>
      </c>
      <c r="Z67" s="470"/>
      <c r="AA67" s="470"/>
      <c r="AB67" s="470"/>
      <c r="AC67" s="161">
        <f t="shared" ref="AC67:AC130" si="44">AA67-W67</f>
        <v>-44916.529166666667</v>
      </c>
      <c r="AD67" s="161">
        <f t="shared" si="34"/>
        <v>-44924</v>
      </c>
      <c r="AE67" s="446">
        <f t="shared" si="35"/>
        <v>0</v>
      </c>
      <c r="AF67" s="160" t="e">
        <f t="shared" si="36"/>
        <v>#N/A</v>
      </c>
      <c r="AG67" s="160" t="e">
        <f t="shared" si="37"/>
        <v>#N/A</v>
      </c>
      <c r="AH67" s="159">
        <f t="shared" si="38"/>
        <v>44966.529166666667</v>
      </c>
      <c r="AI67" s="162" t="e">
        <f t="shared" ref="AI67:AI130" si="45" xml:space="preserve"> (0.3)*(AC67/AK67)+(0.7)*(AC67/AL67)</f>
        <v>#N/A</v>
      </c>
      <c r="AJ67" s="224">
        <f t="shared" si="39"/>
        <v>0</v>
      </c>
      <c r="AK67" s="225" t="e">
        <f t="shared" ref="AK67:AK130" si="46">IF(P67&lt;51,20,(IF(P67&lt;101,23,(IF(P67&lt;201,26,IF(P67&lt;301,28,IF(P67&lt;401,30,(IF(P67&lt;501,32,(IF(P67&lt;1001,40,50)))))))))))</f>
        <v>#N/A</v>
      </c>
      <c r="AL67" s="170">
        <f t="shared" ref="AL67:AL130" si="47">IF(Q67&lt;51,36,(IF(Q67&lt;101,34,(IF(Q67&lt;201,32,IF(Q67&lt;301,30,IF(Q67&lt;401,28,(IF(Q67&lt;501,26,(IF(Q67&lt;1001,23,20)))))))))))</f>
        <v>36</v>
      </c>
      <c r="AM67" s="170" t="e">
        <f t="shared" ref="AM67:AM130" si="48">(0.75)/((0.3/AK67)+(0.7/AL67))</f>
        <v>#N/A</v>
      </c>
      <c r="AN67" s="170" t="e">
        <f t="shared" ref="AN67:AN130" si="49">(0.95)/((0.3/AK67)+(0.7/AL67))</f>
        <v>#N/A</v>
      </c>
      <c r="AO67" s="226" t="e">
        <f t="shared" ref="AO67:AO130" si="50">AM67-3</f>
        <v>#N/A</v>
      </c>
      <c r="AP67" s="227">
        <v>60</v>
      </c>
      <c r="AQ67" s="228">
        <f t="shared" ref="AQ67:AQ130" si="51">0.95*AP67</f>
        <v>57</v>
      </c>
      <c r="AR67" s="228">
        <f t="shared" ref="AR67:AR130" si="52">AQ67-5</f>
        <v>52</v>
      </c>
      <c r="AS67" s="229">
        <f t="shared" ref="AS67:AS130" si="53">AA67+AP67</f>
        <v>60</v>
      </c>
      <c r="AT67" s="982">
        <f t="shared" ref="AT67:AT130" ca="1" si="54">IFERROR(TODAY()-AA67,"")</f>
        <v>45895</v>
      </c>
      <c r="AU67" s="50"/>
      <c r="AV67" s="118"/>
      <c r="AW67" s="49"/>
      <c r="AX67" s="49"/>
      <c r="AY67" s="49"/>
      <c r="AZ67" s="300"/>
      <c r="BA67" s="119"/>
      <c r="BB67" s="304"/>
      <c r="BC67" s="231"/>
      <c r="BD67" s="232"/>
      <c r="BE67" s="222">
        <f t="shared" ref="BE67:BE98" si="55">AA67+15</f>
        <v>15</v>
      </c>
      <c r="BF67" s="233">
        <f t="shared" ref="BF67:BF98" si="56">IF(ISBLANK(AA67),0,IF(ISBLANK(BH67),(BE67-$L$1),(BH67-BE67)))</f>
        <v>0</v>
      </c>
      <c r="BG67" s="234"/>
      <c r="BH67" s="235"/>
      <c r="BI67" s="234"/>
      <c r="BJ67" s="236"/>
      <c r="BK67" s="222"/>
      <c r="BL67" s="222"/>
      <c r="BM67" s="238"/>
      <c r="BN67" s="222"/>
      <c r="BO67" s="222"/>
      <c r="BP67" s="243"/>
      <c r="BQ67" s="244" t="s">
        <v>247</v>
      </c>
      <c r="BR67" s="238"/>
      <c r="BS67" s="67"/>
      <c r="BT67" s="66"/>
      <c r="BU67" s="66"/>
      <c r="BV67" s="66"/>
      <c r="BW67" s="74"/>
      <c r="BX67" s="81"/>
      <c r="BY67" s="66"/>
      <c r="BZ67" s="944" t="s">
        <v>717</v>
      </c>
      <c r="CA67" s="42" t="str">
        <f t="shared" ref="CA67:CA130" si="57">IF(AY67="Y",BA67,"0")</f>
        <v>0</v>
      </c>
      <c r="CB67" s="62">
        <f t="shared" ref="CB67:CB130" si="58">AC67-CA67</f>
        <v>-44916.529166666667</v>
      </c>
      <c r="CC67" s="42">
        <f t="shared" ref="CC67:CC130" si="59">BA67</f>
        <v>0</v>
      </c>
      <c r="CD67" s="62">
        <f t="shared" ref="CD67:CD130" si="60">AC67-BA67</f>
        <v>-44916.529166666667</v>
      </c>
      <c r="CE67" s="62" t="e">
        <f t="shared" ref="CE67:CE130" si="61" xml:space="preserve"> (0.3)*(CD67/AK67)+(0.7)*(CD67/AL67)</f>
        <v>#N/A</v>
      </c>
      <c r="CF67" s="145" t="str">
        <f t="shared" ref="CF67:CF130" si="62">IF(AA67="","0",$CF$1-AA67)</f>
        <v>0</v>
      </c>
      <c r="CG67" s="145"/>
      <c r="CH67" s="443" t="e">
        <f t="shared" ref="CH67:CH130" si="63" xml:space="preserve"> (0.3)*(($CF$1-W67)/AK67)+(0.7)*(($CF$1-W67)/AL67)</f>
        <v>#N/A</v>
      </c>
      <c r="CI67" s="996" t="e">
        <f t="shared" ref="CI67:CI130" si="64">CH67-CG67</f>
        <v>#N/A</v>
      </c>
      <c r="CJ67" s="261">
        <f t="shared" ref="CJ67:CJ130" si="65">CF67/AP67</f>
        <v>0</v>
      </c>
      <c r="CK67" s="458">
        <f t="shared" ref="CK67:CK130" si="66">IF(AA67&gt;0,"",$CK$1-W67)</f>
        <v>939.47083333333285</v>
      </c>
      <c r="CL67" t="str">
        <f t="shared" ref="CL67:CL130" si="67">IF(R67="NEW","REV","NON-REV")</f>
        <v>NON-REV</v>
      </c>
      <c r="CM67" t="str">
        <f t="shared" ref="CM67:CM130" si="68">IF(CK67="","",IF(CK67&lt;91,"0-3 MONTHS",(IF(CK67&lt;181,"4-6 MONTHS",(IF(CK67&lt;271,"7-9 MONTHS",IF(CK67&gt;270,"10 MONTHS AND ABOVE",)))))))</f>
        <v>10 MONTHS AND ABOVE</v>
      </c>
      <c r="CN67" s="635"/>
      <c r="CO67" s="631"/>
      <c r="CP67" s="629" t="str">
        <f t="shared" ref="CP67:CP98" si="69">IF(CQ67,"NTC ISSUED","FOR ISSUANCE")</f>
        <v>FOR ISSUANCE</v>
      </c>
      <c r="CQ67" s="635"/>
      <c r="CR67" s="697"/>
      <c r="CS67" s="633" t="str">
        <f t="shared" ref="CS67:CS130" ca="1" si="70">IF(AND(CQ67=0,CR67=0), "0",IF(CR67,(CR67-CQ67),TODAY()-CQ67))</f>
        <v>0</v>
      </c>
      <c r="CT67" s="635"/>
      <c r="CU67" s="631"/>
      <c r="CV67" s="638"/>
      <c r="CW67" s="156" t="s">
        <v>718</v>
      </c>
      <c r="CX67" s="156" t="str">
        <f>VLOOKUP(E67,'[1]List of Work Orders'!$A:$I,9,FALSE)</f>
        <v>ME155242</v>
      </c>
      <c r="CY67" s="156"/>
      <c r="DC67" t="str">
        <f>VLOOKUP(E67,'[2]List of Work Orders'!$A:$F,6,FALSE)</f>
        <v>PCAN</v>
      </c>
      <c r="DS67" s="156" t="s">
        <v>397</v>
      </c>
    </row>
    <row r="68" spans="1:123" customFormat="1" ht="15" customHeight="1" x14ac:dyDescent="0.25">
      <c r="A68" s="242">
        <v>44972</v>
      </c>
      <c r="B68" s="222" t="s">
        <v>308</v>
      </c>
      <c r="C68" s="223"/>
      <c r="D68" s="66" t="s">
        <v>361</v>
      </c>
      <c r="E68" s="412" t="s">
        <v>719</v>
      </c>
      <c r="F68" s="95" t="s">
        <v>720</v>
      </c>
      <c r="G68" s="95" t="s">
        <v>721</v>
      </c>
      <c r="H68" s="95" t="s">
        <v>238</v>
      </c>
      <c r="I68" s="95" t="s">
        <v>239</v>
      </c>
      <c r="J68" s="95" t="s">
        <v>722</v>
      </c>
      <c r="K68" s="101" t="s">
        <v>299</v>
      </c>
      <c r="L68" s="101" t="s">
        <v>366</v>
      </c>
      <c r="M68" s="345" t="s">
        <v>402</v>
      </c>
      <c r="N68" s="442" t="s">
        <v>367</v>
      </c>
      <c r="O68" s="165">
        <v>84.023900000000012</v>
      </c>
      <c r="P68" s="165" t="e">
        <v>#N/A</v>
      </c>
      <c r="Q68" s="157">
        <v>0</v>
      </c>
      <c r="R68" s="109" t="s">
        <v>368</v>
      </c>
      <c r="S68" s="110">
        <v>310484.15000000002</v>
      </c>
      <c r="T68" s="93">
        <v>76106.73000000001</v>
      </c>
      <c r="U68" s="141"/>
      <c r="V68" s="158">
        <f t="shared" si="43"/>
        <v>0</v>
      </c>
      <c r="W68" s="159">
        <v>44958.42291666667</v>
      </c>
      <c r="X68" s="159">
        <v>44972.51666666667</v>
      </c>
      <c r="Y68" s="160">
        <v>44960</v>
      </c>
      <c r="Z68" s="470"/>
      <c r="AA68" s="470"/>
      <c r="AB68" s="470"/>
      <c r="AC68" s="161">
        <f t="shared" si="44"/>
        <v>-44958.42291666667</v>
      </c>
      <c r="AD68" s="161">
        <f t="shared" si="34"/>
        <v>-44972.51666666667</v>
      </c>
      <c r="AE68" s="446">
        <f t="shared" si="35"/>
        <v>0</v>
      </c>
      <c r="AF68" s="160" t="e">
        <f t="shared" si="36"/>
        <v>#N/A</v>
      </c>
      <c r="AG68" s="160" t="e">
        <f t="shared" si="37"/>
        <v>#N/A</v>
      </c>
      <c r="AH68" s="159">
        <f t="shared" si="38"/>
        <v>45008.42291666667</v>
      </c>
      <c r="AI68" s="162" t="e">
        <f t="shared" si="45"/>
        <v>#N/A</v>
      </c>
      <c r="AJ68" s="224">
        <f t="shared" si="39"/>
        <v>0</v>
      </c>
      <c r="AK68" s="225" t="e">
        <f t="shared" si="46"/>
        <v>#N/A</v>
      </c>
      <c r="AL68" s="170">
        <f t="shared" si="47"/>
        <v>36</v>
      </c>
      <c r="AM68" s="170" t="e">
        <f t="shared" si="48"/>
        <v>#N/A</v>
      </c>
      <c r="AN68" s="170" t="e">
        <f t="shared" si="49"/>
        <v>#N/A</v>
      </c>
      <c r="AO68" s="226" t="e">
        <f t="shared" si="50"/>
        <v>#N/A</v>
      </c>
      <c r="AP68" s="227">
        <v>60</v>
      </c>
      <c r="AQ68" s="228">
        <f t="shared" si="51"/>
        <v>57</v>
      </c>
      <c r="AR68" s="228">
        <f t="shared" si="52"/>
        <v>52</v>
      </c>
      <c r="AS68" s="229">
        <f t="shared" si="53"/>
        <v>60</v>
      </c>
      <c r="AT68" s="982">
        <f t="shared" ca="1" si="54"/>
        <v>45895</v>
      </c>
      <c r="AU68" s="50"/>
      <c r="AV68" s="118"/>
      <c r="AW68" s="49"/>
      <c r="AX68" s="49"/>
      <c r="AY68" s="49"/>
      <c r="AZ68" s="300"/>
      <c r="BA68" s="119"/>
      <c r="BB68" s="304"/>
      <c r="BC68" s="231"/>
      <c r="BD68" s="232"/>
      <c r="BE68" s="222">
        <f t="shared" si="55"/>
        <v>15</v>
      </c>
      <c r="BF68" s="233">
        <f t="shared" si="56"/>
        <v>0</v>
      </c>
      <c r="BG68" s="234"/>
      <c r="BH68" s="235"/>
      <c r="BI68" s="234"/>
      <c r="BJ68" s="236"/>
      <c r="BK68" s="222"/>
      <c r="BL68" s="222"/>
      <c r="BM68" s="238"/>
      <c r="BN68" s="222"/>
      <c r="BO68" s="222"/>
      <c r="BP68" s="243"/>
      <c r="BQ68" s="244" t="s">
        <v>246</v>
      </c>
      <c r="BR68" s="238"/>
      <c r="BS68" s="68" t="s">
        <v>369</v>
      </c>
      <c r="BT68" s="69" t="s">
        <v>723</v>
      </c>
      <c r="BU68" s="69" t="s">
        <v>247</v>
      </c>
      <c r="BV68" s="69" t="s">
        <v>383</v>
      </c>
      <c r="BW68" s="75"/>
      <c r="BX68" s="81"/>
      <c r="BY68" s="66"/>
      <c r="BZ68" s="944" t="s">
        <v>724</v>
      </c>
      <c r="CA68" s="42" t="str">
        <f t="shared" si="57"/>
        <v>0</v>
      </c>
      <c r="CB68" s="62">
        <f t="shared" si="58"/>
        <v>-44958.42291666667</v>
      </c>
      <c r="CC68" s="42">
        <f t="shared" si="59"/>
        <v>0</v>
      </c>
      <c r="CD68" s="62">
        <f t="shared" si="60"/>
        <v>-44958.42291666667</v>
      </c>
      <c r="CE68" s="62" t="e">
        <f t="shared" si="61"/>
        <v>#N/A</v>
      </c>
      <c r="CF68" s="145" t="str">
        <f t="shared" si="62"/>
        <v>0</v>
      </c>
      <c r="CG68" s="145"/>
      <c r="CH68" s="443" t="e">
        <f t="shared" si="63"/>
        <v>#N/A</v>
      </c>
      <c r="CI68" s="996" t="e">
        <f t="shared" si="64"/>
        <v>#N/A</v>
      </c>
      <c r="CJ68" s="261">
        <f t="shared" si="65"/>
        <v>0</v>
      </c>
      <c r="CK68" s="458">
        <f t="shared" si="66"/>
        <v>897.57708333332994</v>
      </c>
      <c r="CL68" t="str">
        <f t="shared" si="67"/>
        <v>NON-REV</v>
      </c>
      <c r="CM68" t="str">
        <f t="shared" si="68"/>
        <v>10 MONTHS AND ABOVE</v>
      </c>
      <c r="CN68" s="635"/>
      <c r="CO68" s="631"/>
      <c r="CP68" s="629" t="str">
        <f t="shared" si="69"/>
        <v>FOR ISSUANCE</v>
      </c>
      <c r="CQ68" s="635"/>
      <c r="CR68" s="697"/>
      <c r="CS68" s="633" t="str">
        <f t="shared" ca="1" si="70"/>
        <v>0</v>
      </c>
      <c r="CT68" s="635"/>
      <c r="CU68" s="631"/>
      <c r="CV68" s="638"/>
      <c r="CW68" s="156" t="s">
        <v>725</v>
      </c>
      <c r="CX68" s="156" t="str">
        <f>VLOOKUP(E68,'[1]List of Work Orders'!$A:$I,9,FALSE)</f>
        <v>ME168443</v>
      </c>
      <c r="CY68" s="156"/>
      <c r="DC68" t="str">
        <f>VLOOKUP(E68,'[2]List of Work Orders'!$A:$F,6,FALSE)</f>
        <v>INPRG</v>
      </c>
      <c r="DS68" s="156" t="s">
        <v>374</v>
      </c>
    </row>
    <row r="69" spans="1:123" customFormat="1" ht="15" customHeight="1" x14ac:dyDescent="0.25">
      <c r="A69" s="242">
        <v>44972</v>
      </c>
      <c r="B69" s="222" t="s">
        <v>308</v>
      </c>
      <c r="C69" s="223"/>
      <c r="D69" s="66" t="s">
        <v>361</v>
      </c>
      <c r="E69" s="404" t="s">
        <v>726</v>
      </c>
      <c r="F69" s="95" t="s">
        <v>727</v>
      </c>
      <c r="G69" s="95" t="s">
        <v>728</v>
      </c>
      <c r="H69" s="95" t="s">
        <v>318</v>
      </c>
      <c r="I69" s="95" t="s">
        <v>239</v>
      </c>
      <c r="J69" s="95" t="s">
        <v>729</v>
      </c>
      <c r="K69" s="101" t="s">
        <v>299</v>
      </c>
      <c r="L69" s="101" t="s">
        <v>263</v>
      </c>
      <c r="M69" s="345" t="s">
        <v>256</v>
      </c>
      <c r="N69" s="442" t="s">
        <v>367</v>
      </c>
      <c r="O69" s="933">
        <v>45.82</v>
      </c>
      <c r="P69" s="933">
        <v>45.82</v>
      </c>
      <c r="Q69" s="157">
        <v>0</v>
      </c>
      <c r="R69" s="109" t="s">
        <v>368</v>
      </c>
      <c r="S69" s="110">
        <v>161415.96</v>
      </c>
      <c r="T69" s="93">
        <v>10396.61</v>
      </c>
      <c r="U69" s="141"/>
      <c r="V69" s="158">
        <f t="shared" si="43"/>
        <v>0</v>
      </c>
      <c r="W69" s="159">
        <v>44958.424305555556</v>
      </c>
      <c r="X69" s="159">
        <v>44972.517361111109</v>
      </c>
      <c r="Y69" s="160">
        <v>44963</v>
      </c>
      <c r="Z69" s="470"/>
      <c r="AA69" s="470">
        <v>45672</v>
      </c>
      <c r="AB69" s="470">
        <v>45808.712500000001</v>
      </c>
      <c r="AC69" s="161">
        <f t="shared" si="44"/>
        <v>713.5756944444438</v>
      </c>
      <c r="AD69" s="161">
        <f t="shared" si="34"/>
        <v>699.48263888889051</v>
      </c>
      <c r="AE69" s="446">
        <f t="shared" si="35"/>
        <v>136.71250000000146</v>
      </c>
      <c r="AF69" s="160">
        <f t="shared" si="36"/>
        <v>44977.198499103943</v>
      </c>
      <c r="AG69" s="160">
        <f t="shared" si="37"/>
        <v>44986.004950716844</v>
      </c>
      <c r="AH69" s="159">
        <f t="shared" si="38"/>
        <v>45008.424305555556</v>
      </c>
      <c r="AI69" s="162">
        <f t="shared" si="45"/>
        <v>24.578718364197506</v>
      </c>
      <c r="AJ69" s="224">
        <f t="shared" si="39"/>
        <v>2.2785416666666909</v>
      </c>
      <c r="AK69" s="225">
        <f t="shared" si="46"/>
        <v>20</v>
      </c>
      <c r="AL69" s="170">
        <f t="shared" si="47"/>
        <v>36</v>
      </c>
      <c r="AM69" s="170">
        <f t="shared" si="48"/>
        <v>21.774193548387096</v>
      </c>
      <c r="AN69" s="170">
        <f t="shared" si="49"/>
        <v>27.58064516129032</v>
      </c>
      <c r="AO69" s="226">
        <f t="shared" si="50"/>
        <v>18.774193548387096</v>
      </c>
      <c r="AP69" s="227">
        <v>60</v>
      </c>
      <c r="AQ69" s="228">
        <f t="shared" si="51"/>
        <v>57</v>
      </c>
      <c r="AR69" s="228">
        <f t="shared" si="52"/>
        <v>52</v>
      </c>
      <c r="AS69" s="229">
        <f t="shared" si="53"/>
        <v>45732</v>
      </c>
      <c r="AT69" s="982">
        <f t="shared" ca="1" si="54"/>
        <v>223</v>
      </c>
      <c r="AU69" s="50"/>
      <c r="AV69" s="118"/>
      <c r="AW69" s="49"/>
      <c r="AX69" s="49"/>
      <c r="AY69" s="49"/>
      <c r="AZ69" s="300"/>
      <c r="BA69" s="119"/>
      <c r="BB69" s="304"/>
      <c r="BC69" s="231" t="s">
        <v>14</v>
      </c>
      <c r="BD69" s="232" t="s">
        <v>13</v>
      </c>
      <c r="BE69" s="222">
        <f t="shared" si="55"/>
        <v>45687</v>
      </c>
      <c r="BF69" s="233" t="e">
        <f t="shared" si="56"/>
        <v>#VALUE!</v>
      </c>
      <c r="BG69" s="234"/>
      <c r="BH69" s="235"/>
      <c r="BI69" s="234"/>
      <c r="BJ69" s="236"/>
      <c r="BK69" s="222"/>
      <c r="BL69" s="222"/>
      <c r="BM69" s="238"/>
      <c r="BN69" s="222"/>
      <c r="BO69" s="222"/>
      <c r="BP69" s="243"/>
      <c r="BQ69" s="244" t="s">
        <v>246</v>
      </c>
      <c r="BR69" s="238"/>
      <c r="BS69" s="68" t="s">
        <v>369</v>
      </c>
      <c r="BT69" s="69" t="s">
        <v>730</v>
      </c>
      <c r="BU69" s="69" t="s">
        <v>246</v>
      </c>
      <c r="BV69" s="69" t="s">
        <v>383</v>
      </c>
      <c r="BW69" s="75"/>
      <c r="BX69" s="81"/>
      <c r="BY69" s="66"/>
      <c r="BZ69" s="944" t="s">
        <v>731</v>
      </c>
      <c r="CA69" s="42" t="str">
        <f t="shared" si="57"/>
        <v>0</v>
      </c>
      <c r="CB69" s="62">
        <f t="shared" si="58"/>
        <v>713.5756944444438</v>
      </c>
      <c r="CC69" s="42">
        <f t="shared" si="59"/>
        <v>0</v>
      </c>
      <c r="CD69" s="62">
        <f t="shared" si="60"/>
        <v>713.5756944444438</v>
      </c>
      <c r="CE69" s="62">
        <f t="shared" si="61"/>
        <v>24.578718364197506</v>
      </c>
      <c r="CF69" s="145">
        <f t="shared" si="62"/>
        <v>197</v>
      </c>
      <c r="CG69" s="145"/>
      <c r="CH69" s="443">
        <f t="shared" si="63"/>
        <v>31.36427391975306</v>
      </c>
      <c r="CI69" s="996">
        <f t="shared" si="64"/>
        <v>31.36427391975306</v>
      </c>
      <c r="CJ69" s="261">
        <f t="shared" si="65"/>
        <v>3.2833333333333332</v>
      </c>
      <c r="CK69" s="458" t="str">
        <f t="shared" si="66"/>
        <v/>
      </c>
      <c r="CL69" t="str">
        <f t="shared" si="67"/>
        <v>NON-REV</v>
      </c>
      <c r="CM69" t="str">
        <f t="shared" si="68"/>
        <v/>
      </c>
      <c r="CN69" s="635"/>
      <c r="CO69" s="631"/>
      <c r="CP69" s="629" t="str">
        <f t="shared" si="69"/>
        <v>FOR ISSUANCE</v>
      </c>
      <c r="CQ69" s="635"/>
      <c r="CR69" s="697"/>
      <c r="CS69" s="633" t="str">
        <f t="shared" ca="1" si="70"/>
        <v>0</v>
      </c>
      <c r="CT69" s="635"/>
      <c r="CU69" s="631"/>
      <c r="CV69" s="638"/>
      <c r="CW69" s="156" t="s">
        <v>732</v>
      </c>
      <c r="CX69" s="156" t="str">
        <f>VLOOKUP(E69,'[1]List of Work Orders'!$A:$I,9,FALSE)</f>
        <v>ME168443</v>
      </c>
      <c r="CY69" s="156"/>
      <c r="DC69" t="str">
        <f>VLOOKUP(E69,'[2]List of Work Orders'!$A:$F,6,FALSE)</f>
        <v>FCOMP</v>
      </c>
      <c r="DS69" s="156" t="s">
        <v>397</v>
      </c>
    </row>
    <row r="70" spans="1:123" customFormat="1" ht="15" customHeight="1" x14ac:dyDescent="0.25">
      <c r="A70" s="242">
        <v>45000</v>
      </c>
      <c r="B70" s="222" t="s">
        <v>470</v>
      </c>
      <c r="C70" s="241" t="s">
        <v>247</v>
      </c>
      <c r="D70" s="66" t="s">
        <v>234</v>
      </c>
      <c r="E70" s="406" t="s">
        <v>733</v>
      </c>
      <c r="F70" s="95" t="s">
        <v>598</v>
      </c>
      <c r="G70" s="95" t="s">
        <v>734</v>
      </c>
      <c r="H70" s="95" t="s">
        <v>238</v>
      </c>
      <c r="I70" s="95" t="s">
        <v>239</v>
      </c>
      <c r="J70" s="95" t="s">
        <v>735</v>
      </c>
      <c r="K70" s="101" t="s">
        <v>299</v>
      </c>
      <c r="L70" s="101" t="s">
        <v>242</v>
      </c>
      <c r="M70" s="345" t="s">
        <v>402</v>
      </c>
      <c r="N70" s="442" t="s">
        <v>467</v>
      </c>
      <c r="O70" s="165">
        <v>1059.1652000000006</v>
      </c>
      <c r="P70" s="165">
        <v>1865.53</v>
      </c>
      <c r="Q70" s="157">
        <v>0</v>
      </c>
      <c r="R70" s="109" t="s">
        <v>327</v>
      </c>
      <c r="S70" s="110">
        <v>3525946.4</v>
      </c>
      <c r="T70" s="93">
        <v>1241706.01</v>
      </c>
      <c r="U70" s="141"/>
      <c r="V70" s="158">
        <f t="shared" si="43"/>
        <v>0</v>
      </c>
      <c r="W70" s="159">
        <v>44992</v>
      </c>
      <c r="X70" s="159">
        <v>44993</v>
      </c>
      <c r="Y70" s="160">
        <v>44999</v>
      </c>
      <c r="Z70" s="470"/>
      <c r="AA70" s="470"/>
      <c r="AB70" s="470"/>
      <c r="AC70" s="161">
        <f t="shared" si="44"/>
        <v>-44992</v>
      </c>
      <c r="AD70" s="161">
        <f t="shared" si="34"/>
        <v>-44993</v>
      </c>
      <c r="AE70" s="446">
        <f t="shared" si="35"/>
        <v>0</v>
      </c>
      <c r="AF70" s="160">
        <f t="shared" si="36"/>
        <v>45018.475982532749</v>
      </c>
      <c r="AG70" s="160">
        <f t="shared" si="37"/>
        <v>45029.336244541482</v>
      </c>
      <c r="AH70" s="159">
        <f t="shared" si="38"/>
        <v>45042</v>
      </c>
      <c r="AI70" s="162">
        <f t="shared" si="45"/>
        <v>-1144.7964444444444</v>
      </c>
      <c r="AJ70" s="224">
        <f t="shared" si="39"/>
        <v>0</v>
      </c>
      <c r="AK70" s="225">
        <f t="shared" si="46"/>
        <v>50</v>
      </c>
      <c r="AL70" s="170">
        <f t="shared" si="47"/>
        <v>36</v>
      </c>
      <c r="AM70" s="170">
        <f t="shared" si="48"/>
        <v>29.475982532751093</v>
      </c>
      <c r="AN70" s="170">
        <f t="shared" si="49"/>
        <v>37.336244541484717</v>
      </c>
      <c r="AO70" s="226">
        <f t="shared" si="50"/>
        <v>26.475982532751093</v>
      </c>
      <c r="AP70" s="227">
        <v>60</v>
      </c>
      <c r="AQ70" s="228">
        <f t="shared" si="51"/>
        <v>57</v>
      </c>
      <c r="AR70" s="228">
        <f t="shared" si="52"/>
        <v>52</v>
      </c>
      <c r="AS70" s="229">
        <f t="shared" si="53"/>
        <v>60</v>
      </c>
      <c r="AT70" s="982">
        <f t="shared" ca="1" si="54"/>
        <v>45895</v>
      </c>
      <c r="AU70" s="50"/>
      <c r="AV70" s="118"/>
      <c r="AW70" s="49"/>
      <c r="AX70" s="49"/>
      <c r="AY70" s="49"/>
      <c r="AZ70" s="300"/>
      <c r="BA70" s="119"/>
      <c r="BB70" s="304"/>
      <c r="BC70" s="231"/>
      <c r="BD70" s="232"/>
      <c r="BE70" s="222">
        <f t="shared" si="55"/>
        <v>15</v>
      </c>
      <c r="BF70" s="233">
        <f t="shared" si="56"/>
        <v>0</v>
      </c>
      <c r="BG70" s="234"/>
      <c r="BH70" s="235"/>
      <c r="BI70" s="234"/>
      <c r="BJ70" s="236"/>
      <c r="BK70" s="222"/>
      <c r="BL70" s="222"/>
      <c r="BM70" s="238"/>
      <c r="BN70" s="222"/>
      <c r="BO70" s="222"/>
      <c r="BP70" s="243"/>
      <c r="BQ70" s="244"/>
      <c r="BR70" s="238"/>
      <c r="BS70" s="68"/>
      <c r="BT70" s="69"/>
      <c r="BU70" s="69"/>
      <c r="BV70" s="69"/>
      <c r="BW70" s="75"/>
      <c r="BX70" s="81" t="s">
        <v>248</v>
      </c>
      <c r="BY70" s="66"/>
      <c r="BZ70" s="944"/>
      <c r="CA70" s="42" t="str">
        <f t="shared" si="57"/>
        <v>0</v>
      </c>
      <c r="CB70" s="62">
        <f t="shared" si="58"/>
        <v>-44992</v>
      </c>
      <c r="CC70" s="42">
        <f t="shared" si="59"/>
        <v>0</v>
      </c>
      <c r="CD70" s="62">
        <f t="shared" si="60"/>
        <v>-44992</v>
      </c>
      <c r="CE70" s="62">
        <f t="shared" si="61"/>
        <v>-1144.7964444444444</v>
      </c>
      <c r="CF70" s="145" t="str">
        <f t="shared" si="62"/>
        <v>0</v>
      </c>
      <c r="CG70" s="145"/>
      <c r="CH70" s="443">
        <f t="shared" si="63"/>
        <v>22.314777777777778</v>
      </c>
      <c r="CI70" s="996">
        <f t="shared" si="64"/>
        <v>22.314777777777778</v>
      </c>
      <c r="CJ70" s="261">
        <f t="shared" si="65"/>
        <v>0</v>
      </c>
      <c r="CK70" s="458">
        <f t="shared" si="66"/>
        <v>864</v>
      </c>
      <c r="CL70" t="str">
        <f t="shared" si="67"/>
        <v>NON-REV</v>
      </c>
      <c r="CM70" t="str">
        <f t="shared" si="68"/>
        <v>10 MONTHS AND ABOVE</v>
      </c>
      <c r="CN70" s="635"/>
      <c r="CO70" s="631"/>
      <c r="CP70" s="629" t="str">
        <f t="shared" si="69"/>
        <v>FOR ISSUANCE</v>
      </c>
      <c r="CQ70" s="635"/>
      <c r="CR70" s="697"/>
      <c r="CS70" s="633" t="str">
        <f t="shared" ca="1" si="70"/>
        <v>0</v>
      </c>
      <c r="CT70" s="635"/>
      <c r="CU70" s="631"/>
      <c r="CV70" s="638"/>
      <c r="CW70" s="156" t="s">
        <v>736</v>
      </c>
      <c r="CX70" s="156" t="str">
        <f>VLOOKUP(E70,'[1]List of Work Orders'!$A:$I,9,FALSE)</f>
        <v>ME155242</v>
      </c>
      <c r="CY70" s="156"/>
      <c r="CZ70" s="63"/>
      <c r="DC70" t="str">
        <f>VLOOKUP(E70,'[2]List of Work Orders'!$A:$F,6,FALSE)</f>
        <v>INPRG</v>
      </c>
      <c r="DS70" s="156" t="s">
        <v>397</v>
      </c>
    </row>
    <row r="71" spans="1:123" customFormat="1" ht="15" customHeight="1" x14ac:dyDescent="0.25">
      <c r="A71" s="242">
        <v>45027</v>
      </c>
      <c r="B71" s="222">
        <v>45020</v>
      </c>
      <c r="C71" s="223"/>
      <c r="D71" s="66" t="s">
        <v>234</v>
      </c>
      <c r="E71" s="406" t="s">
        <v>737</v>
      </c>
      <c r="F71" s="95" t="s">
        <v>738</v>
      </c>
      <c r="G71" s="95" t="s">
        <v>739</v>
      </c>
      <c r="H71" s="95" t="s">
        <v>318</v>
      </c>
      <c r="I71" s="95" t="s">
        <v>239</v>
      </c>
      <c r="J71" s="163" t="s">
        <v>740</v>
      </c>
      <c r="K71" s="101" t="s">
        <v>271</v>
      </c>
      <c r="L71" s="101" t="s">
        <v>242</v>
      </c>
      <c r="M71" s="345" t="s">
        <v>272</v>
      </c>
      <c r="N71" s="442" t="s">
        <v>467</v>
      </c>
      <c r="O71" s="165">
        <v>205.70570000000009</v>
      </c>
      <c r="P71" s="933">
        <v>656.97</v>
      </c>
      <c r="Q71" s="157">
        <v>0</v>
      </c>
      <c r="R71" s="109" t="s">
        <v>327</v>
      </c>
      <c r="S71" s="109">
        <v>4408402.49</v>
      </c>
      <c r="T71" s="93">
        <v>328357.78999999998</v>
      </c>
      <c r="U71" s="93"/>
      <c r="V71" s="158">
        <f t="shared" si="43"/>
        <v>0</v>
      </c>
      <c r="W71" s="159">
        <v>45012</v>
      </c>
      <c r="X71" s="159">
        <v>45020.594444444447</v>
      </c>
      <c r="Y71" s="160">
        <v>45028</v>
      </c>
      <c r="Z71" s="470"/>
      <c r="AA71" s="470">
        <v>45685</v>
      </c>
      <c r="AB71" s="470"/>
      <c r="AC71" s="161">
        <f t="shared" si="44"/>
        <v>673</v>
      </c>
      <c r="AD71" s="161">
        <f t="shared" si="34"/>
        <v>664.40555555555329</v>
      </c>
      <c r="AE71" s="446">
        <f t="shared" si="35"/>
        <v>-45685</v>
      </c>
      <c r="AF71" s="160">
        <f t="shared" si="36"/>
        <v>45036.83505154639</v>
      </c>
      <c r="AG71" s="160">
        <f t="shared" si="37"/>
        <v>45047.257731958765</v>
      </c>
      <c r="AH71" s="159">
        <f t="shared" si="38"/>
        <v>45062</v>
      </c>
      <c r="AI71" s="162">
        <f t="shared" si="45"/>
        <v>18.133611111111108</v>
      </c>
      <c r="AJ71" s="224">
        <f t="shared" si="39"/>
        <v>-761.41666666666663</v>
      </c>
      <c r="AK71" s="225">
        <f t="shared" si="46"/>
        <v>40</v>
      </c>
      <c r="AL71" s="170">
        <f t="shared" si="47"/>
        <v>36</v>
      </c>
      <c r="AM71" s="170">
        <f t="shared" si="48"/>
        <v>27.835051546391753</v>
      </c>
      <c r="AN71" s="170">
        <f t="shared" si="49"/>
        <v>35.257731958762882</v>
      </c>
      <c r="AO71" s="226">
        <f t="shared" si="50"/>
        <v>24.835051546391753</v>
      </c>
      <c r="AP71" s="227">
        <v>60</v>
      </c>
      <c r="AQ71" s="228">
        <f t="shared" si="51"/>
        <v>57</v>
      </c>
      <c r="AR71" s="228">
        <f t="shared" si="52"/>
        <v>52</v>
      </c>
      <c r="AS71" s="229">
        <f t="shared" si="53"/>
        <v>45745</v>
      </c>
      <c r="AT71" s="982">
        <f t="shared" ca="1" si="54"/>
        <v>210</v>
      </c>
      <c r="AU71" s="50"/>
      <c r="AV71" s="118"/>
      <c r="AW71" s="49"/>
      <c r="AX71" s="49"/>
      <c r="AY71" s="49"/>
      <c r="AZ71" s="300"/>
      <c r="BA71" s="119"/>
      <c r="BB71" s="304"/>
      <c r="BC71" s="231" t="s">
        <v>12</v>
      </c>
      <c r="BD71" s="232"/>
      <c r="BE71" s="222">
        <f t="shared" si="55"/>
        <v>45700</v>
      </c>
      <c r="BF71" s="233" t="e">
        <f t="shared" si="56"/>
        <v>#VALUE!</v>
      </c>
      <c r="BG71" s="234">
        <v>45743</v>
      </c>
      <c r="BH71" s="235"/>
      <c r="BI71" s="234"/>
      <c r="BJ71" s="236"/>
      <c r="BK71" s="222"/>
      <c r="BL71" s="222"/>
      <c r="BM71" s="238"/>
      <c r="BN71" s="222"/>
      <c r="BO71" s="222"/>
      <c r="BP71" s="243"/>
      <c r="BQ71" s="244" t="s">
        <v>246</v>
      </c>
      <c r="BR71" s="238"/>
      <c r="BS71" s="67"/>
      <c r="BT71" s="66"/>
      <c r="BU71" s="66"/>
      <c r="BV71" s="66"/>
      <c r="BW71" s="74"/>
      <c r="BX71" s="81"/>
      <c r="BY71" s="66">
        <v>45027</v>
      </c>
      <c r="BZ71" s="944" t="s">
        <v>741</v>
      </c>
      <c r="CA71" s="42" t="str">
        <f t="shared" si="57"/>
        <v>0</v>
      </c>
      <c r="CB71" s="62">
        <f t="shared" si="58"/>
        <v>673</v>
      </c>
      <c r="CC71" s="42">
        <f t="shared" si="59"/>
        <v>0</v>
      </c>
      <c r="CD71" s="62">
        <f t="shared" si="60"/>
        <v>673</v>
      </c>
      <c r="CE71" s="62">
        <f t="shared" si="61"/>
        <v>18.133611111111108</v>
      </c>
      <c r="CF71" s="145">
        <f t="shared" si="62"/>
        <v>184</v>
      </c>
      <c r="CG71" s="145"/>
      <c r="CH71" s="443">
        <f t="shared" si="63"/>
        <v>23.091388888888886</v>
      </c>
      <c r="CI71" s="996">
        <f t="shared" si="64"/>
        <v>23.091388888888886</v>
      </c>
      <c r="CJ71" s="261">
        <f t="shared" si="65"/>
        <v>3.0666666666666669</v>
      </c>
      <c r="CK71" s="458" t="str">
        <f t="shared" si="66"/>
        <v/>
      </c>
      <c r="CL71" t="str">
        <f t="shared" si="67"/>
        <v>NON-REV</v>
      </c>
      <c r="CM71" t="str">
        <f t="shared" si="68"/>
        <v/>
      </c>
      <c r="CN71" s="635"/>
      <c r="CO71" s="631"/>
      <c r="CP71" s="629" t="str">
        <f t="shared" si="69"/>
        <v>FOR ISSUANCE</v>
      </c>
      <c r="CQ71" s="635"/>
      <c r="CR71" s="697"/>
      <c r="CS71" s="633" t="str">
        <f t="shared" ca="1" si="70"/>
        <v>0</v>
      </c>
      <c r="CT71" s="635"/>
      <c r="CU71" s="631"/>
      <c r="CV71" s="638"/>
      <c r="CW71" s="156" t="s">
        <v>742</v>
      </c>
      <c r="CX71" s="156" t="str">
        <f>VLOOKUP(E71,'[1]List of Work Orders'!$A:$I,9,FALSE)</f>
        <v>ME155242</v>
      </c>
      <c r="CY71" s="156"/>
      <c r="CZ71" s="63"/>
      <c r="DC71" t="str">
        <f>VLOOKUP(E71,'[2]List of Work Orders'!$A:$F,6,FALSE)</f>
        <v>FCOMP</v>
      </c>
      <c r="DS71" s="348" t="s">
        <v>743</v>
      </c>
    </row>
    <row r="72" spans="1:123" customFormat="1" ht="15" customHeight="1" x14ac:dyDescent="0.25">
      <c r="A72" s="242"/>
      <c r="B72" s="222"/>
      <c r="C72" s="223"/>
      <c r="D72" s="66" t="s">
        <v>320</v>
      </c>
      <c r="E72" s="404" t="s">
        <v>744</v>
      </c>
      <c r="F72" s="95" t="s">
        <v>745</v>
      </c>
      <c r="G72" s="95" t="s">
        <v>746</v>
      </c>
      <c r="H72" s="95" t="s">
        <v>238</v>
      </c>
      <c r="I72" s="95" t="s">
        <v>239</v>
      </c>
      <c r="J72" s="163"/>
      <c r="K72" s="101"/>
      <c r="L72" s="101" t="s">
        <v>263</v>
      </c>
      <c r="M72" s="752" t="s">
        <v>438</v>
      </c>
      <c r="N72" s="442" t="s">
        <v>467</v>
      </c>
      <c r="O72" s="165">
        <v>260.13749999999982</v>
      </c>
      <c r="P72" s="165" t="e">
        <v>#N/A</v>
      </c>
      <c r="Q72" s="157">
        <v>48</v>
      </c>
      <c r="R72" s="109" t="s">
        <v>244</v>
      </c>
      <c r="S72" s="110">
        <v>262732.61999999994</v>
      </c>
      <c r="T72" s="93">
        <v>1235620.51</v>
      </c>
      <c r="U72" s="141"/>
      <c r="V72" s="158">
        <f t="shared" si="43"/>
        <v>0</v>
      </c>
      <c r="W72" s="159">
        <v>45019.727083333331</v>
      </c>
      <c r="X72" s="159">
        <v>45021.620138888888</v>
      </c>
      <c r="Y72" s="160"/>
      <c r="Z72" s="470"/>
      <c r="AA72" s="470"/>
      <c r="AB72" s="470"/>
      <c r="AC72" s="161">
        <f t="shared" si="44"/>
        <v>-45019.727083333331</v>
      </c>
      <c r="AD72" s="161">
        <v>0</v>
      </c>
      <c r="AE72" s="446">
        <v>0</v>
      </c>
      <c r="AF72" s="160">
        <v>45767.971459311419</v>
      </c>
      <c r="AG72" s="160">
        <v>45777.196811424095</v>
      </c>
      <c r="AH72" s="159">
        <v>45797.626388888886</v>
      </c>
      <c r="AI72" s="162" t="e">
        <f t="shared" si="45"/>
        <v>#N/A</v>
      </c>
      <c r="AJ72" s="224">
        <v>0</v>
      </c>
      <c r="AK72" s="225" t="e">
        <f t="shared" si="46"/>
        <v>#N/A</v>
      </c>
      <c r="AL72" s="170">
        <f t="shared" si="47"/>
        <v>36</v>
      </c>
      <c r="AM72" s="170" t="e">
        <f t="shared" si="48"/>
        <v>#N/A</v>
      </c>
      <c r="AN72" s="170" t="e">
        <f t="shared" si="49"/>
        <v>#N/A</v>
      </c>
      <c r="AO72" s="226" t="e">
        <f t="shared" si="50"/>
        <v>#N/A</v>
      </c>
      <c r="AP72" s="227">
        <v>60</v>
      </c>
      <c r="AQ72" s="228">
        <f t="shared" si="51"/>
        <v>57</v>
      </c>
      <c r="AR72" s="228">
        <f t="shared" si="52"/>
        <v>52</v>
      </c>
      <c r="AS72" s="229">
        <f t="shared" si="53"/>
        <v>60</v>
      </c>
      <c r="AT72" s="982">
        <f t="shared" ca="1" si="54"/>
        <v>45895</v>
      </c>
      <c r="AU72" s="50"/>
      <c r="AV72" s="118"/>
      <c r="AW72" s="49"/>
      <c r="AX72" s="49"/>
      <c r="AY72" s="49"/>
      <c r="AZ72" s="300"/>
      <c r="BA72" s="119"/>
      <c r="BB72" s="304"/>
      <c r="BC72" s="231"/>
      <c r="BD72" s="232"/>
      <c r="BE72" s="222">
        <f t="shared" si="55"/>
        <v>15</v>
      </c>
      <c r="BF72" s="233">
        <f t="shared" si="56"/>
        <v>0</v>
      </c>
      <c r="BG72" s="234"/>
      <c r="BH72" s="235"/>
      <c r="BI72" s="234"/>
      <c r="BJ72" s="236"/>
      <c r="BK72" s="222"/>
      <c r="BL72" s="222"/>
      <c r="BM72" s="238"/>
      <c r="BN72" s="222"/>
      <c r="BO72" s="222"/>
      <c r="BP72" s="243"/>
      <c r="BQ72" s="244"/>
      <c r="BR72" s="238"/>
      <c r="BS72" s="68"/>
      <c r="BT72" s="69"/>
      <c r="BU72" s="69"/>
      <c r="BV72" s="69"/>
      <c r="BW72" s="75"/>
      <c r="BX72" s="81"/>
      <c r="BY72" s="66"/>
      <c r="BZ72" s="944"/>
      <c r="CA72" s="42" t="str">
        <f t="shared" si="57"/>
        <v>0</v>
      </c>
      <c r="CB72" s="62">
        <f t="shared" si="58"/>
        <v>-45019.727083333331</v>
      </c>
      <c r="CC72" s="42">
        <f t="shared" si="59"/>
        <v>0</v>
      </c>
      <c r="CD72" s="62">
        <f t="shared" si="60"/>
        <v>-45019.727083333331</v>
      </c>
      <c r="CE72" s="62" t="e">
        <f t="shared" si="61"/>
        <v>#N/A</v>
      </c>
      <c r="CF72" s="145" t="str">
        <f t="shared" si="62"/>
        <v>0</v>
      </c>
      <c r="CG72" s="145"/>
      <c r="CH72" s="443" t="e">
        <f t="shared" si="63"/>
        <v>#N/A</v>
      </c>
      <c r="CI72" s="996" t="e">
        <f t="shared" si="64"/>
        <v>#N/A</v>
      </c>
      <c r="CJ72" s="261">
        <f t="shared" si="65"/>
        <v>0</v>
      </c>
      <c r="CK72" s="458">
        <f t="shared" si="66"/>
        <v>836.27291666666861</v>
      </c>
      <c r="CL72" t="str">
        <f t="shared" si="67"/>
        <v>REV</v>
      </c>
      <c r="CM72" t="str">
        <f t="shared" si="68"/>
        <v>10 MONTHS AND ABOVE</v>
      </c>
      <c r="CN72" s="635"/>
      <c r="CO72" s="631"/>
      <c r="CP72" s="629" t="str">
        <f t="shared" si="69"/>
        <v>FOR ISSUANCE</v>
      </c>
      <c r="CQ72" s="635"/>
      <c r="CR72" s="697"/>
      <c r="CS72" s="633" t="str">
        <f t="shared" ca="1" si="70"/>
        <v>0</v>
      </c>
      <c r="CT72" s="635"/>
      <c r="CU72" s="631"/>
      <c r="CV72" s="638"/>
      <c r="CW72" s="912"/>
      <c r="CX72" s="156"/>
      <c r="CY72" s="156"/>
      <c r="DC72" t="e">
        <f>VLOOKUP(E72,'[2]List of Work Orders'!$A:$F,6,FALSE)</f>
        <v>#N/A</v>
      </c>
      <c r="DS72" s="156" t="s">
        <v>381</v>
      </c>
    </row>
    <row r="73" spans="1:123" ht="15" customHeight="1" x14ac:dyDescent="0.2">
      <c r="A73" s="242">
        <v>45050</v>
      </c>
      <c r="B73" s="222">
        <v>45050</v>
      </c>
      <c r="C73" s="223"/>
      <c r="D73" s="66" t="s">
        <v>320</v>
      </c>
      <c r="E73" s="404" t="s">
        <v>747</v>
      </c>
      <c r="F73" s="95" t="s">
        <v>748</v>
      </c>
      <c r="G73" s="95" t="s">
        <v>749</v>
      </c>
      <c r="H73" s="95" t="s">
        <v>238</v>
      </c>
      <c r="I73" s="95" t="s">
        <v>239</v>
      </c>
      <c r="J73" s="1134" t="s">
        <v>750</v>
      </c>
      <c r="K73" s="101" t="s">
        <v>299</v>
      </c>
      <c r="L73" s="101" t="s">
        <v>255</v>
      </c>
      <c r="M73" s="345" t="s">
        <v>331</v>
      </c>
      <c r="N73" s="442" t="s">
        <v>403</v>
      </c>
      <c r="O73" s="165">
        <v>64.748500000000007</v>
      </c>
      <c r="P73" s="165">
        <v>243.45</v>
      </c>
      <c r="Q73" s="157">
        <v>80</v>
      </c>
      <c r="R73" s="109" t="s">
        <v>548</v>
      </c>
      <c r="S73" s="110">
        <v>495372.18</v>
      </c>
      <c r="T73" s="93">
        <v>67653.48</v>
      </c>
      <c r="U73" s="141"/>
      <c r="V73" s="158">
        <f t="shared" si="43"/>
        <v>0</v>
      </c>
      <c r="W73" s="159">
        <v>45043</v>
      </c>
      <c r="X73" s="159">
        <v>45049</v>
      </c>
      <c r="Y73" s="160">
        <v>45049</v>
      </c>
      <c r="Z73" s="470"/>
      <c r="AA73" s="470"/>
      <c r="AB73" s="470"/>
      <c r="AC73" s="161">
        <f t="shared" si="44"/>
        <v>-45043</v>
      </c>
      <c r="AD73" s="161">
        <f t="shared" ref="AD73:AD104" si="71">AA73-X73</f>
        <v>-45049</v>
      </c>
      <c r="AE73" s="446">
        <f t="shared" ref="AE73:AE136" si="72">AB73-AA73</f>
        <v>0</v>
      </c>
      <c r="AF73" s="160">
        <f t="shared" ref="AF73:AF104" si="73">W73+AO73</f>
        <v>45063.959731543626</v>
      </c>
      <c r="AG73" s="160">
        <f t="shared" ref="AG73:AG104" si="74">W73+AN73</f>
        <v>45073.348993288593</v>
      </c>
      <c r="AH73" s="159">
        <f t="shared" ref="AH73:AH104" si="75">W73+50</f>
        <v>45093</v>
      </c>
      <c r="AI73" s="162">
        <f t="shared" si="45"/>
        <v>-1409.9594537815124</v>
      </c>
      <c r="AJ73" s="224">
        <f t="shared" ref="AJ73:AJ104" si="76">AE73/AP73</f>
        <v>0</v>
      </c>
      <c r="AK73" s="225">
        <f t="shared" si="46"/>
        <v>28</v>
      </c>
      <c r="AL73" s="170">
        <f t="shared" si="47"/>
        <v>34</v>
      </c>
      <c r="AM73" s="170">
        <f t="shared" si="48"/>
        <v>23.959731543624162</v>
      </c>
      <c r="AN73" s="170">
        <f t="shared" si="49"/>
        <v>30.348993288590602</v>
      </c>
      <c r="AO73" s="226">
        <f t="shared" si="50"/>
        <v>20.959731543624162</v>
      </c>
      <c r="AP73" s="227">
        <v>60</v>
      </c>
      <c r="AQ73" s="228">
        <f t="shared" si="51"/>
        <v>57</v>
      </c>
      <c r="AR73" s="228">
        <f t="shared" si="52"/>
        <v>52</v>
      </c>
      <c r="AS73" s="229">
        <f t="shared" si="53"/>
        <v>60</v>
      </c>
      <c r="AT73" s="982">
        <f t="shared" ca="1" si="54"/>
        <v>45895</v>
      </c>
      <c r="AU73" s="1077"/>
      <c r="AV73" s="1078"/>
      <c r="AW73" s="1079"/>
      <c r="AX73" s="1079"/>
      <c r="AY73" s="1079"/>
      <c r="AZ73" s="1080"/>
      <c r="BA73" s="1081"/>
      <c r="BB73" s="1091"/>
      <c r="BC73" s="231"/>
      <c r="BD73" s="232"/>
      <c r="BE73" s="222">
        <f t="shared" si="55"/>
        <v>15</v>
      </c>
      <c r="BF73" s="233">
        <f t="shared" si="56"/>
        <v>0</v>
      </c>
      <c r="BG73" s="234"/>
      <c r="BH73" s="235"/>
      <c r="BI73" s="234"/>
      <c r="BJ73" s="236"/>
      <c r="BK73" s="222"/>
      <c r="BL73" s="222"/>
      <c r="BM73" s="238"/>
      <c r="BN73" s="222"/>
      <c r="BO73" s="222"/>
      <c r="BP73" s="243"/>
      <c r="BQ73" s="244" t="s">
        <v>247</v>
      </c>
      <c r="BR73" s="238"/>
      <c r="BS73" s="67"/>
      <c r="BT73" s="66"/>
      <c r="BU73" s="66"/>
      <c r="BV73" s="66"/>
      <c r="BW73" s="74"/>
      <c r="BX73" s="81"/>
      <c r="BY73" s="66">
        <v>45052</v>
      </c>
      <c r="BZ73" s="944" t="s">
        <v>751</v>
      </c>
      <c r="CA73" s="42" t="str">
        <f t="shared" si="57"/>
        <v>0</v>
      </c>
      <c r="CB73" s="62">
        <f t="shared" si="58"/>
        <v>-45043</v>
      </c>
      <c r="CC73" s="42">
        <f t="shared" si="59"/>
        <v>0</v>
      </c>
      <c r="CD73" s="62">
        <f t="shared" si="60"/>
        <v>-45043</v>
      </c>
      <c r="CE73" s="62">
        <f t="shared" si="61"/>
        <v>-1409.9594537815124</v>
      </c>
      <c r="CF73" s="1059" t="str">
        <f t="shared" si="62"/>
        <v>0</v>
      </c>
      <c r="CH73" s="1082">
        <f t="shared" si="63"/>
        <v>25.855882352941173</v>
      </c>
      <c r="CI73" s="1083">
        <f t="shared" si="64"/>
        <v>25.855882352941173</v>
      </c>
      <c r="CJ73" s="1084">
        <f t="shared" si="65"/>
        <v>0</v>
      </c>
      <c r="CK73" s="1085">
        <f t="shared" si="66"/>
        <v>813</v>
      </c>
      <c r="CL73" s="1057" t="str">
        <f t="shared" si="67"/>
        <v>NON-REV</v>
      </c>
      <c r="CM73" s="1057" t="str">
        <f t="shared" si="68"/>
        <v>10 MONTHS AND ABOVE</v>
      </c>
      <c r="CN73" s="1086"/>
      <c r="CO73" s="1087"/>
      <c r="CP73" s="629" t="str">
        <f t="shared" si="69"/>
        <v>FOR ISSUANCE</v>
      </c>
      <c r="CQ73" s="1086"/>
      <c r="CR73" s="1088"/>
      <c r="CS73" s="1089" t="str">
        <f t="shared" ca="1" si="70"/>
        <v>0</v>
      </c>
      <c r="CT73" s="1086"/>
      <c r="CU73" s="1087"/>
      <c r="CV73" s="1090"/>
      <c r="CW73" s="156" t="s">
        <v>752</v>
      </c>
      <c r="CX73" s="156" t="str">
        <f>VLOOKUP(E73,'[1]List of Work Orders'!$A:$I,9,FALSE)</f>
        <v>ME185284</v>
      </c>
      <c r="CY73" s="156"/>
      <c r="DC73" s="1057" t="str">
        <f>VLOOKUP(E73,'[2]List of Work Orders'!$A:$F,6,FALSE)</f>
        <v>SCHED</v>
      </c>
      <c r="DS73" s="156" t="s">
        <v>397</v>
      </c>
    </row>
    <row r="74" spans="1:123" customFormat="1" ht="15" customHeight="1" x14ac:dyDescent="0.25">
      <c r="A74" s="242">
        <v>45154</v>
      </c>
      <c r="B74" s="222">
        <v>45152</v>
      </c>
      <c r="C74" s="223"/>
      <c r="D74" s="66" t="s">
        <v>234</v>
      </c>
      <c r="E74" s="404" t="s">
        <v>753</v>
      </c>
      <c r="F74" s="95" t="s">
        <v>614</v>
      </c>
      <c r="G74" s="95" t="s">
        <v>754</v>
      </c>
      <c r="H74" s="95" t="s">
        <v>238</v>
      </c>
      <c r="I74" s="95" t="s">
        <v>239</v>
      </c>
      <c r="J74" s="155" t="s">
        <v>755</v>
      </c>
      <c r="K74" s="101" t="s">
        <v>299</v>
      </c>
      <c r="L74" s="101" t="s">
        <v>242</v>
      </c>
      <c r="M74" s="345" t="s">
        <v>555</v>
      </c>
      <c r="N74" s="442" t="s">
        <v>467</v>
      </c>
      <c r="O74" s="165">
        <v>59.1616</v>
      </c>
      <c r="P74" s="165" t="e">
        <v>#N/A</v>
      </c>
      <c r="Q74" s="157">
        <v>23</v>
      </c>
      <c r="R74" s="109" t="s">
        <v>548</v>
      </c>
      <c r="S74" s="110">
        <v>363942.06</v>
      </c>
      <c r="T74" s="93">
        <v>71262.06</v>
      </c>
      <c r="U74" s="141"/>
      <c r="V74" s="158">
        <f t="shared" si="43"/>
        <v>0</v>
      </c>
      <c r="W74" s="159">
        <v>45148.444444444445</v>
      </c>
      <c r="X74" s="159">
        <v>45153</v>
      </c>
      <c r="Y74" s="160">
        <v>45150</v>
      </c>
      <c r="Z74" s="470"/>
      <c r="AA74" s="470"/>
      <c r="AB74" s="470"/>
      <c r="AC74" s="161">
        <f t="shared" si="44"/>
        <v>-45148.444444444445</v>
      </c>
      <c r="AD74" s="161">
        <f t="shared" si="71"/>
        <v>-45153</v>
      </c>
      <c r="AE74" s="446">
        <f t="shared" si="72"/>
        <v>0</v>
      </c>
      <c r="AF74" s="160" t="e">
        <f t="shared" si="73"/>
        <v>#N/A</v>
      </c>
      <c r="AG74" s="160" t="e">
        <f t="shared" si="74"/>
        <v>#N/A</v>
      </c>
      <c r="AH74" s="159">
        <f t="shared" si="75"/>
        <v>45198.444444444445</v>
      </c>
      <c r="AI74" s="162" t="e">
        <f t="shared" si="45"/>
        <v>#N/A</v>
      </c>
      <c r="AJ74" s="224">
        <f t="shared" si="76"/>
        <v>0</v>
      </c>
      <c r="AK74" s="225" t="e">
        <f t="shared" si="46"/>
        <v>#N/A</v>
      </c>
      <c r="AL74" s="170">
        <f t="shared" si="47"/>
        <v>36</v>
      </c>
      <c r="AM74" s="170" t="e">
        <f t="shared" si="48"/>
        <v>#N/A</v>
      </c>
      <c r="AN74" s="170" t="e">
        <f t="shared" si="49"/>
        <v>#N/A</v>
      </c>
      <c r="AO74" s="226" t="e">
        <f t="shared" si="50"/>
        <v>#N/A</v>
      </c>
      <c r="AP74" s="227">
        <v>60</v>
      </c>
      <c r="AQ74" s="228">
        <f t="shared" si="51"/>
        <v>57</v>
      </c>
      <c r="AR74" s="228">
        <f t="shared" si="52"/>
        <v>52</v>
      </c>
      <c r="AS74" s="229">
        <f t="shared" si="53"/>
        <v>60</v>
      </c>
      <c r="AT74" s="982">
        <f t="shared" ca="1" si="54"/>
        <v>45895</v>
      </c>
      <c r="AU74" s="50"/>
      <c r="AV74" s="118"/>
      <c r="AW74" s="49"/>
      <c r="AX74" s="49"/>
      <c r="AY74" s="49"/>
      <c r="AZ74" s="300"/>
      <c r="BA74" s="119"/>
      <c r="BB74" s="304"/>
      <c r="BC74" s="231" t="s">
        <v>756</v>
      </c>
      <c r="BD74" s="247" t="s">
        <v>757</v>
      </c>
      <c r="BE74" s="222">
        <f t="shared" si="55"/>
        <v>15</v>
      </c>
      <c r="BF74" s="233">
        <f t="shared" si="56"/>
        <v>0</v>
      </c>
      <c r="BG74" s="234"/>
      <c r="BH74" s="235"/>
      <c r="BI74" s="234"/>
      <c r="BJ74" s="236"/>
      <c r="BK74" s="222"/>
      <c r="BL74" s="222"/>
      <c r="BM74" s="238"/>
      <c r="BN74" s="222"/>
      <c r="BO74" s="222"/>
      <c r="BP74" s="243"/>
      <c r="BQ74" s="244" t="s">
        <v>247</v>
      </c>
      <c r="BR74" s="238"/>
      <c r="BS74" s="67"/>
      <c r="BT74" s="66"/>
      <c r="BU74" s="66"/>
      <c r="BV74" s="66"/>
      <c r="BW74" s="74"/>
      <c r="BX74" s="81"/>
      <c r="BY74" s="66">
        <v>45155</v>
      </c>
      <c r="BZ74" s="944" t="s">
        <v>758</v>
      </c>
      <c r="CA74" s="42" t="str">
        <f t="shared" si="57"/>
        <v>0</v>
      </c>
      <c r="CB74" s="62">
        <f t="shared" si="58"/>
        <v>-45148.444444444445</v>
      </c>
      <c r="CC74" s="42">
        <f t="shared" si="59"/>
        <v>0</v>
      </c>
      <c r="CD74" s="62">
        <f t="shared" si="60"/>
        <v>-45148.444444444445</v>
      </c>
      <c r="CE74" s="62" t="e">
        <f t="shared" si="61"/>
        <v>#N/A</v>
      </c>
      <c r="CF74" s="145" t="str">
        <f t="shared" si="62"/>
        <v>0</v>
      </c>
      <c r="CG74" s="145"/>
      <c r="CH74" s="443" t="e">
        <f t="shared" si="63"/>
        <v>#N/A</v>
      </c>
      <c r="CI74" s="996" t="e">
        <f t="shared" si="64"/>
        <v>#N/A</v>
      </c>
      <c r="CJ74" s="261">
        <f t="shared" si="65"/>
        <v>0</v>
      </c>
      <c r="CK74" s="458">
        <f t="shared" si="66"/>
        <v>707.55555555555475</v>
      </c>
      <c r="CL74" t="str">
        <f t="shared" si="67"/>
        <v>NON-REV</v>
      </c>
      <c r="CM74" t="str">
        <f t="shared" si="68"/>
        <v>10 MONTHS AND ABOVE</v>
      </c>
      <c r="CN74" s="635"/>
      <c r="CO74" s="631"/>
      <c r="CP74" s="629" t="str">
        <f t="shared" si="69"/>
        <v>FOR ISSUANCE</v>
      </c>
      <c r="CQ74" s="635"/>
      <c r="CR74" s="697"/>
      <c r="CS74" s="633" t="str">
        <f t="shared" ca="1" si="70"/>
        <v>0</v>
      </c>
      <c r="CT74" s="635"/>
      <c r="CU74" s="631"/>
      <c r="CV74" s="638"/>
      <c r="CW74" s="156" t="s">
        <v>759</v>
      </c>
      <c r="CX74" s="156" t="str">
        <f>VLOOKUP(E74,'[1]List of Work Orders'!$A:$I,9,FALSE)</f>
        <v>ME155242</v>
      </c>
      <c r="CY74" s="156"/>
      <c r="CZ74" s="63"/>
      <c r="DC74" t="str">
        <f>VLOOKUP(E74,'[2]List of Work Orders'!$A:$F,6,FALSE)</f>
        <v>PCAN</v>
      </c>
      <c r="DS74" s="156" t="s">
        <v>397</v>
      </c>
    </row>
    <row r="75" spans="1:123" customFormat="1" ht="15" customHeight="1" x14ac:dyDescent="0.25">
      <c r="A75" s="242">
        <v>45181</v>
      </c>
      <c r="B75" s="222">
        <v>45169</v>
      </c>
      <c r="C75" s="223" t="s">
        <v>247</v>
      </c>
      <c r="D75" s="66" t="s">
        <v>320</v>
      </c>
      <c r="E75" s="404" t="s">
        <v>760</v>
      </c>
      <c r="F75" s="95" t="s">
        <v>761</v>
      </c>
      <c r="G75" s="95" t="s">
        <v>762</v>
      </c>
      <c r="H75" s="95" t="s">
        <v>238</v>
      </c>
      <c r="I75" s="95" t="s">
        <v>239</v>
      </c>
      <c r="J75" s="155" t="s">
        <v>763</v>
      </c>
      <c r="K75" s="101" t="s">
        <v>299</v>
      </c>
      <c r="L75" s="101" t="s">
        <v>242</v>
      </c>
      <c r="M75" s="345" t="s">
        <v>402</v>
      </c>
      <c r="N75" s="442" t="s">
        <v>467</v>
      </c>
      <c r="O75" s="165">
        <v>85.584400000000002</v>
      </c>
      <c r="P75" s="165">
        <v>185.89</v>
      </c>
      <c r="Q75" s="157">
        <v>0</v>
      </c>
      <c r="R75" s="109" t="s">
        <v>327</v>
      </c>
      <c r="S75" s="110">
        <v>258760.27</v>
      </c>
      <c r="T75" s="93">
        <v>91241.75</v>
      </c>
      <c r="U75" s="141"/>
      <c r="V75" s="158">
        <f t="shared" si="43"/>
        <v>0</v>
      </c>
      <c r="W75" s="159">
        <v>45169.518750000003</v>
      </c>
      <c r="X75" s="159">
        <v>45174</v>
      </c>
      <c r="Y75" s="160">
        <v>45174</v>
      </c>
      <c r="Z75" s="470"/>
      <c r="AA75" s="470"/>
      <c r="AB75" s="470"/>
      <c r="AC75" s="161">
        <f t="shared" si="44"/>
        <v>-45169.518750000003</v>
      </c>
      <c r="AD75" s="161">
        <f t="shared" si="71"/>
        <v>-45174</v>
      </c>
      <c r="AE75" s="446">
        <f t="shared" si="72"/>
        <v>0</v>
      </c>
      <c r="AF75" s="160">
        <f t="shared" si="73"/>
        <v>45190.725646551728</v>
      </c>
      <c r="AG75" s="160">
        <f t="shared" si="74"/>
        <v>45200.18081896552</v>
      </c>
      <c r="AH75" s="159">
        <f t="shared" si="75"/>
        <v>45219.518750000003</v>
      </c>
      <c r="AI75" s="162">
        <f t="shared" si="45"/>
        <v>-1399.4829527243589</v>
      </c>
      <c r="AJ75" s="224">
        <f t="shared" si="76"/>
        <v>0</v>
      </c>
      <c r="AK75" s="225">
        <f t="shared" si="46"/>
        <v>26</v>
      </c>
      <c r="AL75" s="170">
        <f t="shared" si="47"/>
        <v>36</v>
      </c>
      <c r="AM75" s="170">
        <f t="shared" si="48"/>
        <v>24.206896551724139</v>
      </c>
      <c r="AN75" s="170">
        <f t="shared" si="49"/>
        <v>30.662068965517239</v>
      </c>
      <c r="AO75" s="226">
        <f t="shared" si="50"/>
        <v>21.206896551724139</v>
      </c>
      <c r="AP75" s="227">
        <v>60</v>
      </c>
      <c r="AQ75" s="228">
        <f t="shared" si="51"/>
        <v>57</v>
      </c>
      <c r="AR75" s="228">
        <f t="shared" si="52"/>
        <v>52</v>
      </c>
      <c r="AS75" s="229">
        <f t="shared" si="53"/>
        <v>60</v>
      </c>
      <c r="AT75" s="982">
        <f t="shared" ca="1" si="54"/>
        <v>45895</v>
      </c>
      <c r="AU75" s="50"/>
      <c r="AV75" s="118"/>
      <c r="AW75" s="49"/>
      <c r="AX75" s="49"/>
      <c r="AY75" s="49"/>
      <c r="AZ75" s="300"/>
      <c r="BA75" s="119"/>
      <c r="BB75" s="304"/>
      <c r="BC75" s="231"/>
      <c r="BD75" s="232"/>
      <c r="BE75" s="222">
        <f t="shared" si="55"/>
        <v>15</v>
      </c>
      <c r="BF75" s="233">
        <f t="shared" si="56"/>
        <v>0</v>
      </c>
      <c r="BG75" s="234"/>
      <c r="BH75" s="235"/>
      <c r="BI75" s="234"/>
      <c r="BJ75" s="236"/>
      <c r="BK75" s="222"/>
      <c r="BL75" s="222"/>
      <c r="BM75" s="238"/>
      <c r="BN75" s="222"/>
      <c r="BO75" s="222"/>
      <c r="BP75" s="243"/>
      <c r="BQ75" s="244" t="s">
        <v>247</v>
      </c>
      <c r="BR75" s="238"/>
      <c r="BS75" s="67"/>
      <c r="BT75" s="66"/>
      <c r="BU75" s="66"/>
      <c r="BV75" s="66"/>
      <c r="BW75" s="74"/>
      <c r="BX75" s="81"/>
      <c r="BY75" s="66">
        <v>45181</v>
      </c>
      <c r="BZ75" s="944" t="s">
        <v>764</v>
      </c>
      <c r="CA75" s="42" t="str">
        <f t="shared" si="57"/>
        <v>0</v>
      </c>
      <c r="CB75" s="62">
        <f t="shared" si="58"/>
        <v>-45169.518750000003</v>
      </c>
      <c r="CC75" s="42">
        <f t="shared" si="59"/>
        <v>0</v>
      </c>
      <c r="CD75" s="62">
        <f t="shared" si="60"/>
        <v>-45169.518750000003</v>
      </c>
      <c r="CE75" s="62">
        <f t="shared" si="61"/>
        <v>-1399.4829527243589</v>
      </c>
      <c r="CF75" s="145" t="str">
        <f t="shared" si="62"/>
        <v>0</v>
      </c>
      <c r="CG75" s="145"/>
      <c r="CH75" s="443">
        <f t="shared" si="63"/>
        <v>21.671961805555465</v>
      </c>
      <c r="CI75" s="996">
        <f t="shared" si="64"/>
        <v>21.671961805555465</v>
      </c>
      <c r="CJ75" s="261">
        <f t="shared" si="65"/>
        <v>0</v>
      </c>
      <c r="CK75" s="458">
        <f t="shared" si="66"/>
        <v>686.48124999999709</v>
      </c>
      <c r="CL75" t="str">
        <f t="shared" si="67"/>
        <v>NON-REV</v>
      </c>
      <c r="CM75" t="str">
        <f t="shared" si="68"/>
        <v>10 MONTHS AND ABOVE</v>
      </c>
      <c r="CN75" s="635"/>
      <c r="CO75" s="631"/>
      <c r="CP75" s="629" t="str">
        <f t="shared" si="69"/>
        <v>FOR ISSUANCE</v>
      </c>
      <c r="CQ75" s="635"/>
      <c r="CR75" s="697"/>
      <c r="CS75" s="633" t="str">
        <f t="shared" ca="1" si="70"/>
        <v>0</v>
      </c>
      <c r="CT75" s="635"/>
      <c r="CU75" s="631"/>
      <c r="CV75" s="638"/>
      <c r="CW75" s="156" t="s">
        <v>765</v>
      </c>
      <c r="CX75" s="156" t="str">
        <f>VLOOKUP(E75,'[1]List of Work Orders'!$A:$I,9,FALSE)</f>
        <v>ME155242</v>
      </c>
      <c r="CY75" s="156"/>
      <c r="CZ75" s="63"/>
      <c r="DC75" t="str">
        <f>VLOOKUP(E75,'[2]List of Work Orders'!$A:$F,6,FALSE)</f>
        <v>INPRG</v>
      </c>
      <c r="DS75" s="156" t="s">
        <v>381</v>
      </c>
    </row>
    <row r="76" spans="1:123" customFormat="1" ht="15" customHeight="1" x14ac:dyDescent="0.25">
      <c r="A76" s="242">
        <v>45197</v>
      </c>
      <c r="B76" s="222" t="s">
        <v>308</v>
      </c>
      <c r="C76" s="223"/>
      <c r="D76" s="66" t="s">
        <v>234</v>
      </c>
      <c r="E76" s="404" t="s">
        <v>766</v>
      </c>
      <c r="F76" s="95" t="s">
        <v>767</v>
      </c>
      <c r="G76" s="95" t="s">
        <v>768</v>
      </c>
      <c r="H76" s="95" t="s">
        <v>238</v>
      </c>
      <c r="I76" s="95" t="s">
        <v>239</v>
      </c>
      <c r="J76" s="168" t="s">
        <v>769</v>
      </c>
      <c r="K76" s="101" t="s">
        <v>271</v>
      </c>
      <c r="L76" s="101" t="s">
        <v>288</v>
      </c>
      <c r="M76" s="345" t="s">
        <v>272</v>
      </c>
      <c r="N76" s="442" t="s">
        <v>381</v>
      </c>
      <c r="O76" s="933">
        <v>334.68</v>
      </c>
      <c r="P76" s="933">
        <v>445.08</v>
      </c>
      <c r="Q76" s="157">
        <v>68</v>
      </c>
      <c r="R76" s="109" t="s">
        <v>770</v>
      </c>
      <c r="S76" s="110">
        <v>1162251.69</v>
      </c>
      <c r="T76" s="93">
        <v>245180.25</v>
      </c>
      <c r="U76" s="141"/>
      <c r="V76" s="158">
        <f t="shared" si="43"/>
        <v>0</v>
      </c>
      <c r="W76" s="159">
        <v>45181.484027777777</v>
      </c>
      <c r="X76" s="159">
        <v>45195</v>
      </c>
      <c r="Y76" s="160">
        <v>45194</v>
      </c>
      <c r="Z76" s="470"/>
      <c r="AA76" s="470">
        <v>45675</v>
      </c>
      <c r="AB76" s="470"/>
      <c r="AC76" s="161">
        <f t="shared" si="44"/>
        <v>493.51597222222335</v>
      </c>
      <c r="AD76" s="161">
        <f t="shared" si="71"/>
        <v>480</v>
      </c>
      <c r="AE76" s="446">
        <f t="shared" si="72"/>
        <v>-45675</v>
      </c>
      <c r="AF76" s="160">
        <f t="shared" si="73"/>
        <v>45203.514702624401</v>
      </c>
      <c r="AG76" s="160">
        <f t="shared" si="74"/>
        <v>45213.189549250172</v>
      </c>
      <c r="AH76" s="159">
        <f t="shared" si="75"/>
        <v>45231.484027777777</v>
      </c>
      <c r="AI76" s="162">
        <f t="shared" si="45"/>
        <v>14.787335197099708</v>
      </c>
      <c r="AJ76" s="224">
        <f t="shared" si="76"/>
        <v>-761.25</v>
      </c>
      <c r="AK76" s="225">
        <f t="shared" si="46"/>
        <v>32</v>
      </c>
      <c r="AL76" s="170">
        <f t="shared" si="47"/>
        <v>34</v>
      </c>
      <c r="AM76" s="170">
        <f t="shared" si="48"/>
        <v>25.030674846625768</v>
      </c>
      <c r="AN76" s="170">
        <f t="shared" si="49"/>
        <v>31.70552147239264</v>
      </c>
      <c r="AO76" s="226">
        <f t="shared" si="50"/>
        <v>22.030674846625768</v>
      </c>
      <c r="AP76" s="227">
        <v>60</v>
      </c>
      <c r="AQ76" s="228">
        <f t="shared" si="51"/>
        <v>57</v>
      </c>
      <c r="AR76" s="228">
        <f t="shared" si="52"/>
        <v>52</v>
      </c>
      <c r="AS76" s="229">
        <f t="shared" si="53"/>
        <v>45735</v>
      </c>
      <c r="AT76" s="982">
        <f t="shared" ca="1" si="54"/>
        <v>220</v>
      </c>
      <c r="AU76" s="50"/>
      <c r="AV76" s="118"/>
      <c r="AW76" s="49"/>
      <c r="AX76" s="49"/>
      <c r="AY76" s="49"/>
      <c r="AZ76" s="300"/>
      <c r="BA76" s="119"/>
      <c r="BB76" s="304"/>
      <c r="BC76" s="231" t="s">
        <v>13</v>
      </c>
      <c r="BD76" s="232"/>
      <c r="BE76" s="222">
        <f t="shared" si="55"/>
        <v>45690</v>
      </c>
      <c r="BF76" s="233" t="e">
        <f t="shared" si="56"/>
        <v>#VALUE!</v>
      </c>
      <c r="BG76" s="234"/>
      <c r="BH76" s="235"/>
      <c r="BI76" s="234"/>
      <c r="BJ76" s="236"/>
      <c r="BK76" s="222"/>
      <c r="BL76" s="222"/>
      <c r="BM76" s="238"/>
      <c r="BN76" s="222"/>
      <c r="BO76" s="222"/>
      <c r="BP76" s="243"/>
      <c r="BQ76" s="244" t="s">
        <v>247</v>
      </c>
      <c r="BR76" s="238"/>
      <c r="BS76" s="67"/>
      <c r="BT76" s="66"/>
      <c r="BU76" s="66"/>
      <c r="BV76" s="66"/>
      <c r="BW76" s="74"/>
      <c r="BX76" s="81"/>
      <c r="BY76" s="66">
        <v>45198</v>
      </c>
      <c r="BZ76" s="944" t="s">
        <v>771</v>
      </c>
      <c r="CA76" s="42" t="str">
        <f t="shared" si="57"/>
        <v>0</v>
      </c>
      <c r="CB76" s="62">
        <f t="shared" si="58"/>
        <v>493.51597222222335</v>
      </c>
      <c r="CC76" s="42">
        <f t="shared" si="59"/>
        <v>0</v>
      </c>
      <c r="CD76" s="62">
        <f t="shared" si="60"/>
        <v>493.51597222222335</v>
      </c>
      <c r="CE76" s="62">
        <f t="shared" si="61"/>
        <v>14.787335197099708</v>
      </c>
      <c r="CF76" s="145">
        <f t="shared" si="62"/>
        <v>194</v>
      </c>
      <c r="CG76" s="145"/>
      <c r="CH76" s="443">
        <f t="shared" si="63"/>
        <v>20.600202844158527</v>
      </c>
      <c r="CI76" s="996">
        <f t="shared" si="64"/>
        <v>20.600202844158527</v>
      </c>
      <c r="CJ76" s="261">
        <f t="shared" si="65"/>
        <v>3.2333333333333334</v>
      </c>
      <c r="CK76" s="458" t="str">
        <f t="shared" si="66"/>
        <v/>
      </c>
      <c r="CL76" t="str">
        <f t="shared" si="67"/>
        <v>NON-REV</v>
      </c>
      <c r="CM76" t="str">
        <f t="shared" si="68"/>
        <v/>
      </c>
      <c r="CN76" s="635"/>
      <c r="CO76" s="631"/>
      <c r="CP76" s="629" t="str">
        <f t="shared" si="69"/>
        <v>FOR ISSUANCE</v>
      </c>
      <c r="CQ76" s="635"/>
      <c r="CR76" s="697"/>
      <c r="CS76" s="633" t="str">
        <f t="shared" ca="1" si="70"/>
        <v>0</v>
      </c>
      <c r="CT76" s="635"/>
      <c r="CU76" s="631"/>
      <c r="CV76" s="638"/>
      <c r="CW76" s="156" t="s">
        <v>772</v>
      </c>
      <c r="CX76" s="156" t="str">
        <f>VLOOKUP(E76,'[1]List of Work Orders'!$A:$I,9,FALSE)</f>
        <v>ME185284</v>
      </c>
      <c r="CY76" s="156"/>
      <c r="DC76" t="str">
        <f>VLOOKUP(E76,'[2]List of Work Orders'!$A:$F,6,FALSE)</f>
        <v>FCOMP</v>
      </c>
      <c r="DS76" s="156" t="s">
        <v>397</v>
      </c>
    </row>
    <row r="77" spans="1:123" customFormat="1" ht="15" customHeight="1" x14ac:dyDescent="0.25">
      <c r="A77" s="242">
        <v>45198</v>
      </c>
      <c r="B77" s="222">
        <v>45196</v>
      </c>
      <c r="C77" s="223"/>
      <c r="D77" s="66" t="s">
        <v>320</v>
      </c>
      <c r="E77" s="404" t="s">
        <v>773</v>
      </c>
      <c r="F77" s="95" t="s">
        <v>774</v>
      </c>
      <c r="G77" s="95" t="s">
        <v>775</v>
      </c>
      <c r="H77" s="95" t="s">
        <v>318</v>
      </c>
      <c r="I77" s="95" t="s">
        <v>239</v>
      </c>
      <c r="J77" s="155" t="s">
        <v>776</v>
      </c>
      <c r="K77" s="101" t="s">
        <v>533</v>
      </c>
      <c r="L77" s="101" t="s">
        <v>242</v>
      </c>
      <c r="M77" s="345" t="s">
        <v>438</v>
      </c>
      <c r="N77" s="442" t="s">
        <v>467</v>
      </c>
      <c r="O77" s="165">
        <v>262.96329999999989</v>
      </c>
      <c r="P77" s="165" t="e">
        <v>#N/A</v>
      </c>
      <c r="Q77" s="157">
        <v>86</v>
      </c>
      <c r="R77" s="109" t="s">
        <v>244</v>
      </c>
      <c r="S77" s="110">
        <v>1509543.73</v>
      </c>
      <c r="T77" s="93">
        <v>257509.03</v>
      </c>
      <c r="U77" s="141"/>
      <c r="V77" s="158">
        <f t="shared" si="43"/>
        <v>0</v>
      </c>
      <c r="W77" s="159">
        <v>45195.381944444445</v>
      </c>
      <c r="X77" s="159">
        <v>45198</v>
      </c>
      <c r="Y77" s="160">
        <v>45196</v>
      </c>
      <c r="Z77" s="470"/>
      <c r="AA77" s="470"/>
      <c r="AB77" s="470"/>
      <c r="AC77" s="161">
        <f t="shared" si="44"/>
        <v>-45195.381944444445</v>
      </c>
      <c r="AD77" s="161">
        <f t="shared" si="71"/>
        <v>-45198</v>
      </c>
      <c r="AE77" s="446">
        <f t="shared" si="72"/>
        <v>0</v>
      </c>
      <c r="AF77" s="160" t="e">
        <f t="shared" si="73"/>
        <v>#N/A</v>
      </c>
      <c r="AG77" s="160" t="e">
        <f t="shared" si="74"/>
        <v>#N/A</v>
      </c>
      <c r="AH77" s="159">
        <f t="shared" si="75"/>
        <v>45245.381944444445</v>
      </c>
      <c r="AI77" s="162" t="e">
        <f t="shared" si="45"/>
        <v>#N/A</v>
      </c>
      <c r="AJ77" s="224">
        <f t="shared" si="76"/>
        <v>0</v>
      </c>
      <c r="AK77" s="225" t="e">
        <f t="shared" si="46"/>
        <v>#N/A</v>
      </c>
      <c r="AL77" s="170">
        <f t="shared" si="47"/>
        <v>34</v>
      </c>
      <c r="AM77" s="170" t="e">
        <f t="shared" si="48"/>
        <v>#N/A</v>
      </c>
      <c r="AN77" s="170" t="e">
        <f t="shared" si="49"/>
        <v>#N/A</v>
      </c>
      <c r="AO77" s="226" t="e">
        <f t="shared" si="50"/>
        <v>#N/A</v>
      </c>
      <c r="AP77" s="227">
        <v>60</v>
      </c>
      <c r="AQ77" s="228">
        <f t="shared" si="51"/>
        <v>57</v>
      </c>
      <c r="AR77" s="228">
        <f t="shared" si="52"/>
        <v>52</v>
      </c>
      <c r="AS77" s="229">
        <f t="shared" si="53"/>
        <v>60</v>
      </c>
      <c r="AT77" s="982">
        <f t="shared" ca="1" si="54"/>
        <v>45895</v>
      </c>
      <c r="AU77" s="50"/>
      <c r="AV77" s="118"/>
      <c r="AW77" s="49"/>
      <c r="AX77" s="49"/>
      <c r="AY77" s="49"/>
      <c r="AZ77" s="300"/>
      <c r="BA77" s="119"/>
      <c r="BB77" s="304"/>
      <c r="BC77" s="231" t="s">
        <v>264</v>
      </c>
      <c r="BD77" s="232"/>
      <c r="BE77" s="222">
        <f t="shared" si="55"/>
        <v>15</v>
      </c>
      <c r="BF77" s="233">
        <f t="shared" si="56"/>
        <v>0</v>
      </c>
      <c r="BG77" s="234"/>
      <c r="BH77" s="235"/>
      <c r="BI77" s="234"/>
      <c r="BJ77" s="236"/>
      <c r="BK77" s="222"/>
      <c r="BL77" s="222"/>
      <c r="BM77" s="238"/>
      <c r="BN77" s="222"/>
      <c r="BO77" s="222"/>
      <c r="BP77" s="243"/>
      <c r="BQ77" s="244" t="s">
        <v>247</v>
      </c>
      <c r="BR77" s="238"/>
      <c r="BS77" s="67"/>
      <c r="BT77" s="66"/>
      <c r="BU77" s="66"/>
      <c r="BV77" s="66"/>
      <c r="BW77" s="74"/>
      <c r="BX77" s="81"/>
      <c r="BY77" s="66">
        <v>45201</v>
      </c>
      <c r="BZ77" s="944" t="s">
        <v>777</v>
      </c>
      <c r="CA77" s="42" t="str">
        <f t="shared" si="57"/>
        <v>0</v>
      </c>
      <c r="CB77" s="62">
        <f t="shared" si="58"/>
        <v>-45195.381944444445</v>
      </c>
      <c r="CC77" s="42">
        <f t="shared" si="59"/>
        <v>0</v>
      </c>
      <c r="CD77" s="62">
        <f t="shared" si="60"/>
        <v>-45195.381944444445</v>
      </c>
      <c r="CE77" s="62" t="e">
        <f t="shared" si="61"/>
        <v>#N/A</v>
      </c>
      <c r="CF77" s="145" t="str">
        <f t="shared" si="62"/>
        <v>0</v>
      </c>
      <c r="CG77" s="145"/>
      <c r="CH77" s="443" t="e">
        <f t="shared" si="63"/>
        <v>#N/A</v>
      </c>
      <c r="CI77" s="996" t="e">
        <f t="shared" si="64"/>
        <v>#N/A</v>
      </c>
      <c r="CJ77" s="261">
        <f t="shared" si="65"/>
        <v>0</v>
      </c>
      <c r="CK77" s="458">
        <f t="shared" si="66"/>
        <v>660.61805555555475</v>
      </c>
      <c r="CL77" t="str">
        <f t="shared" si="67"/>
        <v>REV</v>
      </c>
      <c r="CM77" t="str">
        <f t="shared" si="68"/>
        <v>10 MONTHS AND ABOVE</v>
      </c>
      <c r="CN77" s="635">
        <v>45839</v>
      </c>
      <c r="CO77" s="631">
        <v>92555.66</v>
      </c>
      <c r="CP77" s="629" t="str">
        <f t="shared" si="69"/>
        <v>NTC ISSUED</v>
      </c>
      <c r="CQ77" s="635">
        <v>45841</v>
      </c>
      <c r="CR77" s="697"/>
      <c r="CS77" s="633">
        <f t="shared" ca="1" si="70"/>
        <v>54</v>
      </c>
      <c r="CT77" s="635"/>
      <c r="CU77" s="631"/>
      <c r="CV77" s="638"/>
      <c r="CW77" s="156" t="s">
        <v>778</v>
      </c>
      <c r="CX77" s="156" t="str">
        <f>VLOOKUP(E77,'[1]List of Work Orders'!$A:$I,9,FALSE)</f>
        <v>ME155242</v>
      </c>
      <c r="CY77" s="156"/>
      <c r="CZ77" s="63"/>
      <c r="DC77" t="str">
        <f>VLOOKUP(E77,'[2]List of Work Orders'!$A:$F,6,FALSE)</f>
        <v>PCAN3</v>
      </c>
      <c r="DS77" s="156" t="s">
        <v>397</v>
      </c>
    </row>
    <row r="78" spans="1:123" customFormat="1" ht="15" customHeight="1" x14ac:dyDescent="0.25">
      <c r="A78" s="242">
        <v>45204</v>
      </c>
      <c r="B78" s="222">
        <v>45198</v>
      </c>
      <c r="C78" s="223"/>
      <c r="D78" s="66" t="s">
        <v>320</v>
      </c>
      <c r="E78" s="404" t="s">
        <v>779</v>
      </c>
      <c r="F78" s="169" t="s">
        <v>780</v>
      </c>
      <c r="G78" s="95" t="s">
        <v>781</v>
      </c>
      <c r="H78" s="95" t="s">
        <v>318</v>
      </c>
      <c r="I78" s="95" t="s">
        <v>239</v>
      </c>
      <c r="J78" s="95" t="s">
        <v>782</v>
      </c>
      <c r="K78" s="101" t="s">
        <v>299</v>
      </c>
      <c r="L78" s="101" t="s">
        <v>242</v>
      </c>
      <c r="M78" s="345" t="s">
        <v>331</v>
      </c>
      <c r="N78" s="442" t="s">
        <v>467</v>
      </c>
      <c r="O78" s="165">
        <v>114.90139999999997</v>
      </c>
      <c r="P78" s="165">
        <v>196.41</v>
      </c>
      <c r="Q78" s="157">
        <v>104</v>
      </c>
      <c r="R78" s="109" t="s">
        <v>548</v>
      </c>
      <c r="S78" s="110">
        <v>506248.25</v>
      </c>
      <c r="T78" s="93">
        <v>120772.87</v>
      </c>
      <c r="U78" s="141"/>
      <c r="V78" s="158">
        <f t="shared" si="43"/>
        <v>0</v>
      </c>
      <c r="W78" s="159">
        <v>45196.345138888886</v>
      </c>
      <c r="X78" s="159">
        <v>45201.561805555553</v>
      </c>
      <c r="Y78" s="160">
        <v>45198</v>
      </c>
      <c r="Z78" s="470"/>
      <c r="AA78" s="470"/>
      <c r="AB78" s="470"/>
      <c r="AC78" s="161">
        <f t="shared" si="44"/>
        <v>-45196.345138888886</v>
      </c>
      <c r="AD78" s="161">
        <f t="shared" si="71"/>
        <v>-45201.561805555553</v>
      </c>
      <c r="AE78" s="446">
        <f t="shared" si="72"/>
        <v>0</v>
      </c>
      <c r="AF78" s="160">
        <f t="shared" si="73"/>
        <v>45215.791182054352</v>
      </c>
      <c r="AG78" s="160">
        <f t="shared" si="74"/>
        <v>45224.776793565143</v>
      </c>
      <c r="AH78" s="159">
        <f t="shared" si="75"/>
        <v>45246.345138888886</v>
      </c>
      <c r="AI78" s="162">
        <f t="shared" si="45"/>
        <v>-1510.166339977297</v>
      </c>
      <c r="AJ78" s="224">
        <f t="shared" si="76"/>
        <v>0</v>
      </c>
      <c r="AK78" s="225">
        <f t="shared" si="46"/>
        <v>26</v>
      </c>
      <c r="AL78" s="170">
        <f t="shared" si="47"/>
        <v>32</v>
      </c>
      <c r="AM78" s="170">
        <f t="shared" si="48"/>
        <v>22.446043165467625</v>
      </c>
      <c r="AN78" s="170">
        <f t="shared" si="49"/>
        <v>28.431654676258994</v>
      </c>
      <c r="AO78" s="226">
        <f t="shared" si="50"/>
        <v>19.446043165467625</v>
      </c>
      <c r="AP78" s="227">
        <v>60</v>
      </c>
      <c r="AQ78" s="228">
        <f t="shared" si="51"/>
        <v>57</v>
      </c>
      <c r="AR78" s="228">
        <f t="shared" si="52"/>
        <v>52</v>
      </c>
      <c r="AS78" s="229">
        <f t="shared" si="53"/>
        <v>60</v>
      </c>
      <c r="AT78" s="982">
        <f t="shared" ca="1" si="54"/>
        <v>45895</v>
      </c>
      <c r="AU78" s="50"/>
      <c r="AV78" s="118"/>
      <c r="AW78" s="49"/>
      <c r="AX78" s="49"/>
      <c r="AY78" s="49"/>
      <c r="AZ78" s="300"/>
      <c r="BA78" s="119"/>
      <c r="BB78" s="304"/>
      <c r="BC78" s="231"/>
      <c r="BD78" s="232"/>
      <c r="BE78" s="222">
        <f t="shared" si="55"/>
        <v>15</v>
      </c>
      <c r="BF78" s="233">
        <f t="shared" si="56"/>
        <v>0</v>
      </c>
      <c r="BG78" s="234"/>
      <c r="BH78" s="235"/>
      <c r="BI78" s="234"/>
      <c r="BJ78" s="236"/>
      <c r="BK78" s="222"/>
      <c r="BL78" s="222"/>
      <c r="BM78" s="238"/>
      <c r="BN78" s="222"/>
      <c r="BO78" s="222"/>
      <c r="BP78" s="243"/>
      <c r="BQ78" s="244" t="s">
        <v>247</v>
      </c>
      <c r="BR78" s="238"/>
      <c r="BS78" s="67"/>
      <c r="BT78" s="66"/>
      <c r="BU78" s="66"/>
      <c r="BV78" s="66"/>
      <c r="BW78" s="74"/>
      <c r="BX78" s="81"/>
      <c r="BY78" s="66">
        <v>45206</v>
      </c>
      <c r="BZ78" s="944" t="s">
        <v>783</v>
      </c>
      <c r="CA78" s="42" t="str">
        <f t="shared" si="57"/>
        <v>0</v>
      </c>
      <c r="CB78" s="62">
        <f t="shared" si="58"/>
        <v>-45196.345138888886</v>
      </c>
      <c r="CC78" s="42">
        <f t="shared" si="59"/>
        <v>0</v>
      </c>
      <c r="CD78" s="62">
        <f t="shared" si="60"/>
        <v>-45196.345138888886</v>
      </c>
      <c r="CE78" s="62">
        <f t="shared" si="61"/>
        <v>-1510.166339977297</v>
      </c>
      <c r="CF78" s="145" t="str">
        <f t="shared" si="62"/>
        <v>0</v>
      </c>
      <c r="CG78" s="145"/>
      <c r="CH78" s="443">
        <f t="shared" si="63"/>
        <v>22.47572733039539</v>
      </c>
      <c r="CI78" s="996">
        <f t="shared" si="64"/>
        <v>22.47572733039539</v>
      </c>
      <c r="CJ78" s="261">
        <f t="shared" si="65"/>
        <v>0</v>
      </c>
      <c r="CK78" s="458">
        <f t="shared" si="66"/>
        <v>659.65486111111386</v>
      </c>
      <c r="CL78" t="str">
        <f t="shared" si="67"/>
        <v>NON-REV</v>
      </c>
      <c r="CM78" t="str">
        <f t="shared" si="68"/>
        <v>10 MONTHS AND ABOVE</v>
      </c>
      <c r="CN78" s="635"/>
      <c r="CO78" s="631"/>
      <c r="CP78" s="629" t="str">
        <f t="shared" si="69"/>
        <v>FOR ISSUANCE</v>
      </c>
      <c r="CQ78" s="635"/>
      <c r="CR78" s="697"/>
      <c r="CS78" s="633" t="str">
        <f t="shared" ca="1" si="70"/>
        <v>0</v>
      </c>
      <c r="CT78" s="635"/>
      <c r="CU78" s="631"/>
      <c r="CV78" s="638"/>
      <c r="CW78" s="156" t="s">
        <v>784</v>
      </c>
      <c r="CX78" s="156" t="str">
        <f>VLOOKUP(E78,'[1]List of Work Orders'!$A:$I,9,FALSE)</f>
        <v>ME155242</v>
      </c>
      <c r="CY78" s="156"/>
      <c r="CZ78" s="63"/>
      <c r="DC78" t="str">
        <f>VLOOKUP(E78,'[2]List of Work Orders'!$A:$F,6,FALSE)</f>
        <v>SCHED</v>
      </c>
      <c r="DS78" s="156" t="s">
        <v>397</v>
      </c>
    </row>
    <row r="79" spans="1:123" customFormat="1" ht="15" customHeight="1" x14ac:dyDescent="0.25">
      <c r="A79" s="242">
        <v>45238</v>
      </c>
      <c r="B79" s="222">
        <v>45236</v>
      </c>
      <c r="C79" s="223"/>
      <c r="D79" s="66" t="s">
        <v>284</v>
      </c>
      <c r="E79" s="404" t="s">
        <v>785</v>
      </c>
      <c r="F79" s="95" t="s">
        <v>786</v>
      </c>
      <c r="G79" s="95" t="s">
        <v>787</v>
      </c>
      <c r="H79" s="95" t="s">
        <v>269</v>
      </c>
      <c r="I79" s="95" t="s">
        <v>239</v>
      </c>
      <c r="J79" s="95" t="s">
        <v>788</v>
      </c>
      <c r="K79" s="101" t="s">
        <v>271</v>
      </c>
      <c r="L79" s="101" t="s">
        <v>263</v>
      </c>
      <c r="M79" s="345" t="s">
        <v>272</v>
      </c>
      <c r="N79" s="442" t="s">
        <v>467</v>
      </c>
      <c r="O79" s="165">
        <v>8.4700000000000006</v>
      </c>
      <c r="P79" s="165">
        <v>13.49</v>
      </c>
      <c r="Q79" s="157">
        <v>0</v>
      </c>
      <c r="R79" s="109" t="s">
        <v>319</v>
      </c>
      <c r="S79" s="110">
        <v>24652.39</v>
      </c>
      <c r="T79" s="93">
        <v>10512.77</v>
      </c>
      <c r="U79" s="141"/>
      <c r="V79" s="158">
        <f t="shared" si="43"/>
        <v>0</v>
      </c>
      <c r="W79" s="159">
        <v>45228.541666666664</v>
      </c>
      <c r="X79" s="159">
        <v>45233.643055555556</v>
      </c>
      <c r="Y79" s="160">
        <v>45234</v>
      </c>
      <c r="Z79" s="470"/>
      <c r="AA79" s="470">
        <v>45843</v>
      </c>
      <c r="AB79" s="470"/>
      <c r="AC79" s="161">
        <f t="shared" si="44"/>
        <v>614.45833333333576</v>
      </c>
      <c r="AD79" s="161">
        <f t="shared" si="71"/>
        <v>609.3569444444438</v>
      </c>
      <c r="AE79" s="446">
        <f t="shared" si="72"/>
        <v>-45843</v>
      </c>
      <c r="AF79" s="160">
        <f t="shared" si="73"/>
        <v>45247.315860215051</v>
      </c>
      <c r="AG79" s="160">
        <f t="shared" si="74"/>
        <v>45256.122311827952</v>
      </c>
      <c r="AH79" s="159">
        <f t="shared" si="75"/>
        <v>45278.541666666664</v>
      </c>
      <c r="AI79" s="162">
        <f t="shared" si="45"/>
        <v>21.164675925926009</v>
      </c>
      <c r="AJ79" s="224">
        <f t="shared" si="76"/>
        <v>-764.05</v>
      </c>
      <c r="AK79" s="225">
        <f t="shared" si="46"/>
        <v>20</v>
      </c>
      <c r="AL79" s="170">
        <f t="shared" si="47"/>
        <v>36</v>
      </c>
      <c r="AM79" s="170">
        <f t="shared" si="48"/>
        <v>21.774193548387096</v>
      </c>
      <c r="AN79" s="170">
        <f t="shared" si="49"/>
        <v>27.58064516129032</v>
      </c>
      <c r="AO79" s="226">
        <f t="shared" si="50"/>
        <v>18.774193548387096</v>
      </c>
      <c r="AP79" s="227">
        <v>60</v>
      </c>
      <c r="AQ79" s="228">
        <f t="shared" si="51"/>
        <v>57</v>
      </c>
      <c r="AR79" s="228">
        <f t="shared" si="52"/>
        <v>52</v>
      </c>
      <c r="AS79" s="229">
        <f t="shared" si="53"/>
        <v>45903</v>
      </c>
      <c r="AT79" s="982">
        <f t="shared" ca="1" si="54"/>
        <v>52</v>
      </c>
      <c r="AU79" s="50"/>
      <c r="AV79" s="118"/>
      <c r="AW79" s="49"/>
      <c r="AX79" s="49"/>
      <c r="AY79" s="49"/>
      <c r="AZ79" s="300"/>
      <c r="BA79" s="119"/>
      <c r="BB79" s="304"/>
      <c r="BC79" s="231" t="s">
        <v>13</v>
      </c>
      <c r="BD79" s="232"/>
      <c r="BE79" s="222">
        <f t="shared" si="55"/>
        <v>45858</v>
      </c>
      <c r="BF79" s="233" t="e">
        <f t="shared" si="56"/>
        <v>#VALUE!</v>
      </c>
      <c r="BG79" s="234"/>
      <c r="BH79" s="235"/>
      <c r="BI79" s="234"/>
      <c r="BJ79" s="236"/>
      <c r="BK79" s="222"/>
      <c r="BL79" s="222"/>
      <c r="BM79" s="238"/>
      <c r="BN79" s="222"/>
      <c r="BO79" s="222"/>
      <c r="BP79" s="243"/>
      <c r="BQ79" s="244" t="s">
        <v>247</v>
      </c>
      <c r="BR79" s="238"/>
      <c r="BS79" s="67"/>
      <c r="BT79" s="66"/>
      <c r="BU79" s="66"/>
      <c r="BV79" s="66"/>
      <c r="BW79" s="74"/>
      <c r="BX79" s="81"/>
      <c r="BY79" s="66" t="s">
        <v>308</v>
      </c>
      <c r="BZ79" s="944" t="s">
        <v>789</v>
      </c>
      <c r="CA79" s="42" t="str">
        <f t="shared" si="57"/>
        <v>0</v>
      </c>
      <c r="CB79" s="62">
        <f t="shared" si="58"/>
        <v>614.45833333333576</v>
      </c>
      <c r="CC79" s="42">
        <f t="shared" si="59"/>
        <v>0</v>
      </c>
      <c r="CD79" s="62">
        <f t="shared" si="60"/>
        <v>614.45833333333576</v>
      </c>
      <c r="CE79" s="62">
        <f t="shared" si="61"/>
        <v>21.164675925926009</v>
      </c>
      <c r="CF79" s="145">
        <f t="shared" si="62"/>
        <v>26</v>
      </c>
      <c r="CG79" s="145"/>
      <c r="CH79" s="443">
        <f t="shared" si="63"/>
        <v>22.060231481481566</v>
      </c>
      <c r="CI79" s="996">
        <f t="shared" si="64"/>
        <v>22.060231481481566</v>
      </c>
      <c r="CJ79" s="261">
        <f t="shared" si="65"/>
        <v>0.43333333333333335</v>
      </c>
      <c r="CK79" s="458" t="str">
        <f t="shared" si="66"/>
        <v/>
      </c>
      <c r="CL79" t="str">
        <f t="shared" si="67"/>
        <v>NON-REV</v>
      </c>
      <c r="CM79" t="str">
        <f t="shared" si="68"/>
        <v/>
      </c>
      <c r="CN79" s="635"/>
      <c r="CO79" s="631"/>
      <c r="CP79" s="629" t="str">
        <f t="shared" si="69"/>
        <v>FOR ISSUANCE</v>
      </c>
      <c r="CQ79" s="635"/>
      <c r="CR79" s="697"/>
      <c r="CS79" s="633" t="str">
        <f t="shared" ca="1" si="70"/>
        <v>0</v>
      </c>
      <c r="CT79" s="635"/>
      <c r="CU79" s="631"/>
      <c r="CV79" s="638"/>
      <c r="CW79" s="156" t="s">
        <v>790</v>
      </c>
      <c r="CX79" s="156" t="str">
        <f>VLOOKUP(E79,'[1]List of Work Orders'!$A:$I,9,FALSE)</f>
        <v>ME155242</v>
      </c>
      <c r="CY79" s="156"/>
      <c r="DC79" t="str">
        <f>VLOOKUP(E79,'[2]List of Work Orders'!$A:$F,6,FALSE)</f>
        <v>SCHED</v>
      </c>
      <c r="DS79" s="156" t="s">
        <v>397</v>
      </c>
    </row>
    <row r="80" spans="1:123" customFormat="1" ht="15" customHeight="1" x14ac:dyDescent="0.25">
      <c r="A80" s="242">
        <v>45238</v>
      </c>
      <c r="B80" s="222">
        <v>45236</v>
      </c>
      <c r="C80" s="223"/>
      <c r="D80" s="66" t="s">
        <v>320</v>
      </c>
      <c r="E80" s="404" t="s">
        <v>791</v>
      </c>
      <c r="F80" s="95" t="s">
        <v>792</v>
      </c>
      <c r="G80" s="95" t="s">
        <v>793</v>
      </c>
      <c r="H80" s="95" t="s">
        <v>253</v>
      </c>
      <c r="I80" s="95" t="s">
        <v>254</v>
      </c>
      <c r="J80" s="95" t="s">
        <v>794</v>
      </c>
      <c r="K80" s="101" t="s">
        <v>299</v>
      </c>
      <c r="L80" s="101" t="s">
        <v>263</v>
      </c>
      <c r="M80" s="345" t="s">
        <v>331</v>
      </c>
      <c r="N80" s="442" t="s">
        <v>467</v>
      </c>
      <c r="O80" s="165">
        <v>83.91540000000002</v>
      </c>
      <c r="P80" s="165">
        <v>182.27</v>
      </c>
      <c r="Q80" s="157">
        <v>40</v>
      </c>
      <c r="R80" s="109" t="s">
        <v>548</v>
      </c>
      <c r="S80" s="110">
        <v>391985.28</v>
      </c>
      <c r="T80" s="93">
        <v>87441.34</v>
      </c>
      <c r="U80" s="141"/>
      <c r="V80" s="158">
        <f t="shared" si="43"/>
        <v>0</v>
      </c>
      <c r="W80" s="159">
        <v>45230.364583333336</v>
      </c>
      <c r="X80" s="159">
        <v>45233.643750000003</v>
      </c>
      <c r="Y80" s="160">
        <v>45234</v>
      </c>
      <c r="Z80" s="470"/>
      <c r="AA80" s="470"/>
      <c r="AB80" s="470"/>
      <c r="AC80" s="161">
        <f t="shared" si="44"/>
        <v>-45230.364583333336</v>
      </c>
      <c r="AD80" s="161">
        <f t="shared" si="71"/>
        <v>-45233.643750000003</v>
      </c>
      <c r="AE80" s="446">
        <f t="shared" si="72"/>
        <v>0</v>
      </c>
      <c r="AF80" s="160">
        <f t="shared" si="73"/>
        <v>45251.57147988506</v>
      </c>
      <c r="AG80" s="160">
        <f t="shared" si="74"/>
        <v>45261.026652298853</v>
      </c>
      <c r="AH80" s="159">
        <f t="shared" si="75"/>
        <v>45280.364583333336</v>
      </c>
      <c r="AI80" s="162">
        <f t="shared" si="45"/>
        <v>-1401.3681334579771</v>
      </c>
      <c r="AJ80" s="224">
        <f t="shared" si="76"/>
        <v>0</v>
      </c>
      <c r="AK80" s="225">
        <f t="shared" si="46"/>
        <v>26</v>
      </c>
      <c r="AL80" s="170">
        <f t="shared" si="47"/>
        <v>36</v>
      </c>
      <c r="AM80" s="170">
        <f t="shared" si="48"/>
        <v>24.206896551724139</v>
      </c>
      <c r="AN80" s="170">
        <f t="shared" si="49"/>
        <v>30.662068965517239</v>
      </c>
      <c r="AO80" s="226">
        <f t="shared" si="50"/>
        <v>21.206896551724139</v>
      </c>
      <c r="AP80" s="227">
        <v>60</v>
      </c>
      <c r="AQ80" s="228">
        <f t="shared" si="51"/>
        <v>57</v>
      </c>
      <c r="AR80" s="228">
        <f t="shared" si="52"/>
        <v>52</v>
      </c>
      <c r="AS80" s="229">
        <f t="shared" si="53"/>
        <v>60</v>
      </c>
      <c r="AT80" s="982">
        <f t="shared" ca="1" si="54"/>
        <v>45895</v>
      </c>
      <c r="AU80" s="50"/>
      <c r="AV80" s="118"/>
      <c r="AW80" s="49"/>
      <c r="AX80" s="49"/>
      <c r="AY80" s="49"/>
      <c r="AZ80" s="300"/>
      <c r="BA80" s="119"/>
      <c r="BB80" s="304"/>
      <c r="BC80" s="231"/>
      <c r="BD80" s="232"/>
      <c r="BE80" s="222">
        <f t="shared" si="55"/>
        <v>15</v>
      </c>
      <c r="BF80" s="233">
        <f t="shared" si="56"/>
        <v>0</v>
      </c>
      <c r="BG80" s="234"/>
      <c r="BH80" s="235"/>
      <c r="BI80" s="234"/>
      <c r="BJ80" s="236"/>
      <c r="BK80" s="222"/>
      <c r="BL80" s="222"/>
      <c r="BM80" s="238"/>
      <c r="BN80" s="222"/>
      <c r="BO80" s="222"/>
      <c r="BP80" s="243"/>
      <c r="BQ80" s="244" t="s">
        <v>247</v>
      </c>
      <c r="BR80" s="238"/>
      <c r="BS80" s="67"/>
      <c r="BT80" s="66"/>
      <c r="BU80" s="66"/>
      <c r="BV80" s="66"/>
      <c r="BW80" s="74"/>
      <c r="BX80" s="81"/>
      <c r="BY80" s="66">
        <v>45238</v>
      </c>
      <c r="BZ80" s="944" t="s">
        <v>795</v>
      </c>
      <c r="CA80" s="42" t="str">
        <f t="shared" si="57"/>
        <v>0</v>
      </c>
      <c r="CB80" s="62">
        <f t="shared" si="58"/>
        <v>-45230.364583333336</v>
      </c>
      <c r="CC80" s="42">
        <f t="shared" si="59"/>
        <v>0</v>
      </c>
      <c r="CD80" s="62">
        <f t="shared" si="60"/>
        <v>-45230.364583333336</v>
      </c>
      <c r="CE80" s="62">
        <f t="shared" si="61"/>
        <v>-1401.3681334579771</v>
      </c>
      <c r="CF80" s="145" t="str">
        <f t="shared" si="62"/>
        <v>0</v>
      </c>
      <c r="CG80" s="145"/>
      <c r="CH80" s="443">
        <f t="shared" si="63"/>
        <v>19.786781071937245</v>
      </c>
      <c r="CI80" s="996">
        <f t="shared" si="64"/>
        <v>19.786781071937245</v>
      </c>
      <c r="CJ80" s="261">
        <f t="shared" si="65"/>
        <v>0</v>
      </c>
      <c r="CK80" s="458">
        <f t="shared" si="66"/>
        <v>625.63541666666424</v>
      </c>
      <c r="CL80" t="str">
        <f t="shared" si="67"/>
        <v>NON-REV</v>
      </c>
      <c r="CM80" t="str">
        <f t="shared" si="68"/>
        <v>10 MONTHS AND ABOVE</v>
      </c>
      <c r="CN80" s="635"/>
      <c r="CO80" s="631"/>
      <c r="CP80" s="629" t="str">
        <f t="shared" si="69"/>
        <v>FOR ISSUANCE</v>
      </c>
      <c r="CQ80" s="635"/>
      <c r="CR80" s="697"/>
      <c r="CS80" s="633" t="str">
        <f t="shared" ca="1" si="70"/>
        <v>0</v>
      </c>
      <c r="CT80" s="635"/>
      <c r="CU80" s="631"/>
      <c r="CV80" s="638"/>
      <c r="CW80" s="156" t="s">
        <v>796</v>
      </c>
      <c r="CX80" s="156" t="str">
        <f>VLOOKUP(E80,'[1]List of Work Orders'!$A:$I,9,FALSE)</f>
        <v>ME155242</v>
      </c>
      <c r="CY80" s="156"/>
      <c r="DC80" t="str">
        <f>VLOOKUP(E80,'[2]List of Work Orders'!$A:$F,6,FALSE)</f>
        <v>SCHED</v>
      </c>
      <c r="DS80" s="156" t="s">
        <v>397</v>
      </c>
    </row>
    <row r="81" spans="1:123" customFormat="1" ht="15" customHeight="1" x14ac:dyDescent="0.25">
      <c r="A81" s="242">
        <v>45252</v>
      </c>
      <c r="B81" s="222">
        <v>45251</v>
      </c>
      <c r="C81" s="223"/>
      <c r="D81" s="66" t="s">
        <v>320</v>
      </c>
      <c r="E81" s="404" t="s">
        <v>797</v>
      </c>
      <c r="F81" s="95" t="s">
        <v>798</v>
      </c>
      <c r="G81" s="95" t="s">
        <v>799</v>
      </c>
      <c r="H81" s="95" t="s">
        <v>318</v>
      </c>
      <c r="I81" s="95" t="s">
        <v>239</v>
      </c>
      <c r="J81" s="95" t="s">
        <v>800</v>
      </c>
      <c r="K81" s="101" t="s">
        <v>271</v>
      </c>
      <c r="L81" s="101" t="s">
        <v>242</v>
      </c>
      <c r="M81" s="345" t="s">
        <v>331</v>
      </c>
      <c r="N81" s="442" t="s">
        <v>467</v>
      </c>
      <c r="O81" s="165">
        <v>149.04269999999997</v>
      </c>
      <c r="P81" s="165">
        <v>214.27</v>
      </c>
      <c r="Q81" s="157">
        <v>36</v>
      </c>
      <c r="R81" s="109" t="s">
        <v>548</v>
      </c>
      <c r="S81" s="110">
        <v>563779.23</v>
      </c>
      <c r="T81" s="93">
        <v>139601.22</v>
      </c>
      <c r="U81" s="141"/>
      <c r="V81" s="158">
        <f t="shared" si="43"/>
        <v>0</v>
      </c>
      <c r="W81" s="159">
        <v>45247.405555555553</v>
      </c>
      <c r="X81" s="159">
        <v>45250.681944444441</v>
      </c>
      <c r="Y81" s="160">
        <v>45248</v>
      </c>
      <c r="Z81" s="470"/>
      <c r="AA81" s="470"/>
      <c r="AB81" s="470"/>
      <c r="AC81" s="161">
        <f t="shared" si="44"/>
        <v>-45247.405555555553</v>
      </c>
      <c r="AD81" s="161">
        <f t="shared" si="71"/>
        <v>-45250.681944444441</v>
      </c>
      <c r="AE81" s="446">
        <f t="shared" si="72"/>
        <v>0</v>
      </c>
      <c r="AF81" s="160">
        <f t="shared" si="73"/>
        <v>45269.273976608187</v>
      </c>
      <c r="AG81" s="160">
        <f t="shared" si="74"/>
        <v>45278.905555555553</v>
      </c>
      <c r="AH81" s="159">
        <f t="shared" si="75"/>
        <v>45297.405555555553</v>
      </c>
      <c r="AI81" s="162">
        <f t="shared" si="45"/>
        <v>-1364.6042945326276</v>
      </c>
      <c r="AJ81" s="224">
        <f t="shared" si="76"/>
        <v>0</v>
      </c>
      <c r="AK81" s="225">
        <f t="shared" si="46"/>
        <v>28</v>
      </c>
      <c r="AL81" s="170">
        <f t="shared" si="47"/>
        <v>36</v>
      </c>
      <c r="AM81" s="170">
        <f t="shared" si="48"/>
        <v>24.868421052631579</v>
      </c>
      <c r="AN81" s="170">
        <f t="shared" si="49"/>
        <v>31.499999999999996</v>
      </c>
      <c r="AO81" s="226">
        <f t="shared" si="50"/>
        <v>21.868421052631579</v>
      </c>
      <c r="AP81" s="227">
        <v>60</v>
      </c>
      <c r="AQ81" s="228">
        <f t="shared" si="51"/>
        <v>57</v>
      </c>
      <c r="AR81" s="228">
        <f t="shared" si="52"/>
        <v>52</v>
      </c>
      <c r="AS81" s="229">
        <f t="shared" si="53"/>
        <v>60</v>
      </c>
      <c r="AT81" s="982">
        <f t="shared" ca="1" si="54"/>
        <v>45895</v>
      </c>
      <c r="AU81" s="50"/>
      <c r="AV81" s="118"/>
      <c r="AW81" s="49"/>
      <c r="AX81" s="49"/>
      <c r="AY81" s="49"/>
      <c r="AZ81" s="300"/>
      <c r="BA81" s="119"/>
      <c r="BB81" s="304"/>
      <c r="BC81" s="231"/>
      <c r="BD81" s="232"/>
      <c r="BE81" s="222">
        <f t="shared" si="55"/>
        <v>15</v>
      </c>
      <c r="BF81" s="233">
        <f t="shared" si="56"/>
        <v>0</v>
      </c>
      <c r="BG81" s="234"/>
      <c r="BH81" s="235"/>
      <c r="BI81" s="234"/>
      <c r="BJ81" s="236"/>
      <c r="BK81" s="222"/>
      <c r="BL81" s="222"/>
      <c r="BM81" s="238"/>
      <c r="BN81" s="222"/>
      <c r="BO81" s="222"/>
      <c r="BP81" s="243"/>
      <c r="BQ81" s="244" t="s">
        <v>247</v>
      </c>
      <c r="BR81" s="238"/>
      <c r="BS81" s="67"/>
      <c r="BT81" s="66"/>
      <c r="BU81" s="66"/>
      <c r="BV81" s="66"/>
      <c r="BW81" s="74"/>
      <c r="BX81" s="81"/>
      <c r="BY81" s="66">
        <v>45254</v>
      </c>
      <c r="BZ81" s="944" t="s">
        <v>801</v>
      </c>
      <c r="CA81" s="42" t="str">
        <f t="shared" si="57"/>
        <v>0</v>
      </c>
      <c r="CB81" s="62">
        <f t="shared" si="58"/>
        <v>-45247.405555555553</v>
      </c>
      <c r="CC81" s="42">
        <f t="shared" si="59"/>
        <v>0</v>
      </c>
      <c r="CD81" s="62">
        <f t="shared" si="60"/>
        <v>-45247.405555555553</v>
      </c>
      <c r="CE81" s="62">
        <f t="shared" si="61"/>
        <v>-1364.6042945326276</v>
      </c>
      <c r="CF81" s="145" t="str">
        <f t="shared" si="62"/>
        <v>0</v>
      </c>
      <c r="CG81" s="145"/>
      <c r="CH81" s="443">
        <f t="shared" si="63"/>
        <v>18.74649911816585</v>
      </c>
      <c r="CI81" s="996">
        <f t="shared" si="64"/>
        <v>18.74649911816585</v>
      </c>
      <c r="CJ81" s="261">
        <f t="shared" si="65"/>
        <v>0</v>
      </c>
      <c r="CK81" s="458">
        <f t="shared" si="66"/>
        <v>608.59444444444671</v>
      </c>
      <c r="CL81" t="str">
        <f t="shared" si="67"/>
        <v>NON-REV</v>
      </c>
      <c r="CM81" t="str">
        <f t="shared" si="68"/>
        <v>10 MONTHS AND ABOVE</v>
      </c>
      <c r="CN81" s="635"/>
      <c r="CO81" s="631"/>
      <c r="CP81" s="629" t="str">
        <f t="shared" si="69"/>
        <v>FOR ISSUANCE</v>
      </c>
      <c r="CQ81" s="635"/>
      <c r="CR81" s="697"/>
      <c r="CS81" s="633" t="str">
        <f t="shared" ca="1" si="70"/>
        <v>0</v>
      </c>
      <c r="CT81" s="635"/>
      <c r="CU81" s="631"/>
      <c r="CV81" s="638"/>
      <c r="CW81" s="156" t="s">
        <v>802</v>
      </c>
      <c r="CX81" s="156" t="str">
        <f>VLOOKUP(E81,'[1]List of Work Orders'!$A:$I,9,FALSE)</f>
        <v>ME155242</v>
      </c>
      <c r="CY81" s="156"/>
      <c r="CZ81" s="63"/>
      <c r="DC81" t="str">
        <f>VLOOKUP(E81,'[2]List of Work Orders'!$A:$F,6,FALSE)</f>
        <v>SCHED</v>
      </c>
      <c r="DS81" s="156" t="s">
        <v>397</v>
      </c>
    </row>
    <row r="82" spans="1:123" customFormat="1" ht="15" customHeight="1" x14ac:dyDescent="0.25">
      <c r="A82" s="242">
        <v>45259</v>
      </c>
      <c r="B82" s="222">
        <v>45260</v>
      </c>
      <c r="C82" s="223"/>
      <c r="D82" s="66" t="s">
        <v>320</v>
      </c>
      <c r="E82" s="404" t="s">
        <v>803</v>
      </c>
      <c r="F82" s="95" t="s">
        <v>804</v>
      </c>
      <c r="G82" s="95" t="s">
        <v>805</v>
      </c>
      <c r="H82" s="95" t="s">
        <v>269</v>
      </c>
      <c r="I82" s="95" t="s">
        <v>239</v>
      </c>
      <c r="J82" s="95" t="s">
        <v>800</v>
      </c>
      <c r="K82" s="101" t="s">
        <v>271</v>
      </c>
      <c r="L82" s="101" t="s">
        <v>242</v>
      </c>
      <c r="M82" s="345" t="s">
        <v>331</v>
      </c>
      <c r="N82" s="442" t="s">
        <v>467</v>
      </c>
      <c r="O82" s="165">
        <v>219.0052</v>
      </c>
      <c r="P82" s="165">
        <v>611.36</v>
      </c>
      <c r="Q82" s="157">
        <v>98.8</v>
      </c>
      <c r="R82" s="109" t="s">
        <v>548</v>
      </c>
      <c r="S82" s="110">
        <v>1122491.8999999999</v>
      </c>
      <c r="T82" s="93">
        <v>246798.79</v>
      </c>
      <c r="U82" s="141"/>
      <c r="V82" s="158">
        <f t="shared" si="43"/>
        <v>0</v>
      </c>
      <c r="W82" s="159">
        <v>45252.697916666664</v>
      </c>
      <c r="X82" s="159">
        <v>45258.313888888886</v>
      </c>
      <c r="Y82" s="160">
        <v>45253</v>
      </c>
      <c r="Z82" s="470"/>
      <c r="AA82" s="470"/>
      <c r="AB82" s="470"/>
      <c r="AC82" s="161">
        <f t="shared" si="44"/>
        <v>-45252.697916666664</v>
      </c>
      <c r="AD82" s="161">
        <f t="shared" si="71"/>
        <v>-45258.313888888886</v>
      </c>
      <c r="AE82" s="446">
        <f t="shared" si="72"/>
        <v>0</v>
      </c>
      <c r="AF82" s="160">
        <f t="shared" si="73"/>
        <v>45276.399487347291</v>
      </c>
      <c r="AG82" s="160">
        <f t="shared" si="74"/>
        <v>45286.519906195463</v>
      </c>
      <c r="AH82" s="159">
        <f t="shared" si="75"/>
        <v>45302.697916666664</v>
      </c>
      <c r="AI82" s="162">
        <f t="shared" si="45"/>
        <v>-1271.0684267769607</v>
      </c>
      <c r="AJ82" s="224">
        <f t="shared" si="76"/>
        <v>0</v>
      </c>
      <c r="AK82" s="225">
        <f t="shared" si="46"/>
        <v>40</v>
      </c>
      <c r="AL82" s="170">
        <f t="shared" si="47"/>
        <v>34</v>
      </c>
      <c r="AM82" s="170">
        <f t="shared" si="48"/>
        <v>26.701570680628272</v>
      </c>
      <c r="AN82" s="170">
        <f t="shared" si="49"/>
        <v>33.821989528795811</v>
      </c>
      <c r="AO82" s="226">
        <f t="shared" si="50"/>
        <v>23.701570680628272</v>
      </c>
      <c r="AP82" s="227">
        <v>60</v>
      </c>
      <c r="AQ82" s="228">
        <f t="shared" si="51"/>
        <v>57</v>
      </c>
      <c r="AR82" s="228">
        <f t="shared" si="52"/>
        <v>52</v>
      </c>
      <c r="AS82" s="229">
        <f t="shared" si="53"/>
        <v>60</v>
      </c>
      <c r="AT82" s="982">
        <f t="shared" ca="1" si="54"/>
        <v>45895</v>
      </c>
      <c r="AU82" s="50"/>
      <c r="AV82" s="118"/>
      <c r="AW82" s="49"/>
      <c r="AX82" s="49"/>
      <c r="AY82" s="49"/>
      <c r="AZ82" s="300"/>
      <c r="BA82" s="119"/>
      <c r="BB82" s="304"/>
      <c r="BC82" s="231"/>
      <c r="BD82" s="232"/>
      <c r="BE82" s="222">
        <f t="shared" si="55"/>
        <v>15</v>
      </c>
      <c r="BF82" s="233">
        <f t="shared" si="56"/>
        <v>0</v>
      </c>
      <c r="BG82" s="234"/>
      <c r="BH82" s="235"/>
      <c r="BI82" s="234"/>
      <c r="BJ82" s="236"/>
      <c r="BK82" s="222"/>
      <c r="BL82" s="222"/>
      <c r="BM82" s="238"/>
      <c r="BN82" s="222"/>
      <c r="BO82" s="222"/>
      <c r="BP82" s="243"/>
      <c r="BQ82" s="244" t="s">
        <v>247</v>
      </c>
      <c r="BR82" s="238"/>
      <c r="BS82" s="67"/>
      <c r="BT82" s="66"/>
      <c r="BU82" s="66"/>
      <c r="BV82" s="66"/>
      <c r="BW82" s="74"/>
      <c r="BX82" s="81"/>
      <c r="BY82" s="66">
        <v>45259</v>
      </c>
      <c r="BZ82" s="944" t="s">
        <v>806</v>
      </c>
      <c r="CA82" s="42" t="str">
        <f t="shared" si="57"/>
        <v>0</v>
      </c>
      <c r="CB82" s="62">
        <f t="shared" si="58"/>
        <v>-45252.697916666664</v>
      </c>
      <c r="CC82" s="42">
        <f t="shared" si="59"/>
        <v>0</v>
      </c>
      <c r="CD82" s="62">
        <f t="shared" si="60"/>
        <v>-45252.697916666664</v>
      </c>
      <c r="CE82" s="62">
        <f t="shared" si="61"/>
        <v>-1271.0684267769607</v>
      </c>
      <c r="CF82" s="145" t="str">
        <f t="shared" si="62"/>
        <v>0</v>
      </c>
      <c r="CG82" s="145"/>
      <c r="CH82" s="443">
        <f t="shared" si="63"/>
        <v>17.310837928921636</v>
      </c>
      <c r="CI82" s="996">
        <f t="shared" si="64"/>
        <v>17.310837928921636</v>
      </c>
      <c r="CJ82" s="261">
        <f t="shared" si="65"/>
        <v>0</v>
      </c>
      <c r="CK82" s="458">
        <f t="shared" si="66"/>
        <v>603.30208333333576</v>
      </c>
      <c r="CL82" t="str">
        <f t="shared" si="67"/>
        <v>NON-REV</v>
      </c>
      <c r="CM82" t="str">
        <f t="shared" si="68"/>
        <v>10 MONTHS AND ABOVE</v>
      </c>
      <c r="CN82" s="635"/>
      <c r="CO82" s="631"/>
      <c r="CP82" s="629" t="str">
        <f t="shared" si="69"/>
        <v>FOR ISSUANCE</v>
      </c>
      <c r="CQ82" s="635"/>
      <c r="CR82" s="697"/>
      <c r="CS82" s="633" t="str">
        <f t="shared" ca="1" si="70"/>
        <v>0</v>
      </c>
      <c r="CT82" s="635"/>
      <c r="CU82" s="631"/>
      <c r="CV82" s="638"/>
      <c r="CW82" s="156" t="s">
        <v>807</v>
      </c>
      <c r="CX82" s="156" t="str">
        <f>VLOOKUP(E82,'[1]List of Work Orders'!$A:$I,9,FALSE)</f>
        <v>ME155242</v>
      </c>
      <c r="CY82" s="156"/>
      <c r="CZ82" s="63"/>
      <c r="DC82" t="str">
        <f>VLOOKUP(E82,'[2]List of Work Orders'!$A:$F,6,FALSE)</f>
        <v>SCHED</v>
      </c>
      <c r="DS82" s="156" t="s">
        <v>397</v>
      </c>
    </row>
    <row r="83" spans="1:123" customFormat="1" ht="15" customHeight="1" x14ac:dyDescent="0.25">
      <c r="A83" s="242">
        <v>45259</v>
      </c>
      <c r="B83" s="222">
        <v>45262</v>
      </c>
      <c r="C83" s="223"/>
      <c r="D83" s="66" t="s">
        <v>320</v>
      </c>
      <c r="E83" s="404" t="s">
        <v>808</v>
      </c>
      <c r="F83" s="95" t="s">
        <v>809</v>
      </c>
      <c r="G83" s="95" t="s">
        <v>810</v>
      </c>
      <c r="H83" s="95" t="s">
        <v>238</v>
      </c>
      <c r="I83" s="95" t="s">
        <v>239</v>
      </c>
      <c r="J83" s="155" t="s">
        <v>811</v>
      </c>
      <c r="K83" s="101" t="s">
        <v>533</v>
      </c>
      <c r="L83" s="101" t="s">
        <v>263</v>
      </c>
      <c r="M83" s="345" t="s">
        <v>438</v>
      </c>
      <c r="N83" s="442" t="s">
        <v>467</v>
      </c>
      <c r="O83" s="165">
        <v>233.56597999999988</v>
      </c>
      <c r="P83" s="165" t="e">
        <v>#N/A</v>
      </c>
      <c r="Q83" s="157">
        <v>135</v>
      </c>
      <c r="R83" s="109" t="s">
        <v>244</v>
      </c>
      <c r="S83" s="110">
        <v>1402828.43</v>
      </c>
      <c r="T83" s="93">
        <v>265062.37</v>
      </c>
      <c r="U83" s="141">
        <v>19989</v>
      </c>
      <c r="V83" s="158">
        <f t="shared" si="43"/>
        <v>7.5412439721262589E-2</v>
      </c>
      <c r="W83" s="159">
        <v>45253.683333333334</v>
      </c>
      <c r="X83" s="159">
        <v>45258</v>
      </c>
      <c r="Y83" s="160">
        <v>45254</v>
      </c>
      <c r="Z83" s="470"/>
      <c r="AA83" s="470"/>
      <c r="AB83" s="470"/>
      <c r="AC83" s="161">
        <f t="shared" si="44"/>
        <v>-45253.683333333334</v>
      </c>
      <c r="AD83" s="161">
        <f t="shared" si="71"/>
        <v>-45258</v>
      </c>
      <c r="AE83" s="446">
        <f t="shared" si="72"/>
        <v>0</v>
      </c>
      <c r="AF83" s="160" t="e">
        <f t="shared" si="73"/>
        <v>#N/A</v>
      </c>
      <c r="AG83" s="160" t="e">
        <f t="shared" si="74"/>
        <v>#N/A</v>
      </c>
      <c r="AH83" s="159">
        <f t="shared" si="75"/>
        <v>45303.683333333334</v>
      </c>
      <c r="AI83" s="162" t="e">
        <f t="shared" si="45"/>
        <v>#N/A</v>
      </c>
      <c r="AJ83" s="224">
        <f t="shared" si="76"/>
        <v>0</v>
      </c>
      <c r="AK83" s="225" t="e">
        <f t="shared" si="46"/>
        <v>#N/A</v>
      </c>
      <c r="AL83" s="170">
        <f t="shared" si="47"/>
        <v>32</v>
      </c>
      <c r="AM83" s="170" t="e">
        <f t="shared" si="48"/>
        <v>#N/A</v>
      </c>
      <c r="AN83" s="170" t="e">
        <f t="shared" si="49"/>
        <v>#N/A</v>
      </c>
      <c r="AO83" s="226" t="e">
        <f t="shared" si="50"/>
        <v>#N/A</v>
      </c>
      <c r="AP83" s="227">
        <v>60</v>
      </c>
      <c r="AQ83" s="228">
        <f t="shared" si="51"/>
        <v>57</v>
      </c>
      <c r="AR83" s="228">
        <f t="shared" si="52"/>
        <v>52</v>
      </c>
      <c r="AS83" s="229">
        <f t="shared" si="53"/>
        <v>60</v>
      </c>
      <c r="AT83" s="982">
        <f t="shared" ca="1" si="54"/>
        <v>45895</v>
      </c>
      <c r="AU83" s="50"/>
      <c r="AV83" s="118"/>
      <c r="AW83" s="49"/>
      <c r="AX83" s="49"/>
      <c r="AY83" s="49"/>
      <c r="AZ83" s="300"/>
      <c r="BA83" s="119"/>
      <c r="BB83" s="304"/>
      <c r="BC83" s="231"/>
      <c r="BD83" s="232"/>
      <c r="BE83" s="222">
        <f t="shared" si="55"/>
        <v>15</v>
      </c>
      <c r="BF83" s="233">
        <f t="shared" si="56"/>
        <v>0</v>
      </c>
      <c r="BG83" s="234"/>
      <c r="BH83" s="235"/>
      <c r="BI83" s="234"/>
      <c r="BJ83" s="236"/>
      <c r="BK83" s="222"/>
      <c r="BL83" s="222"/>
      <c r="BM83" s="238"/>
      <c r="BN83" s="222"/>
      <c r="BO83" s="222"/>
      <c r="BP83" s="243"/>
      <c r="BQ83" s="244" t="s">
        <v>247</v>
      </c>
      <c r="BR83" s="238"/>
      <c r="BS83" s="67"/>
      <c r="BT83" s="66"/>
      <c r="BU83" s="66"/>
      <c r="BV83" s="66"/>
      <c r="BW83" s="74"/>
      <c r="BX83" s="81"/>
      <c r="BY83" s="66">
        <v>45259</v>
      </c>
      <c r="BZ83" s="944" t="s">
        <v>812</v>
      </c>
      <c r="CA83" s="42" t="str">
        <f t="shared" si="57"/>
        <v>0</v>
      </c>
      <c r="CB83" s="62">
        <f t="shared" si="58"/>
        <v>-45253.683333333334</v>
      </c>
      <c r="CC83" s="42">
        <f t="shared" si="59"/>
        <v>0</v>
      </c>
      <c r="CD83" s="62">
        <f t="shared" si="60"/>
        <v>-45253.683333333334</v>
      </c>
      <c r="CE83" s="62" t="e">
        <f t="shared" si="61"/>
        <v>#N/A</v>
      </c>
      <c r="CF83" s="145" t="str">
        <f t="shared" si="62"/>
        <v>0</v>
      </c>
      <c r="CG83" s="145"/>
      <c r="CH83" s="443" t="e">
        <f t="shared" si="63"/>
        <v>#N/A</v>
      </c>
      <c r="CI83" s="996" t="e">
        <f t="shared" si="64"/>
        <v>#N/A</v>
      </c>
      <c r="CJ83" s="261">
        <f t="shared" si="65"/>
        <v>0</v>
      </c>
      <c r="CK83" s="458">
        <f t="shared" si="66"/>
        <v>602.3166666666657</v>
      </c>
      <c r="CL83" t="str">
        <f t="shared" si="67"/>
        <v>REV</v>
      </c>
      <c r="CM83" t="str">
        <f t="shared" si="68"/>
        <v>10 MONTHS AND ABOVE</v>
      </c>
      <c r="CN83" s="635"/>
      <c r="CO83" s="631"/>
      <c r="CP83" s="629" t="str">
        <f t="shared" si="69"/>
        <v>FOR ISSUANCE</v>
      </c>
      <c r="CQ83" s="635"/>
      <c r="CR83" s="697"/>
      <c r="CS83" s="633" t="str">
        <f t="shared" ca="1" si="70"/>
        <v>0</v>
      </c>
      <c r="CT83" s="635"/>
      <c r="CU83" s="631"/>
      <c r="CV83" s="638"/>
      <c r="CW83" s="156" t="s">
        <v>813</v>
      </c>
      <c r="CX83" s="156" t="str">
        <f>VLOOKUP(E83,'[1]List of Work Orders'!$A:$I,9,FALSE)</f>
        <v>ME155242</v>
      </c>
      <c r="CY83" s="156"/>
      <c r="DC83" t="str">
        <f>VLOOKUP(E83,'[2]List of Work Orders'!$A:$F,6,FALSE)</f>
        <v>PCAN3</v>
      </c>
      <c r="DS83" s="156" t="s">
        <v>397</v>
      </c>
    </row>
    <row r="84" spans="1:123" customFormat="1" ht="15" customHeight="1" x14ac:dyDescent="0.25">
      <c r="A84" s="242">
        <v>45259</v>
      </c>
      <c r="B84" s="222">
        <v>45262</v>
      </c>
      <c r="C84" s="223"/>
      <c r="D84" s="66" t="s">
        <v>320</v>
      </c>
      <c r="E84" s="404" t="s">
        <v>814</v>
      </c>
      <c r="F84" s="95" t="s">
        <v>815</v>
      </c>
      <c r="G84" s="95" t="s">
        <v>810</v>
      </c>
      <c r="H84" s="95" t="s">
        <v>238</v>
      </c>
      <c r="I84" s="95" t="s">
        <v>239</v>
      </c>
      <c r="J84" s="155" t="s">
        <v>811</v>
      </c>
      <c r="K84" s="101" t="s">
        <v>533</v>
      </c>
      <c r="L84" s="101" t="s">
        <v>263</v>
      </c>
      <c r="M84" s="345" t="s">
        <v>438</v>
      </c>
      <c r="N84" s="442" t="s">
        <v>467</v>
      </c>
      <c r="O84" s="165">
        <v>75.631580000000014</v>
      </c>
      <c r="P84" s="165" t="e">
        <v>#N/A</v>
      </c>
      <c r="Q84" s="157">
        <v>135</v>
      </c>
      <c r="R84" s="109" t="s">
        <v>244</v>
      </c>
      <c r="S84" s="110">
        <v>580669.84</v>
      </c>
      <c r="T84" s="93">
        <v>99954.07</v>
      </c>
      <c r="U84" s="141"/>
      <c r="V84" s="158">
        <f t="shared" si="43"/>
        <v>0</v>
      </c>
      <c r="W84" s="159">
        <v>45253.68472222222</v>
      </c>
      <c r="X84" s="159">
        <v>45258</v>
      </c>
      <c r="Y84" s="160">
        <v>45254</v>
      </c>
      <c r="Z84" s="470"/>
      <c r="AA84" s="470"/>
      <c r="AB84" s="470"/>
      <c r="AC84" s="161">
        <f t="shared" si="44"/>
        <v>-45253.68472222222</v>
      </c>
      <c r="AD84" s="161">
        <f t="shared" si="71"/>
        <v>-45258</v>
      </c>
      <c r="AE84" s="446">
        <f t="shared" si="72"/>
        <v>0</v>
      </c>
      <c r="AF84" s="160" t="e">
        <f t="shared" si="73"/>
        <v>#N/A</v>
      </c>
      <c r="AG84" s="160" t="e">
        <f t="shared" si="74"/>
        <v>#N/A</v>
      </c>
      <c r="AH84" s="159">
        <f t="shared" si="75"/>
        <v>45303.68472222222</v>
      </c>
      <c r="AI84" s="162" t="e">
        <f t="shared" si="45"/>
        <v>#N/A</v>
      </c>
      <c r="AJ84" s="224">
        <f t="shared" si="76"/>
        <v>0</v>
      </c>
      <c r="AK84" s="225" t="e">
        <f t="shared" si="46"/>
        <v>#N/A</v>
      </c>
      <c r="AL84" s="170">
        <f t="shared" si="47"/>
        <v>32</v>
      </c>
      <c r="AM84" s="170" t="e">
        <f t="shared" si="48"/>
        <v>#N/A</v>
      </c>
      <c r="AN84" s="170" t="e">
        <f t="shared" si="49"/>
        <v>#N/A</v>
      </c>
      <c r="AO84" s="226" t="e">
        <f t="shared" si="50"/>
        <v>#N/A</v>
      </c>
      <c r="AP84" s="227">
        <v>60</v>
      </c>
      <c r="AQ84" s="228">
        <f t="shared" si="51"/>
        <v>57</v>
      </c>
      <c r="AR84" s="228">
        <f t="shared" si="52"/>
        <v>52</v>
      </c>
      <c r="AS84" s="229">
        <f t="shared" si="53"/>
        <v>60</v>
      </c>
      <c r="AT84" s="982">
        <f t="shared" ca="1" si="54"/>
        <v>45895</v>
      </c>
      <c r="AU84" s="50"/>
      <c r="AV84" s="118"/>
      <c r="AW84" s="49"/>
      <c r="AX84" s="49"/>
      <c r="AY84" s="49"/>
      <c r="AZ84" s="300"/>
      <c r="BA84" s="119"/>
      <c r="BB84" s="304"/>
      <c r="BC84" s="231"/>
      <c r="BD84" s="232"/>
      <c r="BE84" s="222">
        <f t="shared" si="55"/>
        <v>15</v>
      </c>
      <c r="BF84" s="233">
        <f t="shared" si="56"/>
        <v>0</v>
      </c>
      <c r="BG84" s="234"/>
      <c r="BH84" s="235"/>
      <c r="BI84" s="234"/>
      <c r="BJ84" s="236"/>
      <c r="BK84" s="222"/>
      <c r="BL84" s="222"/>
      <c r="BM84" s="238"/>
      <c r="BN84" s="222"/>
      <c r="BO84" s="222"/>
      <c r="BP84" s="243"/>
      <c r="BQ84" s="244" t="s">
        <v>247</v>
      </c>
      <c r="BR84" s="238"/>
      <c r="BS84" s="67"/>
      <c r="BT84" s="66"/>
      <c r="BU84" s="66"/>
      <c r="BV84" s="66"/>
      <c r="BW84" s="74"/>
      <c r="BX84" s="81"/>
      <c r="BY84" s="66">
        <v>45259</v>
      </c>
      <c r="BZ84" s="944" t="s">
        <v>816</v>
      </c>
      <c r="CA84" s="42" t="str">
        <f t="shared" si="57"/>
        <v>0</v>
      </c>
      <c r="CB84" s="62">
        <f t="shared" si="58"/>
        <v>-45253.68472222222</v>
      </c>
      <c r="CC84" s="42">
        <f t="shared" si="59"/>
        <v>0</v>
      </c>
      <c r="CD84" s="62">
        <f t="shared" si="60"/>
        <v>-45253.68472222222</v>
      </c>
      <c r="CE84" s="62" t="e">
        <f t="shared" si="61"/>
        <v>#N/A</v>
      </c>
      <c r="CF84" s="145" t="str">
        <f t="shared" si="62"/>
        <v>0</v>
      </c>
      <c r="CG84" s="145"/>
      <c r="CH84" s="443" t="e">
        <f t="shared" si="63"/>
        <v>#N/A</v>
      </c>
      <c r="CI84" s="996" t="e">
        <f t="shared" si="64"/>
        <v>#N/A</v>
      </c>
      <c r="CJ84" s="261">
        <f t="shared" si="65"/>
        <v>0</v>
      </c>
      <c r="CK84" s="458">
        <f t="shared" si="66"/>
        <v>602.31527777777956</v>
      </c>
      <c r="CL84" t="str">
        <f t="shared" si="67"/>
        <v>REV</v>
      </c>
      <c r="CM84" t="str">
        <f t="shared" si="68"/>
        <v>10 MONTHS AND ABOVE</v>
      </c>
      <c r="CN84" s="635"/>
      <c r="CO84" s="631"/>
      <c r="CP84" s="629" t="str">
        <f t="shared" si="69"/>
        <v>FOR ISSUANCE</v>
      </c>
      <c r="CQ84" s="635"/>
      <c r="CR84" s="697"/>
      <c r="CS84" s="633" t="str">
        <f t="shared" ca="1" si="70"/>
        <v>0</v>
      </c>
      <c r="CT84" s="635"/>
      <c r="CU84" s="631"/>
      <c r="CV84" s="638"/>
      <c r="CW84" s="156" t="s">
        <v>817</v>
      </c>
      <c r="CX84" s="156" t="str">
        <f>VLOOKUP(E84,'[1]List of Work Orders'!$A:$I,9,FALSE)</f>
        <v>ME155242</v>
      </c>
      <c r="CY84" s="156"/>
      <c r="DC84" t="str">
        <f>VLOOKUP(E84,'[2]List of Work Orders'!$A:$F,6,FALSE)</f>
        <v>PCAN3</v>
      </c>
      <c r="DS84" s="156" t="s">
        <v>397</v>
      </c>
    </row>
    <row r="85" spans="1:123" customFormat="1" ht="15" customHeight="1" x14ac:dyDescent="0.25">
      <c r="A85" s="242">
        <v>45261</v>
      </c>
      <c r="B85" s="222">
        <v>45265</v>
      </c>
      <c r="C85" s="223"/>
      <c r="D85" s="66" t="s">
        <v>234</v>
      </c>
      <c r="E85" s="409" t="s">
        <v>818</v>
      </c>
      <c r="F85" s="95" t="s">
        <v>819</v>
      </c>
      <c r="G85" s="95" t="s">
        <v>820</v>
      </c>
      <c r="H85" s="95" t="s">
        <v>318</v>
      </c>
      <c r="I85" s="95" t="s">
        <v>239</v>
      </c>
      <c r="J85" s="155" t="s">
        <v>821</v>
      </c>
      <c r="K85" s="101" t="s">
        <v>533</v>
      </c>
      <c r="L85" s="101" t="s">
        <v>242</v>
      </c>
      <c r="M85" s="345" t="s">
        <v>438</v>
      </c>
      <c r="N85" s="442" t="s">
        <v>467</v>
      </c>
      <c r="O85" s="165">
        <v>165.01009999999994</v>
      </c>
      <c r="P85" s="165" t="e">
        <v>#N/A</v>
      </c>
      <c r="Q85" s="157">
        <v>105</v>
      </c>
      <c r="R85" s="109" t="s">
        <v>244</v>
      </c>
      <c r="S85" s="110">
        <v>1535683.94</v>
      </c>
      <c r="T85" s="93">
        <v>293927.24</v>
      </c>
      <c r="U85" s="141"/>
      <c r="V85" s="158">
        <f t="shared" si="43"/>
        <v>0</v>
      </c>
      <c r="W85" s="159">
        <v>45259.670138888891</v>
      </c>
      <c r="X85" s="159">
        <v>45261</v>
      </c>
      <c r="Y85" s="160">
        <v>45260</v>
      </c>
      <c r="Z85" s="470"/>
      <c r="AA85" s="470"/>
      <c r="AB85" s="470"/>
      <c r="AC85" s="161">
        <f t="shared" si="44"/>
        <v>-45259.670138888891</v>
      </c>
      <c r="AD85" s="161">
        <f t="shared" si="71"/>
        <v>-45261</v>
      </c>
      <c r="AE85" s="446">
        <f t="shared" si="72"/>
        <v>0</v>
      </c>
      <c r="AF85" s="160" t="e">
        <f t="shared" si="73"/>
        <v>#N/A</v>
      </c>
      <c r="AG85" s="160" t="e">
        <f t="shared" si="74"/>
        <v>#N/A</v>
      </c>
      <c r="AH85" s="159">
        <f t="shared" si="75"/>
        <v>45309.670138888891</v>
      </c>
      <c r="AI85" s="162" t="e">
        <f t="shared" si="45"/>
        <v>#N/A</v>
      </c>
      <c r="AJ85" s="224">
        <f t="shared" si="76"/>
        <v>0</v>
      </c>
      <c r="AK85" s="225" t="e">
        <f t="shared" si="46"/>
        <v>#N/A</v>
      </c>
      <c r="AL85" s="170">
        <f t="shared" si="47"/>
        <v>32</v>
      </c>
      <c r="AM85" s="170" t="e">
        <f t="shared" si="48"/>
        <v>#N/A</v>
      </c>
      <c r="AN85" s="170" t="e">
        <f t="shared" si="49"/>
        <v>#N/A</v>
      </c>
      <c r="AO85" s="226" t="e">
        <f t="shared" si="50"/>
        <v>#N/A</v>
      </c>
      <c r="AP85" s="227">
        <v>60</v>
      </c>
      <c r="AQ85" s="228">
        <f t="shared" si="51"/>
        <v>57</v>
      </c>
      <c r="AR85" s="228">
        <f t="shared" si="52"/>
        <v>52</v>
      </c>
      <c r="AS85" s="229">
        <f t="shared" si="53"/>
        <v>60</v>
      </c>
      <c r="AT85" s="982">
        <f t="shared" ca="1" si="54"/>
        <v>45895</v>
      </c>
      <c r="AU85" s="50"/>
      <c r="AV85" s="118"/>
      <c r="AW85" s="49"/>
      <c r="AX85" s="49"/>
      <c r="AY85" s="49"/>
      <c r="AZ85" s="300"/>
      <c r="BA85" s="119"/>
      <c r="BB85" s="304"/>
      <c r="BC85" s="231"/>
      <c r="BD85" s="232"/>
      <c r="BE85" s="222">
        <f t="shared" si="55"/>
        <v>15</v>
      </c>
      <c r="BF85" s="233">
        <f t="shared" si="56"/>
        <v>0</v>
      </c>
      <c r="BG85" s="234"/>
      <c r="BH85" s="235"/>
      <c r="BI85" s="234"/>
      <c r="BJ85" s="236"/>
      <c r="BK85" s="222"/>
      <c r="BL85" s="222"/>
      <c r="BM85" s="238"/>
      <c r="BN85" s="222"/>
      <c r="BO85" s="222"/>
      <c r="BP85" s="243"/>
      <c r="BQ85" s="244" t="s">
        <v>247</v>
      </c>
      <c r="BR85" s="238"/>
      <c r="BS85" s="67"/>
      <c r="BT85" s="66"/>
      <c r="BU85" s="66"/>
      <c r="BV85" s="66"/>
      <c r="BW85" s="74"/>
      <c r="BX85" s="81"/>
      <c r="BY85" s="66">
        <v>45262</v>
      </c>
      <c r="BZ85" s="944" t="s">
        <v>822</v>
      </c>
      <c r="CA85" s="42" t="str">
        <f t="shared" si="57"/>
        <v>0</v>
      </c>
      <c r="CB85" s="62">
        <f t="shared" si="58"/>
        <v>-45259.670138888891</v>
      </c>
      <c r="CC85" s="42">
        <f t="shared" si="59"/>
        <v>0</v>
      </c>
      <c r="CD85" s="62">
        <f t="shared" si="60"/>
        <v>-45259.670138888891</v>
      </c>
      <c r="CE85" s="62" t="e">
        <f t="shared" si="61"/>
        <v>#N/A</v>
      </c>
      <c r="CF85" s="145" t="str">
        <f t="shared" si="62"/>
        <v>0</v>
      </c>
      <c r="CG85" s="145"/>
      <c r="CH85" s="443" t="e">
        <f t="shared" si="63"/>
        <v>#N/A</v>
      </c>
      <c r="CI85" s="996" t="e">
        <f t="shared" si="64"/>
        <v>#N/A</v>
      </c>
      <c r="CJ85" s="261">
        <f t="shared" si="65"/>
        <v>0</v>
      </c>
      <c r="CK85" s="458">
        <f t="shared" si="66"/>
        <v>596.32986111110949</v>
      </c>
      <c r="CL85" t="str">
        <f t="shared" si="67"/>
        <v>REV</v>
      </c>
      <c r="CM85" t="str">
        <f t="shared" si="68"/>
        <v>10 MONTHS AND ABOVE</v>
      </c>
      <c r="CN85" s="635">
        <v>45755</v>
      </c>
      <c r="CO85" s="631">
        <v>57684.62</v>
      </c>
      <c r="CP85" s="629" t="str">
        <f t="shared" si="69"/>
        <v>FOR ISSUANCE</v>
      </c>
      <c r="CQ85" s="635"/>
      <c r="CR85" s="697"/>
      <c r="CS85" s="633" t="str">
        <f t="shared" ca="1" si="70"/>
        <v>0</v>
      </c>
      <c r="CT85" s="635"/>
      <c r="CU85" s="631"/>
      <c r="CV85" s="638"/>
      <c r="CW85" s="156" t="s">
        <v>823</v>
      </c>
      <c r="CX85" s="156" t="str">
        <f>VLOOKUP(E85,'[1]List of Work Orders'!$A:$I,9,FALSE)</f>
        <v>ME155242</v>
      </c>
      <c r="CY85" s="156"/>
      <c r="CZ85" s="63"/>
      <c r="DC85" t="str">
        <f>VLOOKUP(E85,'[2]List of Work Orders'!$A:$F,6,FALSE)</f>
        <v>PCAN3</v>
      </c>
      <c r="DS85" s="156" t="s">
        <v>397</v>
      </c>
    </row>
    <row r="86" spans="1:123" customFormat="1" ht="15" customHeight="1" x14ac:dyDescent="0.25">
      <c r="A86" s="242">
        <v>45336</v>
      </c>
      <c r="B86" s="222">
        <v>45336</v>
      </c>
      <c r="C86" s="223"/>
      <c r="D86" s="66" t="s">
        <v>234</v>
      </c>
      <c r="E86" s="404" t="s">
        <v>824</v>
      </c>
      <c r="F86" s="95" t="s">
        <v>825</v>
      </c>
      <c r="G86" s="95" t="s">
        <v>826</v>
      </c>
      <c r="H86" s="95" t="s">
        <v>238</v>
      </c>
      <c r="I86" s="95" t="s">
        <v>239</v>
      </c>
      <c r="J86" s="163" t="s">
        <v>827</v>
      </c>
      <c r="K86" s="101" t="s">
        <v>271</v>
      </c>
      <c r="L86" s="101" t="s">
        <v>263</v>
      </c>
      <c r="M86" s="345" t="s">
        <v>272</v>
      </c>
      <c r="N86" s="442" t="s">
        <v>467</v>
      </c>
      <c r="O86" s="165">
        <v>446.51729999999998</v>
      </c>
      <c r="P86" s="933">
        <v>772.82</v>
      </c>
      <c r="Q86" s="157">
        <v>0</v>
      </c>
      <c r="R86" s="109" t="s">
        <v>319</v>
      </c>
      <c r="S86" s="110">
        <v>759683.83</v>
      </c>
      <c r="T86" s="93">
        <v>347971.02</v>
      </c>
      <c r="U86" s="141"/>
      <c r="V86" s="158">
        <f t="shared" si="43"/>
        <v>0</v>
      </c>
      <c r="W86" s="159">
        <v>45324.597916666666</v>
      </c>
      <c r="X86" s="159">
        <v>45327.39166666667</v>
      </c>
      <c r="Y86" s="160">
        <v>45328</v>
      </c>
      <c r="Z86" s="470"/>
      <c r="AA86" s="470">
        <v>45749</v>
      </c>
      <c r="AB86" s="470"/>
      <c r="AC86" s="161">
        <f t="shared" si="44"/>
        <v>424.4020833333343</v>
      </c>
      <c r="AD86" s="161">
        <f t="shared" si="71"/>
        <v>421.60833333332994</v>
      </c>
      <c r="AE86" s="446">
        <f t="shared" si="72"/>
        <v>-45749</v>
      </c>
      <c r="AF86" s="160">
        <f t="shared" si="73"/>
        <v>45349.432968213056</v>
      </c>
      <c r="AG86" s="160">
        <f t="shared" si="74"/>
        <v>45359.855648625431</v>
      </c>
      <c r="AH86" s="159">
        <f t="shared" si="75"/>
        <v>45374.597916666666</v>
      </c>
      <c r="AI86" s="162">
        <f t="shared" si="45"/>
        <v>11.435278356481506</v>
      </c>
      <c r="AJ86" s="224">
        <f t="shared" si="76"/>
        <v>-762.48333333333335</v>
      </c>
      <c r="AK86" s="225">
        <f t="shared" si="46"/>
        <v>40</v>
      </c>
      <c r="AL86" s="170">
        <f t="shared" si="47"/>
        <v>36</v>
      </c>
      <c r="AM86" s="170">
        <f t="shared" si="48"/>
        <v>27.835051546391753</v>
      </c>
      <c r="AN86" s="170">
        <f t="shared" si="49"/>
        <v>35.257731958762882</v>
      </c>
      <c r="AO86" s="226">
        <f t="shared" si="50"/>
        <v>24.835051546391753</v>
      </c>
      <c r="AP86" s="227">
        <v>60</v>
      </c>
      <c r="AQ86" s="228">
        <f t="shared" si="51"/>
        <v>57</v>
      </c>
      <c r="AR86" s="228">
        <f t="shared" si="52"/>
        <v>52</v>
      </c>
      <c r="AS86" s="229">
        <f t="shared" si="53"/>
        <v>45809</v>
      </c>
      <c r="AT86" s="982">
        <f t="shared" ca="1" si="54"/>
        <v>146</v>
      </c>
      <c r="AU86" s="50"/>
      <c r="AV86" s="118"/>
      <c r="AW86" s="49"/>
      <c r="AX86" s="49"/>
      <c r="AY86" s="49"/>
      <c r="AZ86" s="300"/>
      <c r="BA86" s="119"/>
      <c r="BB86" s="304"/>
      <c r="BC86" s="231" t="s">
        <v>13</v>
      </c>
      <c r="BD86" s="232"/>
      <c r="BE86" s="222">
        <f t="shared" si="55"/>
        <v>45764</v>
      </c>
      <c r="BF86" s="233" t="e">
        <f t="shared" si="56"/>
        <v>#VALUE!</v>
      </c>
      <c r="BG86" s="234"/>
      <c r="BH86" s="235"/>
      <c r="BI86" s="234"/>
      <c r="BJ86" s="236"/>
      <c r="BK86" s="222"/>
      <c r="BL86" s="222"/>
      <c r="BM86" s="238"/>
      <c r="BN86" s="222"/>
      <c r="BO86" s="222"/>
      <c r="BP86" s="243"/>
      <c r="BQ86" s="244" t="s">
        <v>247</v>
      </c>
      <c r="BR86" s="238"/>
      <c r="BS86" s="67"/>
      <c r="BT86" s="66"/>
      <c r="BU86" s="66"/>
      <c r="BV86" s="66"/>
      <c r="BW86" s="74"/>
      <c r="BX86" s="81"/>
      <c r="BY86" s="66" t="s">
        <v>308</v>
      </c>
      <c r="BZ86" s="944"/>
      <c r="CA86" s="42" t="str">
        <f t="shared" si="57"/>
        <v>0</v>
      </c>
      <c r="CB86" s="62">
        <f t="shared" si="58"/>
        <v>424.4020833333343</v>
      </c>
      <c r="CC86" s="42">
        <f t="shared" si="59"/>
        <v>0</v>
      </c>
      <c r="CD86" s="62">
        <f t="shared" si="60"/>
        <v>424.4020833333343</v>
      </c>
      <c r="CE86" s="62">
        <f t="shared" si="61"/>
        <v>11.435278356481506</v>
      </c>
      <c r="CF86" s="145">
        <f t="shared" si="62"/>
        <v>120</v>
      </c>
      <c r="CG86" s="145"/>
      <c r="CH86" s="443">
        <f t="shared" si="63"/>
        <v>14.66861168981484</v>
      </c>
      <c r="CI86" s="996">
        <f t="shared" si="64"/>
        <v>14.66861168981484</v>
      </c>
      <c r="CJ86" s="261">
        <f t="shared" si="65"/>
        <v>2</v>
      </c>
      <c r="CK86" s="458" t="str">
        <f t="shared" si="66"/>
        <v/>
      </c>
      <c r="CL86" t="str">
        <f t="shared" si="67"/>
        <v>NON-REV</v>
      </c>
      <c r="CM86" t="str">
        <f t="shared" si="68"/>
        <v/>
      </c>
      <c r="CN86" s="635"/>
      <c r="CO86" s="631"/>
      <c r="CP86" s="629" t="str">
        <f t="shared" si="69"/>
        <v>FOR ISSUANCE</v>
      </c>
      <c r="CQ86" s="635"/>
      <c r="CR86" s="697"/>
      <c r="CS86" s="633" t="str">
        <f t="shared" ca="1" si="70"/>
        <v>0</v>
      </c>
      <c r="CT86" s="635"/>
      <c r="CU86" s="631"/>
      <c r="CV86" s="638"/>
      <c r="CW86" s="156" t="s">
        <v>828</v>
      </c>
      <c r="CX86" s="156" t="str">
        <f>VLOOKUP(E86,'[1]List of Work Orders'!$A:$I,9,FALSE)</f>
        <v>ME155242</v>
      </c>
      <c r="CY86" s="156"/>
      <c r="DC86" t="str">
        <f>VLOOKUP(E86,'[2]List of Work Orders'!$A:$F,6,FALSE)</f>
        <v>FCOMP</v>
      </c>
      <c r="DS86" s="156" t="s">
        <v>381</v>
      </c>
    </row>
    <row r="87" spans="1:123" customFormat="1" ht="15" customHeight="1" x14ac:dyDescent="0.25">
      <c r="A87" s="242">
        <v>45357</v>
      </c>
      <c r="B87" s="222">
        <v>45364</v>
      </c>
      <c r="C87" s="223"/>
      <c r="D87" s="66" t="s">
        <v>320</v>
      </c>
      <c r="E87" s="406" t="s">
        <v>829</v>
      </c>
      <c r="F87" s="95" t="s">
        <v>830</v>
      </c>
      <c r="G87" s="95" t="s">
        <v>831</v>
      </c>
      <c r="H87" s="95" t="s">
        <v>238</v>
      </c>
      <c r="I87" s="95" t="s">
        <v>239</v>
      </c>
      <c r="J87" s="168" t="s">
        <v>832</v>
      </c>
      <c r="K87" s="101" t="s">
        <v>271</v>
      </c>
      <c r="L87" s="101" t="s">
        <v>288</v>
      </c>
      <c r="M87" s="345" t="s">
        <v>272</v>
      </c>
      <c r="N87" s="442" t="s">
        <v>381</v>
      </c>
      <c r="O87" s="165">
        <v>135.64559999999997</v>
      </c>
      <c r="P87" s="933">
        <v>162.6</v>
      </c>
      <c r="Q87" s="157">
        <v>0</v>
      </c>
      <c r="R87" s="109" t="s">
        <v>327</v>
      </c>
      <c r="S87" s="110">
        <v>265042.15999999997</v>
      </c>
      <c r="T87" s="93">
        <v>96238.57</v>
      </c>
      <c r="U87" s="141"/>
      <c r="V87" s="158">
        <f t="shared" si="43"/>
        <v>0</v>
      </c>
      <c r="W87" s="159">
        <v>45350.667361111111</v>
      </c>
      <c r="X87" s="159">
        <v>45357.518750000003</v>
      </c>
      <c r="Y87" s="160">
        <v>45356</v>
      </c>
      <c r="Z87" s="470"/>
      <c r="AA87" s="470">
        <v>45763</v>
      </c>
      <c r="AB87" s="470"/>
      <c r="AC87" s="161">
        <f t="shared" si="44"/>
        <v>412.33263888888905</v>
      </c>
      <c r="AD87" s="161">
        <f t="shared" si="71"/>
        <v>405.48124999999709</v>
      </c>
      <c r="AE87" s="446">
        <f t="shared" si="72"/>
        <v>-45763</v>
      </c>
      <c r="AF87" s="160">
        <f t="shared" si="73"/>
        <v>45371.874257662836</v>
      </c>
      <c r="AG87" s="160">
        <f t="shared" si="74"/>
        <v>45381.329430076628</v>
      </c>
      <c r="AH87" s="159">
        <f t="shared" si="75"/>
        <v>45400.667361111111</v>
      </c>
      <c r="AI87" s="162">
        <f t="shared" si="45"/>
        <v>12.775263384377972</v>
      </c>
      <c r="AJ87" s="224">
        <f t="shared" si="76"/>
        <v>-762.7166666666667</v>
      </c>
      <c r="AK87" s="225">
        <f t="shared" si="46"/>
        <v>26</v>
      </c>
      <c r="AL87" s="170">
        <f t="shared" si="47"/>
        <v>36</v>
      </c>
      <c r="AM87" s="170">
        <f t="shared" si="48"/>
        <v>24.206896551724139</v>
      </c>
      <c r="AN87" s="170">
        <f t="shared" si="49"/>
        <v>30.662068965517239</v>
      </c>
      <c r="AO87" s="226">
        <f t="shared" si="50"/>
        <v>21.206896551724139</v>
      </c>
      <c r="AP87" s="227">
        <v>60</v>
      </c>
      <c r="AQ87" s="228">
        <f t="shared" si="51"/>
        <v>57</v>
      </c>
      <c r="AR87" s="228">
        <f t="shared" si="52"/>
        <v>52</v>
      </c>
      <c r="AS87" s="229">
        <f t="shared" si="53"/>
        <v>45823</v>
      </c>
      <c r="AT87" s="982">
        <f t="shared" ca="1" si="54"/>
        <v>132</v>
      </c>
      <c r="AU87" s="50"/>
      <c r="AV87" s="118"/>
      <c r="AW87" s="49"/>
      <c r="AX87" s="49"/>
      <c r="AY87" s="49"/>
      <c r="AZ87" s="300"/>
      <c r="BA87" s="119"/>
      <c r="BB87" s="304"/>
      <c r="BC87" s="231" t="s">
        <v>13</v>
      </c>
      <c r="BD87" s="232"/>
      <c r="BE87" s="222">
        <f t="shared" si="55"/>
        <v>45778</v>
      </c>
      <c r="BF87" s="233" t="e">
        <f t="shared" si="56"/>
        <v>#VALUE!</v>
      </c>
      <c r="BG87" s="234"/>
      <c r="BH87" s="235"/>
      <c r="BI87" s="234"/>
      <c r="BJ87" s="236"/>
      <c r="BK87" s="222"/>
      <c r="BL87" s="222"/>
      <c r="BM87" s="238"/>
      <c r="BN87" s="222"/>
      <c r="BO87" s="222"/>
      <c r="BP87" s="243"/>
      <c r="BQ87" s="244" t="s">
        <v>246</v>
      </c>
      <c r="BR87" s="238"/>
      <c r="BS87" s="67"/>
      <c r="BT87" s="66"/>
      <c r="BU87" s="66"/>
      <c r="BV87" s="66"/>
      <c r="BW87" s="74"/>
      <c r="BX87" s="81"/>
      <c r="BY87" s="66">
        <v>45358</v>
      </c>
      <c r="BZ87" s="944" t="s">
        <v>833</v>
      </c>
      <c r="CA87" s="42" t="str">
        <f t="shared" si="57"/>
        <v>0</v>
      </c>
      <c r="CB87" s="62">
        <f t="shared" si="58"/>
        <v>412.33263888888905</v>
      </c>
      <c r="CC87" s="42">
        <f t="shared" si="59"/>
        <v>0</v>
      </c>
      <c r="CD87" s="62">
        <f t="shared" si="60"/>
        <v>412.33263888888905</v>
      </c>
      <c r="CE87" s="62">
        <f t="shared" si="61"/>
        <v>12.775263384377972</v>
      </c>
      <c r="CF87" s="145">
        <f t="shared" si="62"/>
        <v>106</v>
      </c>
      <c r="CG87" s="145"/>
      <c r="CH87" s="443">
        <f t="shared" si="63"/>
        <v>16.059451418566006</v>
      </c>
      <c r="CI87" s="996">
        <f t="shared" si="64"/>
        <v>16.059451418566006</v>
      </c>
      <c r="CJ87" s="261">
        <f t="shared" si="65"/>
        <v>1.7666666666666666</v>
      </c>
      <c r="CK87" s="458" t="str">
        <f t="shared" si="66"/>
        <v/>
      </c>
      <c r="CL87" t="str">
        <f t="shared" si="67"/>
        <v>NON-REV</v>
      </c>
      <c r="CM87" t="str">
        <f t="shared" si="68"/>
        <v/>
      </c>
      <c r="CN87" s="635"/>
      <c r="CO87" s="631"/>
      <c r="CP87" s="629" t="str">
        <f t="shared" si="69"/>
        <v>FOR ISSUANCE</v>
      </c>
      <c r="CQ87" s="635"/>
      <c r="CR87" s="697"/>
      <c r="CS87" s="633" t="str">
        <f t="shared" ca="1" si="70"/>
        <v>0</v>
      </c>
      <c r="CT87" s="635"/>
      <c r="CU87" s="631"/>
      <c r="CV87" s="638"/>
      <c r="CW87" s="156" t="s">
        <v>834</v>
      </c>
      <c r="CX87" s="156" t="str">
        <f>VLOOKUP(E87,'[1]List of Work Orders'!$A:$I,9,FALSE)</f>
        <v>ME185284</v>
      </c>
      <c r="CY87" s="156"/>
      <c r="DC87" t="str">
        <f>VLOOKUP(E87,'[2]List of Work Orders'!$A:$F,6,FALSE)</f>
        <v>FCOMP</v>
      </c>
      <c r="DS87" s="156" t="s">
        <v>397</v>
      </c>
    </row>
    <row r="88" spans="1:123" customFormat="1" ht="15" customHeight="1" x14ac:dyDescent="0.25">
      <c r="A88" s="242">
        <v>45365</v>
      </c>
      <c r="B88" s="222">
        <v>45372</v>
      </c>
      <c r="C88" s="223"/>
      <c r="D88" s="66" t="s">
        <v>320</v>
      </c>
      <c r="E88" s="404" t="s">
        <v>835</v>
      </c>
      <c r="F88" s="95" t="s">
        <v>836</v>
      </c>
      <c r="G88" s="95" t="s">
        <v>837</v>
      </c>
      <c r="H88" s="95" t="s">
        <v>318</v>
      </c>
      <c r="I88" s="95" t="s">
        <v>239</v>
      </c>
      <c r="J88" s="163"/>
      <c r="K88" s="101" t="s">
        <v>271</v>
      </c>
      <c r="L88" s="101" t="s">
        <v>242</v>
      </c>
      <c r="M88" s="345" t="s">
        <v>331</v>
      </c>
      <c r="N88" s="442" t="s">
        <v>467</v>
      </c>
      <c r="O88" s="165">
        <v>2.58</v>
      </c>
      <c r="P88" s="165">
        <v>5.93</v>
      </c>
      <c r="Q88" s="157">
        <v>32</v>
      </c>
      <c r="R88" s="109" t="s">
        <v>548</v>
      </c>
      <c r="S88" s="110">
        <v>25334.32</v>
      </c>
      <c r="T88" s="93">
        <v>4621.16</v>
      </c>
      <c r="U88" s="141"/>
      <c r="V88" s="158">
        <f t="shared" si="43"/>
        <v>0</v>
      </c>
      <c r="W88" s="159">
        <v>45358.406944444447</v>
      </c>
      <c r="X88" s="159">
        <v>45363.347187500003</v>
      </c>
      <c r="Y88" s="160">
        <v>45364</v>
      </c>
      <c r="Z88" s="470"/>
      <c r="AA88" s="470"/>
      <c r="AB88" s="470"/>
      <c r="AC88" s="161">
        <f t="shared" si="44"/>
        <v>-45358.406944444447</v>
      </c>
      <c r="AD88" s="161">
        <f t="shared" si="71"/>
        <v>-45363.347187500003</v>
      </c>
      <c r="AE88" s="446">
        <f t="shared" si="72"/>
        <v>0</v>
      </c>
      <c r="AF88" s="160">
        <f t="shared" si="73"/>
        <v>45377.181137992833</v>
      </c>
      <c r="AG88" s="160">
        <f t="shared" si="74"/>
        <v>45385.987589605735</v>
      </c>
      <c r="AH88" s="159">
        <f t="shared" si="75"/>
        <v>45408.406944444447</v>
      </c>
      <c r="AI88" s="162">
        <f t="shared" si="45"/>
        <v>-1562.3451280864199</v>
      </c>
      <c r="AJ88" s="224">
        <f t="shared" si="76"/>
        <v>0</v>
      </c>
      <c r="AK88" s="225">
        <f t="shared" si="46"/>
        <v>20</v>
      </c>
      <c r="AL88" s="170">
        <f t="shared" si="47"/>
        <v>36</v>
      </c>
      <c r="AM88" s="170">
        <f t="shared" si="48"/>
        <v>21.774193548387096</v>
      </c>
      <c r="AN88" s="170">
        <f t="shared" si="49"/>
        <v>27.58064516129032</v>
      </c>
      <c r="AO88" s="226">
        <f t="shared" si="50"/>
        <v>18.774193548387096</v>
      </c>
      <c r="AP88" s="227">
        <v>60</v>
      </c>
      <c r="AQ88" s="228">
        <f t="shared" si="51"/>
        <v>57</v>
      </c>
      <c r="AR88" s="228">
        <f t="shared" si="52"/>
        <v>52</v>
      </c>
      <c r="AS88" s="229">
        <f t="shared" si="53"/>
        <v>60</v>
      </c>
      <c r="AT88" s="982">
        <f t="shared" ca="1" si="54"/>
        <v>45895</v>
      </c>
      <c r="AU88" s="50"/>
      <c r="AV88" s="118"/>
      <c r="AW88" s="49"/>
      <c r="AX88" s="49"/>
      <c r="AY88" s="49"/>
      <c r="AZ88" s="300"/>
      <c r="BA88" s="119"/>
      <c r="BB88" s="304"/>
      <c r="BC88" s="231"/>
      <c r="BD88" s="232"/>
      <c r="BE88" s="222">
        <f t="shared" si="55"/>
        <v>15</v>
      </c>
      <c r="BF88" s="233">
        <f t="shared" si="56"/>
        <v>0</v>
      </c>
      <c r="BG88" s="234"/>
      <c r="BH88" s="235"/>
      <c r="BI88" s="234"/>
      <c r="BJ88" s="236"/>
      <c r="BK88" s="222"/>
      <c r="BL88" s="222"/>
      <c r="BM88" s="238"/>
      <c r="BN88" s="222"/>
      <c r="BO88" s="222"/>
      <c r="BP88" s="243"/>
      <c r="BQ88" s="244" t="s">
        <v>247</v>
      </c>
      <c r="BR88" s="238"/>
      <c r="BS88" s="67"/>
      <c r="BT88" s="66"/>
      <c r="BU88" s="66"/>
      <c r="BV88" s="66"/>
      <c r="BW88" s="74"/>
      <c r="BX88" s="81"/>
      <c r="BY88" s="66" t="s">
        <v>308</v>
      </c>
      <c r="BZ88" s="944" t="s">
        <v>838</v>
      </c>
      <c r="CA88" s="42" t="str">
        <f t="shared" si="57"/>
        <v>0</v>
      </c>
      <c r="CB88" s="62">
        <f t="shared" si="58"/>
        <v>-45358.406944444447</v>
      </c>
      <c r="CC88" s="42">
        <f t="shared" si="59"/>
        <v>0</v>
      </c>
      <c r="CD88" s="62">
        <f t="shared" si="60"/>
        <v>-45358.406944444447</v>
      </c>
      <c r="CE88" s="62">
        <f t="shared" si="61"/>
        <v>-1562.3451280864199</v>
      </c>
      <c r="CF88" s="145" t="str">
        <f t="shared" si="62"/>
        <v>0</v>
      </c>
      <c r="CG88" s="145"/>
      <c r="CH88" s="443">
        <f t="shared" si="63"/>
        <v>17.587094135802388</v>
      </c>
      <c r="CI88" s="996">
        <f t="shared" si="64"/>
        <v>17.587094135802388</v>
      </c>
      <c r="CJ88" s="261">
        <f t="shared" si="65"/>
        <v>0</v>
      </c>
      <c r="CK88" s="458">
        <f t="shared" si="66"/>
        <v>497.59305555555329</v>
      </c>
      <c r="CL88" t="str">
        <f t="shared" si="67"/>
        <v>NON-REV</v>
      </c>
      <c r="CM88" t="str">
        <f t="shared" si="68"/>
        <v>10 MONTHS AND ABOVE</v>
      </c>
      <c r="CN88" s="635"/>
      <c r="CO88" s="631"/>
      <c r="CP88" s="629" t="str">
        <f t="shared" si="69"/>
        <v>FOR ISSUANCE</v>
      </c>
      <c r="CQ88" s="635"/>
      <c r="CR88" s="697"/>
      <c r="CS88" s="633" t="str">
        <f t="shared" ca="1" si="70"/>
        <v>0</v>
      </c>
      <c r="CT88" s="635"/>
      <c r="CU88" s="631"/>
      <c r="CV88" s="638"/>
      <c r="CW88" s="156" t="s">
        <v>839</v>
      </c>
      <c r="CX88" s="156" t="str">
        <f>VLOOKUP(E88,'[1]List of Work Orders'!$A:$I,9,FALSE)</f>
        <v>ME155242</v>
      </c>
      <c r="CY88" s="156"/>
      <c r="CZ88" s="63"/>
      <c r="DC88" t="str">
        <f>VLOOKUP(E88,'[2]List of Work Orders'!$A:$F,6,FALSE)</f>
        <v>SCHED</v>
      </c>
      <c r="DS88" s="156" t="s">
        <v>478</v>
      </c>
    </row>
    <row r="89" spans="1:123" customFormat="1" ht="15" customHeight="1" x14ac:dyDescent="0.25">
      <c r="A89" s="242">
        <v>45365</v>
      </c>
      <c r="B89" s="222">
        <v>45372</v>
      </c>
      <c r="C89" s="223"/>
      <c r="D89" s="66" t="s">
        <v>284</v>
      </c>
      <c r="E89" s="410" t="s">
        <v>840</v>
      </c>
      <c r="F89" s="166" t="s">
        <v>841</v>
      </c>
      <c r="G89" s="95" t="s">
        <v>842</v>
      </c>
      <c r="H89" s="95" t="s">
        <v>318</v>
      </c>
      <c r="I89" s="95" t="s">
        <v>239</v>
      </c>
      <c r="J89" s="163" t="s">
        <v>843</v>
      </c>
      <c r="K89" s="101" t="s">
        <v>299</v>
      </c>
      <c r="L89" s="101" t="s">
        <v>5</v>
      </c>
      <c r="M89" s="345" t="s">
        <v>380</v>
      </c>
      <c r="N89" s="442" t="s">
        <v>475</v>
      </c>
      <c r="O89" s="165">
        <v>32.152799999999999</v>
      </c>
      <c r="P89" s="165" t="e">
        <v>#N/A</v>
      </c>
      <c r="Q89" s="157">
        <v>276</v>
      </c>
      <c r="R89" s="109" t="s">
        <v>244</v>
      </c>
      <c r="S89" s="110">
        <v>816333.08</v>
      </c>
      <c r="T89" s="93">
        <v>64325.349999999991</v>
      </c>
      <c r="U89" s="141"/>
      <c r="V89" s="158">
        <f t="shared" si="43"/>
        <v>0</v>
      </c>
      <c r="W89" s="159">
        <v>45359.4</v>
      </c>
      <c r="X89" s="159">
        <v>45365.576388888891</v>
      </c>
      <c r="Y89" s="160">
        <v>45364</v>
      </c>
      <c r="Z89" s="470"/>
      <c r="AA89" s="470" t="s">
        <v>380</v>
      </c>
      <c r="AB89" s="470"/>
      <c r="AC89" s="161" t="e">
        <f t="shared" si="44"/>
        <v>#VALUE!</v>
      </c>
      <c r="AD89" s="161" t="e">
        <f t="shared" si="71"/>
        <v>#VALUE!</v>
      </c>
      <c r="AE89" s="446" t="e">
        <f t="shared" si="72"/>
        <v>#VALUE!</v>
      </c>
      <c r="AF89" s="160" t="e">
        <f t="shared" si="73"/>
        <v>#N/A</v>
      </c>
      <c r="AG89" s="160" t="e">
        <f t="shared" si="74"/>
        <v>#N/A</v>
      </c>
      <c r="AH89" s="159">
        <f t="shared" si="75"/>
        <v>45409.4</v>
      </c>
      <c r="AI89" s="162" t="e">
        <f t="shared" si="45"/>
        <v>#VALUE!</v>
      </c>
      <c r="AJ89" s="224" t="e">
        <f t="shared" si="76"/>
        <v>#VALUE!</v>
      </c>
      <c r="AK89" s="225" t="e">
        <f t="shared" si="46"/>
        <v>#N/A</v>
      </c>
      <c r="AL89" s="170">
        <f t="shared" si="47"/>
        <v>30</v>
      </c>
      <c r="AM89" s="170" t="e">
        <f t="shared" si="48"/>
        <v>#N/A</v>
      </c>
      <c r="AN89" s="170" t="e">
        <f t="shared" si="49"/>
        <v>#N/A</v>
      </c>
      <c r="AO89" s="226" t="e">
        <f t="shared" si="50"/>
        <v>#N/A</v>
      </c>
      <c r="AP89" s="227">
        <v>60</v>
      </c>
      <c r="AQ89" s="228">
        <f t="shared" si="51"/>
        <v>57</v>
      </c>
      <c r="AR89" s="228">
        <f t="shared" si="52"/>
        <v>52</v>
      </c>
      <c r="AS89" s="229" t="e">
        <f t="shared" si="53"/>
        <v>#VALUE!</v>
      </c>
      <c r="AT89" s="982" t="str">
        <f t="shared" ca="1" si="54"/>
        <v/>
      </c>
      <c r="AU89" s="50"/>
      <c r="AV89" s="118"/>
      <c r="AW89" s="49"/>
      <c r="AX89" s="49"/>
      <c r="AY89" s="49"/>
      <c r="AZ89" s="300"/>
      <c r="BA89" s="119"/>
      <c r="BB89" s="304"/>
      <c r="BC89" s="231"/>
      <c r="BD89" s="232"/>
      <c r="BE89" s="222" t="e">
        <f t="shared" si="55"/>
        <v>#VALUE!</v>
      </c>
      <c r="BF89" s="233" t="e">
        <f t="shared" si="56"/>
        <v>#VALUE!</v>
      </c>
      <c r="BG89" s="234"/>
      <c r="BH89" s="235"/>
      <c r="BI89" s="234"/>
      <c r="BJ89" s="236"/>
      <c r="BK89" s="222"/>
      <c r="BL89" s="222"/>
      <c r="BM89" s="238"/>
      <c r="BN89" s="222"/>
      <c r="BO89" s="222"/>
      <c r="BP89" s="243"/>
      <c r="BQ89" s="244" t="s">
        <v>247</v>
      </c>
      <c r="BR89" s="238"/>
      <c r="BS89" s="67"/>
      <c r="BT89" s="66"/>
      <c r="BU89" s="66"/>
      <c r="BV89" s="66"/>
      <c r="BW89" s="74"/>
      <c r="BX89" s="81"/>
      <c r="BY89" s="66">
        <v>45370</v>
      </c>
      <c r="BZ89" s="944" t="s">
        <v>844</v>
      </c>
      <c r="CA89" s="42" t="str">
        <f t="shared" si="57"/>
        <v>0</v>
      </c>
      <c r="CB89" s="62" t="e">
        <f t="shared" si="58"/>
        <v>#VALUE!</v>
      </c>
      <c r="CC89" s="42">
        <f t="shared" si="59"/>
        <v>0</v>
      </c>
      <c r="CD89" s="62" t="e">
        <f t="shared" si="60"/>
        <v>#VALUE!</v>
      </c>
      <c r="CE89" s="62" t="e">
        <f t="shared" si="61"/>
        <v>#VALUE!</v>
      </c>
      <c r="CF89" s="145" t="e">
        <f t="shared" si="62"/>
        <v>#VALUE!</v>
      </c>
      <c r="CG89" s="145"/>
      <c r="CH89" s="443" t="e">
        <f t="shared" si="63"/>
        <v>#N/A</v>
      </c>
      <c r="CI89" s="996" t="e">
        <f t="shared" si="64"/>
        <v>#N/A</v>
      </c>
      <c r="CJ89" s="261" t="e">
        <f t="shared" si="65"/>
        <v>#VALUE!</v>
      </c>
      <c r="CK89" s="458" t="str">
        <f t="shared" si="66"/>
        <v/>
      </c>
      <c r="CL89" t="str">
        <f t="shared" si="67"/>
        <v>REV</v>
      </c>
      <c r="CM89" t="str">
        <f t="shared" si="68"/>
        <v/>
      </c>
      <c r="CN89" s="635"/>
      <c r="CO89" s="631"/>
      <c r="CP89" s="629" t="str">
        <f t="shared" si="69"/>
        <v>FOR ISSUANCE</v>
      </c>
      <c r="CQ89" s="635"/>
      <c r="CR89" s="697"/>
      <c r="CS89" s="633" t="str">
        <f t="shared" ca="1" si="70"/>
        <v>0</v>
      </c>
      <c r="CT89" s="635"/>
      <c r="CU89" s="631"/>
      <c r="CV89" s="638"/>
      <c r="CW89" s="156" t="s">
        <v>845</v>
      </c>
      <c r="CX89" s="156" t="str">
        <f>VLOOKUP(E89,'[1]List of Work Orders'!$A:$I,9,FALSE)</f>
        <v>ME185130</v>
      </c>
      <c r="CY89" s="156"/>
      <c r="DC89" t="str">
        <f>VLOOKUP(E89,'[2]List of Work Orders'!$A:$F,6,FALSE)</f>
        <v>CAN</v>
      </c>
      <c r="DS89" s="156" t="s">
        <v>397</v>
      </c>
    </row>
    <row r="90" spans="1:123" customFormat="1" ht="15" customHeight="1" x14ac:dyDescent="0.25">
      <c r="A90" s="242">
        <v>45365</v>
      </c>
      <c r="B90" s="222">
        <v>45372</v>
      </c>
      <c r="C90" s="223"/>
      <c r="D90" s="66" t="s">
        <v>320</v>
      </c>
      <c r="E90" s="406" t="s">
        <v>846</v>
      </c>
      <c r="F90" s="95" t="s">
        <v>847</v>
      </c>
      <c r="G90" s="95" t="s">
        <v>848</v>
      </c>
      <c r="H90" s="95" t="s">
        <v>318</v>
      </c>
      <c r="I90" s="95" t="s">
        <v>239</v>
      </c>
      <c r="J90" s="168" t="s">
        <v>849</v>
      </c>
      <c r="K90" s="101" t="s">
        <v>299</v>
      </c>
      <c r="L90" s="101" t="s">
        <v>242</v>
      </c>
      <c r="M90" s="345" t="s">
        <v>272</v>
      </c>
      <c r="N90" s="442" t="s">
        <v>467</v>
      </c>
      <c r="O90" s="165">
        <v>138.44569999999993</v>
      </c>
      <c r="P90" s="933">
        <v>191.82</v>
      </c>
      <c r="Q90" s="157">
        <v>44</v>
      </c>
      <c r="R90" s="109" t="s">
        <v>548</v>
      </c>
      <c r="S90" s="110">
        <v>803564.77</v>
      </c>
      <c r="T90" s="93">
        <v>149134.15999999997</v>
      </c>
      <c r="U90" s="141">
        <v>32572.240000000002</v>
      </c>
      <c r="V90" s="158">
        <f t="shared" si="43"/>
        <v>0.2184089815505717</v>
      </c>
      <c r="W90" s="159">
        <v>45362.644444444442</v>
      </c>
      <c r="X90" s="159">
        <v>45365.620833333334</v>
      </c>
      <c r="Y90" s="160">
        <v>45364</v>
      </c>
      <c r="Z90" s="470">
        <v>45703</v>
      </c>
      <c r="AA90" s="470">
        <v>45703</v>
      </c>
      <c r="AB90" s="470"/>
      <c r="AC90" s="161">
        <f t="shared" si="44"/>
        <v>340.35555555555766</v>
      </c>
      <c r="AD90" s="161">
        <f t="shared" si="71"/>
        <v>337.3791666666657</v>
      </c>
      <c r="AE90" s="446">
        <f t="shared" si="72"/>
        <v>-45703</v>
      </c>
      <c r="AF90" s="160">
        <f t="shared" si="73"/>
        <v>45383.851340996167</v>
      </c>
      <c r="AG90" s="160">
        <f t="shared" si="74"/>
        <v>45393.30651340996</v>
      </c>
      <c r="AH90" s="159">
        <f t="shared" si="75"/>
        <v>45412.644444444442</v>
      </c>
      <c r="AI90" s="162">
        <f t="shared" si="45"/>
        <v>10.545204178537578</v>
      </c>
      <c r="AJ90" s="224">
        <f t="shared" si="76"/>
        <v>-761.7166666666667</v>
      </c>
      <c r="AK90" s="225">
        <f t="shared" si="46"/>
        <v>26</v>
      </c>
      <c r="AL90" s="170">
        <f t="shared" si="47"/>
        <v>36</v>
      </c>
      <c r="AM90" s="170">
        <f t="shared" si="48"/>
        <v>24.206896551724139</v>
      </c>
      <c r="AN90" s="170">
        <f t="shared" si="49"/>
        <v>30.662068965517239</v>
      </c>
      <c r="AO90" s="226">
        <f t="shared" si="50"/>
        <v>21.206896551724139</v>
      </c>
      <c r="AP90" s="227">
        <v>60</v>
      </c>
      <c r="AQ90" s="228">
        <f t="shared" si="51"/>
        <v>57</v>
      </c>
      <c r="AR90" s="228">
        <f t="shared" si="52"/>
        <v>52</v>
      </c>
      <c r="AS90" s="229">
        <f t="shared" si="53"/>
        <v>45763</v>
      </c>
      <c r="AT90" s="982">
        <f t="shared" ca="1" si="54"/>
        <v>192</v>
      </c>
      <c r="AU90" s="50"/>
      <c r="AV90" s="118"/>
      <c r="AW90" s="49"/>
      <c r="AX90" s="49"/>
      <c r="AY90" s="49"/>
      <c r="AZ90" s="300"/>
      <c r="BA90" s="119"/>
      <c r="BB90" s="304"/>
      <c r="BC90" s="231" t="s">
        <v>12</v>
      </c>
      <c r="BD90" s="232" t="s">
        <v>601</v>
      </c>
      <c r="BE90" s="222">
        <f t="shared" si="55"/>
        <v>45718</v>
      </c>
      <c r="BF90" s="233">
        <f t="shared" si="56"/>
        <v>-17</v>
      </c>
      <c r="BG90" s="234">
        <v>45792</v>
      </c>
      <c r="BH90" s="235">
        <v>45701</v>
      </c>
      <c r="BI90" s="234"/>
      <c r="BJ90" s="236"/>
      <c r="BK90" s="222"/>
      <c r="BL90" s="222"/>
      <c r="BM90" s="238"/>
      <c r="BN90" s="222"/>
      <c r="BO90" s="222"/>
      <c r="BP90" s="243"/>
      <c r="BQ90" s="244" t="s">
        <v>247</v>
      </c>
      <c r="BR90" s="238">
        <v>45706</v>
      </c>
      <c r="BS90" s="909"/>
      <c r="BT90" s="66"/>
      <c r="BU90" s="124"/>
      <c r="BV90" s="66"/>
      <c r="BW90" s="74"/>
      <c r="BX90" s="81"/>
      <c r="BY90" s="66">
        <v>45370</v>
      </c>
      <c r="BZ90" s="944" t="s">
        <v>850</v>
      </c>
      <c r="CA90" s="42" t="str">
        <f t="shared" si="57"/>
        <v>0</v>
      </c>
      <c r="CB90" s="62">
        <f t="shared" si="58"/>
        <v>340.35555555555766</v>
      </c>
      <c r="CC90" s="42">
        <f t="shared" si="59"/>
        <v>0</v>
      </c>
      <c r="CD90" s="62">
        <f t="shared" si="60"/>
        <v>340.35555555555766</v>
      </c>
      <c r="CE90" s="62">
        <f t="shared" si="61"/>
        <v>10.545204178537578</v>
      </c>
      <c r="CF90" s="145">
        <f t="shared" si="62"/>
        <v>166</v>
      </c>
      <c r="CG90" s="145"/>
      <c r="CH90" s="443">
        <f t="shared" si="63"/>
        <v>15.688366571699969</v>
      </c>
      <c r="CI90" s="996">
        <f t="shared" si="64"/>
        <v>15.688366571699969</v>
      </c>
      <c r="CJ90" s="261">
        <f t="shared" si="65"/>
        <v>2.7666666666666666</v>
      </c>
      <c r="CK90" s="458" t="str">
        <f t="shared" si="66"/>
        <v/>
      </c>
      <c r="CL90" t="str">
        <f t="shared" si="67"/>
        <v>NON-REV</v>
      </c>
      <c r="CM90" t="str">
        <f t="shared" si="68"/>
        <v/>
      </c>
      <c r="CN90" s="635"/>
      <c r="CO90" s="631"/>
      <c r="CP90" s="629" t="str">
        <f t="shared" si="69"/>
        <v>FOR ISSUANCE</v>
      </c>
      <c r="CQ90" s="635"/>
      <c r="CR90" s="697"/>
      <c r="CS90" s="633" t="str">
        <f t="shared" ca="1" si="70"/>
        <v>0</v>
      </c>
      <c r="CT90" s="635"/>
      <c r="CU90" s="631"/>
      <c r="CV90" s="638"/>
      <c r="CW90" s="156" t="s">
        <v>851</v>
      </c>
      <c r="CX90" s="156" t="str">
        <f>VLOOKUP(E90,'[1]List of Work Orders'!$A:$I,9,FALSE)</f>
        <v>ME155242</v>
      </c>
      <c r="CY90" s="156"/>
      <c r="CZ90" s="63"/>
      <c r="DC90" t="str">
        <f>VLOOKUP(E90,'[2]List of Work Orders'!$A:$F,6,FALSE)</f>
        <v>FCOMP</v>
      </c>
      <c r="DS90" s="156" t="s">
        <v>397</v>
      </c>
    </row>
    <row r="91" spans="1:123" customFormat="1" ht="15" customHeight="1" x14ac:dyDescent="0.25">
      <c r="A91" s="242">
        <v>45373</v>
      </c>
      <c r="B91" s="222">
        <v>45372</v>
      </c>
      <c r="C91" s="223"/>
      <c r="D91" s="66" t="s">
        <v>320</v>
      </c>
      <c r="E91" s="404" t="s">
        <v>852</v>
      </c>
      <c r="F91" s="95" t="s">
        <v>853</v>
      </c>
      <c r="G91" s="95" t="s">
        <v>854</v>
      </c>
      <c r="H91" s="95" t="s">
        <v>318</v>
      </c>
      <c r="I91" s="95" t="s">
        <v>239</v>
      </c>
      <c r="J91" s="163"/>
      <c r="K91" s="101" t="s">
        <v>271</v>
      </c>
      <c r="L91" s="101" t="s">
        <v>263</v>
      </c>
      <c r="M91" s="345" t="s">
        <v>331</v>
      </c>
      <c r="N91" s="442" t="s">
        <v>467</v>
      </c>
      <c r="O91" s="165">
        <v>37.29</v>
      </c>
      <c r="P91" s="165">
        <v>115.57</v>
      </c>
      <c r="Q91" s="157">
        <v>50.5</v>
      </c>
      <c r="R91" s="109" t="s">
        <v>548</v>
      </c>
      <c r="S91" s="110">
        <v>315523.45</v>
      </c>
      <c r="T91" s="93">
        <v>29058.46</v>
      </c>
      <c r="U91" s="141"/>
      <c r="V91" s="158">
        <f t="shared" si="43"/>
        <v>0</v>
      </c>
      <c r="W91" s="159">
        <v>45366.359722222223</v>
      </c>
      <c r="X91" s="159">
        <v>45372.626388888886</v>
      </c>
      <c r="Y91" s="160">
        <v>45370</v>
      </c>
      <c r="Z91" s="470"/>
      <c r="AA91" s="470"/>
      <c r="AB91" s="470"/>
      <c r="AC91" s="161">
        <f t="shared" si="44"/>
        <v>-45366.359722222223</v>
      </c>
      <c r="AD91" s="161">
        <f t="shared" si="71"/>
        <v>-45372.626388888886</v>
      </c>
      <c r="AE91" s="446">
        <f t="shared" si="72"/>
        <v>0</v>
      </c>
      <c r="AF91" s="160">
        <f t="shared" si="73"/>
        <v>45387.566618773948</v>
      </c>
      <c r="AG91" s="160">
        <f t="shared" si="74"/>
        <v>45397.021791187741</v>
      </c>
      <c r="AH91" s="159">
        <f t="shared" si="75"/>
        <v>45416.359722222223</v>
      </c>
      <c r="AI91" s="162">
        <f t="shared" si="45"/>
        <v>-1405.5816580603039</v>
      </c>
      <c r="AJ91" s="224">
        <f t="shared" si="76"/>
        <v>0</v>
      </c>
      <c r="AK91" s="225">
        <f t="shared" si="46"/>
        <v>26</v>
      </c>
      <c r="AL91" s="170">
        <f t="shared" si="47"/>
        <v>36</v>
      </c>
      <c r="AM91" s="170">
        <f t="shared" si="48"/>
        <v>24.206896551724139</v>
      </c>
      <c r="AN91" s="170">
        <f t="shared" si="49"/>
        <v>30.662068965517239</v>
      </c>
      <c r="AO91" s="226">
        <f t="shared" si="50"/>
        <v>21.206896551724139</v>
      </c>
      <c r="AP91" s="227">
        <v>60</v>
      </c>
      <c r="AQ91" s="228">
        <f t="shared" si="51"/>
        <v>57</v>
      </c>
      <c r="AR91" s="228">
        <f t="shared" si="52"/>
        <v>52</v>
      </c>
      <c r="AS91" s="229">
        <f t="shared" si="53"/>
        <v>60</v>
      </c>
      <c r="AT91" s="982">
        <f t="shared" ca="1" si="54"/>
        <v>45895</v>
      </c>
      <c r="AU91" s="50"/>
      <c r="AV91" s="118"/>
      <c r="AW91" s="49"/>
      <c r="AX91" s="49"/>
      <c r="AY91" s="49"/>
      <c r="AZ91" s="300"/>
      <c r="BA91" s="119"/>
      <c r="BB91" s="304"/>
      <c r="BC91" s="231"/>
      <c r="BD91" s="232"/>
      <c r="BE91" s="222">
        <f t="shared" si="55"/>
        <v>15</v>
      </c>
      <c r="BF91" s="233">
        <f t="shared" si="56"/>
        <v>0</v>
      </c>
      <c r="BG91" s="234"/>
      <c r="BH91" s="235"/>
      <c r="BI91" s="234"/>
      <c r="BJ91" s="236"/>
      <c r="BK91" s="222"/>
      <c r="BL91" s="222"/>
      <c r="BM91" s="238"/>
      <c r="BN91" s="222"/>
      <c r="BO91" s="222"/>
      <c r="BP91" s="243"/>
      <c r="BQ91" s="244" t="s">
        <v>247</v>
      </c>
      <c r="BR91" s="238"/>
      <c r="BS91" s="908"/>
      <c r="BT91" s="66"/>
      <c r="BU91" s="95"/>
      <c r="BV91" s="66"/>
      <c r="BW91" s="74"/>
      <c r="BX91" s="81"/>
      <c r="BY91" s="66">
        <v>45373</v>
      </c>
      <c r="BZ91" s="944" t="s">
        <v>855</v>
      </c>
      <c r="CA91" s="42" t="str">
        <f t="shared" si="57"/>
        <v>0</v>
      </c>
      <c r="CB91" s="62">
        <f t="shared" si="58"/>
        <v>-45366.359722222223</v>
      </c>
      <c r="CC91" s="42">
        <f t="shared" si="59"/>
        <v>0</v>
      </c>
      <c r="CD91" s="62">
        <f t="shared" si="60"/>
        <v>-45366.359722222223</v>
      </c>
      <c r="CE91" s="62">
        <f t="shared" si="61"/>
        <v>-1405.5816580603039</v>
      </c>
      <c r="CF91" s="145" t="str">
        <f t="shared" si="62"/>
        <v>0</v>
      </c>
      <c r="CG91" s="145"/>
      <c r="CH91" s="443">
        <f t="shared" si="63"/>
        <v>15.573256469610602</v>
      </c>
      <c r="CI91" s="996">
        <f t="shared" si="64"/>
        <v>15.573256469610602</v>
      </c>
      <c r="CJ91" s="261">
        <f t="shared" si="65"/>
        <v>0</v>
      </c>
      <c r="CK91" s="458">
        <f t="shared" si="66"/>
        <v>489.64027777777665</v>
      </c>
      <c r="CL91" t="str">
        <f t="shared" si="67"/>
        <v>NON-REV</v>
      </c>
      <c r="CM91" t="str">
        <f t="shared" si="68"/>
        <v>10 MONTHS AND ABOVE</v>
      </c>
      <c r="CN91" s="635"/>
      <c r="CO91" s="631"/>
      <c r="CP91" s="629" t="str">
        <f t="shared" si="69"/>
        <v>FOR ISSUANCE</v>
      </c>
      <c r="CQ91" s="635"/>
      <c r="CR91" s="697"/>
      <c r="CS91" s="633" t="str">
        <f t="shared" ca="1" si="70"/>
        <v>0</v>
      </c>
      <c r="CT91" s="635"/>
      <c r="CU91" s="631"/>
      <c r="CV91" s="638"/>
      <c r="CW91" s="156" t="s">
        <v>856</v>
      </c>
      <c r="CX91" s="156" t="str">
        <f>VLOOKUP(E91,'[1]List of Work Orders'!$A:$I,9,FALSE)</f>
        <v>ME155242</v>
      </c>
      <c r="CY91" s="156"/>
      <c r="DC91" t="str">
        <f>VLOOKUP(E91,'[2]List of Work Orders'!$A:$F,6,FALSE)</f>
        <v>SCHED</v>
      </c>
      <c r="DS91" s="156" t="s">
        <v>397</v>
      </c>
    </row>
    <row r="92" spans="1:123" customFormat="1" ht="15" customHeight="1" x14ac:dyDescent="0.25">
      <c r="A92" s="242">
        <v>45387</v>
      </c>
      <c r="B92" s="222">
        <v>45390</v>
      </c>
      <c r="C92" s="223"/>
      <c r="D92" s="66" t="s">
        <v>234</v>
      </c>
      <c r="E92" s="404" t="s">
        <v>857</v>
      </c>
      <c r="F92" s="95" t="s">
        <v>858</v>
      </c>
      <c r="G92" s="95" t="s">
        <v>859</v>
      </c>
      <c r="H92" s="95" t="s">
        <v>318</v>
      </c>
      <c r="I92" s="95" t="s">
        <v>239</v>
      </c>
      <c r="J92" s="168" t="s">
        <v>860</v>
      </c>
      <c r="K92" s="101" t="s">
        <v>271</v>
      </c>
      <c r="L92" s="101" t="s">
        <v>242</v>
      </c>
      <c r="M92" s="345" t="s">
        <v>272</v>
      </c>
      <c r="N92" s="442" t="s">
        <v>467</v>
      </c>
      <c r="O92" s="165">
        <v>212.6</v>
      </c>
      <c r="P92" s="933">
        <v>492.26</v>
      </c>
      <c r="Q92" s="157">
        <v>0</v>
      </c>
      <c r="R92" s="109" t="s">
        <v>327</v>
      </c>
      <c r="S92" s="110">
        <v>809307.31</v>
      </c>
      <c r="T92" s="93">
        <v>165680.53</v>
      </c>
      <c r="U92" s="141">
        <v>101375.61</v>
      </c>
      <c r="V92" s="158">
        <f t="shared" si="43"/>
        <v>0.611874008370205</v>
      </c>
      <c r="W92" s="159">
        <v>45378.53402777778</v>
      </c>
      <c r="X92" s="159">
        <v>45383.418749999997</v>
      </c>
      <c r="Y92" s="160">
        <v>45386</v>
      </c>
      <c r="Z92" s="470"/>
      <c r="AA92" s="470">
        <v>45763.357638888891</v>
      </c>
      <c r="AB92" s="470"/>
      <c r="AC92" s="161">
        <f t="shared" si="44"/>
        <v>384.82361111111095</v>
      </c>
      <c r="AD92" s="161">
        <f t="shared" si="71"/>
        <v>379.93888888889342</v>
      </c>
      <c r="AE92" s="446">
        <f t="shared" si="72"/>
        <v>-45763.357638888891</v>
      </c>
      <c r="AF92" s="160">
        <f t="shared" si="73"/>
        <v>45401.558124163319</v>
      </c>
      <c r="AG92" s="160">
        <f t="shared" si="74"/>
        <v>45411.497883199467</v>
      </c>
      <c r="AH92" s="159">
        <f t="shared" si="75"/>
        <v>45428.53402777778</v>
      </c>
      <c r="AI92" s="162">
        <f t="shared" si="45"/>
        <v>11.090402681327156</v>
      </c>
      <c r="AJ92" s="224">
        <f t="shared" si="76"/>
        <v>-762.72262731481487</v>
      </c>
      <c r="AK92" s="225">
        <f t="shared" si="46"/>
        <v>32</v>
      </c>
      <c r="AL92" s="170">
        <f t="shared" si="47"/>
        <v>36</v>
      </c>
      <c r="AM92" s="170">
        <f t="shared" si="48"/>
        <v>26.024096385542165</v>
      </c>
      <c r="AN92" s="170">
        <f t="shared" si="49"/>
        <v>32.963855421686745</v>
      </c>
      <c r="AO92" s="226">
        <f t="shared" si="50"/>
        <v>23.024096385542165</v>
      </c>
      <c r="AP92" s="227">
        <v>60</v>
      </c>
      <c r="AQ92" s="228">
        <f t="shared" si="51"/>
        <v>57</v>
      </c>
      <c r="AR92" s="228">
        <f t="shared" si="52"/>
        <v>52</v>
      </c>
      <c r="AS92" s="229">
        <f t="shared" si="53"/>
        <v>45823.357638888891</v>
      </c>
      <c r="AT92" s="982">
        <f t="shared" ca="1" si="54"/>
        <v>131.64236111110949</v>
      </c>
      <c r="AU92" s="50"/>
      <c r="AV92" s="118"/>
      <c r="AW92" s="49"/>
      <c r="AX92" s="49"/>
      <c r="AY92" s="49"/>
      <c r="AZ92" s="300"/>
      <c r="BA92" s="119"/>
      <c r="BB92" s="304"/>
      <c r="BC92" s="231" t="s">
        <v>13</v>
      </c>
      <c r="BD92" s="232" t="s">
        <v>601</v>
      </c>
      <c r="BE92" s="222">
        <f t="shared" si="55"/>
        <v>45778.357638888891</v>
      </c>
      <c r="BF92" s="233" t="e">
        <f t="shared" si="56"/>
        <v>#VALUE!</v>
      </c>
      <c r="BG92" s="234"/>
      <c r="BH92" s="235"/>
      <c r="BI92" s="234"/>
      <c r="BJ92" s="236"/>
      <c r="BK92" s="222"/>
      <c r="BL92" s="222"/>
      <c r="BM92" s="238"/>
      <c r="BN92" s="222"/>
      <c r="BO92" s="222"/>
      <c r="BP92" s="243"/>
      <c r="BQ92" s="244" t="s">
        <v>246</v>
      </c>
      <c r="BR92" s="238"/>
      <c r="BS92" s="67"/>
      <c r="BT92" s="66"/>
      <c r="BU92" s="66"/>
      <c r="BV92" s="66"/>
      <c r="BW92" s="74"/>
      <c r="BX92" s="81"/>
      <c r="BY92" s="66">
        <v>45387</v>
      </c>
      <c r="BZ92" s="944" t="s">
        <v>861</v>
      </c>
      <c r="CA92" s="42" t="str">
        <f t="shared" si="57"/>
        <v>0</v>
      </c>
      <c r="CB92" s="62">
        <f t="shared" si="58"/>
        <v>384.82361111111095</v>
      </c>
      <c r="CC92" s="42">
        <f t="shared" si="59"/>
        <v>0</v>
      </c>
      <c r="CD92" s="62">
        <f t="shared" si="60"/>
        <v>384.82361111111095</v>
      </c>
      <c r="CE92" s="62">
        <f t="shared" si="61"/>
        <v>11.090402681327156</v>
      </c>
      <c r="CF92" s="145">
        <f t="shared" si="62"/>
        <v>105.64236111110949</v>
      </c>
      <c r="CG92" s="145"/>
      <c r="CH92" s="443">
        <f t="shared" si="63"/>
        <v>14.134956838348714</v>
      </c>
      <c r="CI92" s="996">
        <f t="shared" si="64"/>
        <v>14.134956838348714</v>
      </c>
      <c r="CJ92" s="261">
        <f t="shared" si="65"/>
        <v>1.7607060185184915</v>
      </c>
      <c r="CK92" s="458" t="str">
        <f t="shared" si="66"/>
        <v/>
      </c>
      <c r="CL92" t="str">
        <f t="shared" si="67"/>
        <v>NON-REV</v>
      </c>
      <c r="CM92" t="str">
        <f t="shared" si="68"/>
        <v/>
      </c>
      <c r="CN92" s="635"/>
      <c r="CO92" s="631"/>
      <c r="CP92" s="629" t="str">
        <f t="shared" si="69"/>
        <v>FOR ISSUANCE</v>
      </c>
      <c r="CQ92" s="635"/>
      <c r="CR92" s="697"/>
      <c r="CS92" s="633" t="str">
        <f t="shared" ca="1" si="70"/>
        <v>0</v>
      </c>
      <c r="CT92" s="635"/>
      <c r="CU92" s="631"/>
      <c r="CV92" s="638"/>
      <c r="CW92" s="156" t="s">
        <v>862</v>
      </c>
      <c r="CX92" s="156" t="str">
        <f>VLOOKUP(E92,'[1]List of Work Orders'!$A:$I,9,FALSE)</f>
        <v>ME155242</v>
      </c>
      <c r="CY92" s="156"/>
      <c r="CZ92" s="63"/>
      <c r="DC92" t="str">
        <f>VLOOKUP(E92,'[2]List of Work Orders'!$A:$F,6,FALSE)</f>
        <v>FCOMP</v>
      </c>
      <c r="DS92" s="156" t="s">
        <v>381</v>
      </c>
    </row>
    <row r="93" spans="1:123" customFormat="1" ht="15" customHeight="1" x14ac:dyDescent="0.25">
      <c r="A93" s="242">
        <v>45385</v>
      </c>
      <c r="B93" s="222" t="s">
        <v>308</v>
      </c>
      <c r="C93" s="223"/>
      <c r="D93" s="66" t="s">
        <v>361</v>
      </c>
      <c r="E93" s="406" t="s">
        <v>863</v>
      </c>
      <c r="F93" s="95" t="s">
        <v>864</v>
      </c>
      <c r="G93" s="95" t="s">
        <v>865</v>
      </c>
      <c r="H93" s="95" t="s">
        <v>378</v>
      </c>
      <c r="I93" s="95" t="s">
        <v>239</v>
      </c>
      <c r="J93" s="163" t="s">
        <v>866</v>
      </c>
      <c r="K93" s="101" t="s">
        <v>271</v>
      </c>
      <c r="L93" s="101" t="s">
        <v>288</v>
      </c>
      <c r="M93" s="345" t="s">
        <v>331</v>
      </c>
      <c r="N93" s="442" t="s">
        <v>381</v>
      </c>
      <c r="O93" s="165">
        <v>39.659999999999997</v>
      </c>
      <c r="P93" s="165">
        <v>39.659999999999997</v>
      </c>
      <c r="Q93" s="157">
        <v>0</v>
      </c>
      <c r="R93" s="109" t="s">
        <v>867</v>
      </c>
      <c r="S93" s="110">
        <v>68971.820000000007</v>
      </c>
      <c r="T93" s="93">
        <v>30909.429999999986</v>
      </c>
      <c r="U93" s="141"/>
      <c r="V93" s="158">
        <f t="shared" si="43"/>
        <v>0</v>
      </c>
      <c r="W93" s="159">
        <v>45381.959027777775</v>
      </c>
      <c r="X93" s="159">
        <v>45384.45</v>
      </c>
      <c r="Y93" s="160">
        <v>45386</v>
      </c>
      <c r="Z93" s="470"/>
      <c r="AA93" s="470"/>
      <c r="AB93" s="470"/>
      <c r="AC93" s="161">
        <f t="shared" si="44"/>
        <v>-45381.959027777775</v>
      </c>
      <c r="AD93" s="161">
        <f t="shared" si="71"/>
        <v>-45384.45</v>
      </c>
      <c r="AE93" s="446">
        <f t="shared" si="72"/>
        <v>0</v>
      </c>
      <c r="AF93" s="160">
        <f t="shared" si="73"/>
        <v>45400.733221326162</v>
      </c>
      <c r="AG93" s="160">
        <f t="shared" si="74"/>
        <v>45409.539672939063</v>
      </c>
      <c r="AH93" s="159">
        <f t="shared" si="75"/>
        <v>45431.959027777775</v>
      </c>
      <c r="AI93" s="162">
        <f t="shared" si="45"/>
        <v>-1563.1563665123454</v>
      </c>
      <c r="AJ93" s="224">
        <f t="shared" si="76"/>
        <v>0</v>
      </c>
      <c r="AK93" s="225">
        <f t="shared" si="46"/>
        <v>20</v>
      </c>
      <c r="AL93" s="170">
        <f t="shared" si="47"/>
        <v>36</v>
      </c>
      <c r="AM93" s="170">
        <f t="shared" si="48"/>
        <v>21.774193548387096</v>
      </c>
      <c r="AN93" s="170">
        <f t="shared" si="49"/>
        <v>27.58064516129032</v>
      </c>
      <c r="AO93" s="226">
        <f t="shared" si="50"/>
        <v>18.774193548387096</v>
      </c>
      <c r="AP93" s="227">
        <v>60</v>
      </c>
      <c r="AQ93" s="228">
        <f t="shared" si="51"/>
        <v>57</v>
      </c>
      <c r="AR93" s="228">
        <f t="shared" si="52"/>
        <v>52</v>
      </c>
      <c r="AS93" s="229">
        <f t="shared" si="53"/>
        <v>60</v>
      </c>
      <c r="AT93" s="982">
        <f t="shared" ca="1" si="54"/>
        <v>45895</v>
      </c>
      <c r="AU93" s="50"/>
      <c r="AV93" s="118"/>
      <c r="AW93" s="49"/>
      <c r="AX93" s="49"/>
      <c r="AY93" s="49"/>
      <c r="AZ93" s="300"/>
      <c r="BA93" s="119"/>
      <c r="BB93" s="304"/>
      <c r="BC93" s="231"/>
      <c r="BD93" s="232"/>
      <c r="BE93" s="222">
        <f t="shared" si="55"/>
        <v>15</v>
      </c>
      <c r="BF93" s="233">
        <f t="shared" si="56"/>
        <v>0</v>
      </c>
      <c r="BG93" s="234"/>
      <c r="BH93" s="235"/>
      <c r="BI93" s="234"/>
      <c r="BJ93" s="236"/>
      <c r="BK93" s="222"/>
      <c r="BL93" s="222"/>
      <c r="BM93" s="238"/>
      <c r="BN93" s="222"/>
      <c r="BO93" s="222"/>
      <c r="BP93" s="243"/>
      <c r="BQ93" s="244"/>
      <c r="BR93" s="238"/>
      <c r="BS93" s="67"/>
      <c r="BT93" s="66"/>
      <c r="BU93" s="66"/>
      <c r="BV93" s="66"/>
      <c r="BW93" s="74"/>
      <c r="BX93" s="81"/>
      <c r="BY93" s="66"/>
      <c r="BZ93" s="944"/>
      <c r="CA93" s="42" t="str">
        <f t="shared" si="57"/>
        <v>0</v>
      </c>
      <c r="CB93" s="62">
        <f t="shared" si="58"/>
        <v>-45381.959027777775</v>
      </c>
      <c r="CC93" s="42">
        <f t="shared" si="59"/>
        <v>0</v>
      </c>
      <c r="CD93" s="62">
        <f t="shared" si="60"/>
        <v>-45381.959027777775</v>
      </c>
      <c r="CE93" s="62">
        <f t="shared" si="61"/>
        <v>-1563.1563665123454</v>
      </c>
      <c r="CF93" s="145" t="str">
        <f t="shared" si="62"/>
        <v>0</v>
      </c>
      <c r="CG93" s="145"/>
      <c r="CH93" s="443">
        <f t="shared" si="63"/>
        <v>16.77585570987663</v>
      </c>
      <c r="CI93" s="996">
        <f t="shared" si="64"/>
        <v>16.77585570987663</v>
      </c>
      <c r="CJ93" s="261">
        <f t="shared" si="65"/>
        <v>0</v>
      </c>
      <c r="CK93" s="458">
        <f t="shared" si="66"/>
        <v>474.04097222222481</v>
      </c>
      <c r="CL93" t="str">
        <f t="shared" si="67"/>
        <v>NON-REV</v>
      </c>
      <c r="CM93" t="str">
        <f t="shared" si="68"/>
        <v>10 MONTHS AND ABOVE</v>
      </c>
      <c r="CN93" s="635"/>
      <c r="CO93" s="631"/>
      <c r="CP93" s="629" t="str">
        <f t="shared" si="69"/>
        <v>FOR ISSUANCE</v>
      </c>
      <c r="CQ93" s="635"/>
      <c r="CR93" s="697"/>
      <c r="CS93" s="633" t="str">
        <f t="shared" ca="1" si="70"/>
        <v>0</v>
      </c>
      <c r="CT93" s="635"/>
      <c r="CU93" s="631"/>
      <c r="CV93" s="638"/>
      <c r="CW93" s="156" t="s">
        <v>868</v>
      </c>
      <c r="CX93" s="156" t="str">
        <f>VLOOKUP(E93,'[1]List of Work Orders'!$A:$I,9,FALSE)</f>
        <v>ME185284</v>
      </c>
      <c r="CY93" s="156"/>
      <c r="DC93" t="str">
        <f>VLOOKUP(E93,'[2]List of Work Orders'!$A:$F,6,FALSE)</f>
        <v>SCHED</v>
      </c>
      <c r="DS93" s="156" t="s">
        <v>397</v>
      </c>
    </row>
    <row r="94" spans="1:123" customFormat="1" ht="15" customHeight="1" x14ac:dyDescent="0.25">
      <c r="A94" s="242">
        <v>45393</v>
      </c>
      <c r="B94" s="222">
        <v>45390</v>
      </c>
      <c r="C94" s="223"/>
      <c r="D94" s="66" t="s">
        <v>320</v>
      </c>
      <c r="E94" s="223" t="s">
        <v>869</v>
      </c>
      <c r="F94" s="95" t="s">
        <v>870</v>
      </c>
      <c r="G94" s="95" t="s">
        <v>871</v>
      </c>
      <c r="H94" s="95" t="s">
        <v>318</v>
      </c>
      <c r="I94" s="95" t="s">
        <v>239</v>
      </c>
      <c r="J94" s="163" t="s">
        <v>872</v>
      </c>
      <c r="K94" s="101" t="s">
        <v>271</v>
      </c>
      <c r="L94" s="101" t="s">
        <v>242</v>
      </c>
      <c r="M94" s="345" t="s">
        <v>402</v>
      </c>
      <c r="N94" s="442" t="s">
        <v>467</v>
      </c>
      <c r="O94" s="165">
        <v>14.0928</v>
      </c>
      <c r="P94" s="165">
        <v>41.21</v>
      </c>
      <c r="Q94" s="157">
        <v>80</v>
      </c>
      <c r="R94" s="109" t="s">
        <v>548</v>
      </c>
      <c r="S94" s="110">
        <v>240093.51</v>
      </c>
      <c r="T94" s="93">
        <v>32138.44</v>
      </c>
      <c r="U94" s="141"/>
      <c r="V94" s="158">
        <f t="shared" si="43"/>
        <v>0</v>
      </c>
      <c r="W94" s="159">
        <v>45388.429861111108</v>
      </c>
      <c r="X94" s="159">
        <v>45393.615972222222</v>
      </c>
      <c r="Y94" s="160">
        <v>45388</v>
      </c>
      <c r="Z94" s="470"/>
      <c r="AA94" s="470"/>
      <c r="AB94" s="470"/>
      <c r="AC94" s="161">
        <f t="shared" si="44"/>
        <v>-45388.429861111108</v>
      </c>
      <c r="AD94" s="161">
        <f t="shared" si="71"/>
        <v>-45393.615972222222</v>
      </c>
      <c r="AE94" s="446">
        <f t="shared" si="72"/>
        <v>0</v>
      </c>
      <c r="AF94" s="160">
        <f t="shared" si="73"/>
        <v>45406.504241276394</v>
      </c>
      <c r="AG94" s="160">
        <f t="shared" si="74"/>
        <v>45415.124075987143</v>
      </c>
      <c r="AH94" s="159">
        <f t="shared" si="75"/>
        <v>45438.429861111108</v>
      </c>
      <c r="AI94" s="162">
        <f t="shared" si="45"/>
        <v>-1615.2941215277776</v>
      </c>
      <c r="AJ94" s="224">
        <f t="shared" si="76"/>
        <v>0</v>
      </c>
      <c r="AK94" s="225">
        <f t="shared" si="46"/>
        <v>20</v>
      </c>
      <c r="AL94" s="170">
        <f t="shared" si="47"/>
        <v>34</v>
      </c>
      <c r="AM94" s="170">
        <f t="shared" si="48"/>
        <v>21.074380165289259</v>
      </c>
      <c r="AN94" s="170">
        <f t="shared" si="49"/>
        <v>26.694214876033058</v>
      </c>
      <c r="AO94" s="226">
        <f t="shared" si="50"/>
        <v>18.074380165289259</v>
      </c>
      <c r="AP94" s="227">
        <v>60</v>
      </c>
      <c r="AQ94" s="228">
        <f t="shared" si="51"/>
        <v>57</v>
      </c>
      <c r="AR94" s="228">
        <f t="shared" si="52"/>
        <v>52</v>
      </c>
      <c r="AS94" s="229">
        <f t="shared" si="53"/>
        <v>60</v>
      </c>
      <c r="AT94" s="982">
        <f t="shared" ca="1" si="54"/>
        <v>45895</v>
      </c>
      <c r="AU94" s="50"/>
      <c r="AV94" s="118"/>
      <c r="AW94" s="49"/>
      <c r="AX94" s="49"/>
      <c r="AY94" s="49"/>
      <c r="AZ94" s="300"/>
      <c r="BA94" s="119"/>
      <c r="BB94" s="304"/>
      <c r="BC94" s="231"/>
      <c r="BD94" s="232"/>
      <c r="BE94" s="222">
        <f t="shared" si="55"/>
        <v>15</v>
      </c>
      <c r="BF94" s="233">
        <f t="shared" si="56"/>
        <v>0</v>
      </c>
      <c r="BG94" s="234"/>
      <c r="BH94" s="235"/>
      <c r="BI94" s="234"/>
      <c r="BJ94" s="236"/>
      <c r="BK94" s="222"/>
      <c r="BL94" s="222"/>
      <c r="BM94" s="238"/>
      <c r="BN94" s="222"/>
      <c r="BO94" s="222"/>
      <c r="BP94" s="243"/>
      <c r="BQ94" s="244" t="s">
        <v>247</v>
      </c>
      <c r="BR94" s="238">
        <v>45442</v>
      </c>
      <c r="BS94" s="67"/>
      <c r="BT94" s="66"/>
      <c r="BU94" s="66"/>
      <c r="BV94" s="66"/>
      <c r="BW94" s="74"/>
      <c r="BX94" s="81"/>
      <c r="BY94" s="66">
        <v>45393</v>
      </c>
      <c r="BZ94" s="944" t="s">
        <v>873</v>
      </c>
      <c r="CA94" s="42" t="str">
        <f t="shared" si="57"/>
        <v>0</v>
      </c>
      <c r="CB94" s="62">
        <f t="shared" si="58"/>
        <v>-45388.429861111108</v>
      </c>
      <c r="CC94" s="42">
        <f t="shared" si="59"/>
        <v>0</v>
      </c>
      <c r="CD94" s="62">
        <f t="shared" si="60"/>
        <v>-45388.429861111108</v>
      </c>
      <c r="CE94" s="62">
        <f t="shared" si="61"/>
        <v>-1615.2941215277776</v>
      </c>
      <c r="CF94" s="145" t="str">
        <f t="shared" si="62"/>
        <v>0</v>
      </c>
      <c r="CG94" s="145"/>
      <c r="CH94" s="443">
        <f t="shared" si="63"/>
        <v>17.102643178104682</v>
      </c>
      <c r="CI94" s="996">
        <f t="shared" si="64"/>
        <v>17.102643178104682</v>
      </c>
      <c r="CJ94" s="261">
        <f t="shared" si="65"/>
        <v>0</v>
      </c>
      <c r="CK94" s="458">
        <f t="shared" si="66"/>
        <v>467.57013888889196</v>
      </c>
      <c r="CL94" t="str">
        <f t="shared" si="67"/>
        <v>NON-REV</v>
      </c>
      <c r="CM94" t="str">
        <f t="shared" si="68"/>
        <v>10 MONTHS AND ABOVE</v>
      </c>
      <c r="CN94" s="635"/>
      <c r="CO94" s="631"/>
      <c r="CP94" s="629" t="str">
        <f t="shared" si="69"/>
        <v>FOR ISSUANCE</v>
      </c>
      <c r="CQ94" s="635"/>
      <c r="CR94" s="697"/>
      <c r="CS94" s="633" t="str">
        <f t="shared" ca="1" si="70"/>
        <v>0</v>
      </c>
      <c r="CT94" s="635"/>
      <c r="CU94" s="631"/>
      <c r="CV94" s="638"/>
      <c r="CW94" s="156" t="s">
        <v>874</v>
      </c>
      <c r="CX94" s="156" t="str">
        <f>VLOOKUP(E94,'[1]List of Work Orders'!$A:$I,9,FALSE)</f>
        <v>ME155242</v>
      </c>
      <c r="CY94" s="156"/>
      <c r="CZ94" s="63"/>
      <c r="DC94" t="str">
        <f>VLOOKUP(E94,'[2]List of Work Orders'!$A:$F,6,FALSE)</f>
        <v>INPRG</v>
      </c>
      <c r="DS94" s="156" t="s">
        <v>381</v>
      </c>
    </row>
    <row r="95" spans="1:123" customFormat="1" ht="15" customHeight="1" x14ac:dyDescent="0.25">
      <c r="A95" s="242">
        <v>45399</v>
      </c>
      <c r="B95" s="222">
        <v>45406</v>
      </c>
      <c r="C95" s="223"/>
      <c r="D95" s="66" t="s">
        <v>320</v>
      </c>
      <c r="E95" s="404" t="s">
        <v>875</v>
      </c>
      <c r="F95" s="95" t="s">
        <v>876</v>
      </c>
      <c r="G95" s="95" t="s">
        <v>877</v>
      </c>
      <c r="H95" s="95" t="s">
        <v>238</v>
      </c>
      <c r="I95" s="95" t="s">
        <v>239</v>
      </c>
      <c r="J95" s="163" t="s">
        <v>878</v>
      </c>
      <c r="K95" s="101" t="s">
        <v>271</v>
      </c>
      <c r="L95" s="101" t="s">
        <v>288</v>
      </c>
      <c r="M95" s="345" t="s">
        <v>272</v>
      </c>
      <c r="N95" s="442" t="s">
        <v>381</v>
      </c>
      <c r="O95" s="165">
        <v>110.20660000000002</v>
      </c>
      <c r="P95" s="933">
        <v>261.72000000000003</v>
      </c>
      <c r="Q95" s="157">
        <v>105</v>
      </c>
      <c r="R95" s="109" t="s">
        <v>548</v>
      </c>
      <c r="S95" s="110">
        <v>857138.67</v>
      </c>
      <c r="T95" s="93">
        <v>132136.12999999998</v>
      </c>
      <c r="U95" s="141"/>
      <c r="V95" s="158">
        <f t="shared" si="43"/>
        <v>0</v>
      </c>
      <c r="W95" s="159">
        <v>45393.701388888891</v>
      </c>
      <c r="X95" s="159">
        <v>45399.584027777775</v>
      </c>
      <c r="Y95" s="160">
        <v>45398</v>
      </c>
      <c r="Z95" s="470"/>
      <c r="AA95" s="470">
        <v>45808</v>
      </c>
      <c r="AB95" s="470"/>
      <c r="AC95" s="161">
        <f t="shared" si="44"/>
        <v>414.29861111110949</v>
      </c>
      <c r="AD95" s="161">
        <f t="shared" si="71"/>
        <v>408.41597222222481</v>
      </c>
      <c r="AE95" s="446">
        <f t="shared" si="72"/>
        <v>-45808</v>
      </c>
      <c r="AF95" s="160">
        <f t="shared" si="73"/>
        <v>45413.715087519027</v>
      </c>
      <c r="AG95" s="160">
        <f t="shared" si="74"/>
        <v>45422.852073820395</v>
      </c>
      <c r="AH95" s="159">
        <f t="shared" si="75"/>
        <v>45443.701388888891</v>
      </c>
      <c r="AI95" s="162">
        <f t="shared" si="45"/>
        <v>13.501695808531693</v>
      </c>
      <c r="AJ95" s="224">
        <f t="shared" si="76"/>
        <v>-763.4666666666667</v>
      </c>
      <c r="AK95" s="225">
        <f t="shared" si="46"/>
        <v>28</v>
      </c>
      <c r="AL95" s="170">
        <f t="shared" si="47"/>
        <v>32</v>
      </c>
      <c r="AM95" s="170">
        <f t="shared" si="48"/>
        <v>23.013698630136989</v>
      </c>
      <c r="AN95" s="170">
        <f t="shared" si="49"/>
        <v>29.150684931506852</v>
      </c>
      <c r="AO95" s="226">
        <f t="shared" si="50"/>
        <v>20.013698630136989</v>
      </c>
      <c r="AP95" s="227">
        <v>60</v>
      </c>
      <c r="AQ95" s="228">
        <f t="shared" si="51"/>
        <v>57</v>
      </c>
      <c r="AR95" s="228">
        <f t="shared" si="52"/>
        <v>52</v>
      </c>
      <c r="AS95" s="229">
        <f t="shared" si="53"/>
        <v>45868</v>
      </c>
      <c r="AT95" s="982">
        <f t="shared" ca="1" si="54"/>
        <v>87</v>
      </c>
      <c r="AU95" s="50"/>
      <c r="AV95" s="118"/>
      <c r="AW95" s="49"/>
      <c r="AX95" s="49"/>
      <c r="AY95" s="49"/>
      <c r="AZ95" s="300"/>
      <c r="BA95" s="119"/>
      <c r="BB95" s="304"/>
      <c r="BC95" s="231" t="s">
        <v>12</v>
      </c>
      <c r="BD95" s="232"/>
      <c r="BE95" s="222">
        <f t="shared" si="55"/>
        <v>45823</v>
      </c>
      <c r="BF95" s="233">
        <f t="shared" si="56"/>
        <v>15</v>
      </c>
      <c r="BG95" s="234">
        <v>45808</v>
      </c>
      <c r="BH95" s="235">
        <v>45838</v>
      </c>
      <c r="BI95" s="234"/>
      <c r="BJ95" s="236"/>
      <c r="BK95" s="222"/>
      <c r="BL95" s="222"/>
      <c r="BM95" s="238"/>
      <c r="BN95" s="222"/>
      <c r="BO95" s="222"/>
      <c r="BP95" s="243"/>
      <c r="BQ95" s="244" t="s">
        <v>247</v>
      </c>
      <c r="BR95" s="238">
        <v>45787</v>
      </c>
      <c r="BS95" s="67"/>
      <c r="BT95" s="66"/>
      <c r="BU95" s="66"/>
      <c r="BV95" s="66"/>
      <c r="BW95" s="74"/>
      <c r="BX95" s="81"/>
      <c r="BY95" s="66">
        <v>45403</v>
      </c>
      <c r="BZ95" s="944" t="s">
        <v>879</v>
      </c>
      <c r="CA95" s="42" t="str">
        <f t="shared" si="57"/>
        <v>0</v>
      </c>
      <c r="CB95" s="62">
        <f t="shared" si="58"/>
        <v>414.29861111110949</v>
      </c>
      <c r="CC95" s="42">
        <f t="shared" si="59"/>
        <v>0</v>
      </c>
      <c r="CD95" s="62">
        <f t="shared" si="60"/>
        <v>414.29861111110949</v>
      </c>
      <c r="CE95" s="62">
        <f t="shared" si="61"/>
        <v>13.501695808531693</v>
      </c>
      <c r="CF95" s="145">
        <f t="shared" si="62"/>
        <v>61</v>
      </c>
      <c r="CG95" s="145"/>
      <c r="CH95" s="443">
        <f t="shared" si="63"/>
        <v>15.489642237103119</v>
      </c>
      <c r="CI95" s="996">
        <f t="shared" si="64"/>
        <v>15.489642237103119</v>
      </c>
      <c r="CJ95" s="261">
        <f t="shared" si="65"/>
        <v>1.0166666666666666</v>
      </c>
      <c r="CK95" s="458" t="str">
        <f t="shared" si="66"/>
        <v/>
      </c>
      <c r="CL95" t="str">
        <f t="shared" si="67"/>
        <v>NON-REV</v>
      </c>
      <c r="CM95" t="str">
        <f t="shared" si="68"/>
        <v/>
      </c>
      <c r="CN95" s="635"/>
      <c r="CO95" s="631"/>
      <c r="CP95" s="629" t="str">
        <f t="shared" si="69"/>
        <v>FOR ISSUANCE</v>
      </c>
      <c r="CQ95" s="635"/>
      <c r="CR95" s="697"/>
      <c r="CS95" s="633" t="str">
        <f t="shared" ca="1" si="70"/>
        <v>0</v>
      </c>
      <c r="CT95" s="635"/>
      <c r="CU95" s="631"/>
      <c r="CV95" s="638"/>
      <c r="CW95" s="156" t="s">
        <v>880</v>
      </c>
      <c r="CX95" s="156" t="str">
        <f>VLOOKUP(E95,'[1]List of Work Orders'!$A:$I,9,FALSE)</f>
        <v>ME185284</v>
      </c>
      <c r="CY95" s="156"/>
      <c r="DC95" t="str">
        <f>VLOOKUP(E95,'[2]List of Work Orders'!$A:$F,6,FALSE)</f>
        <v>SCHED</v>
      </c>
      <c r="DS95" s="156" t="s">
        <v>397</v>
      </c>
    </row>
    <row r="96" spans="1:123" customFormat="1" ht="15" customHeight="1" x14ac:dyDescent="0.25">
      <c r="A96" s="242">
        <v>45404</v>
      </c>
      <c r="B96" s="222">
        <v>45406</v>
      </c>
      <c r="C96" s="223"/>
      <c r="D96" s="66" t="s">
        <v>320</v>
      </c>
      <c r="E96" s="404" t="s">
        <v>881</v>
      </c>
      <c r="F96" s="95" t="s">
        <v>882</v>
      </c>
      <c r="G96" s="95" t="s">
        <v>883</v>
      </c>
      <c r="H96" s="95" t="s">
        <v>253</v>
      </c>
      <c r="I96" s="95" t="s">
        <v>254</v>
      </c>
      <c r="J96" s="163"/>
      <c r="K96" s="101" t="s">
        <v>271</v>
      </c>
      <c r="L96" s="101" t="s">
        <v>263</v>
      </c>
      <c r="M96" s="345" t="s">
        <v>272</v>
      </c>
      <c r="N96" s="442" t="s">
        <v>467</v>
      </c>
      <c r="O96" s="165">
        <v>37.03</v>
      </c>
      <c r="P96" s="933">
        <v>180.6</v>
      </c>
      <c r="Q96" s="157">
        <v>0</v>
      </c>
      <c r="R96" s="109" t="s">
        <v>327</v>
      </c>
      <c r="S96" s="110">
        <v>164134.21</v>
      </c>
      <c r="T96" s="93">
        <v>28855.37</v>
      </c>
      <c r="U96" s="141"/>
      <c r="V96" s="158">
        <f t="shared" si="43"/>
        <v>0</v>
      </c>
      <c r="W96" s="159">
        <v>45397.657638888886</v>
      </c>
      <c r="X96" s="159">
        <v>45404.51458333333</v>
      </c>
      <c r="Y96" s="160">
        <v>45399</v>
      </c>
      <c r="Z96" s="470"/>
      <c r="AA96" s="470">
        <v>45667</v>
      </c>
      <c r="AB96" s="470"/>
      <c r="AC96" s="161">
        <f t="shared" si="44"/>
        <v>269.34236111111386</v>
      </c>
      <c r="AD96" s="161">
        <f t="shared" si="71"/>
        <v>262.48541666667006</v>
      </c>
      <c r="AE96" s="446">
        <f t="shared" si="72"/>
        <v>-45667</v>
      </c>
      <c r="AF96" s="160">
        <f t="shared" si="73"/>
        <v>45418.864535440611</v>
      </c>
      <c r="AG96" s="160">
        <f t="shared" si="74"/>
        <v>45428.319707854404</v>
      </c>
      <c r="AH96" s="159">
        <f t="shared" si="75"/>
        <v>45447.657638888886</v>
      </c>
      <c r="AI96" s="162">
        <f t="shared" si="45"/>
        <v>8.3450090515195523</v>
      </c>
      <c r="AJ96" s="224">
        <f t="shared" si="76"/>
        <v>-761.11666666666667</v>
      </c>
      <c r="AK96" s="225">
        <f t="shared" si="46"/>
        <v>26</v>
      </c>
      <c r="AL96" s="170">
        <f t="shared" si="47"/>
        <v>36</v>
      </c>
      <c r="AM96" s="170">
        <f t="shared" si="48"/>
        <v>24.206896551724139</v>
      </c>
      <c r="AN96" s="170">
        <f t="shared" si="49"/>
        <v>30.662068965517239</v>
      </c>
      <c r="AO96" s="226">
        <f t="shared" si="50"/>
        <v>21.206896551724139</v>
      </c>
      <c r="AP96" s="227">
        <v>60</v>
      </c>
      <c r="AQ96" s="228">
        <f t="shared" si="51"/>
        <v>57</v>
      </c>
      <c r="AR96" s="228">
        <f t="shared" si="52"/>
        <v>52</v>
      </c>
      <c r="AS96" s="229">
        <f t="shared" si="53"/>
        <v>45727</v>
      </c>
      <c r="AT96" s="982">
        <f t="shared" ca="1" si="54"/>
        <v>228</v>
      </c>
      <c r="AU96" s="50"/>
      <c r="AV96" s="118"/>
      <c r="AW96" s="49"/>
      <c r="AX96" s="49"/>
      <c r="AY96" s="49"/>
      <c r="AZ96" s="300"/>
      <c r="BA96" s="119"/>
      <c r="BB96" s="304"/>
      <c r="BC96" s="231" t="s">
        <v>12</v>
      </c>
      <c r="BD96" s="232"/>
      <c r="BE96" s="222">
        <f t="shared" si="55"/>
        <v>45682</v>
      </c>
      <c r="BF96" s="233">
        <f t="shared" si="56"/>
        <v>21</v>
      </c>
      <c r="BG96" s="234">
        <v>45666</v>
      </c>
      <c r="BH96" s="235">
        <v>45703</v>
      </c>
      <c r="BI96" s="234"/>
      <c r="BJ96" s="236"/>
      <c r="BK96" s="222"/>
      <c r="BL96" s="222"/>
      <c r="BM96" s="238"/>
      <c r="BN96" s="222"/>
      <c r="BO96" s="222"/>
      <c r="BP96" s="243"/>
      <c r="BQ96" s="244" t="s">
        <v>246</v>
      </c>
      <c r="BR96" s="238"/>
      <c r="BS96" s="67"/>
      <c r="BT96" s="66"/>
      <c r="BU96" s="66"/>
      <c r="BV96" s="66"/>
      <c r="BW96" s="74"/>
      <c r="BX96" s="81"/>
      <c r="BY96" s="66">
        <v>45406</v>
      </c>
      <c r="BZ96" s="944" t="s">
        <v>884</v>
      </c>
      <c r="CA96" s="42" t="str">
        <f t="shared" si="57"/>
        <v>0</v>
      </c>
      <c r="CB96" s="62">
        <f t="shared" si="58"/>
        <v>269.34236111111386</v>
      </c>
      <c r="CC96" s="42">
        <f t="shared" si="59"/>
        <v>0</v>
      </c>
      <c r="CD96" s="62">
        <f t="shared" si="60"/>
        <v>269.34236111111386</v>
      </c>
      <c r="CE96" s="62">
        <f t="shared" si="61"/>
        <v>8.3450090515195523</v>
      </c>
      <c r="CF96" s="145">
        <f t="shared" si="62"/>
        <v>202</v>
      </c>
      <c r="CG96" s="145"/>
      <c r="CH96" s="443">
        <f t="shared" si="63"/>
        <v>14.603556060066563</v>
      </c>
      <c r="CI96" s="996">
        <f t="shared" si="64"/>
        <v>14.603556060066563</v>
      </c>
      <c r="CJ96" s="261">
        <f t="shared" si="65"/>
        <v>3.3666666666666667</v>
      </c>
      <c r="CK96" s="458" t="str">
        <f t="shared" si="66"/>
        <v/>
      </c>
      <c r="CL96" t="str">
        <f t="shared" si="67"/>
        <v>NON-REV</v>
      </c>
      <c r="CM96" t="str">
        <f t="shared" si="68"/>
        <v/>
      </c>
      <c r="CN96" s="635"/>
      <c r="CO96" s="631"/>
      <c r="CP96" s="629" t="str">
        <f t="shared" si="69"/>
        <v>FOR ISSUANCE</v>
      </c>
      <c r="CQ96" s="635"/>
      <c r="CR96" s="697"/>
      <c r="CS96" s="633" t="str">
        <f t="shared" ca="1" si="70"/>
        <v>0</v>
      </c>
      <c r="CT96" s="635"/>
      <c r="CU96" s="631"/>
      <c r="CV96" s="638"/>
      <c r="CW96" s="156" t="s">
        <v>885</v>
      </c>
      <c r="CX96" s="156" t="str">
        <f>VLOOKUP(E96,'[1]List of Work Orders'!$A:$I,9,FALSE)</f>
        <v>ME155242</v>
      </c>
      <c r="CY96" s="156"/>
      <c r="DC96" t="str">
        <f>VLOOKUP(E96,'[2]List of Work Orders'!$A:$F,6,FALSE)</f>
        <v>FCOMP</v>
      </c>
      <c r="DS96" s="156" t="s">
        <v>397</v>
      </c>
    </row>
    <row r="97" spans="1:131" customFormat="1" ht="15" customHeight="1" x14ac:dyDescent="0.25">
      <c r="A97" s="242">
        <v>45404</v>
      </c>
      <c r="B97" s="222">
        <v>45406</v>
      </c>
      <c r="C97" s="223"/>
      <c r="D97" s="66" t="s">
        <v>234</v>
      </c>
      <c r="E97" s="404" t="s">
        <v>886</v>
      </c>
      <c r="F97" s="95" t="s">
        <v>887</v>
      </c>
      <c r="G97" s="95" t="s">
        <v>888</v>
      </c>
      <c r="H97" s="95" t="s">
        <v>238</v>
      </c>
      <c r="I97" s="95" t="s">
        <v>239</v>
      </c>
      <c r="J97" s="168" t="s">
        <v>889</v>
      </c>
      <c r="K97" s="101" t="s">
        <v>271</v>
      </c>
      <c r="L97" s="101" t="s">
        <v>263</v>
      </c>
      <c r="M97" s="345" t="s">
        <v>272</v>
      </c>
      <c r="N97" s="442" t="s">
        <v>467</v>
      </c>
      <c r="O97" s="165">
        <v>139.94999999999999</v>
      </c>
      <c r="P97" s="933">
        <v>139.94999999999999</v>
      </c>
      <c r="Q97" s="157">
        <v>0</v>
      </c>
      <c r="R97" s="109" t="s">
        <v>548</v>
      </c>
      <c r="S97" s="110">
        <v>248790.03</v>
      </c>
      <c r="T97" s="93">
        <v>109086.2</v>
      </c>
      <c r="U97" s="141"/>
      <c r="V97" s="158">
        <f t="shared" si="43"/>
        <v>0</v>
      </c>
      <c r="W97" s="159">
        <v>45398.370833333334</v>
      </c>
      <c r="X97" s="159">
        <v>45404.443749999999</v>
      </c>
      <c r="Y97" s="160">
        <v>45399</v>
      </c>
      <c r="Z97" s="470"/>
      <c r="AA97" s="470">
        <v>45639</v>
      </c>
      <c r="AB97" s="470"/>
      <c r="AC97" s="161">
        <f t="shared" si="44"/>
        <v>240.6291666666657</v>
      </c>
      <c r="AD97" s="161">
        <f t="shared" si="71"/>
        <v>234.55625000000146</v>
      </c>
      <c r="AE97" s="446">
        <f t="shared" si="72"/>
        <v>-45639</v>
      </c>
      <c r="AF97" s="160">
        <f t="shared" si="73"/>
        <v>45419.577729885059</v>
      </c>
      <c r="AG97" s="160">
        <f t="shared" si="74"/>
        <v>45429.032902298852</v>
      </c>
      <c r="AH97" s="159">
        <f t="shared" si="75"/>
        <v>45448.370833333334</v>
      </c>
      <c r="AI97" s="162">
        <f t="shared" si="45"/>
        <v>7.4553908475783182</v>
      </c>
      <c r="AJ97" s="224">
        <f t="shared" si="76"/>
        <v>-760.65</v>
      </c>
      <c r="AK97" s="225">
        <f t="shared" si="46"/>
        <v>26</v>
      </c>
      <c r="AL97" s="170">
        <f t="shared" si="47"/>
        <v>36</v>
      </c>
      <c r="AM97" s="170">
        <f t="shared" si="48"/>
        <v>24.206896551724139</v>
      </c>
      <c r="AN97" s="170">
        <f t="shared" si="49"/>
        <v>30.662068965517239</v>
      </c>
      <c r="AO97" s="226">
        <f t="shared" si="50"/>
        <v>21.206896551724139</v>
      </c>
      <c r="AP97" s="227">
        <v>60</v>
      </c>
      <c r="AQ97" s="228">
        <f t="shared" si="51"/>
        <v>57</v>
      </c>
      <c r="AR97" s="228">
        <f t="shared" si="52"/>
        <v>52</v>
      </c>
      <c r="AS97" s="229">
        <f t="shared" si="53"/>
        <v>45699</v>
      </c>
      <c r="AT97" s="982">
        <f t="shared" ca="1" si="54"/>
        <v>256</v>
      </c>
      <c r="AU97" s="50"/>
      <c r="AV97" s="118"/>
      <c r="AW97" s="49"/>
      <c r="AX97" s="49"/>
      <c r="AY97" s="49"/>
      <c r="AZ97" s="300"/>
      <c r="BA97" s="119"/>
      <c r="BB97" s="304"/>
      <c r="BC97" s="231" t="s">
        <v>12</v>
      </c>
      <c r="BD97" s="100"/>
      <c r="BE97" s="222">
        <f t="shared" si="55"/>
        <v>45654</v>
      </c>
      <c r="BF97" s="233">
        <f t="shared" si="56"/>
        <v>107</v>
      </c>
      <c r="BG97" s="27">
        <v>45769</v>
      </c>
      <c r="BH97" s="27">
        <v>45761</v>
      </c>
      <c r="BI97" s="234"/>
      <c r="BJ97" s="236"/>
      <c r="BK97" s="222"/>
      <c r="BL97" s="222"/>
      <c r="BM97" s="238"/>
      <c r="BN97" s="222"/>
      <c r="BO97" s="222"/>
      <c r="BP97" s="243"/>
      <c r="BQ97" s="244" t="s">
        <v>247</v>
      </c>
      <c r="BR97" s="238"/>
      <c r="BS97" s="67"/>
      <c r="BT97" s="66"/>
      <c r="BU97" s="66"/>
      <c r="BV97" s="66"/>
      <c r="BW97" s="74"/>
      <c r="BX97" s="81"/>
      <c r="BY97" s="66" t="s">
        <v>308</v>
      </c>
      <c r="BZ97" s="944" t="s">
        <v>890</v>
      </c>
      <c r="CA97" s="42" t="str">
        <f t="shared" si="57"/>
        <v>0</v>
      </c>
      <c r="CB97" s="62">
        <f t="shared" si="58"/>
        <v>240.6291666666657</v>
      </c>
      <c r="CC97" s="42">
        <f t="shared" si="59"/>
        <v>0</v>
      </c>
      <c r="CD97" s="62">
        <f t="shared" si="60"/>
        <v>240.6291666666657</v>
      </c>
      <c r="CE97" s="62">
        <f t="shared" si="61"/>
        <v>7.4553908475783182</v>
      </c>
      <c r="CF97" s="145">
        <f t="shared" si="62"/>
        <v>230</v>
      </c>
      <c r="CG97" s="145"/>
      <c r="CH97" s="443">
        <f t="shared" si="63"/>
        <v>14.581459223646693</v>
      </c>
      <c r="CI97" s="996">
        <f t="shared" si="64"/>
        <v>14.581459223646693</v>
      </c>
      <c r="CJ97" s="261">
        <f t="shared" si="65"/>
        <v>3.8333333333333335</v>
      </c>
      <c r="CK97" s="458" t="str">
        <f t="shared" si="66"/>
        <v/>
      </c>
      <c r="CL97" t="str">
        <f t="shared" si="67"/>
        <v>NON-REV</v>
      </c>
      <c r="CM97" t="str">
        <f t="shared" si="68"/>
        <v/>
      </c>
      <c r="CN97" s="635"/>
      <c r="CO97" s="631"/>
      <c r="CP97" s="629" t="str">
        <f t="shared" si="69"/>
        <v>FOR ISSUANCE</v>
      </c>
      <c r="CQ97" s="635"/>
      <c r="CR97" s="697"/>
      <c r="CS97" s="633" t="str">
        <f t="shared" ca="1" si="70"/>
        <v>0</v>
      </c>
      <c r="CT97" s="635"/>
      <c r="CU97" s="631"/>
      <c r="CV97" s="638"/>
      <c r="CW97" s="156" t="s">
        <v>891</v>
      </c>
      <c r="CX97" s="156" t="str">
        <f>VLOOKUP(E97,'[1]List of Work Orders'!$A:$I,9,FALSE)</f>
        <v>ME155242</v>
      </c>
      <c r="CY97" s="156"/>
      <c r="DC97" t="str">
        <f>VLOOKUP(E97,'[2]List of Work Orders'!$A:$F,6,FALSE)</f>
        <v>FCOMP</v>
      </c>
      <c r="DS97" s="156" t="s">
        <v>397</v>
      </c>
    </row>
    <row r="98" spans="1:131" customFormat="1" ht="15" customHeight="1" x14ac:dyDescent="0.25">
      <c r="A98" s="242">
        <v>45425</v>
      </c>
      <c r="B98" s="222">
        <v>45425</v>
      </c>
      <c r="C98" s="223"/>
      <c r="D98" s="66" t="s">
        <v>284</v>
      </c>
      <c r="E98" s="404" t="s">
        <v>892</v>
      </c>
      <c r="F98" s="95" t="s">
        <v>893</v>
      </c>
      <c r="G98" s="95" t="s">
        <v>894</v>
      </c>
      <c r="H98" s="95" t="s">
        <v>895</v>
      </c>
      <c r="I98" s="95" t="s">
        <v>254</v>
      </c>
      <c r="J98" s="168" t="s">
        <v>896</v>
      </c>
      <c r="K98" s="101" t="s">
        <v>271</v>
      </c>
      <c r="L98" s="101" t="s">
        <v>263</v>
      </c>
      <c r="M98" s="345" t="s">
        <v>555</v>
      </c>
      <c r="N98" s="442" t="s">
        <v>467</v>
      </c>
      <c r="O98" s="165">
        <v>48.4283</v>
      </c>
      <c r="P98" s="165" t="e">
        <v>#N/A</v>
      </c>
      <c r="Q98" s="157">
        <v>61</v>
      </c>
      <c r="R98" s="109" t="s">
        <v>244</v>
      </c>
      <c r="S98" s="110">
        <v>381605.65</v>
      </c>
      <c r="T98" s="93">
        <v>38620.57</v>
      </c>
      <c r="U98" s="141"/>
      <c r="V98" s="158">
        <f t="shared" si="43"/>
        <v>0</v>
      </c>
      <c r="W98" s="159">
        <v>45421.64166666667</v>
      </c>
      <c r="X98" s="159">
        <v>45422.671527777777</v>
      </c>
      <c r="Y98" s="160">
        <v>45425</v>
      </c>
      <c r="Z98" s="470"/>
      <c r="AA98" s="470"/>
      <c r="AB98" s="470"/>
      <c r="AC98" s="161">
        <f t="shared" si="44"/>
        <v>-45421.64166666667</v>
      </c>
      <c r="AD98" s="161">
        <f t="shared" si="71"/>
        <v>-45422.671527777777</v>
      </c>
      <c r="AE98" s="446">
        <f t="shared" si="72"/>
        <v>0</v>
      </c>
      <c r="AF98" s="160" t="e">
        <f t="shared" si="73"/>
        <v>#N/A</v>
      </c>
      <c r="AG98" s="160" t="e">
        <f t="shared" si="74"/>
        <v>#N/A</v>
      </c>
      <c r="AH98" s="159">
        <f t="shared" si="75"/>
        <v>45471.64166666667</v>
      </c>
      <c r="AI98" s="162" t="e">
        <f t="shared" si="45"/>
        <v>#N/A</v>
      </c>
      <c r="AJ98" s="224">
        <f t="shared" si="76"/>
        <v>0</v>
      </c>
      <c r="AK98" s="225" t="e">
        <f t="shared" si="46"/>
        <v>#N/A</v>
      </c>
      <c r="AL98" s="170">
        <f t="shared" si="47"/>
        <v>34</v>
      </c>
      <c r="AM98" s="170" t="e">
        <f t="shared" si="48"/>
        <v>#N/A</v>
      </c>
      <c r="AN98" s="170" t="e">
        <f t="shared" si="49"/>
        <v>#N/A</v>
      </c>
      <c r="AO98" s="226" t="e">
        <f t="shared" si="50"/>
        <v>#N/A</v>
      </c>
      <c r="AP98" s="227">
        <v>60</v>
      </c>
      <c r="AQ98" s="228">
        <f t="shared" si="51"/>
        <v>57</v>
      </c>
      <c r="AR98" s="228">
        <f t="shared" si="52"/>
        <v>52</v>
      </c>
      <c r="AS98" s="229">
        <f t="shared" si="53"/>
        <v>60</v>
      </c>
      <c r="AT98" s="982">
        <f t="shared" ca="1" si="54"/>
        <v>45895</v>
      </c>
      <c r="AU98" s="50"/>
      <c r="AV98" s="118"/>
      <c r="AW98" s="49"/>
      <c r="AX98" s="49"/>
      <c r="AY98" s="49"/>
      <c r="AZ98" s="300"/>
      <c r="BA98" s="119"/>
      <c r="BB98" s="304"/>
      <c r="BC98" s="231"/>
      <c r="BD98" s="232"/>
      <c r="BE98" s="222">
        <f t="shared" si="55"/>
        <v>15</v>
      </c>
      <c r="BF98" s="233">
        <f t="shared" si="56"/>
        <v>0</v>
      </c>
      <c r="BG98" s="234"/>
      <c r="BH98" s="235"/>
      <c r="BI98" s="234"/>
      <c r="BJ98" s="236"/>
      <c r="BK98" s="222"/>
      <c r="BL98" s="222"/>
      <c r="BM98" s="238"/>
      <c r="BN98" s="222"/>
      <c r="BO98" s="222"/>
      <c r="BP98" s="243"/>
      <c r="BQ98" s="244"/>
      <c r="BR98" s="238"/>
      <c r="BS98" s="67"/>
      <c r="BT98" s="66"/>
      <c r="BU98" s="66"/>
      <c r="BV98" s="66"/>
      <c r="BW98" s="74"/>
      <c r="BX98" s="81"/>
      <c r="BY98" s="66">
        <v>45426</v>
      </c>
      <c r="BZ98" s="944"/>
      <c r="CA98" s="42" t="str">
        <f t="shared" si="57"/>
        <v>0</v>
      </c>
      <c r="CB98" s="62">
        <f t="shared" si="58"/>
        <v>-45421.64166666667</v>
      </c>
      <c r="CC98" s="42">
        <f t="shared" si="59"/>
        <v>0</v>
      </c>
      <c r="CD98" s="62">
        <f t="shared" si="60"/>
        <v>-45421.64166666667</v>
      </c>
      <c r="CE98" s="62" t="e">
        <f t="shared" si="61"/>
        <v>#N/A</v>
      </c>
      <c r="CF98" s="145" t="str">
        <f t="shared" si="62"/>
        <v>0</v>
      </c>
      <c r="CG98" s="145"/>
      <c r="CH98" s="443" t="e">
        <f t="shared" si="63"/>
        <v>#N/A</v>
      </c>
      <c r="CI98" s="996" t="e">
        <f t="shared" si="64"/>
        <v>#N/A</v>
      </c>
      <c r="CJ98" s="261">
        <f t="shared" si="65"/>
        <v>0</v>
      </c>
      <c r="CK98" s="458">
        <f t="shared" si="66"/>
        <v>434.35833333332994</v>
      </c>
      <c r="CL98" t="str">
        <f t="shared" si="67"/>
        <v>REV</v>
      </c>
      <c r="CM98" t="str">
        <f t="shared" si="68"/>
        <v>10 MONTHS AND ABOVE</v>
      </c>
      <c r="CN98" s="635"/>
      <c r="CO98" s="631"/>
      <c r="CP98" s="629" t="str">
        <f t="shared" si="69"/>
        <v>FOR ISSUANCE</v>
      </c>
      <c r="CQ98" s="635"/>
      <c r="CR98" s="697"/>
      <c r="CS98" s="633" t="str">
        <f t="shared" ca="1" si="70"/>
        <v>0</v>
      </c>
      <c r="CT98" s="635"/>
      <c r="CU98" s="631"/>
      <c r="CV98" s="638"/>
      <c r="CW98" s="156" t="s">
        <v>897</v>
      </c>
      <c r="CX98" s="156" t="str">
        <f>VLOOKUP(E98,'[1]List of Work Orders'!$A:$I,9,FALSE)</f>
        <v>ME155242</v>
      </c>
      <c r="CY98" s="156"/>
      <c r="DC98" t="str">
        <f>VLOOKUP(E98,'[2]List of Work Orders'!$A:$F,6,FALSE)</f>
        <v>PCAN3</v>
      </c>
      <c r="DS98" s="156" t="s">
        <v>397</v>
      </c>
    </row>
    <row r="99" spans="1:131" customFormat="1" ht="15" customHeight="1" x14ac:dyDescent="0.25">
      <c r="A99" s="242">
        <v>45434</v>
      </c>
      <c r="B99" s="222">
        <v>45432</v>
      </c>
      <c r="C99" s="223"/>
      <c r="D99" s="66" t="s">
        <v>320</v>
      </c>
      <c r="E99" s="404" t="s">
        <v>898</v>
      </c>
      <c r="F99" s="95" t="s">
        <v>899</v>
      </c>
      <c r="G99" s="95" t="s">
        <v>900</v>
      </c>
      <c r="H99" s="95" t="s">
        <v>318</v>
      </c>
      <c r="I99" s="95" t="s">
        <v>239</v>
      </c>
      <c r="J99" s="163"/>
      <c r="K99" s="101" t="s">
        <v>271</v>
      </c>
      <c r="L99" s="101" t="s">
        <v>242</v>
      </c>
      <c r="M99" s="345" t="s">
        <v>331</v>
      </c>
      <c r="N99" s="442" t="s">
        <v>467</v>
      </c>
      <c r="O99" s="165">
        <v>34.906149999999997</v>
      </c>
      <c r="P99" s="165">
        <v>34.909999999999997</v>
      </c>
      <c r="Q99" s="157">
        <v>0</v>
      </c>
      <c r="R99" s="109" t="s">
        <v>327</v>
      </c>
      <c r="S99" s="110">
        <v>72927.67</v>
      </c>
      <c r="T99" s="93">
        <v>28109.38</v>
      </c>
      <c r="U99" s="141"/>
      <c r="V99" s="158">
        <f t="shared" si="43"/>
        <v>0</v>
      </c>
      <c r="W99" s="159">
        <v>45426.625694444447</v>
      </c>
      <c r="X99" s="159">
        <v>45429.588888888888</v>
      </c>
      <c r="Y99" s="160">
        <v>45432</v>
      </c>
      <c r="Z99" s="470"/>
      <c r="AA99" s="470"/>
      <c r="AB99" s="470"/>
      <c r="AC99" s="161">
        <f t="shared" si="44"/>
        <v>-45426.625694444447</v>
      </c>
      <c r="AD99" s="161">
        <f t="shared" si="71"/>
        <v>-45429.588888888888</v>
      </c>
      <c r="AE99" s="446">
        <f t="shared" si="72"/>
        <v>0</v>
      </c>
      <c r="AF99" s="160">
        <f t="shared" si="73"/>
        <v>45445.399887992833</v>
      </c>
      <c r="AG99" s="160">
        <f t="shared" si="74"/>
        <v>45454.206339605735</v>
      </c>
      <c r="AH99" s="159">
        <f t="shared" si="75"/>
        <v>45476.625694444447</v>
      </c>
      <c r="AI99" s="162">
        <f t="shared" si="45"/>
        <v>-1564.694885030864</v>
      </c>
      <c r="AJ99" s="224">
        <f t="shared" si="76"/>
        <v>0</v>
      </c>
      <c r="AK99" s="225">
        <f t="shared" si="46"/>
        <v>20</v>
      </c>
      <c r="AL99" s="170">
        <f t="shared" si="47"/>
        <v>36</v>
      </c>
      <c r="AM99" s="170">
        <f t="shared" si="48"/>
        <v>21.774193548387096</v>
      </c>
      <c r="AN99" s="170">
        <f t="shared" si="49"/>
        <v>27.58064516129032</v>
      </c>
      <c r="AO99" s="226">
        <f t="shared" si="50"/>
        <v>18.774193548387096</v>
      </c>
      <c r="AP99" s="227">
        <v>60</v>
      </c>
      <c r="AQ99" s="228">
        <f t="shared" si="51"/>
        <v>57</v>
      </c>
      <c r="AR99" s="228">
        <f t="shared" si="52"/>
        <v>52</v>
      </c>
      <c r="AS99" s="229">
        <f t="shared" si="53"/>
        <v>60</v>
      </c>
      <c r="AT99" s="982">
        <f t="shared" ca="1" si="54"/>
        <v>45895</v>
      </c>
      <c r="AU99" s="50"/>
      <c r="AV99" s="118"/>
      <c r="AW99" s="49"/>
      <c r="AX99" s="49"/>
      <c r="AY99" s="49"/>
      <c r="AZ99" s="300"/>
      <c r="BA99" s="119"/>
      <c r="BB99" s="304"/>
      <c r="BC99" s="231"/>
      <c r="BD99" s="232"/>
      <c r="BE99" s="222">
        <f t="shared" ref="BE99:BE130" si="77">AA99+15</f>
        <v>15</v>
      </c>
      <c r="BF99" s="233">
        <f t="shared" ref="BF99:BF130" si="78">IF(ISBLANK(AA99),0,IF(ISBLANK(BH99),(BE99-$L$1),(BH99-BE99)))</f>
        <v>0</v>
      </c>
      <c r="BG99" s="234"/>
      <c r="BH99" s="235"/>
      <c r="BI99" s="234"/>
      <c r="BJ99" s="236"/>
      <c r="BK99" s="222"/>
      <c r="BL99" s="222"/>
      <c r="BM99" s="238"/>
      <c r="BN99" s="222"/>
      <c r="BO99" s="222"/>
      <c r="BP99" s="243"/>
      <c r="BQ99" s="244" t="s">
        <v>246</v>
      </c>
      <c r="BR99" s="238"/>
      <c r="BS99" s="67"/>
      <c r="BT99" s="66"/>
      <c r="BU99" s="66"/>
      <c r="BV99" s="66"/>
      <c r="BW99" s="74"/>
      <c r="BX99" s="81"/>
      <c r="BY99" s="66" t="s">
        <v>308</v>
      </c>
      <c r="BZ99" s="944" t="s">
        <v>901</v>
      </c>
      <c r="CA99" s="42" t="str">
        <f t="shared" si="57"/>
        <v>0</v>
      </c>
      <c r="CB99" s="62">
        <f t="shared" si="58"/>
        <v>-45426.625694444447</v>
      </c>
      <c r="CC99" s="42">
        <f t="shared" si="59"/>
        <v>0</v>
      </c>
      <c r="CD99" s="62">
        <f t="shared" si="60"/>
        <v>-45426.625694444447</v>
      </c>
      <c r="CE99" s="62">
        <f t="shared" si="61"/>
        <v>-1564.694885030864</v>
      </c>
      <c r="CF99" s="145" t="str">
        <f t="shared" si="62"/>
        <v>0</v>
      </c>
      <c r="CG99" s="145"/>
      <c r="CH99" s="443">
        <f t="shared" si="63"/>
        <v>15.237337191357945</v>
      </c>
      <c r="CI99" s="996">
        <f t="shared" si="64"/>
        <v>15.237337191357945</v>
      </c>
      <c r="CJ99" s="261">
        <f t="shared" si="65"/>
        <v>0</v>
      </c>
      <c r="CK99" s="458">
        <f t="shared" si="66"/>
        <v>429.37430555555329</v>
      </c>
      <c r="CL99" t="str">
        <f t="shared" si="67"/>
        <v>NON-REV</v>
      </c>
      <c r="CM99" t="str">
        <f t="shared" si="68"/>
        <v>10 MONTHS AND ABOVE</v>
      </c>
      <c r="CN99" s="635"/>
      <c r="CO99" s="631"/>
      <c r="CP99" s="629" t="str">
        <f t="shared" ref="CP99:CP130" si="79">IF(CQ99,"NTC ISSUED","FOR ISSUANCE")</f>
        <v>FOR ISSUANCE</v>
      </c>
      <c r="CQ99" s="635"/>
      <c r="CR99" s="697"/>
      <c r="CS99" s="633" t="str">
        <f t="shared" ca="1" si="70"/>
        <v>0</v>
      </c>
      <c r="CT99" s="635"/>
      <c r="CU99" s="631"/>
      <c r="CV99" s="638"/>
      <c r="CW99" s="156" t="s">
        <v>902</v>
      </c>
      <c r="CX99" s="156" t="str">
        <f>VLOOKUP(E99,'[1]List of Work Orders'!$A:$I,9,FALSE)</f>
        <v>ME155242</v>
      </c>
      <c r="CY99" s="156"/>
      <c r="CZ99" s="63"/>
      <c r="DC99" t="str">
        <f>VLOOKUP(E99,'[2]List of Work Orders'!$A:$F,6,FALSE)</f>
        <v>SCHED</v>
      </c>
      <c r="DS99" s="156" t="s">
        <v>397</v>
      </c>
    </row>
    <row r="100" spans="1:131" customFormat="1" ht="15" customHeight="1" x14ac:dyDescent="0.25">
      <c r="A100" s="242">
        <v>45442</v>
      </c>
      <c r="B100" s="222">
        <v>45436</v>
      </c>
      <c r="C100" s="223"/>
      <c r="D100" s="66" t="s">
        <v>320</v>
      </c>
      <c r="E100" s="404" t="s">
        <v>903</v>
      </c>
      <c r="F100" s="95" t="s">
        <v>904</v>
      </c>
      <c r="G100" s="95" t="s">
        <v>905</v>
      </c>
      <c r="H100" s="95" t="s">
        <v>269</v>
      </c>
      <c r="I100" s="95" t="s">
        <v>239</v>
      </c>
      <c r="J100" s="163" t="s">
        <v>906</v>
      </c>
      <c r="K100" s="101" t="s">
        <v>271</v>
      </c>
      <c r="L100" s="101" t="s">
        <v>263</v>
      </c>
      <c r="M100" s="345" t="s">
        <v>331</v>
      </c>
      <c r="N100" s="442" t="s">
        <v>467</v>
      </c>
      <c r="O100" s="165">
        <v>117.57640000000001</v>
      </c>
      <c r="P100" s="165">
        <v>117.58</v>
      </c>
      <c r="Q100" s="157">
        <v>52</v>
      </c>
      <c r="R100" s="109" t="s">
        <v>548</v>
      </c>
      <c r="S100" s="110">
        <v>366253.75</v>
      </c>
      <c r="T100" s="93">
        <v>86522.71</v>
      </c>
      <c r="U100" s="141"/>
      <c r="V100" s="158">
        <f t="shared" si="43"/>
        <v>0</v>
      </c>
      <c r="W100" s="159">
        <v>45433.538888888892</v>
      </c>
      <c r="X100" s="159">
        <v>45436.393055555556</v>
      </c>
      <c r="Y100" s="160">
        <v>45436</v>
      </c>
      <c r="Z100" s="470"/>
      <c r="AA100" s="470"/>
      <c r="AB100" s="470"/>
      <c r="AC100" s="161">
        <f t="shared" si="44"/>
        <v>-45433.538888888892</v>
      </c>
      <c r="AD100" s="161">
        <f t="shared" si="71"/>
        <v>-45436.393055555556</v>
      </c>
      <c r="AE100" s="446">
        <f t="shared" si="72"/>
        <v>0</v>
      </c>
      <c r="AF100" s="160">
        <f t="shared" si="73"/>
        <v>45453.883959311424</v>
      </c>
      <c r="AG100" s="160">
        <f t="shared" si="74"/>
        <v>45463.109311424101</v>
      </c>
      <c r="AH100" s="159">
        <f t="shared" si="75"/>
        <v>45483.538888888892</v>
      </c>
      <c r="AI100" s="162">
        <f t="shared" si="45"/>
        <v>-1459.6295299145299</v>
      </c>
      <c r="AJ100" s="224">
        <f t="shared" si="76"/>
        <v>0</v>
      </c>
      <c r="AK100" s="225">
        <f t="shared" si="46"/>
        <v>26</v>
      </c>
      <c r="AL100" s="170">
        <f t="shared" si="47"/>
        <v>34</v>
      </c>
      <c r="AM100" s="170">
        <f t="shared" si="48"/>
        <v>23.345070422535212</v>
      </c>
      <c r="AN100" s="170">
        <f t="shared" si="49"/>
        <v>29.570422535211268</v>
      </c>
      <c r="AO100" s="226">
        <f t="shared" si="50"/>
        <v>20.345070422535212</v>
      </c>
      <c r="AP100" s="227">
        <v>60</v>
      </c>
      <c r="AQ100" s="228">
        <f t="shared" si="51"/>
        <v>57</v>
      </c>
      <c r="AR100" s="228">
        <f t="shared" si="52"/>
        <v>52</v>
      </c>
      <c r="AS100" s="229">
        <f t="shared" si="53"/>
        <v>60</v>
      </c>
      <c r="AT100" s="982">
        <f t="shared" ca="1" si="54"/>
        <v>45895</v>
      </c>
      <c r="AU100" s="50"/>
      <c r="AV100" s="118"/>
      <c r="AW100" s="49"/>
      <c r="AX100" s="49"/>
      <c r="AY100" s="49"/>
      <c r="AZ100" s="300"/>
      <c r="BA100" s="119"/>
      <c r="BB100" s="304"/>
      <c r="BC100" s="231"/>
      <c r="BD100" s="232"/>
      <c r="BE100" s="222">
        <f t="shared" si="77"/>
        <v>15</v>
      </c>
      <c r="BF100" s="233">
        <f t="shared" si="78"/>
        <v>0</v>
      </c>
      <c r="BG100" s="234"/>
      <c r="BH100" s="235"/>
      <c r="BI100" s="234"/>
      <c r="BJ100" s="236"/>
      <c r="BK100" s="222"/>
      <c r="BL100" s="222"/>
      <c r="BM100" s="238"/>
      <c r="BN100" s="222"/>
      <c r="BO100" s="222"/>
      <c r="BP100" s="243"/>
      <c r="BQ100" s="244" t="s">
        <v>247</v>
      </c>
      <c r="BR100" s="238"/>
      <c r="BS100" s="67"/>
      <c r="BT100" s="66"/>
      <c r="BU100" s="66"/>
      <c r="BV100" s="66"/>
      <c r="BW100" s="74"/>
      <c r="BX100" s="81"/>
      <c r="BY100" s="66">
        <v>45443</v>
      </c>
      <c r="BZ100" s="944" t="s">
        <v>907</v>
      </c>
      <c r="CA100" s="42" t="str">
        <f t="shared" si="57"/>
        <v>0</v>
      </c>
      <c r="CB100" s="62">
        <f t="shared" si="58"/>
        <v>-45433.538888888892</v>
      </c>
      <c r="CC100" s="42">
        <f t="shared" si="59"/>
        <v>0</v>
      </c>
      <c r="CD100" s="62">
        <f t="shared" si="60"/>
        <v>-45433.538888888892</v>
      </c>
      <c r="CE100" s="62">
        <f t="shared" si="61"/>
        <v>-1459.6295299145299</v>
      </c>
      <c r="CF100" s="145" t="str">
        <f t="shared" si="62"/>
        <v>0</v>
      </c>
      <c r="CG100" s="145"/>
      <c r="CH100" s="443">
        <f t="shared" si="63"/>
        <v>13.989927099044648</v>
      </c>
      <c r="CI100" s="996">
        <f t="shared" si="64"/>
        <v>13.989927099044648</v>
      </c>
      <c r="CJ100" s="261">
        <f t="shared" si="65"/>
        <v>0</v>
      </c>
      <c r="CK100" s="458">
        <f t="shared" si="66"/>
        <v>422.46111111110804</v>
      </c>
      <c r="CL100" t="str">
        <f t="shared" si="67"/>
        <v>NON-REV</v>
      </c>
      <c r="CM100" t="str">
        <f t="shared" si="68"/>
        <v>10 MONTHS AND ABOVE</v>
      </c>
      <c r="CN100" s="635"/>
      <c r="CO100" s="631"/>
      <c r="CP100" s="629" t="str">
        <f t="shared" si="79"/>
        <v>FOR ISSUANCE</v>
      </c>
      <c r="CQ100" s="635"/>
      <c r="CR100" s="697"/>
      <c r="CS100" s="633" t="str">
        <f t="shared" ca="1" si="70"/>
        <v>0</v>
      </c>
      <c r="CT100" s="635"/>
      <c r="CU100" s="631"/>
      <c r="CV100" s="638"/>
      <c r="CW100" s="156" t="s">
        <v>908</v>
      </c>
      <c r="CX100" s="156" t="str">
        <f>VLOOKUP(E100,'[1]List of Work Orders'!$A:$I,9,FALSE)</f>
        <v>ME155242</v>
      </c>
      <c r="CY100" s="156"/>
      <c r="DC100" t="str">
        <f>VLOOKUP(E100,'[2]List of Work Orders'!$A:$F,6,FALSE)</f>
        <v>SCHED</v>
      </c>
      <c r="DS100" s="156" t="s">
        <v>403</v>
      </c>
    </row>
    <row r="101" spans="1:131" customFormat="1" ht="15" customHeight="1" x14ac:dyDescent="0.25">
      <c r="A101" s="242">
        <v>45447</v>
      </c>
      <c r="B101" s="222">
        <v>45461</v>
      </c>
      <c r="C101" s="223"/>
      <c r="D101" s="66" t="s">
        <v>320</v>
      </c>
      <c r="E101" s="404" t="s">
        <v>909</v>
      </c>
      <c r="F101" s="95" t="s">
        <v>910</v>
      </c>
      <c r="G101" s="95" t="s">
        <v>911</v>
      </c>
      <c r="H101" s="95" t="s">
        <v>253</v>
      </c>
      <c r="I101" s="95" t="s">
        <v>254</v>
      </c>
      <c r="J101" s="163" t="s">
        <v>912</v>
      </c>
      <c r="K101" s="101" t="s">
        <v>271</v>
      </c>
      <c r="L101" s="101" t="s">
        <v>5</v>
      </c>
      <c r="M101" s="345" t="s">
        <v>272</v>
      </c>
      <c r="N101" s="442" t="s">
        <v>403</v>
      </c>
      <c r="O101" s="165">
        <v>16.600000000000001</v>
      </c>
      <c r="P101" s="933">
        <v>16.600000000000001</v>
      </c>
      <c r="Q101" s="157">
        <v>0</v>
      </c>
      <c r="R101" s="109" t="s">
        <v>327</v>
      </c>
      <c r="S101" s="110">
        <v>27199.3</v>
      </c>
      <c r="T101" s="93">
        <v>13366.58</v>
      </c>
      <c r="U101" s="141"/>
      <c r="V101" s="158">
        <f t="shared" si="43"/>
        <v>0</v>
      </c>
      <c r="W101" s="159">
        <v>45434.71875</v>
      </c>
      <c r="X101" s="159">
        <v>45436.527777777781</v>
      </c>
      <c r="Y101" s="160">
        <v>45453</v>
      </c>
      <c r="Z101" s="470"/>
      <c r="AA101" s="470">
        <v>45743.356944444444</v>
      </c>
      <c r="AB101" s="470"/>
      <c r="AC101" s="161">
        <f t="shared" si="44"/>
        <v>308.6381944444438</v>
      </c>
      <c r="AD101" s="161">
        <f t="shared" si="71"/>
        <v>306.82916666666279</v>
      </c>
      <c r="AE101" s="446">
        <f t="shared" si="72"/>
        <v>-45743.356944444444</v>
      </c>
      <c r="AF101" s="160">
        <f t="shared" si="73"/>
        <v>45453.492943548386</v>
      </c>
      <c r="AG101" s="160">
        <f t="shared" si="74"/>
        <v>45462.299395161288</v>
      </c>
      <c r="AH101" s="159">
        <f t="shared" si="75"/>
        <v>45484.71875</v>
      </c>
      <c r="AI101" s="162">
        <f t="shared" si="45"/>
        <v>10.630871141975287</v>
      </c>
      <c r="AJ101" s="224">
        <f t="shared" si="76"/>
        <v>-762.38928240740745</v>
      </c>
      <c r="AK101" s="225">
        <f t="shared" si="46"/>
        <v>20</v>
      </c>
      <c r="AL101" s="170">
        <f t="shared" si="47"/>
        <v>36</v>
      </c>
      <c r="AM101" s="170">
        <f t="shared" si="48"/>
        <v>21.774193548387096</v>
      </c>
      <c r="AN101" s="170">
        <f t="shared" si="49"/>
        <v>27.58064516129032</v>
      </c>
      <c r="AO101" s="226">
        <f t="shared" si="50"/>
        <v>18.774193548387096</v>
      </c>
      <c r="AP101" s="227">
        <v>60</v>
      </c>
      <c r="AQ101" s="228">
        <f t="shared" si="51"/>
        <v>57</v>
      </c>
      <c r="AR101" s="228">
        <f t="shared" si="52"/>
        <v>52</v>
      </c>
      <c r="AS101" s="229">
        <f t="shared" si="53"/>
        <v>45803.356944444444</v>
      </c>
      <c r="AT101" s="982">
        <f t="shared" ca="1" si="54"/>
        <v>151.6430555555562</v>
      </c>
      <c r="AU101" s="50"/>
      <c r="AV101" s="118"/>
      <c r="AW101" s="49"/>
      <c r="AX101" s="49"/>
      <c r="AY101" s="49"/>
      <c r="AZ101" s="300"/>
      <c r="BA101" s="119"/>
      <c r="BB101" s="304"/>
      <c r="BC101" s="231" t="s">
        <v>12</v>
      </c>
      <c r="BD101" s="232"/>
      <c r="BE101" s="222">
        <f t="shared" si="77"/>
        <v>45758.356944444444</v>
      </c>
      <c r="BF101" s="233">
        <f t="shared" si="78"/>
        <v>2.6430555555562023</v>
      </c>
      <c r="BG101" s="234">
        <v>45743</v>
      </c>
      <c r="BH101" s="235">
        <v>45761</v>
      </c>
      <c r="BI101" s="234"/>
      <c r="BJ101" s="236"/>
      <c r="BK101" s="222"/>
      <c r="BL101" s="222"/>
      <c r="BM101" s="238"/>
      <c r="BN101" s="222"/>
      <c r="BO101" s="222"/>
      <c r="BP101" s="243"/>
      <c r="BQ101" s="244" t="s">
        <v>247</v>
      </c>
      <c r="BR101" s="238"/>
      <c r="BS101" s="67"/>
      <c r="BT101" s="66"/>
      <c r="BU101" s="66"/>
      <c r="BV101" s="66"/>
      <c r="BW101" s="74"/>
      <c r="BX101" s="81"/>
      <c r="BY101" s="66" t="s">
        <v>308</v>
      </c>
      <c r="BZ101" s="944">
        <v>151360</v>
      </c>
      <c r="CA101" s="42" t="str">
        <f t="shared" si="57"/>
        <v>0</v>
      </c>
      <c r="CB101" s="62">
        <f t="shared" si="58"/>
        <v>308.6381944444438</v>
      </c>
      <c r="CC101" s="42">
        <f t="shared" si="59"/>
        <v>0</v>
      </c>
      <c r="CD101" s="62">
        <f t="shared" si="60"/>
        <v>308.6381944444438</v>
      </c>
      <c r="CE101" s="62">
        <f t="shared" si="61"/>
        <v>10.630871141975287</v>
      </c>
      <c r="CF101" s="145">
        <f t="shared" si="62"/>
        <v>125.6430555555562</v>
      </c>
      <c r="CG101" s="145"/>
      <c r="CH101" s="443">
        <f t="shared" si="63"/>
        <v>14.95857638888889</v>
      </c>
      <c r="CI101" s="996">
        <f t="shared" si="64"/>
        <v>14.95857638888889</v>
      </c>
      <c r="CJ101" s="261">
        <f t="shared" si="65"/>
        <v>2.0940509259259366</v>
      </c>
      <c r="CK101" s="458" t="str">
        <f t="shared" si="66"/>
        <v/>
      </c>
      <c r="CL101" t="str">
        <f t="shared" si="67"/>
        <v>NON-REV</v>
      </c>
      <c r="CM101" t="str">
        <f t="shared" si="68"/>
        <v/>
      </c>
      <c r="CN101" s="635"/>
      <c r="CO101" s="631"/>
      <c r="CP101" s="629" t="str">
        <f t="shared" si="79"/>
        <v>FOR ISSUANCE</v>
      </c>
      <c r="CQ101" s="635"/>
      <c r="CR101" s="697"/>
      <c r="CS101" s="633" t="str">
        <f t="shared" ca="1" si="70"/>
        <v>0</v>
      </c>
      <c r="CT101" s="635"/>
      <c r="CU101" s="631"/>
      <c r="CV101" s="638"/>
      <c r="CW101" s="156" t="s">
        <v>913</v>
      </c>
      <c r="CX101" s="156" t="str">
        <f>VLOOKUP(E101,'[1]List of Work Orders'!$A:$I,9,FALSE)</f>
        <v>ME166067</v>
      </c>
      <c r="CY101" s="156"/>
      <c r="DC101" t="str">
        <f>VLOOKUP(E101,'[2]List of Work Orders'!$A:$F,6,FALSE)</f>
        <v>FCOMP</v>
      </c>
      <c r="DS101" s="156" t="s">
        <v>397</v>
      </c>
    </row>
    <row r="102" spans="1:131" customFormat="1" ht="15" customHeight="1" x14ac:dyDescent="0.25">
      <c r="A102" s="242">
        <v>45448</v>
      </c>
      <c r="B102" s="222">
        <v>45446</v>
      </c>
      <c r="C102" s="223"/>
      <c r="D102" s="66" t="s">
        <v>320</v>
      </c>
      <c r="E102" s="404" t="s">
        <v>914</v>
      </c>
      <c r="F102" s="95" t="s">
        <v>915</v>
      </c>
      <c r="G102" s="95" t="s">
        <v>916</v>
      </c>
      <c r="H102" s="95" t="s">
        <v>318</v>
      </c>
      <c r="I102" s="95" t="s">
        <v>239</v>
      </c>
      <c r="J102" s="163"/>
      <c r="K102" s="101" t="s">
        <v>271</v>
      </c>
      <c r="L102" s="101" t="s">
        <v>263</v>
      </c>
      <c r="M102" s="345" t="s">
        <v>272</v>
      </c>
      <c r="N102" s="442" t="s">
        <v>467</v>
      </c>
      <c r="O102" s="165">
        <v>71.452600000000004</v>
      </c>
      <c r="P102" s="933">
        <v>168.6</v>
      </c>
      <c r="Q102" s="157">
        <v>80</v>
      </c>
      <c r="R102" s="109" t="s">
        <v>548</v>
      </c>
      <c r="S102" s="110">
        <v>440474.35</v>
      </c>
      <c r="T102" s="93">
        <v>72754.820000000022</v>
      </c>
      <c r="U102" s="141"/>
      <c r="V102" s="158">
        <f t="shared" si="43"/>
        <v>0</v>
      </c>
      <c r="W102" s="159">
        <v>45440.439583333333</v>
      </c>
      <c r="X102" s="159">
        <v>45447.57708333333</v>
      </c>
      <c r="Y102" s="160">
        <v>45442</v>
      </c>
      <c r="Z102" s="470"/>
      <c r="AA102" s="470">
        <v>45639</v>
      </c>
      <c r="AB102" s="470"/>
      <c r="AC102" s="161">
        <f t="shared" si="44"/>
        <v>198.56041666666715</v>
      </c>
      <c r="AD102" s="161">
        <f t="shared" si="71"/>
        <v>191.42291666667006</v>
      </c>
      <c r="AE102" s="446">
        <f t="shared" si="72"/>
        <v>-45639</v>
      </c>
      <c r="AF102" s="160">
        <f t="shared" si="73"/>
        <v>45460.784653755865</v>
      </c>
      <c r="AG102" s="160">
        <f t="shared" si="74"/>
        <v>45470.010005868542</v>
      </c>
      <c r="AH102" s="159">
        <f t="shared" si="75"/>
        <v>45490.439583333333</v>
      </c>
      <c r="AI102" s="162">
        <f t="shared" si="45"/>
        <v>6.3790903092006186</v>
      </c>
      <c r="AJ102" s="224">
        <f t="shared" si="76"/>
        <v>-760.65</v>
      </c>
      <c r="AK102" s="225">
        <f t="shared" si="46"/>
        <v>26</v>
      </c>
      <c r="AL102" s="170">
        <f t="shared" si="47"/>
        <v>34</v>
      </c>
      <c r="AM102" s="170">
        <f t="shared" si="48"/>
        <v>23.345070422535212</v>
      </c>
      <c r="AN102" s="170">
        <f t="shared" si="49"/>
        <v>29.570422535211268</v>
      </c>
      <c r="AO102" s="226">
        <f t="shared" si="50"/>
        <v>20.345070422535212</v>
      </c>
      <c r="AP102" s="227">
        <v>60</v>
      </c>
      <c r="AQ102" s="228">
        <f t="shared" si="51"/>
        <v>57</v>
      </c>
      <c r="AR102" s="228">
        <f t="shared" si="52"/>
        <v>52</v>
      </c>
      <c r="AS102" s="229">
        <f t="shared" si="53"/>
        <v>45699</v>
      </c>
      <c r="AT102" s="982">
        <f t="shared" ca="1" si="54"/>
        <v>256</v>
      </c>
      <c r="AU102" s="50"/>
      <c r="AV102" s="118"/>
      <c r="AW102" s="49"/>
      <c r="AX102" s="49"/>
      <c r="AY102" s="49"/>
      <c r="AZ102" s="300"/>
      <c r="BA102" s="119"/>
      <c r="BB102" s="304"/>
      <c r="BC102" s="231" t="s">
        <v>13</v>
      </c>
      <c r="BD102" s="232"/>
      <c r="BE102" s="222">
        <f t="shared" si="77"/>
        <v>45654</v>
      </c>
      <c r="BF102" s="233" t="e">
        <f t="shared" si="78"/>
        <v>#VALUE!</v>
      </c>
      <c r="BG102" s="234"/>
      <c r="BH102" s="235"/>
      <c r="BI102" s="234"/>
      <c r="BJ102" s="236"/>
      <c r="BK102" s="222"/>
      <c r="BL102" s="222"/>
      <c r="BM102" s="238"/>
      <c r="BN102" s="222"/>
      <c r="BO102" s="222"/>
      <c r="BP102" s="243"/>
      <c r="BQ102" s="244" t="s">
        <v>247</v>
      </c>
      <c r="BR102" s="238">
        <v>45525</v>
      </c>
      <c r="BS102" s="67"/>
      <c r="BT102" s="66"/>
      <c r="BU102" s="66"/>
      <c r="BV102" s="66"/>
      <c r="BW102" s="74"/>
      <c r="BX102" s="81"/>
      <c r="BY102" s="66">
        <v>45450</v>
      </c>
      <c r="BZ102" s="944" t="s">
        <v>917</v>
      </c>
      <c r="CA102" s="42" t="str">
        <f t="shared" si="57"/>
        <v>0</v>
      </c>
      <c r="CB102" s="62">
        <f t="shared" si="58"/>
        <v>198.56041666666715</v>
      </c>
      <c r="CC102" s="42">
        <f t="shared" si="59"/>
        <v>0</v>
      </c>
      <c r="CD102" s="62">
        <f t="shared" si="60"/>
        <v>198.56041666666715</v>
      </c>
      <c r="CE102" s="62">
        <f t="shared" si="61"/>
        <v>6.3790903092006186</v>
      </c>
      <c r="CF102" s="145">
        <f t="shared" si="62"/>
        <v>230</v>
      </c>
      <c r="CG102" s="145"/>
      <c r="CH102" s="443">
        <f t="shared" si="63"/>
        <v>13.768230580693832</v>
      </c>
      <c r="CI102" s="996">
        <f t="shared" si="64"/>
        <v>13.768230580693832</v>
      </c>
      <c r="CJ102" s="261">
        <f t="shared" si="65"/>
        <v>3.8333333333333335</v>
      </c>
      <c r="CK102" s="458" t="str">
        <f t="shared" si="66"/>
        <v/>
      </c>
      <c r="CL102" t="str">
        <f t="shared" si="67"/>
        <v>NON-REV</v>
      </c>
      <c r="CM102" t="str">
        <f t="shared" si="68"/>
        <v/>
      </c>
      <c r="CN102" s="635"/>
      <c r="CO102" s="631"/>
      <c r="CP102" s="629" t="str">
        <f t="shared" si="79"/>
        <v>FOR ISSUANCE</v>
      </c>
      <c r="CQ102" s="635"/>
      <c r="CR102" s="697"/>
      <c r="CS102" s="633" t="str">
        <f t="shared" ca="1" si="70"/>
        <v>0</v>
      </c>
      <c r="CT102" s="635"/>
      <c r="CU102" s="631"/>
      <c r="CV102" s="638"/>
      <c r="CW102" s="156" t="s">
        <v>918</v>
      </c>
      <c r="CX102" s="156" t="str">
        <f>VLOOKUP(E102,'[1]List of Work Orders'!$A:$I,9,FALSE)</f>
        <v>ME155242</v>
      </c>
      <c r="CY102" s="156"/>
      <c r="DC102" t="str">
        <f>VLOOKUP(E102,'[2]List of Work Orders'!$A:$F,6,FALSE)</f>
        <v>FCOMP</v>
      </c>
      <c r="DS102" s="156" t="s">
        <v>381</v>
      </c>
    </row>
    <row r="103" spans="1:131" customFormat="1" ht="15" customHeight="1" x14ac:dyDescent="0.25">
      <c r="A103" s="242"/>
      <c r="B103" s="222">
        <v>45447</v>
      </c>
      <c r="C103" s="223"/>
      <c r="D103" s="66" t="s">
        <v>320</v>
      </c>
      <c r="E103" s="404" t="s">
        <v>919</v>
      </c>
      <c r="F103" s="95" t="s">
        <v>920</v>
      </c>
      <c r="G103" s="95" t="s">
        <v>921</v>
      </c>
      <c r="H103" s="95" t="s">
        <v>378</v>
      </c>
      <c r="I103" s="95" t="s">
        <v>239</v>
      </c>
      <c r="J103" s="163" t="s">
        <v>922</v>
      </c>
      <c r="K103" s="101" t="s">
        <v>271</v>
      </c>
      <c r="L103" s="101" t="s">
        <v>288</v>
      </c>
      <c r="M103" s="345" t="s">
        <v>331</v>
      </c>
      <c r="N103" s="442" t="s">
        <v>381</v>
      </c>
      <c r="O103" s="165">
        <v>20.126499999999997</v>
      </c>
      <c r="P103" s="165">
        <v>30.03</v>
      </c>
      <c r="Q103" s="157">
        <v>0</v>
      </c>
      <c r="R103" s="109" t="s">
        <v>327</v>
      </c>
      <c r="S103" s="110">
        <v>42896.3</v>
      </c>
      <c r="T103" s="93">
        <v>24179.61</v>
      </c>
      <c r="U103" s="141"/>
      <c r="V103" s="158">
        <f t="shared" si="43"/>
        <v>0</v>
      </c>
      <c r="W103" s="159">
        <v>45441.592361111114</v>
      </c>
      <c r="X103" s="159">
        <v>45447.356944444444</v>
      </c>
      <c r="Y103" s="160">
        <v>45443</v>
      </c>
      <c r="Z103" s="470"/>
      <c r="AA103" s="470"/>
      <c r="AB103" s="470"/>
      <c r="AC103" s="161">
        <f t="shared" si="44"/>
        <v>-45441.592361111114</v>
      </c>
      <c r="AD103" s="161">
        <f t="shared" si="71"/>
        <v>-45447.356944444444</v>
      </c>
      <c r="AE103" s="446">
        <f t="shared" si="72"/>
        <v>0</v>
      </c>
      <c r="AF103" s="160">
        <f t="shared" si="73"/>
        <v>45460.3665546595</v>
      </c>
      <c r="AG103" s="160">
        <f t="shared" si="74"/>
        <v>45469.173006272402</v>
      </c>
      <c r="AH103" s="159">
        <f t="shared" si="75"/>
        <v>45491.592361111114</v>
      </c>
      <c r="AI103" s="162">
        <f t="shared" si="45"/>
        <v>-1565.2104035493828</v>
      </c>
      <c r="AJ103" s="224">
        <f t="shared" si="76"/>
        <v>0</v>
      </c>
      <c r="AK103" s="225">
        <f t="shared" si="46"/>
        <v>20</v>
      </c>
      <c r="AL103" s="170">
        <f t="shared" si="47"/>
        <v>36</v>
      </c>
      <c r="AM103" s="170">
        <f t="shared" si="48"/>
        <v>21.774193548387096</v>
      </c>
      <c r="AN103" s="170">
        <f t="shared" si="49"/>
        <v>27.58064516129032</v>
      </c>
      <c r="AO103" s="226">
        <f t="shared" si="50"/>
        <v>18.774193548387096</v>
      </c>
      <c r="AP103" s="227">
        <v>60</v>
      </c>
      <c r="AQ103" s="228">
        <f t="shared" si="51"/>
        <v>57</v>
      </c>
      <c r="AR103" s="228">
        <f t="shared" si="52"/>
        <v>52</v>
      </c>
      <c r="AS103" s="229">
        <f t="shared" si="53"/>
        <v>60</v>
      </c>
      <c r="AT103" s="982">
        <f t="shared" ca="1" si="54"/>
        <v>45895</v>
      </c>
      <c r="AU103" s="50"/>
      <c r="AV103" s="118"/>
      <c r="AW103" s="49"/>
      <c r="AX103" s="49"/>
      <c r="AY103" s="49"/>
      <c r="AZ103" s="300"/>
      <c r="BA103" s="119"/>
      <c r="BB103" s="304"/>
      <c r="BC103" s="231"/>
      <c r="BD103" s="232"/>
      <c r="BE103" s="222">
        <f t="shared" si="77"/>
        <v>15</v>
      </c>
      <c r="BF103" s="233">
        <f t="shared" si="78"/>
        <v>0</v>
      </c>
      <c r="BG103" s="234"/>
      <c r="BH103" s="235"/>
      <c r="BI103" s="234"/>
      <c r="BJ103" s="236"/>
      <c r="BK103" s="222"/>
      <c r="BL103" s="222"/>
      <c r="BM103" s="238"/>
      <c r="BN103" s="222"/>
      <c r="BO103" s="222"/>
      <c r="BP103" s="243"/>
      <c r="BQ103" s="244" t="s">
        <v>246</v>
      </c>
      <c r="BR103" s="238"/>
      <c r="BS103" s="67"/>
      <c r="BT103" s="66"/>
      <c r="BU103" s="66"/>
      <c r="BV103" s="66"/>
      <c r="BW103" s="74"/>
      <c r="BX103" s="81"/>
      <c r="BY103" s="66" t="s">
        <v>308</v>
      </c>
      <c r="BZ103" s="944" t="s">
        <v>923</v>
      </c>
      <c r="CA103" s="42" t="str">
        <f t="shared" si="57"/>
        <v>0</v>
      </c>
      <c r="CB103" s="62">
        <f t="shared" si="58"/>
        <v>-45441.592361111114</v>
      </c>
      <c r="CC103" s="42">
        <f t="shared" si="59"/>
        <v>0</v>
      </c>
      <c r="CD103" s="62">
        <f t="shared" si="60"/>
        <v>-45441.592361111114</v>
      </c>
      <c r="CE103" s="62">
        <f t="shared" si="61"/>
        <v>-1565.2104035493828</v>
      </c>
      <c r="CF103" s="145" t="str">
        <f t="shared" si="62"/>
        <v>0</v>
      </c>
      <c r="CG103" s="145"/>
      <c r="CH103" s="443">
        <f t="shared" si="63"/>
        <v>14.721818672839412</v>
      </c>
      <c r="CI103" s="996">
        <f t="shared" si="64"/>
        <v>14.721818672839412</v>
      </c>
      <c r="CJ103" s="261">
        <f t="shared" si="65"/>
        <v>0</v>
      </c>
      <c r="CK103" s="458">
        <f t="shared" si="66"/>
        <v>414.40763888888614</v>
      </c>
      <c r="CL103" t="str">
        <f t="shared" si="67"/>
        <v>NON-REV</v>
      </c>
      <c r="CM103" t="str">
        <f t="shared" si="68"/>
        <v>10 MONTHS AND ABOVE</v>
      </c>
      <c r="CN103" s="635"/>
      <c r="CO103" s="631"/>
      <c r="CP103" s="629" t="str">
        <f t="shared" si="79"/>
        <v>FOR ISSUANCE</v>
      </c>
      <c r="CQ103" s="635"/>
      <c r="CR103" s="697"/>
      <c r="CS103" s="633" t="str">
        <f t="shared" ca="1" si="70"/>
        <v>0</v>
      </c>
      <c r="CT103" s="635"/>
      <c r="CU103" s="631"/>
      <c r="CV103" s="638"/>
      <c r="CW103" s="156" t="s">
        <v>924</v>
      </c>
      <c r="CX103" s="156" t="str">
        <f>VLOOKUP(E103,'[1]List of Work Orders'!$A:$I,9,FALSE)</f>
        <v>ME185284</v>
      </c>
      <c r="CY103" s="156"/>
      <c r="DB103" s="42"/>
      <c r="DC103" t="str">
        <f>VLOOKUP(E103,'[2]List of Work Orders'!$A:$F,6,FALSE)</f>
        <v>SCHED</v>
      </c>
      <c r="DD103" s="42"/>
      <c r="DE103" s="42"/>
      <c r="DF103" s="42"/>
      <c r="DG103" s="42"/>
      <c r="DH103" s="42"/>
      <c r="DI103" s="42"/>
      <c r="DJ103" s="42"/>
      <c r="DK103" s="92"/>
      <c r="DL103" s="92"/>
      <c r="DM103" s="92"/>
      <c r="DN103" s="92"/>
      <c r="DO103" s="92"/>
      <c r="DP103" s="92"/>
      <c r="DQ103" s="92"/>
      <c r="DR103" s="92"/>
      <c r="DS103" s="156" t="s">
        <v>397</v>
      </c>
      <c r="DT103" s="92"/>
      <c r="DU103" s="92"/>
      <c r="DV103" s="92"/>
      <c r="DW103" s="92"/>
      <c r="DX103" s="92"/>
      <c r="DY103" s="92"/>
      <c r="DZ103" s="92"/>
      <c r="EA103" s="92"/>
    </row>
    <row r="104" spans="1:131" customFormat="1" ht="15" customHeight="1" x14ac:dyDescent="0.25">
      <c r="A104" s="242">
        <v>45449</v>
      </c>
      <c r="B104" s="222">
        <v>45446</v>
      </c>
      <c r="C104" s="223"/>
      <c r="D104" s="66" t="s">
        <v>234</v>
      </c>
      <c r="E104" s="404" t="s">
        <v>925</v>
      </c>
      <c r="F104" s="95" t="s">
        <v>926</v>
      </c>
      <c r="G104" s="95" t="s">
        <v>927</v>
      </c>
      <c r="H104" s="95" t="s">
        <v>378</v>
      </c>
      <c r="I104" s="95" t="s">
        <v>239</v>
      </c>
      <c r="J104" s="168" t="s">
        <v>928</v>
      </c>
      <c r="K104" s="101" t="s">
        <v>299</v>
      </c>
      <c r="L104" s="101" t="s">
        <v>242</v>
      </c>
      <c r="M104" s="345" t="s">
        <v>438</v>
      </c>
      <c r="N104" s="442" t="s">
        <v>467</v>
      </c>
      <c r="O104" s="165">
        <v>60.348100000000002</v>
      </c>
      <c r="P104" s="165" t="e">
        <v>#N/A</v>
      </c>
      <c r="Q104" s="157">
        <v>31</v>
      </c>
      <c r="R104" s="109" t="s">
        <v>244</v>
      </c>
      <c r="S104" s="110">
        <v>1083160.6200000001</v>
      </c>
      <c r="T104" s="93">
        <v>74063.42</v>
      </c>
      <c r="U104" s="141"/>
      <c r="V104" s="158">
        <f t="shared" si="43"/>
        <v>0</v>
      </c>
      <c r="W104" s="159">
        <v>45442.411805555559</v>
      </c>
      <c r="X104" s="159">
        <v>45448.573611111111</v>
      </c>
      <c r="Y104" s="160">
        <v>45442</v>
      </c>
      <c r="Z104" s="470"/>
      <c r="AA104" s="470"/>
      <c r="AB104" s="470"/>
      <c r="AC104" s="161">
        <f t="shared" si="44"/>
        <v>-45442.411805555559</v>
      </c>
      <c r="AD104" s="161">
        <f t="shared" si="71"/>
        <v>-45448.573611111111</v>
      </c>
      <c r="AE104" s="446">
        <f t="shared" si="72"/>
        <v>0</v>
      </c>
      <c r="AF104" s="160" t="e">
        <f t="shared" si="73"/>
        <v>#N/A</v>
      </c>
      <c r="AG104" s="160" t="e">
        <f t="shared" si="74"/>
        <v>#N/A</v>
      </c>
      <c r="AH104" s="159">
        <f t="shared" si="75"/>
        <v>45492.411805555559</v>
      </c>
      <c r="AI104" s="162" t="e">
        <f t="shared" si="45"/>
        <v>#N/A</v>
      </c>
      <c r="AJ104" s="224">
        <f t="shared" si="76"/>
        <v>0</v>
      </c>
      <c r="AK104" s="225" t="e">
        <f t="shared" si="46"/>
        <v>#N/A</v>
      </c>
      <c r="AL104" s="170">
        <f t="shared" si="47"/>
        <v>36</v>
      </c>
      <c r="AM104" s="170" t="e">
        <f t="shared" si="48"/>
        <v>#N/A</v>
      </c>
      <c r="AN104" s="170" t="e">
        <f t="shared" si="49"/>
        <v>#N/A</v>
      </c>
      <c r="AO104" s="226" t="e">
        <f t="shared" si="50"/>
        <v>#N/A</v>
      </c>
      <c r="AP104" s="227">
        <v>60</v>
      </c>
      <c r="AQ104" s="228">
        <f t="shared" si="51"/>
        <v>57</v>
      </c>
      <c r="AR104" s="228">
        <f t="shared" si="52"/>
        <v>52</v>
      </c>
      <c r="AS104" s="229">
        <f t="shared" si="53"/>
        <v>60</v>
      </c>
      <c r="AT104" s="982">
        <f t="shared" ca="1" si="54"/>
        <v>45895</v>
      </c>
      <c r="AU104" s="50"/>
      <c r="AV104" s="118"/>
      <c r="AW104" s="49"/>
      <c r="AX104" s="49"/>
      <c r="AY104" s="49"/>
      <c r="AZ104" s="300"/>
      <c r="BA104" s="119"/>
      <c r="BB104" s="304"/>
      <c r="BC104" s="231"/>
      <c r="BD104" s="232"/>
      <c r="BE104" s="222">
        <f t="shared" si="77"/>
        <v>15</v>
      </c>
      <c r="BF104" s="233">
        <f t="shared" si="78"/>
        <v>0</v>
      </c>
      <c r="BG104" s="234"/>
      <c r="BH104" s="235"/>
      <c r="BI104" s="234"/>
      <c r="BJ104" s="236"/>
      <c r="BK104" s="222"/>
      <c r="BL104" s="222"/>
      <c r="BM104" s="238"/>
      <c r="BN104" s="222"/>
      <c r="BO104" s="222"/>
      <c r="BP104" s="243"/>
      <c r="BQ104" s="244" t="s">
        <v>247</v>
      </c>
      <c r="BR104" s="238"/>
      <c r="BS104" s="67"/>
      <c r="BT104" s="66"/>
      <c r="BU104" s="66"/>
      <c r="BV104" s="66"/>
      <c r="BW104" s="74"/>
      <c r="BX104" s="81"/>
      <c r="BY104" s="66">
        <v>45450</v>
      </c>
      <c r="BZ104" s="944" t="s">
        <v>929</v>
      </c>
      <c r="CA104" s="42" t="str">
        <f t="shared" si="57"/>
        <v>0</v>
      </c>
      <c r="CB104" s="62">
        <f t="shared" si="58"/>
        <v>-45442.411805555559</v>
      </c>
      <c r="CC104" s="42">
        <f t="shared" si="59"/>
        <v>0</v>
      </c>
      <c r="CD104" s="62">
        <f t="shared" si="60"/>
        <v>-45442.411805555559</v>
      </c>
      <c r="CE104" s="62" t="e">
        <f t="shared" si="61"/>
        <v>#N/A</v>
      </c>
      <c r="CF104" s="145" t="str">
        <f t="shared" si="62"/>
        <v>0</v>
      </c>
      <c r="CG104" s="145"/>
      <c r="CH104" s="443" t="e">
        <f t="shared" si="63"/>
        <v>#N/A</v>
      </c>
      <c r="CI104" s="996" t="e">
        <f t="shared" si="64"/>
        <v>#N/A</v>
      </c>
      <c r="CJ104" s="261">
        <f t="shared" si="65"/>
        <v>0</v>
      </c>
      <c r="CK104" s="458">
        <f t="shared" si="66"/>
        <v>413.58819444444089</v>
      </c>
      <c r="CL104" t="str">
        <f t="shared" si="67"/>
        <v>REV</v>
      </c>
      <c r="CM104" t="str">
        <f t="shared" si="68"/>
        <v>10 MONTHS AND ABOVE</v>
      </c>
      <c r="CN104" s="636"/>
      <c r="CO104" s="632"/>
      <c r="CP104" s="629" t="str">
        <f t="shared" si="79"/>
        <v>FOR ISSUANCE</v>
      </c>
      <c r="CQ104" s="636"/>
      <c r="CR104" s="698"/>
      <c r="CS104" s="633" t="str">
        <f t="shared" ca="1" si="70"/>
        <v>0</v>
      </c>
      <c r="CT104" s="636"/>
      <c r="CU104" s="632"/>
      <c r="CV104" s="639"/>
      <c r="CW104" s="156" t="s">
        <v>930</v>
      </c>
      <c r="CX104" s="156" t="str">
        <f>VLOOKUP(E104,'[1]List of Work Orders'!$A:$I,9,FALSE)</f>
        <v>ME155242</v>
      </c>
      <c r="CY104" s="156"/>
      <c r="CZ104" s="63"/>
      <c r="DA104" s="42"/>
      <c r="DC104" t="str">
        <f>VLOOKUP(E104,'[2]List of Work Orders'!$A:$F,6,FALSE)</f>
        <v>PCAN3</v>
      </c>
      <c r="DS104" s="156" t="s">
        <v>397</v>
      </c>
    </row>
    <row r="105" spans="1:131" customFormat="1" ht="15" customHeight="1" x14ac:dyDescent="0.25">
      <c r="A105" s="242">
        <v>45463</v>
      </c>
      <c r="B105" s="222">
        <v>45461</v>
      </c>
      <c r="C105" s="223"/>
      <c r="D105" s="66" t="s">
        <v>284</v>
      </c>
      <c r="E105" s="406" t="s">
        <v>931</v>
      </c>
      <c r="F105" s="95" t="s">
        <v>932</v>
      </c>
      <c r="G105" s="95" t="s">
        <v>933</v>
      </c>
      <c r="H105" s="95" t="s">
        <v>253</v>
      </c>
      <c r="I105" s="95" t="s">
        <v>254</v>
      </c>
      <c r="J105" s="163"/>
      <c r="K105" s="101" t="s">
        <v>271</v>
      </c>
      <c r="L105" s="101" t="s">
        <v>263</v>
      </c>
      <c r="M105" s="345" t="s">
        <v>272</v>
      </c>
      <c r="N105" s="442" t="s">
        <v>467</v>
      </c>
      <c r="O105" s="165">
        <v>178.42439999999999</v>
      </c>
      <c r="P105" s="933">
        <v>336.15</v>
      </c>
      <c r="Q105" s="157">
        <v>0</v>
      </c>
      <c r="R105" s="109" t="s">
        <v>327</v>
      </c>
      <c r="S105" s="110">
        <v>514955.42</v>
      </c>
      <c r="T105" s="93">
        <v>143681.57</v>
      </c>
      <c r="U105" s="141"/>
      <c r="V105" s="158">
        <f t="shared" si="43"/>
        <v>0</v>
      </c>
      <c r="W105" s="159">
        <v>45443.696527777778</v>
      </c>
      <c r="X105" s="159">
        <v>45449.368055555555</v>
      </c>
      <c r="Y105" s="160">
        <v>45446</v>
      </c>
      <c r="Z105" s="470">
        <v>45750</v>
      </c>
      <c r="AA105" s="470">
        <v>45751</v>
      </c>
      <c r="AB105" s="470"/>
      <c r="AC105" s="161">
        <f t="shared" si="44"/>
        <v>307.3034722222219</v>
      </c>
      <c r="AD105" s="161">
        <f t="shared" ref="AD105:AD136" si="80">AA105-X105</f>
        <v>301.63194444444525</v>
      </c>
      <c r="AE105" s="446">
        <f t="shared" si="72"/>
        <v>-45751</v>
      </c>
      <c r="AF105" s="160">
        <f t="shared" ref="AF105:AF136" si="81">W105+AO105</f>
        <v>45466.168225890986</v>
      </c>
      <c r="AG105" s="160">
        <f t="shared" ref="AG105:AG136" si="82">W105+AN105</f>
        <v>45475.960678721174</v>
      </c>
      <c r="AH105" s="159">
        <f t="shared" ref="AH105:AH136" si="83">W105+50</f>
        <v>45493.696527777778</v>
      </c>
      <c r="AI105" s="162">
        <f t="shared" si="45"/>
        <v>9.0483800154320875</v>
      </c>
      <c r="AJ105" s="224">
        <f t="shared" ref="AJ105:AJ136" si="84">AE105/AP105</f>
        <v>-762.51666666666665</v>
      </c>
      <c r="AK105" s="225">
        <f t="shared" si="46"/>
        <v>30</v>
      </c>
      <c r="AL105" s="170">
        <f t="shared" si="47"/>
        <v>36</v>
      </c>
      <c r="AM105" s="170">
        <f t="shared" si="48"/>
        <v>25.471698113207545</v>
      </c>
      <c r="AN105" s="170">
        <f t="shared" si="49"/>
        <v>32.264150943396224</v>
      </c>
      <c r="AO105" s="226">
        <f t="shared" si="50"/>
        <v>22.471698113207545</v>
      </c>
      <c r="AP105" s="227">
        <v>60</v>
      </c>
      <c r="AQ105" s="228">
        <f t="shared" si="51"/>
        <v>57</v>
      </c>
      <c r="AR105" s="228">
        <f t="shared" si="52"/>
        <v>52</v>
      </c>
      <c r="AS105" s="229">
        <f t="shared" si="53"/>
        <v>45811</v>
      </c>
      <c r="AT105" s="982">
        <f t="shared" ca="1" si="54"/>
        <v>144</v>
      </c>
      <c r="AU105" s="50"/>
      <c r="AV105" s="118"/>
      <c r="AW105" s="49"/>
      <c r="AX105" s="49"/>
      <c r="AY105" s="49"/>
      <c r="AZ105" s="300"/>
      <c r="BA105" s="119"/>
      <c r="BB105" s="304"/>
      <c r="BC105" s="231" t="s">
        <v>13</v>
      </c>
      <c r="BD105" s="232"/>
      <c r="BE105" s="222">
        <f t="shared" si="77"/>
        <v>45766</v>
      </c>
      <c r="BF105" s="233" t="e">
        <f t="shared" si="78"/>
        <v>#VALUE!</v>
      </c>
      <c r="BG105" s="234"/>
      <c r="BH105" s="235"/>
      <c r="BI105" s="234"/>
      <c r="BJ105" s="236"/>
      <c r="BK105" s="222"/>
      <c r="BL105" s="222"/>
      <c r="BM105" s="238"/>
      <c r="BN105" s="222"/>
      <c r="BO105" s="222"/>
      <c r="BP105" s="243"/>
      <c r="BQ105" s="244" t="s">
        <v>246</v>
      </c>
      <c r="BR105" s="238"/>
      <c r="BS105" s="67"/>
      <c r="BT105" s="66"/>
      <c r="BU105" s="66"/>
      <c r="BV105" s="66"/>
      <c r="BW105" s="74"/>
      <c r="BX105" s="81"/>
      <c r="BY105" s="66">
        <v>45467</v>
      </c>
      <c r="BZ105" s="944" t="s">
        <v>934</v>
      </c>
      <c r="CA105" s="42" t="str">
        <f t="shared" si="57"/>
        <v>0</v>
      </c>
      <c r="CB105" s="62">
        <f t="shared" si="58"/>
        <v>307.3034722222219</v>
      </c>
      <c r="CC105" s="42">
        <f t="shared" si="59"/>
        <v>0</v>
      </c>
      <c r="CD105" s="62">
        <f t="shared" si="60"/>
        <v>307.3034722222219</v>
      </c>
      <c r="CE105" s="62">
        <f t="shared" si="61"/>
        <v>9.0483800154320875</v>
      </c>
      <c r="CF105" s="145">
        <f t="shared" si="62"/>
        <v>118</v>
      </c>
      <c r="CG105" s="145"/>
      <c r="CH105" s="443">
        <f t="shared" si="63"/>
        <v>12.522824459876531</v>
      </c>
      <c r="CI105" s="996">
        <f t="shared" si="64"/>
        <v>12.522824459876531</v>
      </c>
      <c r="CJ105" s="261">
        <f t="shared" si="65"/>
        <v>1.9666666666666666</v>
      </c>
      <c r="CK105" s="458" t="str">
        <f t="shared" si="66"/>
        <v/>
      </c>
      <c r="CL105" t="str">
        <f t="shared" si="67"/>
        <v>NON-REV</v>
      </c>
      <c r="CM105" t="str">
        <f t="shared" si="68"/>
        <v/>
      </c>
      <c r="CN105" s="635"/>
      <c r="CO105" s="631"/>
      <c r="CP105" s="629" t="str">
        <f t="shared" si="79"/>
        <v>FOR ISSUANCE</v>
      </c>
      <c r="CQ105" s="635"/>
      <c r="CR105" s="697"/>
      <c r="CS105" s="633" t="str">
        <f t="shared" ca="1" si="70"/>
        <v>0</v>
      </c>
      <c r="CT105" s="635"/>
      <c r="CU105" s="631"/>
      <c r="CV105" s="638"/>
      <c r="CW105" s="156" t="s">
        <v>935</v>
      </c>
      <c r="CX105" s="156" t="str">
        <f>VLOOKUP(E105,'[1]List of Work Orders'!$A:$I,9,FALSE)</f>
        <v>ME155242</v>
      </c>
      <c r="CY105" s="156"/>
      <c r="DC105" t="str">
        <f>VLOOKUP(E105,'[2]List of Work Orders'!$A:$F,6,FALSE)</f>
        <v>FCOMP</v>
      </c>
      <c r="DS105" s="156" t="s">
        <v>403</v>
      </c>
    </row>
    <row r="106" spans="1:131" customFormat="1" ht="15" customHeight="1" x14ac:dyDescent="0.25">
      <c r="A106" s="242">
        <v>45463</v>
      </c>
      <c r="B106" s="222">
        <v>45447</v>
      </c>
      <c r="C106" s="223" t="s">
        <v>247</v>
      </c>
      <c r="D106" s="66" t="s">
        <v>284</v>
      </c>
      <c r="E106" s="1048" t="s">
        <v>936</v>
      </c>
      <c r="F106" s="95" t="s">
        <v>937</v>
      </c>
      <c r="G106" s="95" t="s">
        <v>938</v>
      </c>
      <c r="H106" s="95" t="s">
        <v>378</v>
      </c>
      <c r="I106" s="95" t="s">
        <v>239</v>
      </c>
      <c r="J106" s="163" t="s">
        <v>939</v>
      </c>
      <c r="K106" s="101" t="s">
        <v>510</v>
      </c>
      <c r="L106" s="101" t="s">
        <v>5</v>
      </c>
      <c r="M106" s="345" t="s">
        <v>272</v>
      </c>
      <c r="N106" s="442" t="s">
        <v>403</v>
      </c>
      <c r="O106" s="165">
        <v>193.1311</v>
      </c>
      <c r="P106" s="933">
        <v>206.16</v>
      </c>
      <c r="Q106" s="157">
        <v>136</v>
      </c>
      <c r="R106" s="109" t="s">
        <v>548</v>
      </c>
      <c r="S106" s="110">
        <v>846143.09</v>
      </c>
      <c r="T106" s="93">
        <v>155556.72</v>
      </c>
      <c r="U106" s="141"/>
      <c r="V106" s="158">
        <f t="shared" si="43"/>
        <v>0</v>
      </c>
      <c r="W106" s="159">
        <v>45446.724305555559</v>
      </c>
      <c r="X106" s="159">
        <v>45450.396527777775</v>
      </c>
      <c r="Y106" s="160">
        <v>45447</v>
      </c>
      <c r="Z106" s="470"/>
      <c r="AA106" s="470">
        <v>45747.418055555558</v>
      </c>
      <c r="AB106" s="470"/>
      <c r="AC106" s="161">
        <f t="shared" si="44"/>
        <v>300.69374999999854</v>
      </c>
      <c r="AD106" s="161">
        <f t="shared" si="80"/>
        <v>297.02152777778247</v>
      </c>
      <c r="AE106" s="446">
        <f t="shared" si="72"/>
        <v>-45747.418055555558</v>
      </c>
      <c r="AF106" s="160">
        <f t="shared" si="81"/>
        <v>45466.738004185696</v>
      </c>
      <c r="AG106" s="160">
        <f t="shared" si="82"/>
        <v>45475.874990487064</v>
      </c>
      <c r="AH106" s="159">
        <f t="shared" si="83"/>
        <v>45496.724305555559</v>
      </c>
      <c r="AI106" s="162">
        <f t="shared" si="45"/>
        <v>9.799394531249952</v>
      </c>
      <c r="AJ106" s="224">
        <f t="shared" si="84"/>
        <v>-762.4569675925926</v>
      </c>
      <c r="AK106" s="225">
        <f t="shared" si="46"/>
        <v>28</v>
      </c>
      <c r="AL106" s="170">
        <f t="shared" si="47"/>
        <v>32</v>
      </c>
      <c r="AM106" s="170">
        <f t="shared" si="48"/>
        <v>23.013698630136989</v>
      </c>
      <c r="AN106" s="170">
        <f t="shared" si="49"/>
        <v>29.150684931506852</v>
      </c>
      <c r="AO106" s="226">
        <f t="shared" si="50"/>
        <v>20.013698630136989</v>
      </c>
      <c r="AP106" s="227">
        <v>60</v>
      </c>
      <c r="AQ106" s="228">
        <f t="shared" si="51"/>
        <v>57</v>
      </c>
      <c r="AR106" s="228">
        <f t="shared" si="52"/>
        <v>52</v>
      </c>
      <c r="AS106" s="229">
        <f t="shared" si="53"/>
        <v>45807.418055555558</v>
      </c>
      <c r="AT106" s="982">
        <f t="shared" ca="1" si="54"/>
        <v>147.58194444444234</v>
      </c>
      <c r="AU106" s="50"/>
      <c r="AV106" s="118"/>
      <c r="AW106" s="49"/>
      <c r="AX106" s="49"/>
      <c r="AY106" s="49"/>
      <c r="AZ106" s="300"/>
      <c r="BA106" s="119"/>
      <c r="BB106" s="304"/>
      <c r="BC106" s="231" t="s">
        <v>146</v>
      </c>
      <c r="BD106" s="232"/>
      <c r="BE106" s="222">
        <f t="shared" si="77"/>
        <v>45762.418055555558</v>
      </c>
      <c r="BF106" s="233">
        <f t="shared" si="78"/>
        <v>0.5819444444423425</v>
      </c>
      <c r="BG106" s="234">
        <v>45747</v>
      </c>
      <c r="BH106" s="235">
        <v>45763</v>
      </c>
      <c r="BI106" s="234"/>
      <c r="BJ106" s="249"/>
      <c r="BK106" s="66"/>
      <c r="BL106" s="66"/>
      <c r="BM106" s="66"/>
      <c r="BN106" s="66"/>
      <c r="BO106" s="66"/>
      <c r="BP106" s="66"/>
      <c r="BQ106" s="66" t="s">
        <v>247</v>
      </c>
      <c r="BR106" s="238">
        <v>45749</v>
      </c>
      <c r="BS106" s="67"/>
      <c r="BT106" s="66"/>
      <c r="BU106" s="66"/>
      <c r="BV106" s="66"/>
      <c r="BW106" s="74"/>
      <c r="BX106" s="81"/>
      <c r="BY106" s="66">
        <v>45467</v>
      </c>
      <c r="BZ106" s="108" t="s">
        <v>940</v>
      </c>
      <c r="CA106" s="42" t="str">
        <f t="shared" si="57"/>
        <v>0</v>
      </c>
      <c r="CB106" s="62">
        <f t="shared" si="58"/>
        <v>300.69374999999854</v>
      </c>
      <c r="CC106" s="42">
        <f t="shared" si="59"/>
        <v>0</v>
      </c>
      <c r="CD106" s="62">
        <f t="shared" si="60"/>
        <v>300.69374999999854</v>
      </c>
      <c r="CE106" s="62">
        <f t="shared" si="61"/>
        <v>9.799394531249952</v>
      </c>
      <c r="CF106" s="145">
        <f t="shared" si="62"/>
        <v>121.58194444444234</v>
      </c>
      <c r="CG106" s="145"/>
      <c r="CH106" s="443">
        <f t="shared" si="63"/>
        <v>13.761663256448294</v>
      </c>
      <c r="CI106" s="996">
        <f t="shared" si="64"/>
        <v>13.761663256448294</v>
      </c>
      <c r="CJ106" s="261">
        <f t="shared" si="65"/>
        <v>2.0263657407407059</v>
      </c>
      <c r="CK106" s="458" t="str">
        <f t="shared" si="66"/>
        <v/>
      </c>
      <c r="CL106" t="str">
        <f t="shared" si="67"/>
        <v>NON-REV</v>
      </c>
      <c r="CM106" t="str">
        <f t="shared" si="68"/>
        <v/>
      </c>
      <c r="CN106" s="635"/>
      <c r="CO106" s="631"/>
      <c r="CP106" s="629" t="str">
        <f t="shared" si="79"/>
        <v>FOR ISSUANCE</v>
      </c>
      <c r="CQ106" s="635"/>
      <c r="CR106" s="697"/>
      <c r="CS106" s="633" t="str">
        <f t="shared" ca="1" si="70"/>
        <v>0</v>
      </c>
      <c r="CT106" s="635"/>
      <c r="CU106" s="631"/>
      <c r="CV106" s="638"/>
      <c r="CW106" s="156" t="s">
        <v>941</v>
      </c>
      <c r="CX106" s="156" t="str">
        <f>VLOOKUP(E106,'[1]List of Work Orders'!$A:$I,9,FALSE)</f>
        <v>ME166067</v>
      </c>
      <c r="CY106" s="156"/>
      <c r="DC106" t="str">
        <f>VLOOKUP(E106,'[2]List of Work Orders'!$A:$F,6,FALSE)</f>
        <v>FCOMP</v>
      </c>
      <c r="DS106" s="156" t="s">
        <v>381</v>
      </c>
    </row>
    <row r="107" spans="1:131" customFormat="1" ht="15" customHeight="1" x14ac:dyDescent="0.25">
      <c r="A107" s="242">
        <v>45476</v>
      </c>
      <c r="B107" s="222">
        <v>45469</v>
      </c>
      <c r="C107" s="223"/>
      <c r="D107" s="66" t="s">
        <v>320</v>
      </c>
      <c r="E107" s="412" t="s">
        <v>942</v>
      </c>
      <c r="F107" s="95" t="s">
        <v>943</v>
      </c>
      <c r="G107" s="95" t="s">
        <v>944</v>
      </c>
      <c r="H107" s="95" t="s">
        <v>378</v>
      </c>
      <c r="I107" s="95" t="s">
        <v>239</v>
      </c>
      <c r="J107" s="168" t="s">
        <v>945</v>
      </c>
      <c r="K107" s="101" t="s">
        <v>299</v>
      </c>
      <c r="L107" s="101" t="s">
        <v>288</v>
      </c>
      <c r="M107" s="345" t="s">
        <v>534</v>
      </c>
      <c r="N107" s="442" t="s">
        <v>381</v>
      </c>
      <c r="O107" s="165">
        <v>736.35919999999999</v>
      </c>
      <c r="P107" s="165" t="e">
        <v>#N/A</v>
      </c>
      <c r="Q107" s="157">
        <v>225</v>
      </c>
      <c r="R107" s="109" t="s">
        <v>244</v>
      </c>
      <c r="S107" s="110">
        <v>4930562.97</v>
      </c>
      <c r="T107" s="93">
        <v>592973.37</v>
      </c>
      <c r="U107" s="141"/>
      <c r="V107" s="158">
        <f t="shared" si="43"/>
        <v>0</v>
      </c>
      <c r="W107" s="159">
        <v>45463.919444444444</v>
      </c>
      <c r="X107" s="159">
        <v>45470.383333333331</v>
      </c>
      <c r="Y107" s="160">
        <v>45469</v>
      </c>
      <c r="Z107" s="470"/>
      <c r="AA107" s="470" t="s">
        <v>534</v>
      </c>
      <c r="AB107" s="470"/>
      <c r="AC107" s="161" t="e">
        <f t="shared" si="44"/>
        <v>#VALUE!</v>
      </c>
      <c r="AD107" s="161" t="e">
        <f t="shared" si="80"/>
        <v>#VALUE!</v>
      </c>
      <c r="AE107" s="446" t="e">
        <f t="shared" si="72"/>
        <v>#VALUE!</v>
      </c>
      <c r="AF107" s="160" t="e">
        <f t="shared" si="81"/>
        <v>#N/A</v>
      </c>
      <c r="AG107" s="160" t="e">
        <f t="shared" si="82"/>
        <v>#N/A</v>
      </c>
      <c r="AH107" s="159">
        <f t="shared" si="83"/>
        <v>45513.919444444444</v>
      </c>
      <c r="AI107" s="162" t="e">
        <f t="shared" si="45"/>
        <v>#VALUE!</v>
      </c>
      <c r="AJ107" s="224" t="e">
        <f t="shared" si="84"/>
        <v>#VALUE!</v>
      </c>
      <c r="AK107" s="225" t="e">
        <f t="shared" si="46"/>
        <v>#N/A</v>
      </c>
      <c r="AL107" s="170">
        <f t="shared" si="47"/>
        <v>30</v>
      </c>
      <c r="AM107" s="170" t="e">
        <f t="shared" si="48"/>
        <v>#N/A</v>
      </c>
      <c r="AN107" s="170" t="e">
        <f t="shared" si="49"/>
        <v>#N/A</v>
      </c>
      <c r="AO107" s="226" t="e">
        <f t="shared" si="50"/>
        <v>#N/A</v>
      </c>
      <c r="AP107" s="227">
        <v>60</v>
      </c>
      <c r="AQ107" s="228">
        <f t="shared" si="51"/>
        <v>57</v>
      </c>
      <c r="AR107" s="228">
        <f t="shared" si="52"/>
        <v>52</v>
      </c>
      <c r="AS107" s="229" t="e">
        <f t="shared" si="53"/>
        <v>#VALUE!</v>
      </c>
      <c r="AT107" s="982" t="str">
        <f t="shared" ca="1" si="54"/>
        <v/>
      </c>
      <c r="AU107" s="50"/>
      <c r="AV107" s="118"/>
      <c r="AW107" s="49"/>
      <c r="AX107" s="49"/>
      <c r="AY107" s="49"/>
      <c r="AZ107" s="300"/>
      <c r="BA107" s="119"/>
      <c r="BB107" s="304"/>
      <c r="BC107" s="231"/>
      <c r="BD107" s="232"/>
      <c r="BE107" s="222" t="e">
        <f t="shared" si="77"/>
        <v>#VALUE!</v>
      </c>
      <c r="BF107" s="233" t="e">
        <f t="shared" si="78"/>
        <v>#VALUE!</v>
      </c>
      <c r="BG107" s="251"/>
      <c r="BH107" s="252"/>
      <c r="BI107" s="234"/>
      <c r="BJ107" s="254"/>
      <c r="BK107" s="129"/>
      <c r="BL107" s="129"/>
      <c r="BM107" s="253"/>
      <c r="BN107" s="129"/>
      <c r="BO107" s="129"/>
      <c r="BP107" s="255"/>
      <c r="BQ107" s="256" t="s">
        <v>247</v>
      </c>
      <c r="BR107" s="253"/>
      <c r="BS107" s="67"/>
      <c r="BT107" s="66"/>
      <c r="BU107" s="66"/>
      <c r="BV107" s="66"/>
      <c r="BW107" s="74"/>
      <c r="BX107" s="257"/>
      <c r="BY107" s="131"/>
      <c r="BZ107" s="946" t="s">
        <v>946</v>
      </c>
      <c r="CA107" s="42" t="str">
        <f t="shared" si="57"/>
        <v>0</v>
      </c>
      <c r="CB107" s="62" t="e">
        <f t="shared" si="58"/>
        <v>#VALUE!</v>
      </c>
      <c r="CC107" s="42">
        <f t="shared" si="59"/>
        <v>0</v>
      </c>
      <c r="CD107" s="62" t="e">
        <f t="shared" si="60"/>
        <v>#VALUE!</v>
      </c>
      <c r="CE107" s="62" t="e">
        <f t="shared" si="61"/>
        <v>#VALUE!</v>
      </c>
      <c r="CF107" s="145" t="e">
        <f t="shared" si="62"/>
        <v>#VALUE!</v>
      </c>
      <c r="CG107" s="145"/>
      <c r="CH107" s="443" t="e">
        <f t="shared" si="63"/>
        <v>#N/A</v>
      </c>
      <c r="CI107" s="996" t="e">
        <f t="shared" si="64"/>
        <v>#N/A</v>
      </c>
      <c r="CJ107" s="261" t="e">
        <f t="shared" si="65"/>
        <v>#VALUE!</v>
      </c>
      <c r="CK107" s="458" t="str">
        <f t="shared" si="66"/>
        <v/>
      </c>
      <c r="CL107" t="str">
        <f t="shared" si="67"/>
        <v>REV</v>
      </c>
      <c r="CM107" t="str">
        <f t="shared" si="68"/>
        <v/>
      </c>
      <c r="CN107" s="635"/>
      <c r="CO107" s="631"/>
      <c r="CP107" s="629" t="str">
        <f t="shared" si="79"/>
        <v>FOR ISSUANCE</v>
      </c>
      <c r="CQ107" s="635"/>
      <c r="CR107" s="697"/>
      <c r="CS107" s="633" t="str">
        <f t="shared" ca="1" si="70"/>
        <v>0</v>
      </c>
      <c r="CT107" s="635"/>
      <c r="CU107" s="631"/>
      <c r="CV107" s="638"/>
      <c r="CW107" s="156" t="s">
        <v>947</v>
      </c>
      <c r="CX107" s="156" t="str">
        <f>VLOOKUP(E107,'[1]List of Work Orders'!$A:$I,9,FALSE)</f>
        <v>ME185284</v>
      </c>
      <c r="CY107" s="156"/>
      <c r="DC107" t="str">
        <f>VLOOKUP(E107,'[2]List of Work Orders'!$A:$F,6,FALSE)</f>
        <v>CLOSED-CAN</v>
      </c>
      <c r="DS107" s="156" t="s">
        <v>397</v>
      </c>
    </row>
    <row r="108" spans="1:131" customFormat="1" ht="15" customHeight="1" x14ac:dyDescent="0.25">
      <c r="A108" s="242">
        <v>45490</v>
      </c>
      <c r="B108" s="222">
        <v>45471</v>
      </c>
      <c r="C108" s="223"/>
      <c r="D108" s="66" t="s">
        <v>320</v>
      </c>
      <c r="E108" s="404" t="s">
        <v>948</v>
      </c>
      <c r="F108" s="95" t="s">
        <v>949</v>
      </c>
      <c r="G108" s="95" t="s">
        <v>950</v>
      </c>
      <c r="H108" s="95" t="s">
        <v>378</v>
      </c>
      <c r="I108" s="95" t="s">
        <v>239</v>
      </c>
      <c r="J108" s="163"/>
      <c r="K108" s="101" t="s">
        <v>271</v>
      </c>
      <c r="L108" s="101" t="s">
        <v>242</v>
      </c>
      <c r="M108" s="345" t="s">
        <v>331</v>
      </c>
      <c r="N108" s="442" t="s">
        <v>467</v>
      </c>
      <c r="O108" s="165">
        <v>61.697299999999998</v>
      </c>
      <c r="P108" s="165">
        <v>139.97999999999999</v>
      </c>
      <c r="Q108" s="157">
        <v>20</v>
      </c>
      <c r="R108" s="109" t="s">
        <v>548</v>
      </c>
      <c r="S108" s="110">
        <v>369106.47</v>
      </c>
      <c r="T108" s="93">
        <v>49683.3</v>
      </c>
      <c r="U108" s="141"/>
      <c r="V108" s="158">
        <f t="shared" si="43"/>
        <v>0</v>
      </c>
      <c r="W108" s="159">
        <v>45468.429166666669</v>
      </c>
      <c r="X108" s="159">
        <v>45471.592361111114</v>
      </c>
      <c r="Y108" s="160">
        <v>45470</v>
      </c>
      <c r="Z108" s="470"/>
      <c r="AA108" s="470"/>
      <c r="AB108" s="470"/>
      <c r="AC108" s="161">
        <f t="shared" si="44"/>
        <v>-45468.429166666669</v>
      </c>
      <c r="AD108" s="161">
        <f t="shared" si="80"/>
        <v>-45471.592361111114</v>
      </c>
      <c r="AE108" s="446">
        <f t="shared" si="72"/>
        <v>0</v>
      </c>
      <c r="AF108" s="160">
        <f t="shared" si="81"/>
        <v>45489.636063218393</v>
      </c>
      <c r="AG108" s="160">
        <f t="shared" si="82"/>
        <v>45499.091235632186</v>
      </c>
      <c r="AH108" s="159">
        <f t="shared" si="83"/>
        <v>45518.429166666669</v>
      </c>
      <c r="AI108" s="162">
        <f t="shared" si="45"/>
        <v>-1408.7440660612535</v>
      </c>
      <c r="AJ108" s="224">
        <f t="shared" si="84"/>
        <v>0</v>
      </c>
      <c r="AK108" s="225">
        <f t="shared" si="46"/>
        <v>26</v>
      </c>
      <c r="AL108" s="170">
        <f t="shared" si="47"/>
        <v>36</v>
      </c>
      <c r="AM108" s="170">
        <f t="shared" si="48"/>
        <v>24.206896551724139</v>
      </c>
      <c r="AN108" s="170">
        <f t="shared" si="49"/>
        <v>30.662068965517239</v>
      </c>
      <c r="AO108" s="226">
        <f t="shared" si="50"/>
        <v>21.206896551724139</v>
      </c>
      <c r="AP108" s="227">
        <v>60</v>
      </c>
      <c r="AQ108" s="228">
        <f t="shared" si="51"/>
        <v>57</v>
      </c>
      <c r="AR108" s="228">
        <f t="shared" si="52"/>
        <v>52</v>
      </c>
      <c r="AS108" s="229">
        <f t="shared" si="53"/>
        <v>60</v>
      </c>
      <c r="AT108" s="982">
        <f t="shared" ca="1" si="54"/>
        <v>45895</v>
      </c>
      <c r="AU108" s="50"/>
      <c r="AV108" s="118"/>
      <c r="AW108" s="49"/>
      <c r="AX108" s="49"/>
      <c r="AY108" s="49"/>
      <c r="AZ108" s="300"/>
      <c r="BA108" s="119"/>
      <c r="BB108" s="304"/>
      <c r="BC108" s="231"/>
      <c r="BD108" s="232"/>
      <c r="BE108" s="222">
        <f t="shared" si="77"/>
        <v>15</v>
      </c>
      <c r="BF108" s="233">
        <f t="shared" si="78"/>
        <v>0</v>
      </c>
      <c r="BG108" s="234"/>
      <c r="BH108" s="235"/>
      <c r="BI108" s="234"/>
      <c r="BJ108" s="236"/>
      <c r="BK108" s="222"/>
      <c r="BL108" s="222"/>
      <c r="BM108" s="238"/>
      <c r="BN108" s="222"/>
      <c r="BO108" s="222"/>
      <c r="BP108" s="243"/>
      <c r="BQ108" s="244" t="s">
        <v>247</v>
      </c>
      <c r="BR108" s="238"/>
      <c r="BS108" s="67"/>
      <c r="BT108" s="66"/>
      <c r="BU108" s="66"/>
      <c r="BV108" s="66"/>
      <c r="BW108" s="74"/>
      <c r="BX108" s="81"/>
      <c r="BY108" s="66">
        <v>45491</v>
      </c>
      <c r="BZ108" s="944" t="s">
        <v>951</v>
      </c>
      <c r="CA108" s="42" t="str">
        <f t="shared" si="57"/>
        <v>0</v>
      </c>
      <c r="CB108" s="62">
        <f t="shared" si="58"/>
        <v>-45468.429166666669</v>
      </c>
      <c r="CC108" s="42">
        <f t="shared" si="59"/>
        <v>0</v>
      </c>
      <c r="CD108" s="62">
        <f t="shared" si="60"/>
        <v>-45468.429166666669</v>
      </c>
      <c r="CE108" s="62">
        <f t="shared" si="61"/>
        <v>-1408.7440660612535</v>
      </c>
      <c r="CF108" s="145" t="str">
        <f t="shared" si="62"/>
        <v>0</v>
      </c>
      <c r="CG108" s="145"/>
      <c r="CH108" s="443">
        <f t="shared" si="63"/>
        <v>12.410848468660909</v>
      </c>
      <c r="CI108" s="996">
        <f t="shared" si="64"/>
        <v>12.410848468660909</v>
      </c>
      <c r="CJ108" s="261">
        <f t="shared" si="65"/>
        <v>0</v>
      </c>
      <c r="CK108" s="458">
        <f t="shared" si="66"/>
        <v>387.57083333333139</v>
      </c>
      <c r="CL108" t="str">
        <f t="shared" si="67"/>
        <v>NON-REV</v>
      </c>
      <c r="CM108" t="str">
        <f t="shared" si="68"/>
        <v>10 MONTHS AND ABOVE</v>
      </c>
      <c r="CN108" s="635"/>
      <c r="CO108" s="631"/>
      <c r="CP108" s="629" t="str">
        <f t="shared" si="79"/>
        <v>FOR ISSUANCE</v>
      </c>
      <c r="CQ108" s="635"/>
      <c r="CR108" s="697"/>
      <c r="CS108" s="633" t="str">
        <f t="shared" ca="1" si="70"/>
        <v>0</v>
      </c>
      <c r="CT108" s="635"/>
      <c r="CU108" s="631"/>
      <c r="CV108" s="638"/>
      <c r="CW108" s="156" t="s">
        <v>952</v>
      </c>
      <c r="CX108" s="156" t="str">
        <f>VLOOKUP(E108,'[1]List of Work Orders'!$A:$I,9,FALSE)</f>
        <v>ME155242</v>
      </c>
      <c r="CY108" s="156"/>
      <c r="CZ108" s="63"/>
      <c r="DC108" t="str">
        <f>VLOOKUP(E108,'[2]List of Work Orders'!$A:$F,6,FALSE)</f>
        <v>SCHED</v>
      </c>
      <c r="DS108" s="156" t="s">
        <v>381</v>
      </c>
    </row>
    <row r="109" spans="1:131" ht="15" customHeight="1" x14ac:dyDescent="0.2">
      <c r="A109" s="242">
        <v>45485</v>
      </c>
      <c r="B109" s="222">
        <v>45485</v>
      </c>
      <c r="C109" s="223"/>
      <c r="D109" s="66" t="s">
        <v>320</v>
      </c>
      <c r="E109" s="404" t="s">
        <v>953</v>
      </c>
      <c r="F109" s="95" t="s">
        <v>954</v>
      </c>
      <c r="G109" s="95" t="s">
        <v>955</v>
      </c>
      <c r="H109" s="95" t="s">
        <v>238</v>
      </c>
      <c r="I109" s="95" t="s">
        <v>239</v>
      </c>
      <c r="J109" s="1134" t="s">
        <v>750</v>
      </c>
      <c r="K109" s="101" t="s">
        <v>299</v>
      </c>
      <c r="L109" s="101" t="s">
        <v>255</v>
      </c>
      <c r="M109" s="345" t="s">
        <v>402</v>
      </c>
      <c r="N109" s="442" t="s">
        <v>403</v>
      </c>
      <c r="O109" s="165">
        <v>68.463499999999996</v>
      </c>
      <c r="P109" s="165">
        <v>147.69999999999999</v>
      </c>
      <c r="Q109" s="157">
        <v>45</v>
      </c>
      <c r="R109" s="109" t="s">
        <v>548</v>
      </c>
      <c r="S109" s="110">
        <v>389891.68</v>
      </c>
      <c r="T109" s="93">
        <v>55131.92</v>
      </c>
      <c r="U109" s="141"/>
      <c r="V109" s="158">
        <f t="shared" si="43"/>
        <v>0</v>
      </c>
      <c r="W109" s="159">
        <v>45483.689583333333</v>
      </c>
      <c r="X109" s="159">
        <v>45485.525694444441</v>
      </c>
      <c r="Y109" s="160">
        <v>45485</v>
      </c>
      <c r="Z109" s="470"/>
      <c r="AA109" s="470"/>
      <c r="AB109" s="470"/>
      <c r="AC109" s="161">
        <f t="shared" si="44"/>
        <v>-45483.689583333333</v>
      </c>
      <c r="AD109" s="161">
        <f t="shared" si="80"/>
        <v>-45485.525694444441</v>
      </c>
      <c r="AE109" s="446">
        <f t="shared" si="72"/>
        <v>0</v>
      </c>
      <c r="AF109" s="160">
        <f t="shared" si="81"/>
        <v>45504.896479885057</v>
      </c>
      <c r="AG109" s="160">
        <f t="shared" si="82"/>
        <v>45514.35165229885</v>
      </c>
      <c r="AH109" s="159">
        <f t="shared" si="83"/>
        <v>45533.689583333333</v>
      </c>
      <c r="AI109" s="162">
        <f t="shared" si="45"/>
        <v>-1409.2168781160967</v>
      </c>
      <c r="AJ109" s="224">
        <f t="shared" si="84"/>
        <v>0</v>
      </c>
      <c r="AK109" s="225">
        <f t="shared" si="46"/>
        <v>26</v>
      </c>
      <c r="AL109" s="170">
        <f t="shared" si="47"/>
        <v>36</v>
      </c>
      <c r="AM109" s="170">
        <f t="shared" si="48"/>
        <v>24.206896551724139</v>
      </c>
      <c r="AN109" s="170">
        <f t="shared" si="49"/>
        <v>30.662068965517239</v>
      </c>
      <c r="AO109" s="226">
        <f t="shared" si="50"/>
        <v>21.206896551724139</v>
      </c>
      <c r="AP109" s="227">
        <v>60</v>
      </c>
      <c r="AQ109" s="228">
        <f t="shared" si="51"/>
        <v>57</v>
      </c>
      <c r="AR109" s="228">
        <f t="shared" si="52"/>
        <v>52</v>
      </c>
      <c r="AS109" s="229">
        <f t="shared" si="53"/>
        <v>60</v>
      </c>
      <c r="AT109" s="982">
        <f t="shared" ca="1" si="54"/>
        <v>45895</v>
      </c>
      <c r="AU109" s="1077"/>
      <c r="AV109" s="1078"/>
      <c r="AW109" s="1079"/>
      <c r="AX109" s="1079"/>
      <c r="AY109" s="1079"/>
      <c r="AZ109" s="1080"/>
      <c r="BA109" s="1081"/>
      <c r="BB109" s="1091"/>
      <c r="BC109" s="231"/>
      <c r="BD109" s="232"/>
      <c r="BE109" s="222">
        <f t="shared" si="77"/>
        <v>15</v>
      </c>
      <c r="BF109" s="233">
        <f t="shared" si="78"/>
        <v>0</v>
      </c>
      <c r="BG109" s="234"/>
      <c r="BH109" s="235"/>
      <c r="BI109" s="234"/>
      <c r="BJ109" s="236"/>
      <c r="BK109" s="222"/>
      <c r="BL109" s="222"/>
      <c r="BM109" s="238"/>
      <c r="BN109" s="222"/>
      <c r="BO109" s="222"/>
      <c r="BP109" s="243"/>
      <c r="BQ109" s="244" t="s">
        <v>247</v>
      </c>
      <c r="BR109" s="238"/>
      <c r="BS109" s="67"/>
      <c r="BT109" s="66"/>
      <c r="BU109" s="66"/>
      <c r="BV109" s="66"/>
      <c r="BW109" s="74"/>
      <c r="BX109" s="81"/>
      <c r="BY109" s="66">
        <v>45485</v>
      </c>
      <c r="BZ109" s="944" t="s">
        <v>956</v>
      </c>
      <c r="CA109" s="42" t="str">
        <f t="shared" si="57"/>
        <v>0</v>
      </c>
      <c r="CB109" s="62">
        <f t="shared" si="58"/>
        <v>-45483.689583333333</v>
      </c>
      <c r="CC109" s="42">
        <f t="shared" si="59"/>
        <v>0</v>
      </c>
      <c r="CD109" s="62">
        <f t="shared" si="60"/>
        <v>-45483.689583333333</v>
      </c>
      <c r="CE109" s="62">
        <f t="shared" si="61"/>
        <v>-1409.2168781160967</v>
      </c>
      <c r="CF109" s="1059" t="str">
        <f t="shared" si="62"/>
        <v>0</v>
      </c>
      <c r="CH109" s="1082">
        <f t="shared" si="63"/>
        <v>11.938036413817677</v>
      </c>
      <c r="CI109" s="1083">
        <f t="shared" si="64"/>
        <v>11.938036413817677</v>
      </c>
      <c r="CJ109" s="1084">
        <f t="shared" si="65"/>
        <v>0</v>
      </c>
      <c r="CK109" s="1085">
        <f t="shared" si="66"/>
        <v>372.31041666666715</v>
      </c>
      <c r="CL109" s="1057" t="str">
        <f t="shared" si="67"/>
        <v>NON-REV</v>
      </c>
      <c r="CM109" s="1057" t="str">
        <f t="shared" si="68"/>
        <v>10 MONTHS AND ABOVE</v>
      </c>
      <c r="CN109" s="1086"/>
      <c r="CO109" s="1087"/>
      <c r="CP109" s="629" t="str">
        <f t="shared" si="79"/>
        <v>FOR ISSUANCE</v>
      </c>
      <c r="CQ109" s="1086"/>
      <c r="CR109" s="1088"/>
      <c r="CS109" s="1089" t="str">
        <f t="shared" ca="1" si="70"/>
        <v>0</v>
      </c>
      <c r="CT109" s="1086"/>
      <c r="CU109" s="1087"/>
      <c r="CV109" s="1090"/>
      <c r="CW109" s="156" t="s">
        <v>957</v>
      </c>
      <c r="CX109" s="156" t="str">
        <f>VLOOKUP(E109,'[1]List of Work Orders'!$A:$I,9,FALSE)</f>
        <v>ME185284</v>
      </c>
      <c r="CY109" s="156"/>
      <c r="DC109" s="1057" t="str">
        <f>VLOOKUP(E109,'[2]List of Work Orders'!$A:$F,6,FALSE)</f>
        <v>INPRG</v>
      </c>
      <c r="DS109" s="156" t="s">
        <v>478</v>
      </c>
    </row>
    <row r="110" spans="1:131" customFormat="1" ht="15" customHeight="1" x14ac:dyDescent="0.25">
      <c r="A110" s="242">
        <v>45489</v>
      </c>
      <c r="B110" s="222">
        <v>45488</v>
      </c>
      <c r="C110" s="223"/>
      <c r="D110" s="66" t="s">
        <v>320</v>
      </c>
      <c r="E110" s="404" t="s">
        <v>958</v>
      </c>
      <c r="F110" s="95" t="s">
        <v>959</v>
      </c>
      <c r="G110" s="95" t="s">
        <v>960</v>
      </c>
      <c r="H110" s="95" t="s">
        <v>378</v>
      </c>
      <c r="I110" s="95" t="s">
        <v>239</v>
      </c>
      <c r="J110" s="168" t="s">
        <v>961</v>
      </c>
      <c r="K110" s="101" t="s">
        <v>299</v>
      </c>
      <c r="L110" s="101" t="s">
        <v>5</v>
      </c>
      <c r="M110" s="345" t="s">
        <v>380</v>
      </c>
      <c r="N110" s="442" t="s">
        <v>475</v>
      </c>
      <c r="O110" s="165">
        <v>356.41320000000002</v>
      </c>
      <c r="P110" s="165" t="e">
        <v>#N/A</v>
      </c>
      <c r="Q110" s="157">
        <v>28</v>
      </c>
      <c r="R110" s="109" t="s">
        <v>244</v>
      </c>
      <c r="S110" s="110">
        <v>1426938.62</v>
      </c>
      <c r="T110" s="93">
        <v>287011.09000000003</v>
      </c>
      <c r="U110" s="141"/>
      <c r="V110" s="158">
        <f t="shared" si="43"/>
        <v>0</v>
      </c>
      <c r="W110" s="159">
        <v>45484.359722222223</v>
      </c>
      <c r="X110" s="159">
        <v>45488.614583333336</v>
      </c>
      <c r="Y110" s="160">
        <v>45485</v>
      </c>
      <c r="Z110" s="470"/>
      <c r="AA110" s="470" t="s">
        <v>380</v>
      </c>
      <c r="AB110" s="470"/>
      <c r="AC110" s="161" t="e">
        <f t="shared" si="44"/>
        <v>#VALUE!</v>
      </c>
      <c r="AD110" s="161" t="e">
        <f t="shared" si="80"/>
        <v>#VALUE!</v>
      </c>
      <c r="AE110" s="446" t="e">
        <f t="shared" si="72"/>
        <v>#VALUE!</v>
      </c>
      <c r="AF110" s="160" t="e">
        <f t="shared" si="81"/>
        <v>#N/A</v>
      </c>
      <c r="AG110" s="160" t="e">
        <f t="shared" si="82"/>
        <v>#N/A</v>
      </c>
      <c r="AH110" s="159">
        <f t="shared" si="83"/>
        <v>45534.359722222223</v>
      </c>
      <c r="AI110" s="162" t="e">
        <f t="shared" si="45"/>
        <v>#VALUE!</v>
      </c>
      <c r="AJ110" s="224" t="e">
        <f t="shared" si="84"/>
        <v>#VALUE!</v>
      </c>
      <c r="AK110" s="225" t="e">
        <f t="shared" si="46"/>
        <v>#N/A</v>
      </c>
      <c r="AL110" s="170">
        <f t="shared" si="47"/>
        <v>36</v>
      </c>
      <c r="AM110" s="170" t="e">
        <f t="shared" si="48"/>
        <v>#N/A</v>
      </c>
      <c r="AN110" s="170" t="e">
        <f t="shared" si="49"/>
        <v>#N/A</v>
      </c>
      <c r="AO110" s="226" t="e">
        <f t="shared" si="50"/>
        <v>#N/A</v>
      </c>
      <c r="AP110" s="227">
        <v>60</v>
      </c>
      <c r="AQ110" s="228">
        <f t="shared" si="51"/>
        <v>57</v>
      </c>
      <c r="AR110" s="228">
        <f t="shared" si="52"/>
        <v>52</v>
      </c>
      <c r="AS110" s="229" t="e">
        <f t="shared" si="53"/>
        <v>#VALUE!</v>
      </c>
      <c r="AT110" s="982" t="str">
        <f t="shared" ca="1" si="54"/>
        <v/>
      </c>
      <c r="AU110" s="50"/>
      <c r="AV110" s="118"/>
      <c r="AW110" s="49"/>
      <c r="AX110" s="49"/>
      <c r="AY110" s="49"/>
      <c r="AZ110" s="300"/>
      <c r="BA110" s="119"/>
      <c r="BB110" s="304"/>
      <c r="BC110" s="231"/>
      <c r="BD110" s="232"/>
      <c r="BE110" s="222" t="e">
        <f t="shared" si="77"/>
        <v>#VALUE!</v>
      </c>
      <c r="BF110" s="233" t="e">
        <f t="shared" si="78"/>
        <v>#VALUE!</v>
      </c>
      <c r="BG110" s="234"/>
      <c r="BH110" s="235"/>
      <c r="BI110" s="234"/>
      <c r="BJ110" s="236"/>
      <c r="BK110" s="222"/>
      <c r="BL110" s="222"/>
      <c r="BM110" s="238"/>
      <c r="BN110" s="222"/>
      <c r="BO110" s="222"/>
      <c r="BP110" s="243"/>
      <c r="BQ110" s="244"/>
      <c r="BR110" s="238"/>
      <c r="BS110" s="67"/>
      <c r="BT110" s="66"/>
      <c r="BU110" s="66"/>
      <c r="BV110" s="66"/>
      <c r="BW110" s="74"/>
      <c r="BX110" s="81"/>
      <c r="BY110" s="66"/>
      <c r="BZ110" s="944"/>
      <c r="CA110" s="42" t="str">
        <f t="shared" si="57"/>
        <v>0</v>
      </c>
      <c r="CB110" s="62" t="e">
        <f t="shared" si="58"/>
        <v>#VALUE!</v>
      </c>
      <c r="CC110" s="42">
        <f t="shared" si="59"/>
        <v>0</v>
      </c>
      <c r="CD110" s="62" t="e">
        <f t="shared" si="60"/>
        <v>#VALUE!</v>
      </c>
      <c r="CE110" s="62" t="e">
        <f t="shared" si="61"/>
        <v>#VALUE!</v>
      </c>
      <c r="CF110" s="145" t="e">
        <f t="shared" si="62"/>
        <v>#VALUE!</v>
      </c>
      <c r="CG110" s="145"/>
      <c r="CH110" s="443" t="e">
        <f t="shared" si="63"/>
        <v>#N/A</v>
      </c>
      <c r="CI110" s="996" t="e">
        <f t="shared" si="64"/>
        <v>#N/A</v>
      </c>
      <c r="CJ110" s="261" t="e">
        <f t="shared" si="65"/>
        <v>#VALUE!</v>
      </c>
      <c r="CK110" s="458" t="str">
        <f t="shared" si="66"/>
        <v/>
      </c>
      <c r="CL110" t="str">
        <f t="shared" si="67"/>
        <v>REV</v>
      </c>
      <c r="CM110" t="str">
        <f t="shared" si="68"/>
        <v/>
      </c>
      <c r="CN110" s="635"/>
      <c r="CO110" s="631"/>
      <c r="CP110" s="629" t="str">
        <f t="shared" si="79"/>
        <v>FOR ISSUANCE</v>
      </c>
      <c r="CQ110" s="635"/>
      <c r="CR110" s="697"/>
      <c r="CS110" s="633" t="str">
        <f t="shared" ca="1" si="70"/>
        <v>0</v>
      </c>
      <c r="CT110" s="635"/>
      <c r="CU110" s="631"/>
      <c r="CV110" s="638"/>
      <c r="CW110" s="156" t="s">
        <v>962</v>
      </c>
      <c r="CX110" s="156" t="str">
        <f>VLOOKUP(E110,'[1]List of Work Orders'!$A:$I,9,FALSE)</f>
        <v>ME185130</v>
      </c>
      <c r="CY110" s="156"/>
      <c r="DC110" t="str">
        <f>VLOOKUP(E110,'[2]List of Work Orders'!$A:$F,6,FALSE)</f>
        <v>CAN</v>
      </c>
      <c r="DS110" s="156" t="s">
        <v>397</v>
      </c>
    </row>
    <row r="111" spans="1:131" customFormat="1" ht="15" customHeight="1" x14ac:dyDescent="0.25">
      <c r="A111" s="242">
        <v>45489</v>
      </c>
      <c r="B111" s="222">
        <v>45489</v>
      </c>
      <c r="C111" s="223"/>
      <c r="D111" s="66" t="s">
        <v>320</v>
      </c>
      <c r="E111" s="406" t="s">
        <v>963</v>
      </c>
      <c r="F111" s="95" t="s">
        <v>964</v>
      </c>
      <c r="G111" s="95" t="s">
        <v>965</v>
      </c>
      <c r="H111" s="95" t="s">
        <v>269</v>
      </c>
      <c r="I111" s="95" t="s">
        <v>239</v>
      </c>
      <c r="J111" s="163" t="s">
        <v>966</v>
      </c>
      <c r="K111" s="101" t="s">
        <v>299</v>
      </c>
      <c r="L111" s="101" t="s">
        <v>242</v>
      </c>
      <c r="M111" s="345" t="s">
        <v>272</v>
      </c>
      <c r="N111" s="442" t="s">
        <v>467</v>
      </c>
      <c r="O111" s="165">
        <v>358.34300000000002</v>
      </c>
      <c r="P111" s="933">
        <v>358.34</v>
      </c>
      <c r="Q111" s="157">
        <v>41.5</v>
      </c>
      <c r="R111" s="109" t="s">
        <v>548</v>
      </c>
      <c r="S111" s="110">
        <v>1396868.56</v>
      </c>
      <c r="T111" s="93">
        <v>288566.21000000002</v>
      </c>
      <c r="U111" s="141">
        <v>50215.24</v>
      </c>
      <c r="V111" s="158">
        <f t="shared" si="43"/>
        <v>0.17401635486012029</v>
      </c>
      <c r="W111" s="159">
        <v>45484.619444444441</v>
      </c>
      <c r="X111" s="159">
        <v>45488.613888888889</v>
      </c>
      <c r="Y111" s="160">
        <v>45485</v>
      </c>
      <c r="Z111" s="470"/>
      <c r="AA111" s="470">
        <v>45687</v>
      </c>
      <c r="AB111" s="470"/>
      <c r="AC111" s="161">
        <f t="shared" si="44"/>
        <v>202.38055555555911</v>
      </c>
      <c r="AD111" s="161">
        <f t="shared" si="80"/>
        <v>198.38611111111095</v>
      </c>
      <c r="AE111" s="446">
        <f t="shared" si="72"/>
        <v>-45687</v>
      </c>
      <c r="AF111" s="160">
        <f t="shared" si="81"/>
        <v>45507.091142557649</v>
      </c>
      <c r="AG111" s="160">
        <f t="shared" si="82"/>
        <v>45516.883595387837</v>
      </c>
      <c r="AH111" s="159">
        <f t="shared" si="83"/>
        <v>45534.619444444441</v>
      </c>
      <c r="AI111" s="162">
        <f t="shared" si="45"/>
        <v>5.958983024691463</v>
      </c>
      <c r="AJ111" s="224">
        <f t="shared" si="84"/>
        <v>-761.45</v>
      </c>
      <c r="AK111" s="225">
        <f t="shared" si="46"/>
        <v>30</v>
      </c>
      <c r="AL111" s="170">
        <f t="shared" si="47"/>
        <v>36</v>
      </c>
      <c r="AM111" s="170">
        <f t="shared" si="48"/>
        <v>25.471698113207545</v>
      </c>
      <c r="AN111" s="170">
        <f t="shared" si="49"/>
        <v>32.264150943396224</v>
      </c>
      <c r="AO111" s="226">
        <f t="shared" si="50"/>
        <v>22.471698113207545</v>
      </c>
      <c r="AP111" s="227">
        <v>60</v>
      </c>
      <c r="AQ111" s="228">
        <f t="shared" si="51"/>
        <v>57</v>
      </c>
      <c r="AR111" s="228">
        <f t="shared" si="52"/>
        <v>52</v>
      </c>
      <c r="AS111" s="229">
        <f t="shared" si="53"/>
        <v>45747</v>
      </c>
      <c r="AT111" s="982">
        <f t="shared" ca="1" si="54"/>
        <v>208</v>
      </c>
      <c r="AU111" s="50"/>
      <c r="AV111" s="118"/>
      <c r="AW111" s="49"/>
      <c r="AX111" s="49"/>
      <c r="AY111" s="49"/>
      <c r="AZ111" s="300"/>
      <c r="BA111" s="119"/>
      <c r="BB111" s="304"/>
      <c r="BC111" s="231" t="s">
        <v>12</v>
      </c>
      <c r="BD111" s="232" t="s">
        <v>601</v>
      </c>
      <c r="BE111" s="222">
        <f t="shared" si="77"/>
        <v>45702</v>
      </c>
      <c r="BF111" s="233">
        <f t="shared" si="78"/>
        <v>36</v>
      </c>
      <c r="BG111" s="234">
        <v>45772</v>
      </c>
      <c r="BH111" s="235">
        <v>45738</v>
      </c>
      <c r="BI111" s="234"/>
      <c r="BJ111" s="236"/>
      <c r="BK111" s="222"/>
      <c r="BL111" s="222"/>
      <c r="BM111" s="238"/>
      <c r="BN111" s="222"/>
      <c r="BO111" s="222"/>
      <c r="BP111" s="243"/>
      <c r="BQ111" s="244" t="s">
        <v>247</v>
      </c>
      <c r="BR111" s="238">
        <v>45707</v>
      </c>
      <c r="BS111" s="67"/>
      <c r="BT111" s="66"/>
      <c r="BU111" s="66"/>
      <c r="BV111" s="66"/>
      <c r="BW111" s="74"/>
      <c r="BX111" s="81"/>
      <c r="BY111" s="66"/>
      <c r="BZ111" s="944"/>
      <c r="CA111" s="42" t="str">
        <f t="shared" si="57"/>
        <v>0</v>
      </c>
      <c r="CB111" s="62">
        <f t="shared" si="58"/>
        <v>202.38055555555911</v>
      </c>
      <c r="CC111" s="42">
        <f t="shared" si="59"/>
        <v>0</v>
      </c>
      <c r="CD111" s="62">
        <f t="shared" si="60"/>
        <v>202.38055555555911</v>
      </c>
      <c r="CE111" s="62">
        <f t="shared" si="61"/>
        <v>5.958983024691463</v>
      </c>
      <c r="CF111" s="145">
        <f t="shared" si="62"/>
        <v>182</v>
      </c>
      <c r="CG111" s="145"/>
      <c r="CH111" s="443">
        <f t="shared" si="63"/>
        <v>11.317871913580351</v>
      </c>
      <c r="CI111" s="996">
        <f t="shared" si="64"/>
        <v>11.317871913580351</v>
      </c>
      <c r="CJ111" s="261">
        <f t="shared" si="65"/>
        <v>3.0333333333333332</v>
      </c>
      <c r="CK111" s="458" t="str">
        <f t="shared" si="66"/>
        <v/>
      </c>
      <c r="CL111" t="str">
        <f t="shared" si="67"/>
        <v>NON-REV</v>
      </c>
      <c r="CM111" t="str">
        <f t="shared" si="68"/>
        <v/>
      </c>
      <c r="CN111" s="635"/>
      <c r="CO111" s="631"/>
      <c r="CP111" s="629" t="str">
        <f t="shared" si="79"/>
        <v>FOR ISSUANCE</v>
      </c>
      <c r="CQ111" s="635"/>
      <c r="CR111" s="697"/>
      <c r="CS111" s="633" t="str">
        <f t="shared" ca="1" si="70"/>
        <v>0</v>
      </c>
      <c r="CT111" s="635"/>
      <c r="CU111" s="631"/>
      <c r="CV111" s="638"/>
      <c r="CW111" s="156" t="s">
        <v>967</v>
      </c>
      <c r="CX111" s="156" t="str">
        <f>VLOOKUP(E111,'[1]List of Work Orders'!$A:$I,9,FALSE)</f>
        <v>ME155242</v>
      </c>
      <c r="CY111" s="156"/>
      <c r="CZ111" s="63"/>
      <c r="DC111" t="str">
        <f>VLOOKUP(E111,'[2]List of Work Orders'!$A:$F,6,FALSE)</f>
        <v>FCOMP</v>
      </c>
      <c r="DS111" s="156" t="s">
        <v>381</v>
      </c>
    </row>
    <row r="112" spans="1:131" customFormat="1" ht="15" customHeight="1" x14ac:dyDescent="0.25">
      <c r="A112" s="242">
        <v>45502</v>
      </c>
      <c r="B112" s="222">
        <v>45499</v>
      </c>
      <c r="C112" s="223"/>
      <c r="D112" s="66" t="s">
        <v>234</v>
      </c>
      <c r="E112" s="412" t="s">
        <v>968</v>
      </c>
      <c r="F112" s="95" t="s">
        <v>926</v>
      </c>
      <c r="G112" s="95" t="s">
        <v>969</v>
      </c>
      <c r="H112" s="95" t="s">
        <v>378</v>
      </c>
      <c r="I112" s="95" t="s">
        <v>239</v>
      </c>
      <c r="J112" s="168" t="s">
        <v>970</v>
      </c>
      <c r="K112" s="101" t="s">
        <v>299</v>
      </c>
      <c r="L112" s="101" t="s">
        <v>288</v>
      </c>
      <c r="M112" s="345" t="s">
        <v>534</v>
      </c>
      <c r="N112" s="442" t="s">
        <v>381</v>
      </c>
      <c r="O112" s="165">
        <v>112.0971</v>
      </c>
      <c r="P112" s="165" t="e">
        <v>#N/A</v>
      </c>
      <c r="Q112" s="157">
        <v>31</v>
      </c>
      <c r="R112" s="109" t="s">
        <v>244</v>
      </c>
      <c r="S112" s="110">
        <v>650720.06000000006</v>
      </c>
      <c r="T112" s="93">
        <v>90269.18</v>
      </c>
      <c r="U112" s="141"/>
      <c r="V112" s="158">
        <f t="shared" si="43"/>
        <v>0</v>
      </c>
      <c r="W112" s="159">
        <v>45496.655555555553</v>
      </c>
      <c r="X112" s="159">
        <v>45499.550694444442</v>
      </c>
      <c r="Y112" s="160">
        <v>45499</v>
      </c>
      <c r="Z112" s="470"/>
      <c r="AA112" s="470" t="s">
        <v>534</v>
      </c>
      <c r="AB112" s="470"/>
      <c r="AC112" s="161" t="e">
        <f t="shared" si="44"/>
        <v>#VALUE!</v>
      </c>
      <c r="AD112" s="161" t="e">
        <f t="shared" si="80"/>
        <v>#VALUE!</v>
      </c>
      <c r="AE112" s="446" t="e">
        <f t="shared" si="72"/>
        <v>#VALUE!</v>
      </c>
      <c r="AF112" s="160" t="e">
        <f t="shared" si="81"/>
        <v>#N/A</v>
      </c>
      <c r="AG112" s="160" t="e">
        <f t="shared" si="82"/>
        <v>#N/A</v>
      </c>
      <c r="AH112" s="159">
        <f t="shared" si="83"/>
        <v>45546.655555555553</v>
      </c>
      <c r="AI112" s="162" t="e">
        <f t="shared" si="45"/>
        <v>#VALUE!</v>
      </c>
      <c r="AJ112" s="224" t="e">
        <f t="shared" si="84"/>
        <v>#VALUE!</v>
      </c>
      <c r="AK112" s="225" t="e">
        <f t="shared" si="46"/>
        <v>#N/A</v>
      </c>
      <c r="AL112" s="170">
        <f t="shared" si="47"/>
        <v>36</v>
      </c>
      <c r="AM112" s="170" t="e">
        <f t="shared" si="48"/>
        <v>#N/A</v>
      </c>
      <c r="AN112" s="170" t="e">
        <f t="shared" si="49"/>
        <v>#N/A</v>
      </c>
      <c r="AO112" s="226" t="e">
        <f t="shared" si="50"/>
        <v>#N/A</v>
      </c>
      <c r="AP112" s="227">
        <v>60</v>
      </c>
      <c r="AQ112" s="228">
        <f t="shared" si="51"/>
        <v>57</v>
      </c>
      <c r="AR112" s="228">
        <f t="shared" si="52"/>
        <v>52</v>
      </c>
      <c r="AS112" s="229" t="e">
        <f t="shared" si="53"/>
        <v>#VALUE!</v>
      </c>
      <c r="AT112" s="982" t="str">
        <f t="shared" ca="1" si="54"/>
        <v/>
      </c>
      <c r="AU112" s="50"/>
      <c r="AV112" s="118"/>
      <c r="AW112" s="49"/>
      <c r="AX112" s="49"/>
      <c r="AY112" s="49"/>
      <c r="AZ112" s="300"/>
      <c r="BA112" s="119"/>
      <c r="BB112" s="304"/>
      <c r="BC112" s="231"/>
      <c r="BD112" s="232"/>
      <c r="BE112" s="222" t="e">
        <f t="shared" si="77"/>
        <v>#VALUE!</v>
      </c>
      <c r="BF112" s="233" t="e">
        <f t="shared" si="78"/>
        <v>#VALUE!</v>
      </c>
      <c r="BG112" s="234"/>
      <c r="BH112" s="235"/>
      <c r="BI112" s="234"/>
      <c r="BJ112" s="236"/>
      <c r="BK112" s="222"/>
      <c r="BL112" s="222"/>
      <c r="BM112" s="238"/>
      <c r="BN112" s="222"/>
      <c r="BO112" s="222"/>
      <c r="BP112" s="243"/>
      <c r="BQ112" s="244" t="s">
        <v>247</v>
      </c>
      <c r="BR112" s="238"/>
      <c r="BS112" s="67"/>
      <c r="BT112" s="66"/>
      <c r="BU112" s="66"/>
      <c r="BV112" s="66"/>
      <c r="BW112" s="74"/>
      <c r="BX112" s="81"/>
      <c r="BY112" s="66">
        <v>45502</v>
      </c>
      <c r="BZ112" s="944" t="s">
        <v>971</v>
      </c>
      <c r="CA112" s="42" t="str">
        <f t="shared" si="57"/>
        <v>0</v>
      </c>
      <c r="CB112" s="62" t="e">
        <f t="shared" si="58"/>
        <v>#VALUE!</v>
      </c>
      <c r="CC112" s="42">
        <f t="shared" si="59"/>
        <v>0</v>
      </c>
      <c r="CD112" s="62" t="e">
        <f t="shared" si="60"/>
        <v>#VALUE!</v>
      </c>
      <c r="CE112" s="62" t="e">
        <f t="shared" si="61"/>
        <v>#VALUE!</v>
      </c>
      <c r="CF112" s="145" t="e">
        <f t="shared" si="62"/>
        <v>#VALUE!</v>
      </c>
      <c r="CG112" s="145"/>
      <c r="CH112" s="443" t="e">
        <f t="shared" si="63"/>
        <v>#N/A</v>
      </c>
      <c r="CI112" s="996" t="e">
        <f t="shared" si="64"/>
        <v>#N/A</v>
      </c>
      <c r="CJ112" s="261" t="e">
        <f t="shared" si="65"/>
        <v>#VALUE!</v>
      </c>
      <c r="CK112" s="458" t="str">
        <f t="shared" si="66"/>
        <v/>
      </c>
      <c r="CL112" t="str">
        <f t="shared" si="67"/>
        <v>REV</v>
      </c>
      <c r="CM112" t="str">
        <f t="shared" si="68"/>
        <v/>
      </c>
      <c r="CN112" s="635"/>
      <c r="CO112" s="631"/>
      <c r="CP112" s="629" t="str">
        <f t="shared" si="79"/>
        <v>FOR ISSUANCE</v>
      </c>
      <c r="CQ112" s="635"/>
      <c r="CR112" s="697"/>
      <c r="CS112" s="633" t="str">
        <f t="shared" ca="1" si="70"/>
        <v>0</v>
      </c>
      <c r="CT112" s="635"/>
      <c r="CU112" s="631"/>
      <c r="CV112" s="638"/>
      <c r="CW112" s="156" t="s">
        <v>972</v>
      </c>
      <c r="CX112" s="156" t="str">
        <f>VLOOKUP(E112,'[1]List of Work Orders'!$A:$I,9,FALSE)</f>
        <v>ME185284</v>
      </c>
      <c r="CY112" s="156"/>
      <c r="DC112" t="str">
        <f>VLOOKUP(E112,'[2]List of Work Orders'!$A:$F,6,FALSE)</f>
        <v>CLOSED-CAN</v>
      </c>
      <c r="DS112" s="156" t="s">
        <v>381</v>
      </c>
    </row>
    <row r="113" spans="1:123" customFormat="1" ht="15" customHeight="1" x14ac:dyDescent="0.25">
      <c r="A113" s="242">
        <v>45507</v>
      </c>
      <c r="B113" s="222">
        <v>45499</v>
      </c>
      <c r="C113" s="223"/>
      <c r="D113" s="66" t="s">
        <v>320</v>
      </c>
      <c r="E113" s="404" t="s">
        <v>973</v>
      </c>
      <c r="F113" s="95" t="s">
        <v>974</v>
      </c>
      <c r="G113" s="95" t="s">
        <v>975</v>
      </c>
      <c r="H113" s="95" t="s">
        <v>378</v>
      </c>
      <c r="I113" s="95" t="s">
        <v>239</v>
      </c>
      <c r="J113" s="163" t="s">
        <v>976</v>
      </c>
      <c r="K113" s="101" t="s">
        <v>271</v>
      </c>
      <c r="L113" s="101" t="s">
        <v>288</v>
      </c>
      <c r="M113" s="345" t="s">
        <v>272</v>
      </c>
      <c r="N113" s="442" t="s">
        <v>381</v>
      </c>
      <c r="O113" s="165">
        <v>85.990499999999997</v>
      </c>
      <c r="P113" s="933">
        <v>15.9</v>
      </c>
      <c r="Q113" s="157">
        <v>2</v>
      </c>
      <c r="R113" s="109" t="s">
        <v>548</v>
      </c>
      <c r="S113" s="110">
        <v>199611.03</v>
      </c>
      <c r="T113" s="93">
        <v>69245.759999999995</v>
      </c>
      <c r="U113" s="141"/>
      <c r="V113" s="158">
        <f t="shared" si="43"/>
        <v>0</v>
      </c>
      <c r="W113" s="159">
        <v>45497.613888888889</v>
      </c>
      <c r="X113" s="159">
        <v>45503.602777777778</v>
      </c>
      <c r="Y113" s="160">
        <v>45499</v>
      </c>
      <c r="Z113" s="470"/>
      <c r="AA113" s="470">
        <v>45733</v>
      </c>
      <c r="AB113" s="470"/>
      <c r="AC113" s="161">
        <f t="shared" si="44"/>
        <v>235.38611111111095</v>
      </c>
      <c r="AD113" s="161">
        <f t="shared" si="80"/>
        <v>229.3972222222219</v>
      </c>
      <c r="AE113" s="446">
        <f t="shared" si="72"/>
        <v>-45733</v>
      </c>
      <c r="AF113" s="160">
        <f t="shared" si="81"/>
        <v>45516.388082437275</v>
      </c>
      <c r="AG113" s="160">
        <f t="shared" si="82"/>
        <v>45525.194534050177</v>
      </c>
      <c r="AH113" s="159">
        <f t="shared" si="83"/>
        <v>45547.613888888889</v>
      </c>
      <c r="AI113" s="162">
        <f t="shared" si="45"/>
        <v>8.1077438271604869</v>
      </c>
      <c r="AJ113" s="224">
        <f t="shared" si="84"/>
        <v>-762.2166666666667</v>
      </c>
      <c r="AK113" s="225">
        <f t="shared" si="46"/>
        <v>20</v>
      </c>
      <c r="AL113" s="170">
        <f t="shared" si="47"/>
        <v>36</v>
      </c>
      <c r="AM113" s="170">
        <f t="shared" si="48"/>
        <v>21.774193548387096</v>
      </c>
      <c r="AN113" s="170">
        <f t="shared" si="49"/>
        <v>27.58064516129032</v>
      </c>
      <c r="AO113" s="226">
        <f t="shared" si="50"/>
        <v>18.774193548387096</v>
      </c>
      <c r="AP113" s="227">
        <v>60</v>
      </c>
      <c r="AQ113" s="228">
        <f t="shared" si="51"/>
        <v>57</v>
      </c>
      <c r="AR113" s="228">
        <f t="shared" si="52"/>
        <v>52</v>
      </c>
      <c r="AS113" s="229">
        <f t="shared" si="53"/>
        <v>45793</v>
      </c>
      <c r="AT113" s="982">
        <f t="shared" ca="1" si="54"/>
        <v>162</v>
      </c>
      <c r="AU113" s="50"/>
      <c r="AV113" s="118"/>
      <c r="AW113" s="49"/>
      <c r="AX113" s="49"/>
      <c r="AY113" s="49"/>
      <c r="AZ113" s="300"/>
      <c r="BA113" s="119"/>
      <c r="BB113" s="304"/>
      <c r="BC113" s="231" t="s">
        <v>12</v>
      </c>
      <c r="BD113" s="232"/>
      <c r="BE113" s="222">
        <f t="shared" si="77"/>
        <v>45748</v>
      </c>
      <c r="BF113" s="233">
        <f t="shared" si="78"/>
        <v>14</v>
      </c>
      <c r="BG113" s="234">
        <v>45733</v>
      </c>
      <c r="BH113" s="235">
        <v>45762</v>
      </c>
      <c r="BI113" s="234"/>
      <c r="BJ113" s="236"/>
      <c r="BK113" s="222"/>
      <c r="BL113" s="222"/>
      <c r="BM113" s="238"/>
      <c r="BN113" s="222"/>
      <c r="BO113" s="222"/>
      <c r="BP113" s="243"/>
      <c r="BQ113" s="244" t="s">
        <v>247</v>
      </c>
      <c r="BR113" s="238"/>
      <c r="BS113" s="67"/>
      <c r="BT113" s="66"/>
      <c r="BU113" s="66"/>
      <c r="BV113" s="66"/>
      <c r="BW113" s="74"/>
      <c r="BX113" s="81"/>
      <c r="BY113" s="66">
        <v>45510</v>
      </c>
      <c r="BZ113" s="944" t="s">
        <v>977</v>
      </c>
      <c r="CA113" s="42" t="str">
        <f t="shared" si="57"/>
        <v>0</v>
      </c>
      <c r="CB113" s="62">
        <f t="shared" si="58"/>
        <v>235.38611111111095</v>
      </c>
      <c r="CC113" s="42">
        <f t="shared" si="59"/>
        <v>0</v>
      </c>
      <c r="CD113" s="62">
        <f t="shared" si="60"/>
        <v>235.38611111111095</v>
      </c>
      <c r="CE113" s="62">
        <f t="shared" si="61"/>
        <v>8.1077438271604869</v>
      </c>
      <c r="CF113" s="145">
        <f t="shared" si="62"/>
        <v>136</v>
      </c>
      <c r="CG113" s="145"/>
      <c r="CH113" s="443">
        <f t="shared" si="63"/>
        <v>12.792188271604932</v>
      </c>
      <c r="CI113" s="996">
        <f t="shared" si="64"/>
        <v>12.792188271604932</v>
      </c>
      <c r="CJ113" s="261">
        <f t="shared" si="65"/>
        <v>2.2666666666666666</v>
      </c>
      <c r="CK113" s="458" t="str">
        <f t="shared" si="66"/>
        <v/>
      </c>
      <c r="CL113" t="str">
        <f t="shared" si="67"/>
        <v>NON-REV</v>
      </c>
      <c r="CM113" t="str">
        <f t="shared" si="68"/>
        <v/>
      </c>
      <c r="CN113" s="635"/>
      <c r="CO113" s="631"/>
      <c r="CP113" s="629" t="str">
        <f t="shared" si="79"/>
        <v>FOR ISSUANCE</v>
      </c>
      <c r="CQ113" s="635"/>
      <c r="CR113" s="697"/>
      <c r="CS113" s="633" t="str">
        <f t="shared" ca="1" si="70"/>
        <v>0</v>
      </c>
      <c r="CT113" s="635"/>
      <c r="CU113" s="631"/>
      <c r="CV113" s="638"/>
      <c r="CW113" s="156" t="s">
        <v>978</v>
      </c>
      <c r="CX113" s="156" t="str">
        <f>VLOOKUP(E113,'[1]List of Work Orders'!$A:$I,9,FALSE)</f>
        <v>ME185284</v>
      </c>
      <c r="CY113" s="156"/>
      <c r="DC113" t="str">
        <f>VLOOKUP(E113,'[2]List of Work Orders'!$A:$F,6,FALSE)</f>
        <v>FCOMP</v>
      </c>
      <c r="DS113" s="156" t="s">
        <v>403</v>
      </c>
    </row>
    <row r="114" spans="1:123" customFormat="1" ht="15" customHeight="1" x14ac:dyDescent="0.25">
      <c r="A114" s="242">
        <v>45507</v>
      </c>
      <c r="B114" s="222">
        <v>45504</v>
      </c>
      <c r="C114" s="223"/>
      <c r="D114" s="66" t="s">
        <v>320</v>
      </c>
      <c r="E114" s="404" t="s">
        <v>979</v>
      </c>
      <c r="F114" s="95" t="s">
        <v>980</v>
      </c>
      <c r="G114" s="95" t="s">
        <v>981</v>
      </c>
      <c r="H114" s="95" t="s">
        <v>238</v>
      </c>
      <c r="I114" s="95" t="s">
        <v>239</v>
      </c>
      <c r="J114" s="163" t="s">
        <v>982</v>
      </c>
      <c r="K114" s="101" t="s">
        <v>299</v>
      </c>
      <c r="L114" s="101" t="s">
        <v>5</v>
      </c>
      <c r="M114" s="345" t="s">
        <v>331</v>
      </c>
      <c r="N114" s="442" t="s">
        <v>403</v>
      </c>
      <c r="O114" s="165">
        <v>187.8665</v>
      </c>
      <c r="P114" s="165">
        <v>266.14999999999998</v>
      </c>
      <c r="Q114" s="157">
        <v>42</v>
      </c>
      <c r="R114" s="109" t="s">
        <v>548</v>
      </c>
      <c r="S114" s="110">
        <v>564043.26</v>
      </c>
      <c r="T114" s="93">
        <v>119793.67</v>
      </c>
      <c r="U114" s="141"/>
      <c r="V114" s="158">
        <f t="shared" si="43"/>
        <v>0</v>
      </c>
      <c r="W114" s="159">
        <v>45501.021527777775</v>
      </c>
      <c r="X114" s="159">
        <v>45505.601388888892</v>
      </c>
      <c r="Y114" s="160">
        <v>45503</v>
      </c>
      <c r="Z114" s="470"/>
      <c r="AA114" s="470"/>
      <c r="AB114" s="470"/>
      <c r="AC114" s="161">
        <f t="shared" si="44"/>
        <v>-45501.021527777775</v>
      </c>
      <c r="AD114" s="161">
        <f t="shared" si="80"/>
        <v>-45505.601388888892</v>
      </c>
      <c r="AE114" s="446">
        <f t="shared" si="72"/>
        <v>0</v>
      </c>
      <c r="AF114" s="160">
        <f t="shared" si="81"/>
        <v>45522.889948830409</v>
      </c>
      <c r="AG114" s="160">
        <f t="shared" si="82"/>
        <v>45532.521527777775</v>
      </c>
      <c r="AH114" s="159">
        <f t="shared" si="83"/>
        <v>45551.021527777775</v>
      </c>
      <c r="AI114" s="162">
        <f t="shared" si="45"/>
        <v>-1372.2530302028217</v>
      </c>
      <c r="AJ114" s="224">
        <f t="shared" si="84"/>
        <v>0</v>
      </c>
      <c r="AK114" s="225">
        <f t="shared" si="46"/>
        <v>28</v>
      </c>
      <c r="AL114" s="170">
        <f t="shared" si="47"/>
        <v>36</v>
      </c>
      <c r="AM114" s="170">
        <f t="shared" si="48"/>
        <v>24.868421052631579</v>
      </c>
      <c r="AN114" s="170">
        <f t="shared" si="49"/>
        <v>31.499999999999996</v>
      </c>
      <c r="AO114" s="226">
        <f t="shared" si="50"/>
        <v>21.868421052631579</v>
      </c>
      <c r="AP114" s="227">
        <v>60</v>
      </c>
      <c r="AQ114" s="228">
        <f t="shared" si="51"/>
        <v>57</v>
      </c>
      <c r="AR114" s="228">
        <f t="shared" si="52"/>
        <v>52</v>
      </c>
      <c r="AS114" s="229">
        <f t="shared" si="53"/>
        <v>60</v>
      </c>
      <c r="AT114" s="982">
        <f t="shared" ca="1" si="54"/>
        <v>45895</v>
      </c>
      <c r="AU114" s="50"/>
      <c r="AV114" s="118"/>
      <c r="AW114" s="49"/>
      <c r="AX114" s="49"/>
      <c r="AY114" s="49"/>
      <c r="AZ114" s="300"/>
      <c r="BA114" s="119"/>
      <c r="BB114" s="304"/>
      <c r="BC114" s="231"/>
      <c r="BD114" s="232"/>
      <c r="BE114" s="222">
        <f t="shared" si="77"/>
        <v>15</v>
      </c>
      <c r="BF114" s="233">
        <f t="shared" si="78"/>
        <v>0</v>
      </c>
      <c r="BG114" s="234"/>
      <c r="BH114" s="235"/>
      <c r="BI114" s="234"/>
      <c r="BJ114" s="236"/>
      <c r="BK114" s="222"/>
      <c r="BL114" s="222"/>
      <c r="BM114" s="238"/>
      <c r="BN114" s="222"/>
      <c r="BO114" s="222"/>
      <c r="BP114" s="243"/>
      <c r="BQ114" s="244" t="s">
        <v>247</v>
      </c>
      <c r="BR114" s="238"/>
      <c r="BS114" s="67"/>
      <c r="BT114" s="66"/>
      <c r="BU114" s="66"/>
      <c r="BV114" s="66"/>
      <c r="BW114" s="74"/>
      <c r="BX114" s="81"/>
      <c r="BY114" s="66">
        <v>45510</v>
      </c>
      <c r="BZ114" s="944" t="s">
        <v>983</v>
      </c>
      <c r="CA114" s="42" t="str">
        <f t="shared" si="57"/>
        <v>0</v>
      </c>
      <c r="CB114" s="62">
        <f t="shared" si="58"/>
        <v>-45501.021527777775</v>
      </c>
      <c r="CC114" s="42">
        <f t="shared" si="59"/>
        <v>0</v>
      </c>
      <c r="CD114" s="62">
        <f t="shared" si="60"/>
        <v>-45501.021527777775</v>
      </c>
      <c r="CE114" s="62">
        <f t="shared" si="61"/>
        <v>-1372.2530302028217</v>
      </c>
      <c r="CF114" s="145" t="str">
        <f t="shared" si="62"/>
        <v>0</v>
      </c>
      <c r="CG114" s="145"/>
      <c r="CH114" s="443">
        <f t="shared" si="63"/>
        <v>11.097763447971859</v>
      </c>
      <c r="CI114" s="996">
        <f t="shared" si="64"/>
        <v>11.097763447971859</v>
      </c>
      <c r="CJ114" s="261">
        <f t="shared" si="65"/>
        <v>0</v>
      </c>
      <c r="CK114" s="458">
        <f t="shared" si="66"/>
        <v>354.97847222222481</v>
      </c>
      <c r="CL114" t="str">
        <f t="shared" si="67"/>
        <v>NON-REV</v>
      </c>
      <c r="CM114" t="str">
        <f t="shared" si="68"/>
        <v>10 MONTHS AND ABOVE</v>
      </c>
      <c r="CN114" s="635"/>
      <c r="CO114" s="631"/>
      <c r="CP114" s="629" t="str">
        <f t="shared" si="79"/>
        <v>FOR ISSUANCE</v>
      </c>
      <c r="CQ114" s="635"/>
      <c r="CR114" s="697"/>
      <c r="CS114" s="633" t="str">
        <f t="shared" ca="1" si="70"/>
        <v>0</v>
      </c>
      <c r="CT114" s="635"/>
      <c r="CU114" s="631"/>
      <c r="CV114" s="638"/>
      <c r="CW114" s="156" t="s">
        <v>984</v>
      </c>
      <c r="CX114" s="156" t="str">
        <f>VLOOKUP(E114,'[1]List of Work Orders'!$A:$I,9,FALSE)</f>
        <v>ME166067</v>
      </c>
      <c r="CY114" s="156"/>
      <c r="DC114" t="str">
        <f>VLOOKUP(E114,'[2]List of Work Orders'!$A:$F,6,FALSE)</f>
        <v>SCHED</v>
      </c>
      <c r="DS114" s="156" t="s">
        <v>397</v>
      </c>
    </row>
    <row r="115" spans="1:123" customFormat="1" ht="15" customHeight="1" x14ac:dyDescent="0.25">
      <c r="A115" s="242">
        <v>45510</v>
      </c>
      <c r="B115" s="222">
        <v>45511</v>
      </c>
      <c r="C115" s="223"/>
      <c r="D115" s="66" t="s">
        <v>320</v>
      </c>
      <c r="E115" s="404" t="s">
        <v>985</v>
      </c>
      <c r="F115" s="95" t="s">
        <v>986</v>
      </c>
      <c r="G115" s="95" t="s">
        <v>987</v>
      </c>
      <c r="H115" s="95" t="s">
        <v>318</v>
      </c>
      <c r="I115" s="95" t="s">
        <v>239</v>
      </c>
      <c r="J115" s="163" t="s">
        <v>988</v>
      </c>
      <c r="K115" s="101"/>
      <c r="L115" s="101" t="s">
        <v>263</v>
      </c>
      <c r="M115" s="345" t="s">
        <v>331</v>
      </c>
      <c r="N115" s="442" t="s">
        <v>467</v>
      </c>
      <c r="O115" s="165">
        <v>53.587000000000003</v>
      </c>
      <c r="P115" s="165">
        <v>131.87</v>
      </c>
      <c r="Q115" s="157">
        <v>130.19999999999999</v>
      </c>
      <c r="R115" s="109" t="s">
        <v>548</v>
      </c>
      <c r="S115" s="110">
        <v>406130.01</v>
      </c>
      <c r="T115" s="93">
        <v>42774.69</v>
      </c>
      <c r="U115" s="141"/>
      <c r="V115" s="158">
        <f t="shared" si="43"/>
        <v>0</v>
      </c>
      <c r="W115" s="159">
        <v>45505.602083333331</v>
      </c>
      <c r="X115" s="159">
        <v>45509.611111111109</v>
      </c>
      <c r="Y115" s="160">
        <v>45511</v>
      </c>
      <c r="Z115" s="470"/>
      <c r="AA115" s="470"/>
      <c r="AB115" s="470"/>
      <c r="AC115" s="161">
        <f t="shared" si="44"/>
        <v>-45505.602083333331</v>
      </c>
      <c r="AD115" s="161">
        <f t="shared" si="80"/>
        <v>-45509.611111111109</v>
      </c>
      <c r="AE115" s="446">
        <f t="shared" si="72"/>
        <v>0</v>
      </c>
      <c r="AF115" s="160">
        <f t="shared" si="81"/>
        <v>45525.048126498798</v>
      </c>
      <c r="AG115" s="160">
        <f t="shared" si="82"/>
        <v>45534.033738009588</v>
      </c>
      <c r="AH115" s="159">
        <f t="shared" si="83"/>
        <v>45555.602083333331</v>
      </c>
      <c r="AI115" s="162">
        <f t="shared" si="45"/>
        <v>-1520.4996849959934</v>
      </c>
      <c r="AJ115" s="224">
        <f t="shared" si="84"/>
        <v>0</v>
      </c>
      <c r="AK115" s="225">
        <f t="shared" si="46"/>
        <v>26</v>
      </c>
      <c r="AL115" s="170">
        <f t="shared" si="47"/>
        <v>32</v>
      </c>
      <c r="AM115" s="170">
        <f t="shared" si="48"/>
        <v>22.446043165467625</v>
      </c>
      <c r="AN115" s="170">
        <f t="shared" si="49"/>
        <v>28.431654676258994</v>
      </c>
      <c r="AO115" s="226">
        <f t="shared" si="50"/>
        <v>19.446043165467625</v>
      </c>
      <c r="AP115" s="227">
        <v>60</v>
      </c>
      <c r="AQ115" s="228">
        <f t="shared" si="51"/>
        <v>57</v>
      </c>
      <c r="AR115" s="228">
        <f t="shared" si="52"/>
        <v>52</v>
      </c>
      <c r="AS115" s="229">
        <f t="shared" si="53"/>
        <v>60</v>
      </c>
      <c r="AT115" s="982">
        <f t="shared" ca="1" si="54"/>
        <v>45895</v>
      </c>
      <c r="AU115" s="50"/>
      <c r="AV115" s="118"/>
      <c r="AW115" s="49"/>
      <c r="AX115" s="49"/>
      <c r="AY115" s="49"/>
      <c r="AZ115" s="300"/>
      <c r="BA115" s="119"/>
      <c r="BB115" s="304"/>
      <c r="BC115" s="231"/>
      <c r="BD115" s="232"/>
      <c r="BE115" s="222">
        <f t="shared" si="77"/>
        <v>15</v>
      </c>
      <c r="BF115" s="233">
        <f t="shared" si="78"/>
        <v>0</v>
      </c>
      <c r="BG115" s="234"/>
      <c r="BH115" s="235"/>
      <c r="BI115" s="234"/>
      <c r="BJ115" s="236"/>
      <c r="BK115" s="222"/>
      <c r="BL115" s="222"/>
      <c r="BM115" s="238"/>
      <c r="BN115" s="222"/>
      <c r="BO115" s="222"/>
      <c r="BP115" s="243"/>
      <c r="BQ115" s="244" t="s">
        <v>247</v>
      </c>
      <c r="BR115" s="238">
        <v>45813</v>
      </c>
      <c r="BS115" s="67"/>
      <c r="BT115" s="66"/>
      <c r="BU115" s="66"/>
      <c r="BV115" s="66"/>
      <c r="BW115" s="74"/>
      <c r="BX115" s="81"/>
      <c r="BY115" s="66">
        <v>45510</v>
      </c>
      <c r="BZ115" s="944" t="s">
        <v>989</v>
      </c>
      <c r="CA115" s="42" t="str">
        <f t="shared" si="57"/>
        <v>0</v>
      </c>
      <c r="CB115" s="62">
        <f t="shared" si="58"/>
        <v>-45505.602083333331</v>
      </c>
      <c r="CC115" s="42">
        <f t="shared" si="59"/>
        <v>0</v>
      </c>
      <c r="CD115" s="62">
        <f t="shared" si="60"/>
        <v>-45505.602083333331</v>
      </c>
      <c r="CE115" s="62">
        <f t="shared" si="61"/>
        <v>-1520.4996849959934</v>
      </c>
      <c r="CF115" s="145" t="str">
        <f t="shared" si="62"/>
        <v>0</v>
      </c>
      <c r="CG115" s="145"/>
      <c r="CH115" s="443">
        <f t="shared" si="63"/>
        <v>12.142382311698782</v>
      </c>
      <c r="CI115" s="996">
        <f t="shared" si="64"/>
        <v>12.142382311698782</v>
      </c>
      <c r="CJ115" s="261">
        <f t="shared" si="65"/>
        <v>0</v>
      </c>
      <c r="CK115" s="458">
        <f t="shared" si="66"/>
        <v>350.39791666666861</v>
      </c>
      <c r="CL115" t="str">
        <f t="shared" si="67"/>
        <v>NON-REV</v>
      </c>
      <c r="CM115" t="str">
        <f t="shared" si="68"/>
        <v>10 MONTHS AND ABOVE</v>
      </c>
      <c r="CN115" s="635"/>
      <c r="CO115" s="631"/>
      <c r="CP115" s="629" t="str">
        <f t="shared" si="79"/>
        <v>FOR ISSUANCE</v>
      </c>
      <c r="CQ115" s="635"/>
      <c r="CR115" s="697"/>
      <c r="CS115" s="633" t="str">
        <f t="shared" ca="1" si="70"/>
        <v>0</v>
      </c>
      <c r="CT115" s="635"/>
      <c r="CU115" s="631"/>
      <c r="CV115" s="638"/>
      <c r="CW115" s="156" t="s">
        <v>990</v>
      </c>
      <c r="CX115" s="156" t="str">
        <f>VLOOKUP(E115,'[1]List of Work Orders'!$A:$I,9,FALSE)</f>
        <v>ME155242</v>
      </c>
      <c r="CY115" s="156"/>
      <c r="DC115" t="str">
        <f>VLOOKUP(E115,'[2]List of Work Orders'!$A:$F,6,FALSE)</f>
        <v>SCHED</v>
      </c>
      <c r="DS115" s="156" t="s">
        <v>397</v>
      </c>
    </row>
    <row r="116" spans="1:123" customFormat="1" ht="15" customHeight="1" x14ac:dyDescent="0.25">
      <c r="A116" s="242">
        <v>45509</v>
      </c>
      <c r="B116" s="222">
        <v>45507</v>
      </c>
      <c r="C116" s="223"/>
      <c r="D116" s="66" t="s">
        <v>234</v>
      </c>
      <c r="E116" s="404" t="s">
        <v>991</v>
      </c>
      <c r="F116" s="95" t="s">
        <v>992</v>
      </c>
      <c r="G116" s="95" t="s">
        <v>993</v>
      </c>
      <c r="H116" s="95" t="s">
        <v>253</v>
      </c>
      <c r="I116" s="95" t="s">
        <v>254</v>
      </c>
      <c r="J116" s="163" t="s">
        <v>988</v>
      </c>
      <c r="K116" s="101"/>
      <c r="L116" s="101" t="s">
        <v>263</v>
      </c>
      <c r="M116" s="345" t="s">
        <v>272</v>
      </c>
      <c r="N116" s="442" t="s">
        <v>467</v>
      </c>
      <c r="O116" s="165">
        <v>16.38</v>
      </c>
      <c r="P116" s="933">
        <v>16.38</v>
      </c>
      <c r="Q116" s="157">
        <v>0</v>
      </c>
      <c r="R116" s="109" t="s">
        <v>319</v>
      </c>
      <c r="S116" s="110">
        <v>24865.03</v>
      </c>
      <c r="T116" s="93">
        <v>13198.45</v>
      </c>
      <c r="U116" s="141"/>
      <c r="V116" s="158">
        <f t="shared" si="43"/>
        <v>0</v>
      </c>
      <c r="W116" s="159">
        <v>45505.645138888889</v>
      </c>
      <c r="X116" s="159">
        <v>45507.40625</v>
      </c>
      <c r="Y116" s="160">
        <v>45507</v>
      </c>
      <c r="Z116" s="470"/>
      <c r="AA116" s="470">
        <v>45639</v>
      </c>
      <c r="AB116" s="470"/>
      <c r="AC116" s="161">
        <f t="shared" si="44"/>
        <v>133.35486111111095</v>
      </c>
      <c r="AD116" s="161">
        <f t="shared" si="80"/>
        <v>131.59375</v>
      </c>
      <c r="AE116" s="446">
        <f t="shared" si="72"/>
        <v>-45639</v>
      </c>
      <c r="AF116" s="160">
        <f t="shared" si="81"/>
        <v>45524.419332437275</v>
      </c>
      <c r="AG116" s="160">
        <f t="shared" si="82"/>
        <v>45533.225784050177</v>
      </c>
      <c r="AH116" s="159">
        <f t="shared" si="83"/>
        <v>45555.645138888889</v>
      </c>
      <c r="AI116" s="162">
        <f t="shared" si="45"/>
        <v>4.5933341049382657</v>
      </c>
      <c r="AJ116" s="224">
        <f t="shared" si="84"/>
        <v>-760.65</v>
      </c>
      <c r="AK116" s="225">
        <f t="shared" si="46"/>
        <v>20</v>
      </c>
      <c r="AL116" s="170">
        <f t="shared" si="47"/>
        <v>36</v>
      </c>
      <c r="AM116" s="170">
        <f t="shared" si="48"/>
        <v>21.774193548387096</v>
      </c>
      <c r="AN116" s="170">
        <f t="shared" si="49"/>
        <v>27.58064516129032</v>
      </c>
      <c r="AO116" s="226">
        <f t="shared" si="50"/>
        <v>18.774193548387096</v>
      </c>
      <c r="AP116" s="227">
        <v>60</v>
      </c>
      <c r="AQ116" s="228">
        <f t="shared" si="51"/>
        <v>57</v>
      </c>
      <c r="AR116" s="228">
        <f t="shared" si="52"/>
        <v>52</v>
      </c>
      <c r="AS116" s="229">
        <f t="shared" si="53"/>
        <v>45699</v>
      </c>
      <c r="AT116" s="982">
        <f t="shared" ca="1" si="54"/>
        <v>256</v>
      </c>
      <c r="AU116" s="50"/>
      <c r="AV116" s="118"/>
      <c r="AW116" s="49"/>
      <c r="AX116" s="49"/>
      <c r="AY116" s="49"/>
      <c r="AZ116" s="300"/>
      <c r="BA116" s="119"/>
      <c r="BB116" s="304"/>
      <c r="BC116" s="231" t="s">
        <v>13</v>
      </c>
      <c r="BD116" s="232"/>
      <c r="BE116" s="222">
        <f t="shared" si="77"/>
        <v>45654</v>
      </c>
      <c r="BF116" s="233" t="e">
        <f t="shared" si="78"/>
        <v>#VALUE!</v>
      </c>
      <c r="BG116" s="234"/>
      <c r="BH116" s="235"/>
      <c r="BI116" s="234"/>
      <c r="BJ116" s="236"/>
      <c r="BK116" s="222"/>
      <c r="BL116" s="222"/>
      <c r="BM116" s="238"/>
      <c r="BN116" s="222"/>
      <c r="BO116" s="222"/>
      <c r="BP116" s="243"/>
      <c r="BQ116" s="244" t="s">
        <v>247</v>
      </c>
      <c r="BR116" s="238"/>
      <c r="BS116" s="67"/>
      <c r="BT116" s="66"/>
      <c r="BU116" s="66"/>
      <c r="BV116" s="66"/>
      <c r="BW116" s="74"/>
      <c r="BX116" s="81"/>
      <c r="BY116" s="66" t="s">
        <v>308</v>
      </c>
      <c r="BZ116" s="944"/>
      <c r="CA116" s="42" t="str">
        <f t="shared" si="57"/>
        <v>0</v>
      </c>
      <c r="CB116" s="62">
        <f t="shared" si="58"/>
        <v>133.35486111111095</v>
      </c>
      <c r="CC116" s="42">
        <f t="shared" si="59"/>
        <v>0</v>
      </c>
      <c r="CD116" s="62">
        <f t="shared" si="60"/>
        <v>133.35486111111095</v>
      </c>
      <c r="CE116" s="62">
        <f t="shared" si="61"/>
        <v>4.5933341049382657</v>
      </c>
      <c r="CF116" s="145">
        <f t="shared" si="62"/>
        <v>230</v>
      </c>
      <c r="CG116" s="145"/>
      <c r="CH116" s="443">
        <f t="shared" si="63"/>
        <v>12.515556327160487</v>
      </c>
      <c r="CI116" s="996">
        <f t="shared" si="64"/>
        <v>12.515556327160487</v>
      </c>
      <c r="CJ116" s="261">
        <f t="shared" si="65"/>
        <v>3.8333333333333335</v>
      </c>
      <c r="CK116" s="458" t="str">
        <f t="shared" si="66"/>
        <v/>
      </c>
      <c r="CL116" t="str">
        <f t="shared" si="67"/>
        <v>NON-REV</v>
      </c>
      <c r="CM116" t="str">
        <f t="shared" si="68"/>
        <v/>
      </c>
      <c r="CN116" s="635"/>
      <c r="CO116" s="631"/>
      <c r="CP116" s="629" t="str">
        <f t="shared" si="79"/>
        <v>FOR ISSUANCE</v>
      </c>
      <c r="CQ116" s="635"/>
      <c r="CR116" s="697"/>
      <c r="CS116" s="633" t="str">
        <f t="shared" ca="1" si="70"/>
        <v>0</v>
      </c>
      <c r="CT116" s="635"/>
      <c r="CU116" s="631"/>
      <c r="CV116" s="638"/>
      <c r="CW116" s="156" t="s">
        <v>994</v>
      </c>
      <c r="CX116" s="156" t="str">
        <f>VLOOKUP(E116,'[1]List of Work Orders'!$A:$I,9,FALSE)</f>
        <v>ME155242</v>
      </c>
      <c r="CY116" s="156"/>
      <c r="DC116" t="str">
        <f>VLOOKUP(E116,'[2]List of Work Orders'!$A:$F,6,FALSE)</f>
        <v>FCOMP</v>
      </c>
      <c r="DS116" s="156" t="s">
        <v>397</v>
      </c>
    </row>
    <row r="117" spans="1:123" customFormat="1" ht="15" customHeight="1" x14ac:dyDescent="0.25">
      <c r="A117" s="242">
        <v>45513</v>
      </c>
      <c r="B117" s="222">
        <v>45519</v>
      </c>
      <c r="C117" s="223"/>
      <c r="D117" s="66" t="s">
        <v>320</v>
      </c>
      <c r="E117" s="404" t="s">
        <v>995</v>
      </c>
      <c r="F117" s="95" t="s">
        <v>996</v>
      </c>
      <c r="G117" s="95" t="s">
        <v>997</v>
      </c>
      <c r="H117" s="95" t="s">
        <v>318</v>
      </c>
      <c r="I117" s="95" t="s">
        <v>239</v>
      </c>
      <c r="J117" s="163" t="s">
        <v>988</v>
      </c>
      <c r="K117" s="101"/>
      <c r="L117" s="101" t="s">
        <v>263</v>
      </c>
      <c r="M117" s="345" t="s">
        <v>272</v>
      </c>
      <c r="N117" s="442" t="s">
        <v>467</v>
      </c>
      <c r="O117" s="165">
        <v>335.66180000000003</v>
      </c>
      <c r="P117" s="933">
        <v>727.07</v>
      </c>
      <c r="Q117" s="157">
        <v>82.4</v>
      </c>
      <c r="R117" s="109" t="s">
        <v>548</v>
      </c>
      <c r="S117" s="110">
        <v>1355923.61</v>
      </c>
      <c r="T117" s="93">
        <v>269947.83</v>
      </c>
      <c r="U117" s="141"/>
      <c r="V117" s="158">
        <f t="shared" si="43"/>
        <v>0</v>
      </c>
      <c r="W117" s="159">
        <v>45509.55972222222</v>
      </c>
      <c r="X117" s="159">
        <v>45512.406944444447</v>
      </c>
      <c r="Y117" s="160">
        <v>45512</v>
      </c>
      <c r="Z117" s="470"/>
      <c r="AA117" s="470">
        <v>45804.259722222225</v>
      </c>
      <c r="AB117" s="470"/>
      <c r="AC117" s="161">
        <f t="shared" si="44"/>
        <v>294.70000000000437</v>
      </c>
      <c r="AD117" s="161">
        <f t="shared" si="80"/>
        <v>291.8527777777781</v>
      </c>
      <c r="AE117" s="446">
        <f t="shared" si="72"/>
        <v>-45804.259722222225</v>
      </c>
      <c r="AF117" s="160">
        <f t="shared" si="81"/>
        <v>45533.261292902847</v>
      </c>
      <c r="AG117" s="160">
        <f t="shared" si="82"/>
        <v>45543.381711751019</v>
      </c>
      <c r="AH117" s="159">
        <f t="shared" si="83"/>
        <v>45559.55972222222</v>
      </c>
      <c r="AI117" s="162">
        <f t="shared" si="45"/>
        <v>8.2776029411765926</v>
      </c>
      <c r="AJ117" s="224">
        <f t="shared" si="84"/>
        <v>-763.40432870370375</v>
      </c>
      <c r="AK117" s="225">
        <f t="shared" si="46"/>
        <v>40</v>
      </c>
      <c r="AL117" s="170">
        <f t="shared" si="47"/>
        <v>34</v>
      </c>
      <c r="AM117" s="170">
        <f t="shared" si="48"/>
        <v>26.701570680628272</v>
      </c>
      <c r="AN117" s="170">
        <f t="shared" si="49"/>
        <v>33.821989528795811</v>
      </c>
      <c r="AO117" s="226">
        <f t="shared" si="50"/>
        <v>23.701570680628272</v>
      </c>
      <c r="AP117" s="227">
        <v>60</v>
      </c>
      <c r="AQ117" s="228">
        <f t="shared" si="51"/>
        <v>57</v>
      </c>
      <c r="AR117" s="228">
        <f t="shared" si="52"/>
        <v>52</v>
      </c>
      <c r="AS117" s="229">
        <f t="shared" si="53"/>
        <v>45864.259722222225</v>
      </c>
      <c r="AT117" s="982">
        <f t="shared" ca="1" si="54"/>
        <v>90.740277777775191</v>
      </c>
      <c r="AU117" s="50"/>
      <c r="AV117" s="118"/>
      <c r="AW117" s="49"/>
      <c r="AX117" s="49"/>
      <c r="AY117" s="49"/>
      <c r="AZ117" s="300"/>
      <c r="BA117" s="119"/>
      <c r="BB117" s="304"/>
      <c r="BC117" s="231" t="s">
        <v>13</v>
      </c>
      <c r="BD117" s="232"/>
      <c r="BE117" s="222">
        <f t="shared" si="77"/>
        <v>45819.259722222225</v>
      </c>
      <c r="BF117" s="233" t="e">
        <f t="shared" si="78"/>
        <v>#VALUE!</v>
      </c>
      <c r="BG117" s="234"/>
      <c r="BH117" s="235"/>
      <c r="BI117" s="234"/>
      <c r="BJ117" s="236"/>
      <c r="BK117" s="222"/>
      <c r="BL117" s="222"/>
      <c r="BM117" s="238"/>
      <c r="BN117" s="222"/>
      <c r="BO117" s="222"/>
      <c r="BP117" s="243"/>
      <c r="BQ117" s="244" t="s">
        <v>247</v>
      </c>
      <c r="BR117" s="238">
        <v>45799</v>
      </c>
      <c r="BS117" s="67"/>
      <c r="BT117" s="66"/>
      <c r="BU117" s="66"/>
      <c r="BV117" s="66"/>
      <c r="BW117" s="74"/>
      <c r="BX117" s="81"/>
      <c r="BY117" s="66">
        <v>45514</v>
      </c>
      <c r="BZ117" s="944" t="s">
        <v>998</v>
      </c>
      <c r="CA117" s="42" t="str">
        <f t="shared" si="57"/>
        <v>0</v>
      </c>
      <c r="CB117" s="62">
        <f t="shared" si="58"/>
        <v>294.70000000000437</v>
      </c>
      <c r="CC117" s="42">
        <f t="shared" si="59"/>
        <v>0</v>
      </c>
      <c r="CD117" s="62">
        <f t="shared" si="60"/>
        <v>294.70000000000437</v>
      </c>
      <c r="CE117" s="62">
        <f t="shared" si="61"/>
        <v>8.2776029411765926</v>
      </c>
      <c r="CF117" s="145">
        <f t="shared" si="62"/>
        <v>64.740277777775191</v>
      </c>
      <c r="CG117" s="145"/>
      <c r="CH117" s="443">
        <f t="shared" si="63"/>
        <v>10.096043096405278</v>
      </c>
      <c r="CI117" s="996">
        <f t="shared" si="64"/>
        <v>10.096043096405278</v>
      </c>
      <c r="CJ117" s="261">
        <f t="shared" si="65"/>
        <v>1.0790046296295865</v>
      </c>
      <c r="CK117" s="458" t="str">
        <f t="shared" si="66"/>
        <v/>
      </c>
      <c r="CL117" t="str">
        <f t="shared" si="67"/>
        <v>NON-REV</v>
      </c>
      <c r="CM117" t="str">
        <f t="shared" si="68"/>
        <v/>
      </c>
      <c r="CN117" s="635"/>
      <c r="CO117" s="631"/>
      <c r="CP117" s="629" t="str">
        <f t="shared" si="79"/>
        <v>FOR ISSUANCE</v>
      </c>
      <c r="CQ117" s="635"/>
      <c r="CR117" s="697"/>
      <c r="CS117" s="633" t="str">
        <f t="shared" ca="1" si="70"/>
        <v>0</v>
      </c>
      <c r="CT117" s="635"/>
      <c r="CU117" s="631"/>
      <c r="CV117" s="638"/>
      <c r="CW117" s="156" t="s">
        <v>999</v>
      </c>
      <c r="CX117" s="156" t="str">
        <f>VLOOKUP(E117,'[1]List of Work Orders'!$A:$I,9,FALSE)</f>
        <v>ME155242</v>
      </c>
      <c r="CY117" s="156"/>
      <c r="DC117" t="str">
        <f>VLOOKUP(E117,'[2]List of Work Orders'!$A:$F,6,FALSE)</f>
        <v>SCHED</v>
      </c>
      <c r="DS117" s="156" t="s">
        <v>381</v>
      </c>
    </row>
    <row r="118" spans="1:123" customFormat="1" ht="15" customHeight="1" x14ac:dyDescent="0.25">
      <c r="A118" s="242">
        <v>45513</v>
      </c>
      <c r="B118" s="222">
        <v>45509</v>
      </c>
      <c r="C118" s="223"/>
      <c r="D118" s="66" t="s">
        <v>320</v>
      </c>
      <c r="E118" s="404" t="s">
        <v>1000</v>
      </c>
      <c r="F118" s="95" t="s">
        <v>1001</v>
      </c>
      <c r="G118" s="95" t="s">
        <v>1002</v>
      </c>
      <c r="H118" s="95" t="s">
        <v>238</v>
      </c>
      <c r="I118" s="95" t="s">
        <v>239</v>
      </c>
      <c r="J118" s="168" t="s">
        <v>1003</v>
      </c>
      <c r="K118" s="101" t="s">
        <v>271</v>
      </c>
      <c r="L118" s="101" t="s">
        <v>288</v>
      </c>
      <c r="M118" s="345" t="s">
        <v>272</v>
      </c>
      <c r="N118" s="442" t="s">
        <v>381</v>
      </c>
      <c r="O118" s="165">
        <v>66.609899999999996</v>
      </c>
      <c r="P118" s="933">
        <v>103.45</v>
      </c>
      <c r="Q118" s="157">
        <v>68</v>
      </c>
      <c r="R118" s="109" t="s">
        <v>548</v>
      </c>
      <c r="S118" s="110">
        <v>319649.19</v>
      </c>
      <c r="T118" s="93">
        <v>53639.199999999997</v>
      </c>
      <c r="U118" s="141"/>
      <c r="V118" s="158">
        <f t="shared" si="43"/>
        <v>0</v>
      </c>
      <c r="W118" s="159">
        <v>45509.663194444445</v>
      </c>
      <c r="X118" s="159">
        <v>45512.415277777778</v>
      </c>
      <c r="Y118" s="160">
        <v>45512</v>
      </c>
      <c r="Z118" s="470"/>
      <c r="AA118" s="470">
        <v>45763</v>
      </c>
      <c r="AB118" s="470"/>
      <c r="AC118" s="161">
        <f t="shared" si="44"/>
        <v>253.33680555555475</v>
      </c>
      <c r="AD118" s="161">
        <f t="shared" si="80"/>
        <v>250.5847222222219</v>
      </c>
      <c r="AE118" s="446">
        <f t="shared" si="72"/>
        <v>-45763</v>
      </c>
      <c r="AF118" s="160">
        <f t="shared" si="81"/>
        <v>45530.008264866978</v>
      </c>
      <c r="AG118" s="160">
        <f t="shared" si="82"/>
        <v>45539.233616979654</v>
      </c>
      <c r="AH118" s="159">
        <f t="shared" si="83"/>
        <v>45559.663194444445</v>
      </c>
      <c r="AI118" s="162">
        <f t="shared" si="45"/>
        <v>8.1388747486173685</v>
      </c>
      <c r="AJ118" s="224">
        <f t="shared" si="84"/>
        <v>-762.7166666666667</v>
      </c>
      <c r="AK118" s="225">
        <f t="shared" si="46"/>
        <v>26</v>
      </c>
      <c r="AL118" s="170">
        <f t="shared" si="47"/>
        <v>34</v>
      </c>
      <c r="AM118" s="170">
        <f t="shared" si="48"/>
        <v>23.345070422535212</v>
      </c>
      <c r="AN118" s="170">
        <f t="shared" si="49"/>
        <v>29.570422535211268</v>
      </c>
      <c r="AO118" s="226">
        <f t="shared" si="50"/>
        <v>20.345070422535212</v>
      </c>
      <c r="AP118" s="227">
        <v>60</v>
      </c>
      <c r="AQ118" s="228">
        <f t="shared" si="51"/>
        <v>57</v>
      </c>
      <c r="AR118" s="228">
        <f t="shared" si="52"/>
        <v>52</v>
      </c>
      <c r="AS118" s="229">
        <f t="shared" si="53"/>
        <v>45823</v>
      </c>
      <c r="AT118" s="982">
        <f t="shared" ca="1" si="54"/>
        <v>132</v>
      </c>
      <c r="AU118" s="50"/>
      <c r="AV118" s="118"/>
      <c r="AW118" s="49"/>
      <c r="AX118" s="49"/>
      <c r="AY118" s="49"/>
      <c r="AZ118" s="300"/>
      <c r="BA118" s="119"/>
      <c r="BB118" s="304"/>
      <c r="BC118" s="231" t="s">
        <v>12</v>
      </c>
      <c r="BD118" s="232"/>
      <c r="BE118" s="222">
        <f t="shared" si="77"/>
        <v>45778</v>
      </c>
      <c r="BF118" s="233">
        <f t="shared" si="78"/>
        <v>60</v>
      </c>
      <c r="BG118" s="234">
        <v>45763</v>
      </c>
      <c r="BH118" s="235">
        <v>45838</v>
      </c>
      <c r="BI118" s="234"/>
      <c r="BJ118" s="236"/>
      <c r="BK118" s="222"/>
      <c r="BL118" s="222"/>
      <c r="BM118" s="238"/>
      <c r="BN118" s="222"/>
      <c r="BO118" s="222"/>
      <c r="BP118" s="243"/>
      <c r="BQ118" s="244" t="s">
        <v>247</v>
      </c>
      <c r="BR118" s="238">
        <v>45763</v>
      </c>
      <c r="BS118" s="67"/>
      <c r="BT118" s="66"/>
      <c r="BU118" s="66"/>
      <c r="BV118" s="66"/>
      <c r="BW118" s="74"/>
      <c r="BX118" s="81"/>
      <c r="BY118" s="66">
        <v>45514</v>
      </c>
      <c r="BZ118" s="944" t="s">
        <v>1004</v>
      </c>
      <c r="CA118" s="42" t="str">
        <f t="shared" si="57"/>
        <v>0</v>
      </c>
      <c r="CB118" s="62">
        <f t="shared" si="58"/>
        <v>253.33680555555475</v>
      </c>
      <c r="CC118" s="42">
        <f t="shared" si="59"/>
        <v>0</v>
      </c>
      <c r="CD118" s="62">
        <f t="shared" si="60"/>
        <v>253.33680555555475</v>
      </c>
      <c r="CE118" s="62">
        <f t="shared" si="61"/>
        <v>8.1388747486173685</v>
      </c>
      <c r="CF118" s="145">
        <f t="shared" si="62"/>
        <v>106</v>
      </c>
      <c r="CG118" s="145"/>
      <c r="CH118" s="443">
        <f t="shared" si="63"/>
        <v>11.544304612870761</v>
      </c>
      <c r="CI118" s="996">
        <f t="shared" si="64"/>
        <v>11.544304612870761</v>
      </c>
      <c r="CJ118" s="261">
        <f t="shared" si="65"/>
        <v>1.7666666666666666</v>
      </c>
      <c r="CK118" s="458" t="str">
        <f t="shared" si="66"/>
        <v/>
      </c>
      <c r="CL118" t="str">
        <f t="shared" si="67"/>
        <v>NON-REV</v>
      </c>
      <c r="CM118" t="str">
        <f t="shared" si="68"/>
        <v/>
      </c>
      <c r="CN118" s="635"/>
      <c r="CO118" s="631"/>
      <c r="CP118" s="629" t="str">
        <f t="shared" si="79"/>
        <v>FOR ISSUANCE</v>
      </c>
      <c r="CQ118" s="635"/>
      <c r="CR118" s="697"/>
      <c r="CS118" s="633" t="str">
        <f t="shared" ca="1" si="70"/>
        <v>0</v>
      </c>
      <c r="CT118" s="635"/>
      <c r="CU118" s="631"/>
      <c r="CV118" s="638"/>
      <c r="CW118" s="156" t="s">
        <v>1005</v>
      </c>
      <c r="CX118" s="156" t="str">
        <f>VLOOKUP(E118,'[1]List of Work Orders'!$A:$I,9,FALSE)</f>
        <v>ME185284</v>
      </c>
      <c r="CY118" s="156"/>
      <c r="DC118" t="str">
        <f>VLOOKUP(E118,'[2]List of Work Orders'!$A:$F,6,FALSE)</f>
        <v>FCOMP</v>
      </c>
      <c r="DS118" s="156" t="s">
        <v>381</v>
      </c>
    </row>
    <row r="119" spans="1:123" customFormat="1" ht="15" customHeight="1" x14ac:dyDescent="0.25">
      <c r="A119" s="242">
        <v>45517</v>
      </c>
      <c r="B119" s="222">
        <v>45511</v>
      </c>
      <c r="C119" s="223"/>
      <c r="D119" s="66" t="s">
        <v>234</v>
      </c>
      <c r="E119" s="746" t="s">
        <v>1006</v>
      </c>
      <c r="F119" s="95" t="s">
        <v>926</v>
      </c>
      <c r="G119" s="95" t="s">
        <v>1007</v>
      </c>
      <c r="H119" s="95" t="s">
        <v>238</v>
      </c>
      <c r="I119" s="95" t="s">
        <v>239</v>
      </c>
      <c r="J119" s="168" t="s">
        <v>1008</v>
      </c>
      <c r="K119" s="101" t="s">
        <v>299</v>
      </c>
      <c r="L119" s="101" t="s">
        <v>288</v>
      </c>
      <c r="M119" s="345" t="s">
        <v>534</v>
      </c>
      <c r="N119" s="442" t="s">
        <v>381</v>
      </c>
      <c r="O119" s="165">
        <v>96.643299999999996</v>
      </c>
      <c r="P119" s="165" t="e">
        <v>#N/A</v>
      </c>
      <c r="Q119" s="157">
        <v>22</v>
      </c>
      <c r="R119" s="109" t="s">
        <v>244</v>
      </c>
      <c r="S119" s="110">
        <v>632652.96</v>
      </c>
      <c r="T119" s="93">
        <v>77832.37</v>
      </c>
      <c r="U119" s="141"/>
      <c r="V119" s="158">
        <f t="shared" si="43"/>
        <v>0</v>
      </c>
      <c r="W119" s="159">
        <v>45511.375694444447</v>
      </c>
      <c r="X119" s="159">
        <v>45516.313888888886</v>
      </c>
      <c r="Y119" s="160">
        <v>45520</v>
      </c>
      <c r="Z119" s="470"/>
      <c r="AA119" s="470" t="s">
        <v>534</v>
      </c>
      <c r="AB119" s="470"/>
      <c r="AC119" s="161" t="e">
        <f t="shared" si="44"/>
        <v>#VALUE!</v>
      </c>
      <c r="AD119" s="161" t="e">
        <f t="shared" si="80"/>
        <v>#VALUE!</v>
      </c>
      <c r="AE119" s="446" t="e">
        <f t="shared" si="72"/>
        <v>#VALUE!</v>
      </c>
      <c r="AF119" s="160" t="e">
        <f t="shared" si="81"/>
        <v>#N/A</v>
      </c>
      <c r="AG119" s="160" t="e">
        <f t="shared" si="82"/>
        <v>#N/A</v>
      </c>
      <c r="AH119" s="159">
        <f t="shared" si="83"/>
        <v>45561.375694444447</v>
      </c>
      <c r="AI119" s="162" t="e">
        <f t="shared" si="45"/>
        <v>#VALUE!</v>
      </c>
      <c r="AJ119" s="224" t="e">
        <f t="shared" si="84"/>
        <v>#VALUE!</v>
      </c>
      <c r="AK119" s="225" t="e">
        <f t="shared" si="46"/>
        <v>#N/A</v>
      </c>
      <c r="AL119" s="170">
        <f t="shared" si="47"/>
        <v>36</v>
      </c>
      <c r="AM119" s="170" t="e">
        <f t="shared" si="48"/>
        <v>#N/A</v>
      </c>
      <c r="AN119" s="170" t="e">
        <f t="shared" si="49"/>
        <v>#N/A</v>
      </c>
      <c r="AO119" s="226" t="e">
        <f t="shared" si="50"/>
        <v>#N/A</v>
      </c>
      <c r="AP119" s="227">
        <v>60</v>
      </c>
      <c r="AQ119" s="228">
        <f t="shared" si="51"/>
        <v>57</v>
      </c>
      <c r="AR119" s="228">
        <f t="shared" si="52"/>
        <v>52</v>
      </c>
      <c r="AS119" s="229" t="e">
        <f t="shared" si="53"/>
        <v>#VALUE!</v>
      </c>
      <c r="AT119" s="982" t="str">
        <f t="shared" ca="1" si="54"/>
        <v/>
      </c>
      <c r="AU119" s="50"/>
      <c r="AV119" s="118"/>
      <c r="AW119" s="49"/>
      <c r="AX119" s="49"/>
      <c r="AY119" s="49"/>
      <c r="AZ119" s="300"/>
      <c r="BA119" s="119"/>
      <c r="BB119" s="304"/>
      <c r="BC119" s="231"/>
      <c r="BD119" s="232"/>
      <c r="BE119" s="222" t="e">
        <f t="shared" si="77"/>
        <v>#VALUE!</v>
      </c>
      <c r="BF119" s="233" t="e">
        <f t="shared" si="78"/>
        <v>#VALUE!</v>
      </c>
      <c r="BG119" s="234"/>
      <c r="BH119" s="235"/>
      <c r="BI119" s="234"/>
      <c r="BJ119" s="236"/>
      <c r="BK119" s="222"/>
      <c r="BL119" s="222"/>
      <c r="BM119" s="238"/>
      <c r="BN119" s="222"/>
      <c r="BO119" s="222"/>
      <c r="BP119" s="243"/>
      <c r="BQ119" s="244" t="s">
        <v>247</v>
      </c>
      <c r="BR119" s="238"/>
      <c r="BS119" s="67"/>
      <c r="BT119" s="66"/>
      <c r="BU119" s="66"/>
      <c r="BV119" s="66"/>
      <c r="BW119" s="74"/>
      <c r="BX119" s="81"/>
      <c r="BY119" s="66" t="s">
        <v>308</v>
      </c>
      <c r="BZ119" s="944" t="s">
        <v>1009</v>
      </c>
      <c r="CA119" s="42" t="str">
        <f t="shared" si="57"/>
        <v>0</v>
      </c>
      <c r="CB119" s="62" t="e">
        <f t="shared" si="58"/>
        <v>#VALUE!</v>
      </c>
      <c r="CC119" s="42">
        <f t="shared" si="59"/>
        <v>0</v>
      </c>
      <c r="CD119" s="62" t="e">
        <f t="shared" si="60"/>
        <v>#VALUE!</v>
      </c>
      <c r="CE119" s="62" t="e">
        <f t="shared" si="61"/>
        <v>#VALUE!</v>
      </c>
      <c r="CF119" s="145" t="e">
        <f t="shared" si="62"/>
        <v>#VALUE!</v>
      </c>
      <c r="CG119" s="145"/>
      <c r="CH119" s="443" t="e">
        <f t="shared" si="63"/>
        <v>#N/A</v>
      </c>
      <c r="CI119" s="996" t="e">
        <f t="shared" si="64"/>
        <v>#N/A</v>
      </c>
      <c r="CJ119" s="261" t="e">
        <f t="shared" si="65"/>
        <v>#VALUE!</v>
      </c>
      <c r="CK119" s="458" t="str">
        <f t="shared" si="66"/>
        <v/>
      </c>
      <c r="CL119" t="str">
        <f t="shared" si="67"/>
        <v>REV</v>
      </c>
      <c r="CM119" t="str">
        <f t="shared" si="68"/>
        <v/>
      </c>
      <c r="CN119" s="635"/>
      <c r="CO119" s="631"/>
      <c r="CP119" s="629" t="str">
        <f t="shared" si="79"/>
        <v>FOR ISSUANCE</v>
      </c>
      <c r="CQ119" s="635"/>
      <c r="CR119" s="697"/>
      <c r="CS119" s="633" t="str">
        <f t="shared" ca="1" si="70"/>
        <v>0</v>
      </c>
      <c r="CT119" s="635"/>
      <c r="CU119" s="631"/>
      <c r="CV119" s="638"/>
      <c r="CW119" s="156" t="s">
        <v>1010</v>
      </c>
      <c r="CX119" s="156" t="str">
        <f>VLOOKUP(E119,'[1]List of Work Orders'!$A:$I,9,FALSE)</f>
        <v>ME185284</v>
      </c>
      <c r="CY119" s="156"/>
      <c r="DC119" t="str">
        <f>VLOOKUP(E119,'[2]List of Work Orders'!$A:$F,6,FALSE)</f>
        <v>SCHED</v>
      </c>
      <c r="DS119" s="156" t="s">
        <v>397</v>
      </c>
    </row>
    <row r="120" spans="1:123" customFormat="1" ht="15" customHeight="1" x14ac:dyDescent="0.25">
      <c r="A120" s="242">
        <v>45517</v>
      </c>
      <c r="B120" s="222">
        <v>45512</v>
      </c>
      <c r="C120" s="223"/>
      <c r="D120" s="66" t="s">
        <v>320</v>
      </c>
      <c r="E120" s="404" t="s">
        <v>1011</v>
      </c>
      <c r="F120" s="95" t="s">
        <v>1012</v>
      </c>
      <c r="G120" s="95" t="s">
        <v>1013</v>
      </c>
      <c r="H120" s="95" t="s">
        <v>318</v>
      </c>
      <c r="I120" s="95" t="s">
        <v>239</v>
      </c>
      <c r="J120" s="163"/>
      <c r="K120" s="101"/>
      <c r="L120" s="101" t="s">
        <v>242</v>
      </c>
      <c r="M120" s="345" t="s">
        <v>272</v>
      </c>
      <c r="N120" s="442" t="s">
        <v>467</v>
      </c>
      <c r="O120" s="165">
        <v>92.761799999999994</v>
      </c>
      <c r="P120" s="933">
        <v>92.76</v>
      </c>
      <c r="Q120" s="157">
        <v>100</v>
      </c>
      <c r="R120" s="109" t="s">
        <v>548</v>
      </c>
      <c r="S120" s="110">
        <v>448826.37</v>
      </c>
      <c r="T120" s="93">
        <v>74723.06</v>
      </c>
      <c r="U120" s="141">
        <f>19501.09+18698.41+18698.41</f>
        <v>56897.91</v>
      </c>
      <c r="V120" s="158">
        <f t="shared" si="43"/>
        <v>0.76145048128382331</v>
      </c>
      <c r="W120" s="159">
        <v>45512.547222222223</v>
      </c>
      <c r="X120" s="159">
        <v>45517.322222222225</v>
      </c>
      <c r="Y120" s="160">
        <v>45518</v>
      </c>
      <c r="Z120" s="470">
        <v>45699</v>
      </c>
      <c r="AA120" s="470">
        <v>45699</v>
      </c>
      <c r="AB120" s="470"/>
      <c r="AC120" s="161">
        <f t="shared" si="44"/>
        <v>186.45277777777665</v>
      </c>
      <c r="AD120" s="161">
        <f t="shared" si="80"/>
        <v>181.67777777777519</v>
      </c>
      <c r="AE120" s="446">
        <f t="shared" si="72"/>
        <v>-45699</v>
      </c>
      <c r="AF120" s="160">
        <f t="shared" si="81"/>
        <v>45531.847602450362</v>
      </c>
      <c r="AG120" s="160">
        <f t="shared" si="82"/>
        <v>45540.794370511197</v>
      </c>
      <c r="AH120" s="159">
        <f t="shared" si="83"/>
        <v>45562.547222222223</v>
      </c>
      <c r="AI120" s="162">
        <f t="shared" si="45"/>
        <v>6.2707264137538683</v>
      </c>
      <c r="AJ120" s="224">
        <f t="shared" si="84"/>
        <v>-761.65</v>
      </c>
      <c r="AK120" s="225">
        <f t="shared" si="46"/>
        <v>23</v>
      </c>
      <c r="AL120" s="170">
        <f t="shared" si="47"/>
        <v>34</v>
      </c>
      <c r="AM120" s="170">
        <f t="shared" si="48"/>
        <v>22.300380228136884</v>
      </c>
      <c r="AN120" s="170">
        <f t="shared" si="49"/>
        <v>28.247148288973385</v>
      </c>
      <c r="AO120" s="226">
        <f t="shared" si="50"/>
        <v>19.300380228136884</v>
      </c>
      <c r="AP120" s="227">
        <v>60</v>
      </c>
      <c r="AQ120" s="228">
        <f t="shared" si="51"/>
        <v>57</v>
      </c>
      <c r="AR120" s="228">
        <f t="shared" si="52"/>
        <v>52</v>
      </c>
      <c r="AS120" s="229">
        <f t="shared" si="53"/>
        <v>45759</v>
      </c>
      <c r="AT120" s="982">
        <f t="shared" ca="1" si="54"/>
        <v>196</v>
      </c>
      <c r="AU120" s="50"/>
      <c r="AV120" s="118"/>
      <c r="AW120" s="49"/>
      <c r="AX120" s="49"/>
      <c r="AY120" s="49"/>
      <c r="AZ120" s="300"/>
      <c r="BA120" s="119"/>
      <c r="BB120" s="304"/>
      <c r="BC120" s="231" t="s">
        <v>146</v>
      </c>
      <c r="BD120" s="232" t="s">
        <v>601</v>
      </c>
      <c r="BE120" s="222">
        <f t="shared" si="77"/>
        <v>45714</v>
      </c>
      <c r="BF120" s="233" t="e">
        <f t="shared" si="78"/>
        <v>#VALUE!</v>
      </c>
      <c r="BG120" s="234"/>
      <c r="BH120" s="235"/>
      <c r="BI120" s="234">
        <v>45807</v>
      </c>
      <c r="BJ120" s="236" t="s">
        <v>245</v>
      </c>
      <c r="BK120" s="222" t="s">
        <v>247</v>
      </c>
      <c r="BL120" s="222"/>
      <c r="BM120" s="238"/>
      <c r="BN120" s="222"/>
      <c r="BO120" s="222"/>
      <c r="BP120" s="243"/>
      <c r="BQ120" s="244" t="s">
        <v>247</v>
      </c>
      <c r="BR120" s="238">
        <v>45699</v>
      </c>
      <c r="BS120" s="67"/>
      <c r="BT120" s="66"/>
      <c r="BU120" s="66"/>
      <c r="BV120" s="66"/>
      <c r="BW120" s="74"/>
      <c r="BX120" s="81"/>
      <c r="BY120" s="66">
        <v>45518</v>
      </c>
      <c r="BZ120" s="944" t="s">
        <v>1014</v>
      </c>
      <c r="CA120" s="42" t="str">
        <f t="shared" si="57"/>
        <v>0</v>
      </c>
      <c r="CB120" s="62">
        <f t="shared" si="58"/>
        <v>186.45277777777665</v>
      </c>
      <c r="CC120" s="42">
        <f t="shared" si="59"/>
        <v>0</v>
      </c>
      <c r="CD120" s="62">
        <f t="shared" si="60"/>
        <v>186.45277777777665</v>
      </c>
      <c r="CE120" s="62">
        <f t="shared" si="61"/>
        <v>6.2707264137538683</v>
      </c>
      <c r="CF120" s="145">
        <f t="shared" si="62"/>
        <v>170</v>
      </c>
      <c r="CG120" s="145"/>
      <c r="CH120" s="443">
        <f t="shared" si="63"/>
        <v>11.988117718101694</v>
      </c>
      <c r="CI120" s="996">
        <f t="shared" si="64"/>
        <v>11.988117718101694</v>
      </c>
      <c r="CJ120" s="261">
        <f t="shared" si="65"/>
        <v>2.8333333333333335</v>
      </c>
      <c r="CK120" s="458" t="str">
        <f t="shared" si="66"/>
        <v/>
      </c>
      <c r="CL120" t="str">
        <f t="shared" si="67"/>
        <v>NON-REV</v>
      </c>
      <c r="CM120" t="str">
        <f t="shared" si="68"/>
        <v/>
      </c>
      <c r="CN120" s="635"/>
      <c r="CO120" s="631"/>
      <c r="CP120" s="629" t="str">
        <f t="shared" si="79"/>
        <v>FOR ISSUANCE</v>
      </c>
      <c r="CQ120" s="635"/>
      <c r="CR120" s="697"/>
      <c r="CS120" s="633" t="str">
        <f t="shared" ca="1" si="70"/>
        <v>0</v>
      </c>
      <c r="CT120" s="635"/>
      <c r="CU120" s="631"/>
      <c r="CV120" s="638"/>
      <c r="CW120" s="156" t="s">
        <v>1015</v>
      </c>
      <c r="CX120" s="156" t="str">
        <f>VLOOKUP(E120,'[1]List of Work Orders'!$A:$I,9,FALSE)</f>
        <v>ME155242</v>
      </c>
      <c r="CY120" s="156"/>
      <c r="CZ120" s="63"/>
      <c r="DC120" t="str">
        <f>VLOOKUP(E120,'[2]List of Work Orders'!$A:$F,6,FALSE)</f>
        <v>FCOMP</v>
      </c>
      <c r="DS120" s="156" t="s">
        <v>397</v>
      </c>
    </row>
    <row r="121" spans="1:123" customFormat="1" ht="15" customHeight="1" x14ac:dyDescent="0.25">
      <c r="A121" s="242">
        <v>45517</v>
      </c>
      <c r="B121" s="222">
        <v>45522</v>
      </c>
      <c r="C121" s="223"/>
      <c r="D121" s="66" t="s">
        <v>320</v>
      </c>
      <c r="E121" s="404" t="s">
        <v>1016</v>
      </c>
      <c r="F121" s="95" t="s">
        <v>1017</v>
      </c>
      <c r="G121" s="95" t="s">
        <v>1018</v>
      </c>
      <c r="H121" s="95" t="s">
        <v>238</v>
      </c>
      <c r="I121" s="95" t="s">
        <v>239</v>
      </c>
      <c r="J121" s="168" t="s">
        <v>1019</v>
      </c>
      <c r="K121" s="101" t="s">
        <v>533</v>
      </c>
      <c r="L121" s="101" t="s">
        <v>5</v>
      </c>
      <c r="M121" s="345" t="s">
        <v>331</v>
      </c>
      <c r="N121" s="442" t="s">
        <v>403</v>
      </c>
      <c r="O121" s="165">
        <v>58.3675</v>
      </c>
      <c r="P121" s="165">
        <v>139.16999999999999</v>
      </c>
      <c r="Q121" s="157">
        <v>114</v>
      </c>
      <c r="R121" s="109" t="s">
        <v>244</v>
      </c>
      <c r="S121" s="110">
        <v>434654.9</v>
      </c>
      <c r="T121" s="93">
        <v>47026.09</v>
      </c>
      <c r="U121" s="141"/>
      <c r="V121" s="158">
        <f t="shared" si="43"/>
        <v>0</v>
      </c>
      <c r="W121" s="159">
        <v>45512.704861111109</v>
      </c>
      <c r="X121" s="159">
        <v>45517.386111111111</v>
      </c>
      <c r="Y121" s="160">
        <v>45516</v>
      </c>
      <c r="Z121" s="470"/>
      <c r="AA121" s="470"/>
      <c r="AB121" s="470"/>
      <c r="AC121" s="161">
        <f t="shared" si="44"/>
        <v>-45512.704861111109</v>
      </c>
      <c r="AD121" s="161">
        <f t="shared" si="80"/>
        <v>-45517.386111111111</v>
      </c>
      <c r="AE121" s="446">
        <f t="shared" si="72"/>
        <v>0</v>
      </c>
      <c r="AF121" s="160">
        <f t="shared" si="81"/>
        <v>45532.150904276576</v>
      </c>
      <c r="AG121" s="160">
        <f t="shared" si="82"/>
        <v>45541.136515787366</v>
      </c>
      <c r="AH121" s="159">
        <f t="shared" si="83"/>
        <v>45562.704861111109</v>
      </c>
      <c r="AI121" s="162">
        <f t="shared" si="45"/>
        <v>-1520.7370133880875</v>
      </c>
      <c r="AJ121" s="224">
        <f t="shared" si="84"/>
        <v>0</v>
      </c>
      <c r="AK121" s="225">
        <f t="shared" si="46"/>
        <v>26</v>
      </c>
      <c r="AL121" s="170">
        <f t="shared" si="47"/>
        <v>32</v>
      </c>
      <c r="AM121" s="170">
        <f t="shared" si="48"/>
        <v>22.446043165467625</v>
      </c>
      <c r="AN121" s="170">
        <f t="shared" si="49"/>
        <v>28.431654676258994</v>
      </c>
      <c r="AO121" s="226">
        <f t="shared" si="50"/>
        <v>19.446043165467625</v>
      </c>
      <c r="AP121" s="227">
        <v>60</v>
      </c>
      <c r="AQ121" s="228">
        <f t="shared" si="51"/>
        <v>57</v>
      </c>
      <c r="AR121" s="228">
        <f t="shared" si="52"/>
        <v>52</v>
      </c>
      <c r="AS121" s="229">
        <f t="shared" si="53"/>
        <v>60</v>
      </c>
      <c r="AT121" s="982">
        <f t="shared" ca="1" si="54"/>
        <v>45895</v>
      </c>
      <c r="AU121" s="50"/>
      <c r="AV121" s="118"/>
      <c r="AW121" s="49"/>
      <c r="AX121" s="49"/>
      <c r="AY121" s="49"/>
      <c r="AZ121" s="300"/>
      <c r="BA121" s="119"/>
      <c r="BB121" s="304"/>
      <c r="BC121" s="231"/>
      <c r="BD121" s="232"/>
      <c r="BE121" s="222">
        <f t="shared" si="77"/>
        <v>15</v>
      </c>
      <c r="BF121" s="233">
        <f t="shared" si="78"/>
        <v>0</v>
      </c>
      <c r="BG121" s="234"/>
      <c r="BH121" s="235"/>
      <c r="BI121" s="234"/>
      <c r="BJ121" s="236"/>
      <c r="BK121" s="222"/>
      <c r="BL121" s="222"/>
      <c r="BM121" s="238"/>
      <c r="BN121" s="222"/>
      <c r="BO121" s="222"/>
      <c r="BP121" s="243"/>
      <c r="BQ121" s="244" t="s">
        <v>247</v>
      </c>
      <c r="BR121" s="238"/>
      <c r="BS121" s="67"/>
      <c r="BT121" s="66"/>
      <c r="BU121" s="66"/>
      <c r="BV121" s="66"/>
      <c r="BW121" s="74"/>
      <c r="BX121" s="81"/>
      <c r="BY121" s="66">
        <v>45518</v>
      </c>
      <c r="BZ121" s="944" t="s">
        <v>1020</v>
      </c>
      <c r="CA121" s="42" t="str">
        <f t="shared" si="57"/>
        <v>0</v>
      </c>
      <c r="CB121" s="62">
        <f t="shared" si="58"/>
        <v>-45512.704861111109</v>
      </c>
      <c r="CC121" s="42">
        <f t="shared" si="59"/>
        <v>0</v>
      </c>
      <c r="CD121" s="62">
        <f t="shared" si="60"/>
        <v>-45512.704861111109</v>
      </c>
      <c r="CE121" s="62">
        <f t="shared" si="61"/>
        <v>-1520.7370133880875</v>
      </c>
      <c r="CF121" s="145" t="str">
        <f t="shared" si="62"/>
        <v>0</v>
      </c>
      <c r="CG121" s="145"/>
      <c r="CH121" s="443">
        <f t="shared" si="63"/>
        <v>11.905053919604754</v>
      </c>
      <c r="CI121" s="996">
        <f t="shared" si="64"/>
        <v>11.905053919604754</v>
      </c>
      <c r="CJ121" s="261">
        <f t="shared" si="65"/>
        <v>0</v>
      </c>
      <c r="CK121" s="458">
        <f t="shared" si="66"/>
        <v>343.29513888889051</v>
      </c>
      <c r="CL121" t="str">
        <f t="shared" si="67"/>
        <v>REV</v>
      </c>
      <c r="CM121" t="str">
        <f t="shared" si="68"/>
        <v>10 MONTHS AND ABOVE</v>
      </c>
      <c r="CN121" s="635"/>
      <c r="CO121" s="631"/>
      <c r="CP121" s="629" t="str">
        <f t="shared" si="79"/>
        <v>FOR ISSUANCE</v>
      </c>
      <c r="CQ121" s="635"/>
      <c r="CR121" s="697"/>
      <c r="CS121" s="633" t="str">
        <f t="shared" ca="1" si="70"/>
        <v>0</v>
      </c>
      <c r="CT121" s="635"/>
      <c r="CU121" s="631"/>
      <c r="CV121" s="638"/>
      <c r="CW121" s="156" t="s">
        <v>1021</v>
      </c>
      <c r="CX121" s="156" t="str">
        <f>VLOOKUP(E121,'[1]List of Work Orders'!$A:$I,9,FALSE)</f>
        <v>ME166067</v>
      </c>
      <c r="CY121" s="156"/>
      <c r="DC121" t="str">
        <f>VLOOKUP(E121,'[2]List of Work Orders'!$A:$F,6,FALSE)</f>
        <v>PCAN3</v>
      </c>
      <c r="DS121" s="156" t="s">
        <v>381</v>
      </c>
    </row>
    <row r="122" spans="1:123" customFormat="1" ht="15" customHeight="1" x14ac:dyDescent="0.25">
      <c r="A122" s="242">
        <v>45517</v>
      </c>
      <c r="B122" s="222">
        <v>45512</v>
      </c>
      <c r="C122" s="223"/>
      <c r="D122" s="66" t="s">
        <v>284</v>
      </c>
      <c r="E122" s="404" t="s">
        <v>1022</v>
      </c>
      <c r="F122" s="95" t="s">
        <v>296</v>
      </c>
      <c r="G122" s="95" t="s">
        <v>297</v>
      </c>
      <c r="H122" s="95" t="s">
        <v>238</v>
      </c>
      <c r="I122" s="95" t="s">
        <v>239</v>
      </c>
      <c r="J122" s="163" t="s">
        <v>1023</v>
      </c>
      <c r="K122" s="101" t="s">
        <v>299</v>
      </c>
      <c r="L122" s="101" t="s">
        <v>288</v>
      </c>
      <c r="M122" s="345" t="s">
        <v>272</v>
      </c>
      <c r="N122" s="442" t="s">
        <v>381</v>
      </c>
      <c r="O122" s="165">
        <v>11.8408</v>
      </c>
      <c r="P122" s="933">
        <v>11.84</v>
      </c>
      <c r="Q122" s="157">
        <v>16</v>
      </c>
      <c r="R122" s="109" t="s">
        <v>244</v>
      </c>
      <c r="S122" s="110">
        <v>132843.69</v>
      </c>
      <c r="T122" s="93">
        <v>9535.1</v>
      </c>
      <c r="U122" s="141"/>
      <c r="V122" s="158">
        <f t="shared" si="43"/>
        <v>0</v>
      </c>
      <c r="W122" s="159">
        <v>45512.711805555555</v>
      </c>
      <c r="X122" s="159">
        <v>45517.314583333333</v>
      </c>
      <c r="Y122" s="160">
        <v>45520</v>
      </c>
      <c r="Z122" s="470"/>
      <c r="AA122" s="470">
        <v>45721</v>
      </c>
      <c r="AB122" s="470"/>
      <c r="AC122" s="161">
        <f t="shared" si="44"/>
        <v>208.28819444444525</v>
      </c>
      <c r="AD122" s="161">
        <f t="shared" si="80"/>
        <v>203.68541666666715</v>
      </c>
      <c r="AE122" s="446">
        <f t="shared" si="72"/>
        <v>-45721</v>
      </c>
      <c r="AF122" s="160">
        <f t="shared" si="81"/>
        <v>45531.485999103941</v>
      </c>
      <c r="AG122" s="160">
        <f t="shared" si="82"/>
        <v>45540.292450716843</v>
      </c>
      <c r="AH122" s="159">
        <f t="shared" si="83"/>
        <v>45562.711805555555</v>
      </c>
      <c r="AI122" s="162">
        <f t="shared" si="45"/>
        <v>7.1743711419753362</v>
      </c>
      <c r="AJ122" s="224">
        <f t="shared" si="84"/>
        <v>-762.01666666666665</v>
      </c>
      <c r="AK122" s="225">
        <f t="shared" si="46"/>
        <v>20</v>
      </c>
      <c r="AL122" s="170">
        <f t="shared" si="47"/>
        <v>36</v>
      </c>
      <c r="AM122" s="170">
        <f t="shared" si="48"/>
        <v>21.774193548387096</v>
      </c>
      <c r="AN122" s="170">
        <f t="shared" si="49"/>
        <v>27.58064516129032</v>
      </c>
      <c r="AO122" s="226">
        <f t="shared" si="50"/>
        <v>18.774193548387096</v>
      </c>
      <c r="AP122" s="227">
        <v>60</v>
      </c>
      <c r="AQ122" s="228">
        <f t="shared" si="51"/>
        <v>57</v>
      </c>
      <c r="AR122" s="228">
        <f t="shared" si="52"/>
        <v>52</v>
      </c>
      <c r="AS122" s="229">
        <f t="shared" si="53"/>
        <v>45781</v>
      </c>
      <c r="AT122" s="982">
        <f t="shared" ca="1" si="54"/>
        <v>174</v>
      </c>
      <c r="AU122" s="50"/>
      <c r="AV122" s="118"/>
      <c r="AW122" s="49"/>
      <c r="AX122" s="49"/>
      <c r="AY122" s="49"/>
      <c r="AZ122" s="300"/>
      <c r="BA122" s="119"/>
      <c r="BB122" s="304"/>
      <c r="BC122" s="231" t="s">
        <v>12</v>
      </c>
      <c r="BD122" s="232"/>
      <c r="BE122" s="222">
        <f t="shared" si="77"/>
        <v>45736</v>
      </c>
      <c r="BF122" s="233">
        <f t="shared" si="78"/>
        <v>32</v>
      </c>
      <c r="BG122" s="234">
        <v>45723</v>
      </c>
      <c r="BH122" s="235">
        <v>45768</v>
      </c>
      <c r="BI122" s="234"/>
      <c r="BJ122" s="236"/>
      <c r="BK122" s="222"/>
      <c r="BL122" s="222"/>
      <c r="BM122" s="238"/>
      <c r="BN122" s="222"/>
      <c r="BO122" s="222"/>
      <c r="BP122" s="243"/>
      <c r="BQ122" s="244" t="s">
        <v>247</v>
      </c>
      <c r="BR122" s="238">
        <v>45754</v>
      </c>
      <c r="BS122" s="67"/>
      <c r="BT122" s="66"/>
      <c r="BU122" s="66"/>
      <c r="BV122" s="66"/>
      <c r="BW122" s="74"/>
      <c r="BX122" s="81"/>
      <c r="BY122" s="66">
        <v>45518</v>
      </c>
      <c r="BZ122" s="944" t="s">
        <v>1024</v>
      </c>
      <c r="CA122" s="42" t="str">
        <f t="shared" si="57"/>
        <v>0</v>
      </c>
      <c r="CB122" s="62">
        <f t="shared" si="58"/>
        <v>208.28819444444525</v>
      </c>
      <c r="CC122" s="42">
        <f t="shared" si="59"/>
        <v>0</v>
      </c>
      <c r="CD122" s="62">
        <f t="shared" si="60"/>
        <v>208.28819444444525</v>
      </c>
      <c r="CE122" s="62">
        <f t="shared" si="61"/>
        <v>7.1743711419753362</v>
      </c>
      <c r="CF122" s="145">
        <f t="shared" si="62"/>
        <v>148</v>
      </c>
      <c r="CG122" s="145"/>
      <c r="CH122" s="443">
        <f t="shared" si="63"/>
        <v>12.272148919753114</v>
      </c>
      <c r="CI122" s="996">
        <f t="shared" si="64"/>
        <v>12.272148919753114</v>
      </c>
      <c r="CJ122" s="261">
        <f t="shared" si="65"/>
        <v>2.4666666666666668</v>
      </c>
      <c r="CK122" s="458" t="str">
        <f t="shared" si="66"/>
        <v/>
      </c>
      <c r="CL122" t="str">
        <f t="shared" si="67"/>
        <v>REV</v>
      </c>
      <c r="CM122" t="str">
        <f t="shared" si="68"/>
        <v/>
      </c>
      <c r="CN122" s="635"/>
      <c r="CO122" s="631"/>
      <c r="CP122" s="629" t="str">
        <f t="shared" si="79"/>
        <v>FOR ISSUANCE</v>
      </c>
      <c r="CQ122" s="635"/>
      <c r="CR122" s="697"/>
      <c r="CS122" s="633" t="str">
        <f t="shared" ca="1" si="70"/>
        <v>0</v>
      </c>
      <c r="CT122" s="635"/>
      <c r="CU122" s="631"/>
      <c r="CV122" s="638"/>
      <c r="CW122" s="156" t="s">
        <v>1025</v>
      </c>
      <c r="CX122" s="156" t="str">
        <f>VLOOKUP(E122,'[1]List of Work Orders'!$A:$I,9,FALSE)</f>
        <v>ME185284</v>
      </c>
      <c r="CY122" s="156"/>
      <c r="DC122" t="str">
        <f>VLOOKUP(E122,'[2]List of Work Orders'!$A:$F,6,FALSE)</f>
        <v>FCOMP</v>
      </c>
      <c r="DS122" s="156" t="s">
        <v>397</v>
      </c>
    </row>
    <row r="123" spans="1:123" customFormat="1" ht="15" customHeight="1" x14ac:dyDescent="0.25">
      <c r="A123" s="242">
        <v>45519</v>
      </c>
      <c r="B123" s="222">
        <v>45526</v>
      </c>
      <c r="C123" s="223"/>
      <c r="D123" s="66" t="s">
        <v>284</v>
      </c>
      <c r="E123" s="404" t="s">
        <v>1026</v>
      </c>
      <c r="F123" s="95" t="s">
        <v>1027</v>
      </c>
      <c r="G123" s="95" t="s">
        <v>1028</v>
      </c>
      <c r="H123" s="95" t="s">
        <v>238</v>
      </c>
      <c r="I123" s="95" t="s">
        <v>239</v>
      </c>
      <c r="J123" s="163" t="s">
        <v>1029</v>
      </c>
      <c r="K123" s="101" t="s">
        <v>271</v>
      </c>
      <c r="L123" s="101" t="s">
        <v>263</v>
      </c>
      <c r="M123" s="345" t="s">
        <v>272</v>
      </c>
      <c r="N123" s="442" t="s">
        <v>467</v>
      </c>
      <c r="O123" s="165">
        <v>81.420100000000005</v>
      </c>
      <c r="P123" s="933">
        <v>159.69999999999999</v>
      </c>
      <c r="Q123" s="157">
        <v>0</v>
      </c>
      <c r="R123" s="109" t="s">
        <v>327</v>
      </c>
      <c r="S123" s="110">
        <v>237016.01</v>
      </c>
      <c r="T123" s="93">
        <v>65565.56</v>
      </c>
      <c r="U123" s="141"/>
      <c r="V123" s="158">
        <f t="shared" si="43"/>
        <v>0</v>
      </c>
      <c r="W123" s="159">
        <v>45516.619444444441</v>
      </c>
      <c r="X123" s="159">
        <v>45519.571527777778</v>
      </c>
      <c r="Y123" s="160">
        <v>45518</v>
      </c>
      <c r="Z123" s="470"/>
      <c r="AA123" s="470">
        <v>45754</v>
      </c>
      <c r="AB123" s="470"/>
      <c r="AC123" s="161">
        <f t="shared" si="44"/>
        <v>237.38055555555911</v>
      </c>
      <c r="AD123" s="161">
        <f t="shared" si="80"/>
        <v>234.4284722222219</v>
      </c>
      <c r="AE123" s="446">
        <f t="shared" si="72"/>
        <v>-45754</v>
      </c>
      <c r="AF123" s="160">
        <f t="shared" si="81"/>
        <v>45537.826340996166</v>
      </c>
      <c r="AG123" s="160">
        <f t="shared" si="82"/>
        <v>45547.281513409958</v>
      </c>
      <c r="AH123" s="159">
        <f t="shared" si="83"/>
        <v>45566.619444444441</v>
      </c>
      <c r="AI123" s="162">
        <f t="shared" si="45"/>
        <v>7.354739434947879</v>
      </c>
      <c r="AJ123" s="224">
        <f t="shared" si="84"/>
        <v>-762.56666666666672</v>
      </c>
      <c r="AK123" s="225">
        <f t="shared" si="46"/>
        <v>26</v>
      </c>
      <c r="AL123" s="170">
        <f t="shared" si="47"/>
        <v>36</v>
      </c>
      <c r="AM123" s="170">
        <f t="shared" si="48"/>
        <v>24.206896551724139</v>
      </c>
      <c r="AN123" s="170">
        <f t="shared" si="49"/>
        <v>30.662068965517239</v>
      </c>
      <c r="AO123" s="226">
        <f t="shared" si="50"/>
        <v>21.206896551724139</v>
      </c>
      <c r="AP123" s="227">
        <v>60</v>
      </c>
      <c r="AQ123" s="228">
        <f t="shared" si="51"/>
        <v>57</v>
      </c>
      <c r="AR123" s="228">
        <f t="shared" si="52"/>
        <v>52</v>
      </c>
      <c r="AS123" s="229">
        <f t="shared" si="53"/>
        <v>45814</v>
      </c>
      <c r="AT123" s="982">
        <f t="shared" ca="1" si="54"/>
        <v>141</v>
      </c>
      <c r="AU123" s="50"/>
      <c r="AV123" s="118"/>
      <c r="AW123" s="49"/>
      <c r="AX123" s="49"/>
      <c r="AY123" s="49"/>
      <c r="AZ123" s="300"/>
      <c r="BA123" s="119"/>
      <c r="BB123" s="304"/>
      <c r="BC123" s="231" t="s">
        <v>13</v>
      </c>
      <c r="BD123" s="232"/>
      <c r="BE123" s="222">
        <f t="shared" si="77"/>
        <v>45769</v>
      </c>
      <c r="BF123" s="233" t="e">
        <f t="shared" si="78"/>
        <v>#VALUE!</v>
      </c>
      <c r="BG123" s="234"/>
      <c r="BH123" s="235"/>
      <c r="BI123" s="234"/>
      <c r="BJ123" s="236"/>
      <c r="BK123" s="222"/>
      <c r="BL123" s="222"/>
      <c r="BM123" s="238"/>
      <c r="BN123" s="222"/>
      <c r="BO123" s="222"/>
      <c r="BP123" s="243"/>
      <c r="BQ123" s="244" t="s">
        <v>247</v>
      </c>
      <c r="BR123" s="238"/>
      <c r="BS123" s="67"/>
      <c r="BT123" s="66"/>
      <c r="BU123" s="66"/>
      <c r="BV123" s="66"/>
      <c r="BW123" s="74"/>
      <c r="BX123" s="81"/>
      <c r="BY123" s="66">
        <v>45519</v>
      </c>
      <c r="BZ123" s="944" t="s">
        <v>1030</v>
      </c>
      <c r="CA123" s="42" t="str">
        <f t="shared" si="57"/>
        <v>0</v>
      </c>
      <c r="CB123" s="62">
        <f t="shared" si="58"/>
        <v>237.38055555555911</v>
      </c>
      <c r="CC123" s="42">
        <f t="shared" si="59"/>
        <v>0</v>
      </c>
      <c r="CD123" s="62">
        <f t="shared" si="60"/>
        <v>237.38055555555911</v>
      </c>
      <c r="CE123" s="62">
        <f t="shared" si="61"/>
        <v>7.354739434947879</v>
      </c>
      <c r="CF123" s="145">
        <f t="shared" si="62"/>
        <v>115</v>
      </c>
      <c r="CG123" s="145"/>
      <c r="CH123" s="443">
        <f t="shared" si="63"/>
        <v>10.917773622982065</v>
      </c>
      <c r="CI123" s="996">
        <f t="shared" si="64"/>
        <v>10.917773622982065</v>
      </c>
      <c r="CJ123" s="261">
        <f t="shared" si="65"/>
        <v>1.9166666666666667</v>
      </c>
      <c r="CK123" s="458" t="str">
        <f t="shared" si="66"/>
        <v/>
      </c>
      <c r="CL123" t="str">
        <f t="shared" si="67"/>
        <v>NON-REV</v>
      </c>
      <c r="CM123" t="str">
        <f t="shared" si="68"/>
        <v/>
      </c>
      <c r="CN123" s="635"/>
      <c r="CO123" s="631"/>
      <c r="CP123" s="629" t="str">
        <f t="shared" si="79"/>
        <v>FOR ISSUANCE</v>
      </c>
      <c r="CQ123" s="635"/>
      <c r="CR123" s="697"/>
      <c r="CS123" s="633" t="str">
        <f t="shared" ca="1" si="70"/>
        <v>0</v>
      </c>
      <c r="CT123" s="635"/>
      <c r="CU123" s="631"/>
      <c r="CV123" s="638"/>
      <c r="CW123" s="156" t="s">
        <v>1031</v>
      </c>
      <c r="CX123" s="156" t="str">
        <f>VLOOKUP(E123,'[1]List of Work Orders'!$A:$I,9,FALSE)</f>
        <v>ME155242</v>
      </c>
      <c r="CY123" s="156"/>
      <c r="DC123" t="str">
        <f>VLOOKUP(E123,'[2]List of Work Orders'!$A:$F,6,FALSE)</f>
        <v>FCOMP</v>
      </c>
      <c r="DS123" s="156" t="s">
        <v>397</v>
      </c>
    </row>
    <row r="124" spans="1:123" customFormat="1" ht="15" customHeight="1" x14ac:dyDescent="0.25">
      <c r="A124" s="242">
        <v>45525</v>
      </c>
      <c r="B124" s="222">
        <v>45526</v>
      </c>
      <c r="C124" s="223" t="s">
        <v>247</v>
      </c>
      <c r="D124" s="66" t="s">
        <v>320</v>
      </c>
      <c r="E124" s="404" t="s">
        <v>1032</v>
      </c>
      <c r="F124" s="95" t="s">
        <v>1033</v>
      </c>
      <c r="G124" s="95" t="s">
        <v>1034</v>
      </c>
      <c r="H124" s="95" t="s">
        <v>253</v>
      </c>
      <c r="I124" s="95" t="s">
        <v>254</v>
      </c>
      <c r="J124" s="168" t="s">
        <v>1035</v>
      </c>
      <c r="K124" s="101" t="s">
        <v>299</v>
      </c>
      <c r="L124" s="101" t="s">
        <v>263</v>
      </c>
      <c r="M124" s="345" t="s">
        <v>272</v>
      </c>
      <c r="N124" s="442" t="s">
        <v>467</v>
      </c>
      <c r="O124" s="165">
        <v>21.84</v>
      </c>
      <c r="P124" s="933">
        <v>85.64</v>
      </c>
      <c r="Q124" s="157">
        <v>0</v>
      </c>
      <c r="R124" s="109" t="s">
        <v>327</v>
      </c>
      <c r="S124" s="110">
        <v>114511.06</v>
      </c>
      <c r="T124" s="93">
        <v>17587.5</v>
      </c>
      <c r="U124" s="141"/>
      <c r="V124" s="158">
        <f t="shared" si="43"/>
        <v>0</v>
      </c>
      <c r="W124" s="159">
        <v>45518.397222222222</v>
      </c>
      <c r="X124" s="159">
        <v>45524.355555555558</v>
      </c>
      <c r="Y124" s="160">
        <v>45524</v>
      </c>
      <c r="Z124" s="470"/>
      <c r="AA124" s="470">
        <v>45799</v>
      </c>
      <c r="AB124" s="470"/>
      <c r="AC124" s="161">
        <f t="shared" si="44"/>
        <v>280.6027777777781</v>
      </c>
      <c r="AD124" s="161">
        <f t="shared" si="80"/>
        <v>274.64444444444234</v>
      </c>
      <c r="AE124" s="446">
        <f t="shared" si="72"/>
        <v>-45799</v>
      </c>
      <c r="AF124" s="160">
        <f t="shared" si="81"/>
        <v>45538.482724080961</v>
      </c>
      <c r="AG124" s="160">
        <f t="shared" si="82"/>
        <v>45547.638857909951</v>
      </c>
      <c r="AH124" s="159">
        <f t="shared" si="83"/>
        <v>45568.397222222222</v>
      </c>
      <c r="AI124" s="162">
        <f t="shared" si="45"/>
        <v>9.1162013553408592</v>
      </c>
      <c r="AJ124" s="224">
        <f t="shared" si="84"/>
        <v>-763.31666666666672</v>
      </c>
      <c r="AK124" s="225">
        <f t="shared" si="46"/>
        <v>23</v>
      </c>
      <c r="AL124" s="170">
        <f t="shared" si="47"/>
        <v>36</v>
      </c>
      <c r="AM124" s="170">
        <f t="shared" si="48"/>
        <v>23.085501858736059</v>
      </c>
      <c r="AN124" s="170">
        <f t="shared" si="49"/>
        <v>29.241635687732341</v>
      </c>
      <c r="AO124" s="226">
        <f t="shared" si="50"/>
        <v>20.085501858736059</v>
      </c>
      <c r="AP124" s="227">
        <v>60</v>
      </c>
      <c r="AQ124" s="228">
        <f t="shared" si="51"/>
        <v>57</v>
      </c>
      <c r="AR124" s="228">
        <f t="shared" si="52"/>
        <v>52</v>
      </c>
      <c r="AS124" s="229">
        <f t="shared" si="53"/>
        <v>45859</v>
      </c>
      <c r="AT124" s="982">
        <f t="shared" ca="1" si="54"/>
        <v>96</v>
      </c>
      <c r="AU124" s="50"/>
      <c r="AV124" s="118"/>
      <c r="AW124" s="49"/>
      <c r="AX124" s="49"/>
      <c r="AY124" s="49"/>
      <c r="AZ124" s="300"/>
      <c r="BA124" s="119"/>
      <c r="BB124" s="304"/>
      <c r="BC124" s="231" t="s">
        <v>13</v>
      </c>
      <c r="BD124" s="232"/>
      <c r="BE124" s="222">
        <f t="shared" si="77"/>
        <v>45814</v>
      </c>
      <c r="BF124" s="233" t="e">
        <f t="shared" si="78"/>
        <v>#VALUE!</v>
      </c>
      <c r="BG124" s="234"/>
      <c r="BH124" s="235"/>
      <c r="BI124" s="234"/>
      <c r="BJ124" s="236"/>
      <c r="BK124" s="222"/>
      <c r="BL124" s="222"/>
      <c r="BM124" s="238"/>
      <c r="BN124" s="222"/>
      <c r="BO124" s="222"/>
      <c r="BP124" s="243"/>
      <c r="BQ124" s="244" t="s">
        <v>246</v>
      </c>
      <c r="BR124" s="238"/>
      <c r="BS124" s="67"/>
      <c r="BT124" s="66"/>
      <c r="BU124" s="66"/>
      <c r="BV124" s="66"/>
      <c r="BW124" s="74"/>
      <c r="BX124" s="81"/>
      <c r="BY124" s="66">
        <v>45528</v>
      </c>
      <c r="BZ124" s="944" t="s">
        <v>1036</v>
      </c>
      <c r="CA124" s="42" t="str">
        <f t="shared" si="57"/>
        <v>0</v>
      </c>
      <c r="CB124" s="62">
        <f t="shared" si="58"/>
        <v>280.6027777777781</v>
      </c>
      <c r="CC124" s="42">
        <f t="shared" si="59"/>
        <v>0</v>
      </c>
      <c r="CD124" s="62">
        <f t="shared" si="60"/>
        <v>280.6027777777781</v>
      </c>
      <c r="CE124" s="62">
        <f t="shared" si="61"/>
        <v>9.1162013553408592</v>
      </c>
      <c r="CF124" s="145">
        <f t="shared" si="62"/>
        <v>70</v>
      </c>
      <c r="CG124" s="145"/>
      <c r="CH124" s="443">
        <f t="shared" si="63"/>
        <v>11.390355944712837</v>
      </c>
      <c r="CI124" s="996">
        <f t="shared" si="64"/>
        <v>11.390355944712837</v>
      </c>
      <c r="CJ124" s="261">
        <f t="shared" si="65"/>
        <v>1.1666666666666667</v>
      </c>
      <c r="CK124" s="458" t="str">
        <f t="shared" si="66"/>
        <v/>
      </c>
      <c r="CL124" t="str">
        <f t="shared" si="67"/>
        <v>NON-REV</v>
      </c>
      <c r="CM124" t="str">
        <f t="shared" si="68"/>
        <v/>
      </c>
      <c r="CN124" s="635"/>
      <c r="CO124" s="631"/>
      <c r="CP124" s="629" t="str">
        <f t="shared" si="79"/>
        <v>FOR ISSUANCE</v>
      </c>
      <c r="CQ124" s="635"/>
      <c r="CR124" s="697"/>
      <c r="CS124" s="633" t="str">
        <f t="shared" ca="1" si="70"/>
        <v>0</v>
      </c>
      <c r="CT124" s="635"/>
      <c r="CU124" s="631"/>
      <c r="CV124" s="638"/>
      <c r="CW124" s="156" t="s">
        <v>1037</v>
      </c>
      <c r="CX124" s="156" t="str">
        <f>VLOOKUP(E124,'[1]List of Work Orders'!$A:$I,9,FALSE)</f>
        <v>ME155242</v>
      </c>
      <c r="CY124" s="156"/>
      <c r="DC124" t="str">
        <f>VLOOKUP(E124,'[2]List of Work Orders'!$A:$F,6,FALSE)</f>
        <v>SCHED</v>
      </c>
      <c r="DS124" s="156" t="s">
        <v>381</v>
      </c>
    </row>
    <row r="125" spans="1:123" customFormat="1" ht="15" customHeight="1" x14ac:dyDescent="0.25">
      <c r="A125" s="242">
        <v>45551</v>
      </c>
      <c r="B125" s="222" t="s">
        <v>470</v>
      </c>
      <c r="C125" s="223"/>
      <c r="D125" s="66" t="s">
        <v>234</v>
      </c>
      <c r="E125" s="404" t="s">
        <v>1038</v>
      </c>
      <c r="F125" s="423" t="s">
        <v>1039</v>
      </c>
      <c r="G125" s="95" t="s">
        <v>1040</v>
      </c>
      <c r="H125" s="95" t="s">
        <v>238</v>
      </c>
      <c r="I125" s="95" t="s">
        <v>239</v>
      </c>
      <c r="J125" s="163" t="s">
        <v>1041</v>
      </c>
      <c r="K125" s="101" t="s">
        <v>299</v>
      </c>
      <c r="L125" s="101" t="s">
        <v>288</v>
      </c>
      <c r="M125" s="345" t="s">
        <v>272</v>
      </c>
      <c r="N125" s="442" t="s">
        <v>381</v>
      </c>
      <c r="O125" s="165">
        <v>142.47499999999999</v>
      </c>
      <c r="P125" s="933">
        <v>220.76</v>
      </c>
      <c r="Q125" s="157">
        <v>0</v>
      </c>
      <c r="R125" s="109" t="s">
        <v>327</v>
      </c>
      <c r="S125" s="110">
        <v>371967.81</v>
      </c>
      <c r="T125" s="93">
        <v>114354.6</v>
      </c>
      <c r="U125" s="141"/>
      <c r="V125" s="158">
        <f t="shared" si="43"/>
        <v>0</v>
      </c>
      <c r="W125" s="159">
        <v>45523.695833333331</v>
      </c>
      <c r="X125" s="159">
        <v>45526.556250000001</v>
      </c>
      <c r="Y125" s="160">
        <v>45526</v>
      </c>
      <c r="Z125" s="470"/>
      <c r="AA125" s="470">
        <v>45710</v>
      </c>
      <c r="AB125" s="470"/>
      <c r="AC125" s="161">
        <f t="shared" si="44"/>
        <v>186.30416666666861</v>
      </c>
      <c r="AD125" s="161">
        <f t="shared" si="80"/>
        <v>183.44374999999854</v>
      </c>
      <c r="AE125" s="446">
        <f t="shared" si="72"/>
        <v>-45710</v>
      </c>
      <c r="AF125" s="160">
        <f t="shared" si="81"/>
        <v>45545.564254385965</v>
      </c>
      <c r="AG125" s="160">
        <f t="shared" si="82"/>
        <v>45555.195833333331</v>
      </c>
      <c r="AH125" s="159">
        <f t="shared" si="83"/>
        <v>45573.695833333331</v>
      </c>
      <c r="AI125" s="162">
        <f t="shared" si="45"/>
        <v>5.6186970899471484</v>
      </c>
      <c r="AJ125" s="224">
        <f t="shared" si="84"/>
        <v>-761.83333333333337</v>
      </c>
      <c r="AK125" s="225">
        <f t="shared" si="46"/>
        <v>28</v>
      </c>
      <c r="AL125" s="170">
        <f t="shared" si="47"/>
        <v>36</v>
      </c>
      <c r="AM125" s="170">
        <f t="shared" si="48"/>
        <v>24.868421052631579</v>
      </c>
      <c r="AN125" s="170">
        <f t="shared" si="49"/>
        <v>31.499999999999996</v>
      </c>
      <c r="AO125" s="226">
        <f t="shared" si="50"/>
        <v>21.868421052631579</v>
      </c>
      <c r="AP125" s="227">
        <v>60</v>
      </c>
      <c r="AQ125" s="228">
        <f t="shared" si="51"/>
        <v>57</v>
      </c>
      <c r="AR125" s="228">
        <f t="shared" si="52"/>
        <v>52</v>
      </c>
      <c r="AS125" s="229">
        <f t="shared" si="53"/>
        <v>45770</v>
      </c>
      <c r="AT125" s="982">
        <f t="shared" ca="1" si="54"/>
        <v>185</v>
      </c>
      <c r="AU125" s="50"/>
      <c r="AV125" s="118"/>
      <c r="AW125" s="49"/>
      <c r="AX125" s="49"/>
      <c r="AY125" s="49"/>
      <c r="AZ125" s="300"/>
      <c r="BA125" s="119"/>
      <c r="BB125" s="304"/>
      <c r="BC125" s="231" t="s">
        <v>13</v>
      </c>
      <c r="BD125" s="232"/>
      <c r="BE125" s="222">
        <f t="shared" si="77"/>
        <v>45725</v>
      </c>
      <c r="BF125" s="233" t="e">
        <f t="shared" si="78"/>
        <v>#VALUE!</v>
      </c>
      <c r="BG125" s="234"/>
      <c r="BH125" s="235"/>
      <c r="BI125" s="234"/>
      <c r="BJ125" s="236"/>
      <c r="BK125" s="222"/>
      <c r="BL125" s="222"/>
      <c r="BM125" s="238"/>
      <c r="BN125" s="222"/>
      <c r="BO125" s="222"/>
      <c r="BP125" s="243"/>
      <c r="BQ125" s="244" t="s">
        <v>246</v>
      </c>
      <c r="BR125" s="238"/>
      <c r="BS125" s="67"/>
      <c r="BT125" s="66"/>
      <c r="BU125" s="66"/>
      <c r="BV125" s="66"/>
      <c r="BW125" s="74"/>
      <c r="BX125" s="81"/>
      <c r="BY125" s="66"/>
      <c r="BZ125" s="944" t="s">
        <v>1042</v>
      </c>
      <c r="CA125" s="42" t="str">
        <f t="shared" si="57"/>
        <v>0</v>
      </c>
      <c r="CB125" s="62">
        <f t="shared" si="58"/>
        <v>186.30416666666861</v>
      </c>
      <c r="CC125" s="42">
        <f t="shared" si="59"/>
        <v>0</v>
      </c>
      <c r="CD125" s="62">
        <f t="shared" si="60"/>
        <v>186.30416666666861</v>
      </c>
      <c r="CE125" s="62">
        <f t="shared" si="61"/>
        <v>5.6186970899471484</v>
      </c>
      <c r="CF125" s="145">
        <f t="shared" si="62"/>
        <v>159</v>
      </c>
      <c r="CG125" s="145"/>
      <c r="CH125" s="443">
        <f t="shared" si="63"/>
        <v>10.413935185185244</v>
      </c>
      <c r="CI125" s="996">
        <f t="shared" si="64"/>
        <v>10.413935185185244</v>
      </c>
      <c r="CJ125" s="261">
        <f t="shared" si="65"/>
        <v>2.65</v>
      </c>
      <c r="CK125" s="458" t="str">
        <f t="shared" si="66"/>
        <v/>
      </c>
      <c r="CL125" t="str">
        <f t="shared" si="67"/>
        <v>NON-REV</v>
      </c>
      <c r="CM125" t="str">
        <f t="shared" si="68"/>
        <v/>
      </c>
      <c r="CN125" s="635"/>
      <c r="CO125" s="631"/>
      <c r="CP125" s="629" t="str">
        <f t="shared" si="79"/>
        <v>FOR ISSUANCE</v>
      </c>
      <c r="CQ125" s="635"/>
      <c r="CR125" s="697"/>
      <c r="CS125" s="633" t="str">
        <f t="shared" ca="1" si="70"/>
        <v>0</v>
      </c>
      <c r="CT125" s="635"/>
      <c r="CU125" s="631"/>
      <c r="CV125" s="638"/>
      <c r="CW125" s="156" t="s">
        <v>1043</v>
      </c>
      <c r="CX125" s="156" t="str">
        <f>VLOOKUP(E125,'[1]List of Work Orders'!$A:$I,9,FALSE)</f>
        <v>ME185284</v>
      </c>
      <c r="CY125" s="156"/>
      <c r="DC125" t="str">
        <f>VLOOKUP(E125,'[2]List of Work Orders'!$A:$F,6,FALSE)</f>
        <v>FCOMP</v>
      </c>
      <c r="DS125" s="156" t="s">
        <v>381</v>
      </c>
    </row>
    <row r="126" spans="1:123" ht="15" customHeight="1" x14ac:dyDescent="0.2">
      <c r="A126" s="242">
        <v>45530</v>
      </c>
      <c r="B126" s="222">
        <v>45544</v>
      </c>
      <c r="C126" s="223"/>
      <c r="D126" s="66" t="s">
        <v>320</v>
      </c>
      <c r="E126" s="404" t="s">
        <v>1044</v>
      </c>
      <c r="F126" s="95" t="s">
        <v>1045</v>
      </c>
      <c r="G126" s="95" t="s">
        <v>1046</v>
      </c>
      <c r="H126" s="95" t="s">
        <v>269</v>
      </c>
      <c r="I126" s="95" t="s">
        <v>239</v>
      </c>
      <c r="J126" s="163"/>
      <c r="K126" s="101"/>
      <c r="L126" s="101" t="s">
        <v>255</v>
      </c>
      <c r="M126" s="345" t="s">
        <v>272</v>
      </c>
      <c r="N126" s="442" t="s">
        <v>381</v>
      </c>
      <c r="O126" s="165">
        <v>14.8103</v>
      </c>
      <c r="P126" s="933">
        <v>14.81</v>
      </c>
      <c r="Q126" s="157">
        <v>32</v>
      </c>
      <c r="R126" s="109" t="s">
        <v>548</v>
      </c>
      <c r="S126" s="110">
        <v>143928.54</v>
      </c>
      <c r="T126" s="93">
        <v>11926.44</v>
      </c>
      <c r="U126" s="141"/>
      <c r="V126" s="158">
        <f t="shared" si="43"/>
        <v>0</v>
      </c>
      <c r="W126" s="159">
        <v>45524.573611111111</v>
      </c>
      <c r="X126" s="159">
        <v>45526.587500000001</v>
      </c>
      <c r="Y126" s="160">
        <v>45528</v>
      </c>
      <c r="Z126" s="470"/>
      <c r="AA126" s="470">
        <v>45663</v>
      </c>
      <c r="AB126" s="470"/>
      <c r="AC126" s="161">
        <f t="shared" si="44"/>
        <v>138.42638888888905</v>
      </c>
      <c r="AD126" s="161">
        <f t="shared" si="80"/>
        <v>136.41249999999854</v>
      </c>
      <c r="AE126" s="446">
        <f t="shared" si="72"/>
        <v>-45663</v>
      </c>
      <c r="AF126" s="160">
        <f t="shared" si="81"/>
        <v>45543.347804659497</v>
      </c>
      <c r="AG126" s="160">
        <f t="shared" si="82"/>
        <v>45552.154256272399</v>
      </c>
      <c r="AH126" s="159">
        <f t="shared" si="83"/>
        <v>45574.573611111111</v>
      </c>
      <c r="AI126" s="162">
        <f t="shared" si="45"/>
        <v>4.7680200617284001</v>
      </c>
      <c r="AJ126" s="224">
        <f t="shared" si="84"/>
        <v>-761.05</v>
      </c>
      <c r="AK126" s="225">
        <f t="shared" si="46"/>
        <v>20</v>
      </c>
      <c r="AL126" s="170">
        <f t="shared" si="47"/>
        <v>36</v>
      </c>
      <c r="AM126" s="170">
        <f t="shared" si="48"/>
        <v>21.774193548387096</v>
      </c>
      <c r="AN126" s="170">
        <f t="shared" si="49"/>
        <v>27.58064516129032</v>
      </c>
      <c r="AO126" s="226">
        <f t="shared" si="50"/>
        <v>18.774193548387096</v>
      </c>
      <c r="AP126" s="227">
        <v>60</v>
      </c>
      <c r="AQ126" s="228">
        <f t="shared" si="51"/>
        <v>57</v>
      </c>
      <c r="AR126" s="228">
        <f t="shared" si="52"/>
        <v>52</v>
      </c>
      <c r="AS126" s="229">
        <f t="shared" si="53"/>
        <v>45723</v>
      </c>
      <c r="AT126" s="982">
        <f t="shared" ca="1" si="54"/>
        <v>232</v>
      </c>
      <c r="AU126" s="1077"/>
      <c r="AV126" s="1078"/>
      <c r="AW126" s="1079"/>
      <c r="AX126" s="1079"/>
      <c r="AY126" s="1079"/>
      <c r="AZ126" s="1080"/>
      <c r="BA126" s="1081"/>
      <c r="BB126" s="1091"/>
      <c r="BC126" s="231" t="s">
        <v>13</v>
      </c>
      <c r="BD126" s="232"/>
      <c r="BE126" s="222">
        <f t="shared" si="77"/>
        <v>45678</v>
      </c>
      <c r="BF126" s="233" t="e">
        <f t="shared" si="78"/>
        <v>#VALUE!</v>
      </c>
      <c r="BG126" s="234"/>
      <c r="BH126" s="235"/>
      <c r="BI126" s="234"/>
      <c r="BJ126" s="236"/>
      <c r="BK126" s="222"/>
      <c r="BL126" s="222"/>
      <c r="BM126" s="238"/>
      <c r="BN126" s="222"/>
      <c r="BO126" s="222"/>
      <c r="BP126" s="243"/>
      <c r="BQ126" s="244" t="s">
        <v>247</v>
      </c>
      <c r="BR126" s="238">
        <v>45643</v>
      </c>
      <c r="BS126" s="67"/>
      <c r="BT126" s="66"/>
      <c r="BU126" s="66"/>
      <c r="BV126" s="66"/>
      <c r="BW126" s="74"/>
      <c r="BX126" s="81"/>
      <c r="BY126" s="66">
        <v>45530</v>
      </c>
      <c r="BZ126" s="944" t="s">
        <v>1047</v>
      </c>
      <c r="CA126" s="42" t="str">
        <f t="shared" si="57"/>
        <v>0</v>
      </c>
      <c r="CB126" s="62">
        <f t="shared" si="58"/>
        <v>138.42638888888905</v>
      </c>
      <c r="CC126" s="42">
        <f t="shared" si="59"/>
        <v>0</v>
      </c>
      <c r="CD126" s="62">
        <f t="shared" si="60"/>
        <v>138.42638888888905</v>
      </c>
      <c r="CE126" s="62">
        <f t="shared" si="61"/>
        <v>4.7680200617284001</v>
      </c>
      <c r="CF126" s="1059">
        <f t="shared" si="62"/>
        <v>206</v>
      </c>
      <c r="CH126" s="1082">
        <f t="shared" si="63"/>
        <v>11.863575617283956</v>
      </c>
      <c r="CI126" s="1083">
        <f t="shared" si="64"/>
        <v>11.863575617283956</v>
      </c>
      <c r="CJ126" s="1084">
        <f t="shared" si="65"/>
        <v>3.4333333333333331</v>
      </c>
      <c r="CK126" s="1085" t="str">
        <f t="shared" si="66"/>
        <v/>
      </c>
      <c r="CL126" s="1057" t="str">
        <f t="shared" si="67"/>
        <v>NON-REV</v>
      </c>
      <c r="CM126" s="1057" t="str">
        <f t="shared" si="68"/>
        <v/>
      </c>
      <c r="CN126" s="1086"/>
      <c r="CO126" s="1087"/>
      <c r="CP126" s="629" t="str">
        <f t="shared" si="79"/>
        <v>FOR ISSUANCE</v>
      </c>
      <c r="CQ126" s="1086"/>
      <c r="CR126" s="1088"/>
      <c r="CS126" s="1089" t="str">
        <f t="shared" ca="1" si="70"/>
        <v>0</v>
      </c>
      <c r="CT126" s="1086"/>
      <c r="CU126" s="1087"/>
      <c r="CV126" s="1090"/>
      <c r="CW126" s="156" t="s">
        <v>1048</v>
      </c>
      <c r="CX126" s="156" t="str">
        <f>VLOOKUP(E126,'[1]List of Work Orders'!$A:$I,9,FALSE)</f>
        <v>ME185284</v>
      </c>
      <c r="CY126" s="156"/>
      <c r="DC126" s="1057" t="str">
        <f>VLOOKUP(E126,'[2]List of Work Orders'!$A:$F,6,FALSE)</f>
        <v>FCOMP</v>
      </c>
      <c r="DS126" s="156" t="s">
        <v>397</v>
      </c>
    </row>
    <row r="127" spans="1:123" customFormat="1" ht="15" customHeight="1" x14ac:dyDescent="0.25">
      <c r="A127" s="242">
        <v>45532</v>
      </c>
      <c r="B127" s="222">
        <v>45525</v>
      </c>
      <c r="C127" s="223"/>
      <c r="D127" s="66" t="s">
        <v>284</v>
      </c>
      <c r="E127" s="404" t="s">
        <v>1049</v>
      </c>
      <c r="F127" s="95" t="s">
        <v>1050</v>
      </c>
      <c r="G127" s="95" t="s">
        <v>1051</v>
      </c>
      <c r="H127" s="95" t="s">
        <v>269</v>
      </c>
      <c r="I127" s="95" t="s">
        <v>239</v>
      </c>
      <c r="J127" s="163"/>
      <c r="K127" s="101" t="s">
        <v>271</v>
      </c>
      <c r="L127" s="101" t="s">
        <v>242</v>
      </c>
      <c r="M127" s="345" t="s">
        <v>272</v>
      </c>
      <c r="N127" s="442" t="s">
        <v>467</v>
      </c>
      <c r="O127" s="165">
        <v>49.271599999999999</v>
      </c>
      <c r="P127" s="933">
        <v>84.25</v>
      </c>
      <c r="Q127" s="157">
        <v>68</v>
      </c>
      <c r="R127" s="109" t="s">
        <v>244</v>
      </c>
      <c r="S127" s="110">
        <v>401921.51</v>
      </c>
      <c r="T127" s="93">
        <v>39677.160000000003</v>
      </c>
      <c r="U127" s="141">
        <v>33772.879999999997</v>
      </c>
      <c r="V127" s="158">
        <f t="shared" si="43"/>
        <v>0.85119197039304206</v>
      </c>
      <c r="W127" s="159">
        <v>45525.632638888892</v>
      </c>
      <c r="X127" s="159">
        <v>45531.447916666664</v>
      </c>
      <c r="Y127" s="160">
        <v>45532</v>
      </c>
      <c r="Z127" s="470">
        <v>45724</v>
      </c>
      <c r="AA127" s="470">
        <v>45724</v>
      </c>
      <c r="AB127" s="470"/>
      <c r="AC127" s="161">
        <f t="shared" si="44"/>
        <v>198.36736111110804</v>
      </c>
      <c r="AD127" s="161">
        <f t="shared" si="80"/>
        <v>192.55208333333576</v>
      </c>
      <c r="AE127" s="446">
        <f t="shared" si="72"/>
        <v>-45724</v>
      </c>
      <c r="AF127" s="160">
        <f t="shared" si="81"/>
        <v>45544.93301911703</v>
      </c>
      <c r="AG127" s="160">
        <f t="shared" si="82"/>
        <v>45553.879787177866</v>
      </c>
      <c r="AH127" s="159">
        <f t="shared" si="83"/>
        <v>45575.632638888892</v>
      </c>
      <c r="AI127" s="162">
        <f t="shared" si="45"/>
        <v>6.6714342675474949</v>
      </c>
      <c r="AJ127" s="224">
        <f t="shared" si="84"/>
        <v>-762.06666666666672</v>
      </c>
      <c r="AK127" s="225">
        <f t="shared" si="46"/>
        <v>23</v>
      </c>
      <c r="AL127" s="170">
        <f t="shared" si="47"/>
        <v>34</v>
      </c>
      <c r="AM127" s="170">
        <f t="shared" si="48"/>
        <v>22.300380228136884</v>
      </c>
      <c r="AN127" s="170">
        <f t="shared" si="49"/>
        <v>28.247148288973385</v>
      </c>
      <c r="AO127" s="226">
        <f t="shared" si="50"/>
        <v>19.300380228136884</v>
      </c>
      <c r="AP127" s="227">
        <v>60</v>
      </c>
      <c r="AQ127" s="228">
        <f t="shared" si="51"/>
        <v>57</v>
      </c>
      <c r="AR127" s="228">
        <f t="shared" si="52"/>
        <v>52</v>
      </c>
      <c r="AS127" s="229">
        <f t="shared" si="53"/>
        <v>45784</v>
      </c>
      <c r="AT127" s="982">
        <f t="shared" ca="1" si="54"/>
        <v>171</v>
      </c>
      <c r="AU127" s="50"/>
      <c r="AV127" s="118"/>
      <c r="AW127" s="49"/>
      <c r="AX127" s="49"/>
      <c r="AY127" s="49"/>
      <c r="AZ127" s="300"/>
      <c r="BA127" s="119"/>
      <c r="BB127" s="304"/>
      <c r="BC127" s="231" t="s">
        <v>12</v>
      </c>
      <c r="BD127" s="232" t="s">
        <v>601</v>
      </c>
      <c r="BE127" s="222">
        <f t="shared" si="77"/>
        <v>45739</v>
      </c>
      <c r="BF127" s="233">
        <f t="shared" si="78"/>
        <v>-68</v>
      </c>
      <c r="BG127" s="234">
        <v>45680</v>
      </c>
      <c r="BH127" s="235">
        <v>45671</v>
      </c>
      <c r="BI127" s="234"/>
      <c r="BJ127" s="236"/>
      <c r="BK127" s="222"/>
      <c r="BL127" s="222"/>
      <c r="BM127" s="238"/>
      <c r="BN127" s="222"/>
      <c r="BO127" s="222"/>
      <c r="BP127" s="243"/>
      <c r="BQ127" s="244" t="s">
        <v>247</v>
      </c>
      <c r="BR127" s="238">
        <v>45727</v>
      </c>
      <c r="BS127" s="67"/>
      <c r="BT127" s="66"/>
      <c r="BU127" s="66"/>
      <c r="BV127" s="66"/>
      <c r="BW127" s="74"/>
      <c r="BX127" s="81"/>
      <c r="BY127" s="66">
        <v>45540</v>
      </c>
      <c r="BZ127" s="944" t="s">
        <v>1052</v>
      </c>
      <c r="CA127" s="42" t="str">
        <f t="shared" si="57"/>
        <v>0</v>
      </c>
      <c r="CB127" s="62">
        <f t="shared" si="58"/>
        <v>198.36736111110804</v>
      </c>
      <c r="CC127" s="42">
        <f t="shared" si="59"/>
        <v>0</v>
      </c>
      <c r="CD127" s="62">
        <f t="shared" si="60"/>
        <v>198.36736111110804</v>
      </c>
      <c r="CE127" s="62">
        <f t="shared" si="61"/>
        <v>6.6714342675474949</v>
      </c>
      <c r="CF127" s="145">
        <f t="shared" si="62"/>
        <v>145</v>
      </c>
      <c r="CG127" s="145"/>
      <c r="CH127" s="443">
        <f t="shared" si="63"/>
        <v>11.548032733020641</v>
      </c>
      <c r="CI127" s="996">
        <f t="shared" si="64"/>
        <v>11.548032733020641</v>
      </c>
      <c r="CJ127" s="261">
        <f t="shared" si="65"/>
        <v>2.4166666666666665</v>
      </c>
      <c r="CK127" s="458" t="str">
        <f t="shared" si="66"/>
        <v/>
      </c>
      <c r="CL127" t="str">
        <f t="shared" si="67"/>
        <v>REV</v>
      </c>
      <c r="CM127" t="str">
        <f t="shared" si="68"/>
        <v/>
      </c>
      <c r="CN127" s="635"/>
      <c r="CO127" s="631"/>
      <c r="CP127" s="629" t="str">
        <f t="shared" si="79"/>
        <v>FOR ISSUANCE</v>
      </c>
      <c r="CQ127" s="635"/>
      <c r="CR127" s="697"/>
      <c r="CS127" s="633" t="str">
        <f t="shared" ca="1" si="70"/>
        <v>0</v>
      </c>
      <c r="CT127" s="635"/>
      <c r="CU127" s="631"/>
      <c r="CV127" s="638"/>
      <c r="CW127" s="156" t="s">
        <v>1053</v>
      </c>
      <c r="CX127" s="156" t="str">
        <f>VLOOKUP(E127,'[1]List of Work Orders'!$A:$I,9,FALSE)</f>
        <v>ME155242</v>
      </c>
      <c r="CY127" s="156"/>
      <c r="CZ127" s="63"/>
      <c r="DC127" t="str">
        <f>VLOOKUP(E127,'[2]List of Work Orders'!$A:$F,6,FALSE)</f>
        <v>FCOMP</v>
      </c>
      <c r="DS127" s="156" t="s">
        <v>397</v>
      </c>
    </row>
    <row r="128" spans="1:123" customFormat="1" ht="15" customHeight="1" x14ac:dyDescent="0.25">
      <c r="A128" s="242">
        <v>45537</v>
      </c>
      <c r="B128" s="222" t="s">
        <v>470</v>
      </c>
      <c r="C128" s="223"/>
      <c r="D128" s="66" t="s">
        <v>320</v>
      </c>
      <c r="E128" s="404" t="s">
        <v>1054</v>
      </c>
      <c r="F128" s="95" t="s">
        <v>1055</v>
      </c>
      <c r="G128" s="95" t="s">
        <v>1056</v>
      </c>
      <c r="H128" s="95" t="s">
        <v>378</v>
      </c>
      <c r="I128" s="95" t="s">
        <v>239</v>
      </c>
      <c r="J128" s="163" t="s">
        <v>1057</v>
      </c>
      <c r="K128" s="101" t="s">
        <v>271</v>
      </c>
      <c r="L128" s="101" t="s">
        <v>288</v>
      </c>
      <c r="M128" s="345" t="s">
        <v>272</v>
      </c>
      <c r="N128" s="442" t="s">
        <v>381</v>
      </c>
      <c r="O128" s="165">
        <v>27.2133</v>
      </c>
      <c r="P128" s="933">
        <v>104.1</v>
      </c>
      <c r="Q128" s="157">
        <v>0</v>
      </c>
      <c r="R128" s="109" t="s">
        <v>327</v>
      </c>
      <c r="S128" s="110">
        <v>137707.32</v>
      </c>
      <c r="T128" s="93">
        <v>21914.3</v>
      </c>
      <c r="U128" s="141"/>
      <c r="V128" s="158">
        <f t="shared" si="43"/>
        <v>0</v>
      </c>
      <c r="W128" s="159">
        <v>45526.613194444442</v>
      </c>
      <c r="X128" s="159">
        <v>45534.5625</v>
      </c>
      <c r="Y128" s="160">
        <v>45531</v>
      </c>
      <c r="Z128" s="470">
        <v>45733</v>
      </c>
      <c r="AA128" s="470">
        <v>45733</v>
      </c>
      <c r="AB128" s="470"/>
      <c r="AC128" s="161">
        <f t="shared" si="44"/>
        <v>206.38680555555766</v>
      </c>
      <c r="AD128" s="161">
        <f t="shared" si="80"/>
        <v>198.4375</v>
      </c>
      <c r="AE128" s="446">
        <f t="shared" si="72"/>
        <v>-45733</v>
      </c>
      <c r="AF128" s="160">
        <f t="shared" si="81"/>
        <v>45547.820090996167</v>
      </c>
      <c r="AG128" s="160">
        <f t="shared" si="82"/>
        <v>45557.27526340996</v>
      </c>
      <c r="AH128" s="159">
        <f t="shared" si="83"/>
        <v>45576.613194444442</v>
      </c>
      <c r="AI128" s="162">
        <f t="shared" si="45"/>
        <v>6.3944629926401415</v>
      </c>
      <c r="AJ128" s="224">
        <f t="shared" si="84"/>
        <v>-762.2166666666667</v>
      </c>
      <c r="AK128" s="225">
        <f t="shared" si="46"/>
        <v>26</v>
      </c>
      <c r="AL128" s="170">
        <f t="shared" si="47"/>
        <v>36</v>
      </c>
      <c r="AM128" s="170">
        <f t="shared" si="48"/>
        <v>24.206896551724139</v>
      </c>
      <c r="AN128" s="170">
        <f t="shared" si="49"/>
        <v>30.662068965517239</v>
      </c>
      <c r="AO128" s="226">
        <f t="shared" si="50"/>
        <v>21.206896551724139</v>
      </c>
      <c r="AP128" s="227">
        <v>60</v>
      </c>
      <c r="AQ128" s="228">
        <f t="shared" si="51"/>
        <v>57</v>
      </c>
      <c r="AR128" s="228">
        <f t="shared" si="52"/>
        <v>52</v>
      </c>
      <c r="AS128" s="229">
        <f t="shared" si="53"/>
        <v>45793</v>
      </c>
      <c r="AT128" s="982">
        <f t="shared" ca="1" si="54"/>
        <v>162</v>
      </c>
      <c r="AU128" s="50"/>
      <c r="AV128" s="118"/>
      <c r="AW128" s="49"/>
      <c r="AX128" s="49"/>
      <c r="AY128" s="49"/>
      <c r="AZ128" s="300"/>
      <c r="BA128" s="119"/>
      <c r="BB128" s="304"/>
      <c r="BC128" s="231" t="s">
        <v>12</v>
      </c>
      <c r="BD128" s="232"/>
      <c r="BE128" s="222">
        <f t="shared" si="77"/>
        <v>45748</v>
      </c>
      <c r="BF128" s="233">
        <f t="shared" si="78"/>
        <v>108</v>
      </c>
      <c r="BG128" s="234">
        <v>45733</v>
      </c>
      <c r="BH128" s="235">
        <v>45856</v>
      </c>
      <c r="BI128" s="234"/>
      <c r="BJ128" s="236"/>
      <c r="BK128" s="222"/>
      <c r="BL128" s="222"/>
      <c r="BM128" s="238"/>
      <c r="BN128" s="222"/>
      <c r="BO128" s="222"/>
      <c r="BP128" s="243"/>
      <c r="BQ128" s="244" t="s">
        <v>246</v>
      </c>
      <c r="BR128" s="238"/>
      <c r="BS128" s="67"/>
      <c r="BT128" s="66"/>
      <c r="BU128" s="66"/>
      <c r="BV128" s="66"/>
      <c r="BW128" s="74"/>
      <c r="BX128" s="81"/>
      <c r="BY128" s="66">
        <v>45540</v>
      </c>
      <c r="BZ128" s="944" t="s">
        <v>1058</v>
      </c>
      <c r="CA128" s="42" t="str">
        <f t="shared" si="57"/>
        <v>0</v>
      </c>
      <c r="CB128" s="62">
        <f t="shared" si="58"/>
        <v>206.38680555555766</v>
      </c>
      <c r="CC128" s="42">
        <f t="shared" si="59"/>
        <v>0</v>
      </c>
      <c r="CD128" s="62">
        <f t="shared" si="60"/>
        <v>206.38680555555766</v>
      </c>
      <c r="CE128" s="62">
        <f t="shared" si="61"/>
        <v>6.3944629926401415</v>
      </c>
      <c r="CF128" s="145">
        <f t="shared" si="62"/>
        <v>136</v>
      </c>
      <c r="CG128" s="145"/>
      <c r="CH128" s="443">
        <f t="shared" si="63"/>
        <v>10.608138206315356</v>
      </c>
      <c r="CI128" s="996">
        <f t="shared" si="64"/>
        <v>10.608138206315356</v>
      </c>
      <c r="CJ128" s="261">
        <f t="shared" si="65"/>
        <v>2.2666666666666666</v>
      </c>
      <c r="CK128" s="458" t="str">
        <f t="shared" si="66"/>
        <v/>
      </c>
      <c r="CL128" t="str">
        <f t="shared" si="67"/>
        <v>NON-REV</v>
      </c>
      <c r="CM128" t="str">
        <f t="shared" si="68"/>
        <v/>
      </c>
      <c r="CN128" s="635"/>
      <c r="CO128" s="631"/>
      <c r="CP128" s="629" t="str">
        <f t="shared" si="79"/>
        <v>FOR ISSUANCE</v>
      </c>
      <c r="CQ128" s="635"/>
      <c r="CR128" s="697"/>
      <c r="CS128" s="633" t="str">
        <f t="shared" ca="1" si="70"/>
        <v>0</v>
      </c>
      <c r="CT128" s="635"/>
      <c r="CU128" s="631"/>
      <c r="CV128" s="638"/>
      <c r="CW128" s="156" t="s">
        <v>1059</v>
      </c>
      <c r="CX128" s="156" t="str">
        <f>VLOOKUP(E128,'[1]List of Work Orders'!$A:$I,9,FALSE)</f>
        <v>ME185284</v>
      </c>
      <c r="CY128" s="156"/>
      <c r="DC128" t="str">
        <f>VLOOKUP(E128,'[2]List of Work Orders'!$A:$F,6,FALSE)</f>
        <v>FCOMP</v>
      </c>
      <c r="DS128" s="156" t="s">
        <v>381</v>
      </c>
    </row>
    <row r="129" spans="1:123" customFormat="1" ht="15" customHeight="1" x14ac:dyDescent="0.25">
      <c r="A129" s="242">
        <v>45534</v>
      </c>
      <c r="B129" s="222">
        <v>45526</v>
      </c>
      <c r="C129" s="223" t="s">
        <v>247</v>
      </c>
      <c r="D129" s="66" t="s">
        <v>320</v>
      </c>
      <c r="E129" s="404" t="s">
        <v>1060</v>
      </c>
      <c r="F129" s="95" t="s">
        <v>1061</v>
      </c>
      <c r="G129" s="95" t="s">
        <v>1062</v>
      </c>
      <c r="H129" s="95" t="s">
        <v>269</v>
      </c>
      <c r="I129" s="95" t="s">
        <v>239</v>
      </c>
      <c r="J129" s="163" t="s">
        <v>1063</v>
      </c>
      <c r="K129" s="101" t="s">
        <v>1064</v>
      </c>
      <c r="L129" s="101" t="s">
        <v>242</v>
      </c>
      <c r="M129" s="345" t="s">
        <v>272</v>
      </c>
      <c r="N129" s="442" t="s">
        <v>467</v>
      </c>
      <c r="O129" s="165">
        <v>153.46879999999999</v>
      </c>
      <c r="P129" s="165">
        <v>236.63</v>
      </c>
      <c r="Q129" s="157">
        <v>0</v>
      </c>
      <c r="R129" s="109" t="s">
        <v>327</v>
      </c>
      <c r="S129" s="110">
        <v>418004.67</v>
      </c>
      <c r="T129" s="93">
        <v>123585.18</v>
      </c>
      <c r="U129" s="141"/>
      <c r="V129" s="158">
        <f t="shared" si="43"/>
        <v>0</v>
      </c>
      <c r="W129" s="159">
        <v>45526.617361111108</v>
      </c>
      <c r="X129" s="159">
        <v>45534.559027777781</v>
      </c>
      <c r="Y129" s="160">
        <v>45532</v>
      </c>
      <c r="Z129" s="470">
        <v>45869</v>
      </c>
      <c r="AA129" s="470">
        <v>45869</v>
      </c>
      <c r="AB129" s="470"/>
      <c r="AC129" s="161">
        <f t="shared" si="44"/>
        <v>342.38263888889196</v>
      </c>
      <c r="AD129" s="161">
        <f t="shared" si="80"/>
        <v>334.44097222221899</v>
      </c>
      <c r="AE129" s="446">
        <f t="shared" si="72"/>
        <v>-45869</v>
      </c>
      <c r="AF129" s="160">
        <f t="shared" si="81"/>
        <v>45548.485782163742</v>
      </c>
      <c r="AG129" s="160">
        <f t="shared" si="82"/>
        <v>45558.117361111108</v>
      </c>
      <c r="AH129" s="159">
        <f t="shared" si="83"/>
        <v>45576.617361111108</v>
      </c>
      <c r="AI129" s="162">
        <f t="shared" si="45"/>
        <v>10.325825617284043</v>
      </c>
      <c r="AJ129" s="224">
        <f t="shared" si="84"/>
        <v>-764.48333333333335</v>
      </c>
      <c r="AK129" s="225">
        <f t="shared" si="46"/>
        <v>28</v>
      </c>
      <c r="AL129" s="170">
        <f t="shared" si="47"/>
        <v>36</v>
      </c>
      <c r="AM129" s="170">
        <f t="shared" si="48"/>
        <v>24.868421052631579</v>
      </c>
      <c r="AN129" s="170">
        <f t="shared" si="49"/>
        <v>31.499999999999996</v>
      </c>
      <c r="AO129" s="226">
        <f t="shared" si="50"/>
        <v>21.868421052631579</v>
      </c>
      <c r="AP129" s="227">
        <v>60</v>
      </c>
      <c r="AQ129" s="228">
        <f t="shared" si="51"/>
        <v>57</v>
      </c>
      <c r="AR129" s="228">
        <f t="shared" si="52"/>
        <v>52</v>
      </c>
      <c r="AS129" s="229">
        <f t="shared" si="53"/>
        <v>45929</v>
      </c>
      <c r="AT129" s="982">
        <f t="shared" ca="1" si="54"/>
        <v>26</v>
      </c>
      <c r="AU129" s="50"/>
      <c r="AV129" s="118"/>
      <c r="AW129" s="49"/>
      <c r="AX129" s="49"/>
      <c r="AY129" s="49"/>
      <c r="AZ129" s="300"/>
      <c r="BA129" s="119"/>
      <c r="BB129" s="304"/>
      <c r="BC129" s="231" t="s">
        <v>12</v>
      </c>
      <c r="BD129" s="232"/>
      <c r="BE129" s="222">
        <f t="shared" si="77"/>
        <v>45884</v>
      </c>
      <c r="BF129" s="233">
        <f t="shared" si="78"/>
        <v>0</v>
      </c>
      <c r="BG129" s="234">
        <v>45870</v>
      </c>
      <c r="BH129" s="235">
        <v>45884</v>
      </c>
      <c r="BI129" s="234"/>
      <c r="BJ129" s="236"/>
      <c r="BK129" s="222"/>
      <c r="BL129" s="222"/>
      <c r="BM129" s="238"/>
      <c r="BN129" s="222"/>
      <c r="BO129" s="222"/>
      <c r="BP129" s="243"/>
      <c r="BQ129" s="244" t="s">
        <v>246</v>
      </c>
      <c r="BR129" s="238"/>
      <c r="BS129" s="67"/>
      <c r="BT129" s="66"/>
      <c r="BU129" s="66"/>
      <c r="BV129" s="66"/>
      <c r="BW129" s="74"/>
      <c r="BX129" s="81"/>
      <c r="BY129" s="66">
        <v>45540</v>
      </c>
      <c r="BZ129" s="944" t="s">
        <v>1065</v>
      </c>
      <c r="CA129" s="42" t="str">
        <f t="shared" si="57"/>
        <v>0</v>
      </c>
      <c r="CB129" s="62">
        <f t="shared" si="58"/>
        <v>342.38263888889196</v>
      </c>
      <c r="CC129" s="42">
        <f t="shared" si="59"/>
        <v>0</v>
      </c>
      <c r="CD129" s="62">
        <f t="shared" si="60"/>
        <v>342.38263888889196</v>
      </c>
      <c r="CE129" s="62">
        <f t="shared" si="61"/>
        <v>10.325825617284043</v>
      </c>
      <c r="CF129" s="145">
        <f t="shared" si="62"/>
        <v>0</v>
      </c>
      <c r="CG129" s="145"/>
      <c r="CH129" s="443">
        <f t="shared" si="63"/>
        <v>10.325825617284043</v>
      </c>
      <c r="CI129" s="996">
        <f t="shared" si="64"/>
        <v>10.325825617284043</v>
      </c>
      <c r="CJ129" s="261">
        <f t="shared" si="65"/>
        <v>0</v>
      </c>
      <c r="CK129" s="458" t="str">
        <f t="shared" si="66"/>
        <v/>
      </c>
      <c r="CL129" t="str">
        <f t="shared" si="67"/>
        <v>NON-REV</v>
      </c>
      <c r="CM129" t="str">
        <f t="shared" si="68"/>
        <v/>
      </c>
      <c r="CN129" s="635"/>
      <c r="CO129" s="631"/>
      <c r="CP129" s="629" t="str">
        <f t="shared" si="79"/>
        <v>FOR ISSUANCE</v>
      </c>
      <c r="CQ129" s="635"/>
      <c r="CR129" s="697"/>
      <c r="CS129" s="633" t="str">
        <f t="shared" ca="1" si="70"/>
        <v>0</v>
      </c>
      <c r="CT129" s="635"/>
      <c r="CU129" s="631"/>
      <c r="CV129" s="638"/>
      <c r="CW129" s="156" t="s">
        <v>1066</v>
      </c>
      <c r="CX129" s="156" t="str">
        <f>VLOOKUP(E129,'[1]List of Work Orders'!$A:$I,9,FALSE)</f>
        <v>ME155242</v>
      </c>
      <c r="CY129" s="156"/>
      <c r="CZ129" s="63"/>
      <c r="DC129" t="str">
        <f>VLOOKUP(E129,'[2]List of Work Orders'!$A:$F,6,FALSE)</f>
        <v>SCHED</v>
      </c>
      <c r="DS129" s="156" t="s">
        <v>397</v>
      </c>
    </row>
    <row r="130" spans="1:123" customFormat="1" ht="15" customHeight="1" x14ac:dyDescent="0.25">
      <c r="A130" s="242">
        <v>45540</v>
      </c>
      <c r="B130" s="222">
        <v>45532</v>
      </c>
      <c r="C130" s="223"/>
      <c r="D130" s="66" t="s">
        <v>513</v>
      </c>
      <c r="E130" s="404" t="s">
        <v>1067</v>
      </c>
      <c r="F130" s="95" t="s">
        <v>1068</v>
      </c>
      <c r="G130" s="95" t="s">
        <v>1069</v>
      </c>
      <c r="H130" s="95" t="s">
        <v>253</v>
      </c>
      <c r="I130" s="95" t="s">
        <v>254</v>
      </c>
      <c r="J130" s="163" t="s">
        <v>1070</v>
      </c>
      <c r="K130" s="101" t="s">
        <v>271</v>
      </c>
      <c r="L130" s="101" t="s">
        <v>263</v>
      </c>
      <c r="M130" s="345" t="s">
        <v>272</v>
      </c>
      <c r="N130" s="442" t="s">
        <v>467</v>
      </c>
      <c r="O130" s="933">
        <v>2347.62914</v>
      </c>
      <c r="P130" s="933">
        <v>3657.11</v>
      </c>
      <c r="Q130" s="157">
        <v>0</v>
      </c>
      <c r="R130" s="109" t="s">
        <v>327</v>
      </c>
      <c r="S130" s="110">
        <v>3380199.52</v>
      </c>
      <c r="T130" s="93">
        <v>1302517.3899999999</v>
      </c>
      <c r="U130" s="141"/>
      <c r="V130" s="158">
        <f t="shared" si="43"/>
        <v>0</v>
      </c>
      <c r="W130" s="159">
        <v>45532.332638888889</v>
      </c>
      <c r="X130" s="159">
        <v>45538.280555555553</v>
      </c>
      <c r="Y130" s="160">
        <v>45539</v>
      </c>
      <c r="Z130" s="470"/>
      <c r="AA130" s="470">
        <v>45639</v>
      </c>
      <c r="AB130" s="470"/>
      <c r="AC130" s="161">
        <f t="shared" si="44"/>
        <v>106.66736111111095</v>
      </c>
      <c r="AD130" s="161">
        <f t="shared" si="80"/>
        <v>100.71944444444671</v>
      </c>
      <c r="AE130" s="446">
        <f t="shared" si="72"/>
        <v>-45639</v>
      </c>
      <c r="AF130" s="160">
        <f t="shared" si="81"/>
        <v>45558.808621421638</v>
      </c>
      <c r="AG130" s="160">
        <f t="shared" si="82"/>
        <v>45569.668883430371</v>
      </c>
      <c r="AH130" s="159">
        <f t="shared" si="83"/>
        <v>45582.332638888889</v>
      </c>
      <c r="AI130" s="162">
        <f t="shared" si="45"/>
        <v>2.7140917438271561</v>
      </c>
      <c r="AJ130" s="224">
        <f t="shared" si="84"/>
        <v>-760.65</v>
      </c>
      <c r="AK130" s="225">
        <f t="shared" si="46"/>
        <v>50</v>
      </c>
      <c r="AL130" s="170">
        <f t="shared" si="47"/>
        <v>36</v>
      </c>
      <c r="AM130" s="170">
        <f t="shared" si="48"/>
        <v>29.475982532751093</v>
      </c>
      <c r="AN130" s="170">
        <f t="shared" si="49"/>
        <v>37.336244541484717</v>
      </c>
      <c r="AO130" s="226">
        <f t="shared" si="50"/>
        <v>26.475982532751093</v>
      </c>
      <c r="AP130" s="227">
        <v>60</v>
      </c>
      <c r="AQ130" s="228">
        <f t="shared" si="51"/>
        <v>57</v>
      </c>
      <c r="AR130" s="228">
        <f t="shared" si="52"/>
        <v>52</v>
      </c>
      <c r="AS130" s="229">
        <f t="shared" si="53"/>
        <v>45699</v>
      </c>
      <c r="AT130" s="982">
        <f t="shared" ca="1" si="54"/>
        <v>256</v>
      </c>
      <c r="AU130" s="50"/>
      <c r="AV130" s="118"/>
      <c r="AW130" s="49"/>
      <c r="AX130" s="49"/>
      <c r="AY130" s="49"/>
      <c r="AZ130" s="300"/>
      <c r="BA130" s="119"/>
      <c r="BB130" s="304"/>
      <c r="BC130" s="231" t="s">
        <v>13</v>
      </c>
      <c r="BD130" s="232"/>
      <c r="BE130" s="222">
        <f t="shared" si="77"/>
        <v>45654</v>
      </c>
      <c r="BF130" s="233" t="e">
        <f t="shared" si="78"/>
        <v>#VALUE!</v>
      </c>
      <c r="BG130" s="234"/>
      <c r="BH130" s="235"/>
      <c r="BI130" s="234"/>
      <c r="BJ130" s="236"/>
      <c r="BK130" s="222"/>
      <c r="BL130" s="222"/>
      <c r="BM130" s="238"/>
      <c r="BN130" s="222"/>
      <c r="BO130" s="222"/>
      <c r="BP130" s="243"/>
      <c r="BQ130" s="244" t="s">
        <v>246</v>
      </c>
      <c r="BR130" s="238"/>
      <c r="BS130" s="67"/>
      <c r="BT130" s="66"/>
      <c r="BU130" s="66"/>
      <c r="BV130" s="66"/>
      <c r="BW130" s="74"/>
      <c r="BX130" s="81"/>
      <c r="BY130" s="66">
        <v>45540</v>
      </c>
      <c r="BZ130" s="944" t="s">
        <v>1071</v>
      </c>
      <c r="CA130" s="42" t="str">
        <f t="shared" si="57"/>
        <v>0</v>
      </c>
      <c r="CB130" s="62">
        <f t="shared" si="58"/>
        <v>106.66736111111095</v>
      </c>
      <c r="CC130" s="42">
        <f t="shared" si="59"/>
        <v>0</v>
      </c>
      <c r="CD130" s="62">
        <f t="shared" si="60"/>
        <v>106.66736111111095</v>
      </c>
      <c r="CE130" s="62">
        <f t="shared" si="61"/>
        <v>2.7140917438271561</v>
      </c>
      <c r="CF130" s="145">
        <f t="shared" si="62"/>
        <v>230</v>
      </c>
      <c r="CG130" s="145"/>
      <c r="CH130" s="443">
        <f t="shared" si="63"/>
        <v>8.5663139660493783</v>
      </c>
      <c r="CI130" s="996">
        <f t="shared" si="64"/>
        <v>8.5663139660493783</v>
      </c>
      <c r="CJ130" s="261">
        <f t="shared" si="65"/>
        <v>3.8333333333333335</v>
      </c>
      <c r="CK130" s="458" t="str">
        <f t="shared" si="66"/>
        <v/>
      </c>
      <c r="CL130" t="str">
        <f t="shared" si="67"/>
        <v>NON-REV</v>
      </c>
      <c r="CM130" t="str">
        <f t="shared" si="68"/>
        <v/>
      </c>
      <c r="CN130" s="635"/>
      <c r="CO130" s="631"/>
      <c r="CP130" s="629" t="str">
        <f t="shared" si="79"/>
        <v>FOR ISSUANCE</v>
      </c>
      <c r="CQ130" s="635"/>
      <c r="CR130" s="697"/>
      <c r="CS130" s="633" t="str">
        <f t="shared" ca="1" si="70"/>
        <v>0</v>
      </c>
      <c r="CT130" s="635"/>
      <c r="CU130" s="631"/>
      <c r="CV130" s="638"/>
      <c r="CW130" s="156" t="s">
        <v>1072</v>
      </c>
      <c r="CX130" s="156" t="str">
        <f>VLOOKUP(E130,'[1]List of Work Orders'!$A:$I,9,FALSE)</f>
        <v>ME155242</v>
      </c>
      <c r="CY130" s="156"/>
      <c r="DC130" t="str">
        <f>VLOOKUP(E130,'[2]List of Work Orders'!$A:$F,6,FALSE)</f>
        <v>FCOMP</v>
      </c>
      <c r="DS130" s="156" t="s">
        <v>397</v>
      </c>
    </row>
    <row r="131" spans="1:123" customFormat="1" ht="15" customHeight="1" x14ac:dyDescent="0.25">
      <c r="A131" s="242">
        <v>45544</v>
      </c>
      <c r="B131" s="222">
        <v>45534</v>
      </c>
      <c r="C131" s="223"/>
      <c r="D131" s="66" t="s">
        <v>320</v>
      </c>
      <c r="E131" s="404" t="s">
        <v>1073</v>
      </c>
      <c r="F131" s="95" t="s">
        <v>1074</v>
      </c>
      <c r="G131" s="95" t="s">
        <v>1075</v>
      </c>
      <c r="H131" s="95" t="s">
        <v>318</v>
      </c>
      <c r="I131" s="95" t="s">
        <v>239</v>
      </c>
      <c r="J131" s="163" t="s">
        <v>1076</v>
      </c>
      <c r="K131" s="101" t="s">
        <v>1077</v>
      </c>
      <c r="L131" s="101" t="s">
        <v>242</v>
      </c>
      <c r="M131" s="345" t="s">
        <v>534</v>
      </c>
      <c r="N131" s="442" t="s">
        <v>467</v>
      </c>
      <c r="O131" s="165">
        <v>96.317499999999995</v>
      </c>
      <c r="P131" s="165" t="e">
        <v>#N/A</v>
      </c>
      <c r="Q131" s="157">
        <v>80</v>
      </c>
      <c r="R131" s="109" t="s">
        <v>244</v>
      </c>
      <c r="S131" s="110">
        <v>402375.37</v>
      </c>
      <c r="T131" s="93">
        <v>77586.83</v>
      </c>
      <c r="U131" s="141"/>
      <c r="V131" s="158">
        <f t="shared" ref="V131:V194" si="85">U131/T131</f>
        <v>0</v>
      </c>
      <c r="W131" s="159">
        <v>45534.603472222225</v>
      </c>
      <c r="X131" s="159">
        <v>45541.536805555559</v>
      </c>
      <c r="Y131" s="160">
        <v>45539</v>
      </c>
      <c r="Z131" s="470"/>
      <c r="AA131" s="470" t="s">
        <v>534</v>
      </c>
      <c r="AB131" s="470"/>
      <c r="AC131" s="161" t="e">
        <f t="shared" ref="AC131:AC194" si="86">AA131-W131</f>
        <v>#VALUE!</v>
      </c>
      <c r="AD131" s="161" t="e">
        <f t="shared" si="80"/>
        <v>#VALUE!</v>
      </c>
      <c r="AE131" s="446" t="e">
        <f t="shared" si="72"/>
        <v>#VALUE!</v>
      </c>
      <c r="AF131" s="160" t="e">
        <f t="shared" si="81"/>
        <v>#N/A</v>
      </c>
      <c r="AG131" s="160" t="e">
        <f t="shared" si="82"/>
        <v>#N/A</v>
      </c>
      <c r="AH131" s="159">
        <f t="shared" si="83"/>
        <v>45584.603472222225</v>
      </c>
      <c r="AI131" s="162" t="e">
        <f t="shared" ref="AI131:AI194" si="87" xml:space="preserve"> (0.3)*(AC131/AK131)+(0.7)*(AC131/AL131)</f>
        <v>#VALUE!</v>
      </c>
      <c r="AJ131" s="224" t="e">
        <f t="shared" si="84"/>
        <v>#VALUE!</v>
      </c>
      <c r="AK131" s="225" t="e">
        <f t="shared" ref="AK131:AK194" si="88">IF(P131&lt;51,20,(IF(P131&lt;101,23,(IF(P131&lt;201,26,IF(P131&lt;301,28,IF(P131&lt;401,30,(IF(P131&lt;501,32,(IF(P131&lt;1001,40,50)))))))))))</f>
        <v>#N/A</v>
      </c>
      <c r="AL131" s="170">
        <f t="shared" ref="AL131:AL194" si="89">IF(Q131&lt;51,36,(IF(Q131&lt;101,34,(IF(Q131&lt;201,32,IF(Q131&lt;301,30,IF(Q131&lt;401,28,(IF(Q131&lt;501,26,(IF(Q131&lt;1001,23,20)))))))))))</f>
        <v>34</v>
      </c>
      <c r="AM131" s="170" t="e">
        <f t="shared" ref="AM131:AM194" si="90">(0.75)/((0.3/AK131)+(0.7/AL131))</f>
        <v>#N/A</v>
      </c>
      <c r="AN131" s="170" t="e">
        <f t="shared" ref="AN131:AN194" si="91">(0.95)/((0.3/AK131)+(0.7/AL131))</f>
        <v>#N/A</v>
      </c>
      <c r="AO131" s="226" t="e">
        <f t="shared" ref="AO131:AO194" si="92">AM131-3</f>
        <v>#N/A</v>
      </c>
      <c r="AP131" s="227">
        <v>60</v>
      </c>
      <c r="AQ131" s="228">
        <f t="shared" ref="AQ131:AQ194" si="93">0.95*AP131</f>
        <v>57</v>
      </c>
      <c r="AR131" s="228">
        <f t="shared" ref="AR131:AR194" si="94">AQ131-5</f>
        <v>52</v>
      </c>
      <c r="AS131" s="229" t="e">
        <f t="shared" ref="AS131:AS194" si="95">AA131+AP131</f>
        <v>#VALUE!</v>
      </c>
      <c r="AT131" s="982" t="str">
        <f t="shared" ref="AT131:AT194" ca="1" si="96">IFERROR(TODAY()-AA131,"")</f>
        <v/>
      </c>
      <c r="AU131" s="50"/>
      <c r="AV131" s="118"/>
      <c r="AW131" s="49"/>
      <c r="AX131" s="49"/>
      <c r="AY131" s="49"/>
      <c r="AZ131" s="300"/>
      <c r="BA131" s="119"/>
      <c r="BB131" s="304"/>
      <c r="BC131" s="231"/>
      <c r="BD131" s="232"/>
      <c r="BE131" s="222" t="e">
        <f t="shared" ref="BE131:BE147" si="97">AA131+15</f>
        <v>#VALUE!</v>
      </c>
      <c r="BF131" s="233" t="e">
        <f t="shared" ref="BF131:BF162" si="98">IF(ISBLANK(AA131),0,IF(ISBLANK(BH131),(BE131-$L$1),(BH131-BE131)))</f>
        <v>#VALUE!</v>
      </c>
      <c r="BG131" s="234"/>
      <c r="BH131" s="235"/>
      <c r="BI131" s="234"/>
      <c r="BJ131" s="236"/>
      <c r="BK131" s="222"/>
      <c r="BL131" s="222"/>
      <c r="BM131" s="238"/>
      <c r="BN131" s="222"/>
      <c r="BO131" s="222"/>
      <c r="BP131" s="243"/>
      <c r="BQ131" s="244" t="s">
        <v>247</v>
      </c>
      <c r="BR131" s="238"/>
      <c r="BS131" s="67"/>
      <c r="BT131" s="66"/>
      <c r="BU131" s="66"/>
      <c r="BV131" s="66"/>
      <c r="BW131" s="74"/>
      <c r="BX131" s="81"/>
      <c r="BY131" s="66">
        <v>45547</v>
      </c>
      <c r="BZ131" s="944" t="s">
        <v>1078</v>
      </c>
      <c r="CA131" s="42" t="str">
        <f t="shared" ref="CA131:CA194" si="99">IF(AY131="Y",BA131,"0")</f>
        <v>0</v>
      </c>
      <c r="CB131" s="62" t="e">
        <f t="shared" ref="CB131:CB194" si="100">AC131-CA131</f>
        <v>#VALUE!</v>
      </c>
      <c r="CC131" s="42">
        <f t="shared" ref="CC131:CC194" si="101">BA131</f>
        <v>0</v>
      </c>
      <c r="CD131" s="62" t="e">
        <f t="shared" ref="CD131:CD194" si="102">AC131-BA131</f>
        <v>#VALUE!</v>
      </c>
      <c r="CE131" s="62" t="e">
        <f t="shared" ref="CE131:CE194" si="103" xml:space="preserve"> (0.3)*(CD131/AK131)+(0.7)*(CD131/AL131)</f>
        <v>#VALUE!</v>
      </c>
      <c r="CF131" s="145" t="e">
        <f t="shared" ref="CF131:CF194" si="104">IF(AA131="","0",$CF$1-AA131)</f>
        <v>#VALUE!</v>
      </c>
      <c r="CG131" s="145"/>
      <c r="CH131" s="443" t="e">
        <f t="shared" ref="CH131:CH194" si="105" xml:space="preserve"> (0.3)*(($CF$1-W131)/AK131)+(0.7)*(($CF$1-W131)/AL131)</f>
        <v>#N/A</v>
      </c>
      <c r="CI131" s="996" t="e">
        <f t="shared" ref="CI131:CI194" si="106">CH131-CG131</f>
        <v>#N/A</v>
      </c>
      <c r="CJ131" s="261" t="e">
        <f t="shared" ref="CJ131:CJ194" si="107">CF131/AP131</f>
        <v>#VALUE!</v>
      </c>
      <c r="CK131" s="458" t="str">
        <f t="shared" ref="CK131:CK194" si="108">IF(AA131&gt;0,"",$CK$1-W131)</f>
        <v/>
      </c>
      <c r="CL131" t="str">
        <f t="shared" ref="CL131:CL194" si="109">IF(R131="NEW","REV","NON-REV")</f>
        <v>REV</v>
      </c>
      <c r="CM131" t="str">
        <f t="shared" ref="CM131:CM194" si="110">IF(CK131="","",IF(CK131&lt;91,"0-3 MONTHS",(IF(CK131&lt;181,"4-6 MONTHS",(IF(CK131&lt;271,"7-9 MONTHS",IF(CK131&gt;270,"10 MONTHS AND ABOVE",)))))))</f>
        <v/>
      </c>
      <c r="CN131" s="635"/>
      <c r="CO131" s="631"/>
      <c r="CP131" s="629" t="str">
        <f t="shared" ref="CP131:CP162" si="111">IF(CQ131,"NTC ISSUED","FOR ISSUANCE")</f>
        <v>FOR ISSUANCE</v>
      </c>
      <c r="CQ131" s="635"/>
      <c r="CR131" s="697"/>
      <c r="CS131" s="633" t="str">
        <f t="shared" ref="CS131:CS194" ca="1" si="112">IF(AND(CQ131=0,CR131=0), "0",IF(CR131,(CR131-CQ131),TODAY()-CQ131))</f>
        <v>0</v>
      </c>
      <c r="CT131" s="635"/>
      <c r="CU131" s="631"/>
      <c r="CV131" s="638"/>
      <c r="CW131" s="156" t="s">
        <v>1079</v>
      </c>
      <c r="CX131" s="156" t="str">
        <f>VLOOKUP(E131,'[1]List of Work Orders'!$A:$I,9,FALSE)</f>
        <v>ME155242</v>
      </c>
      <c r="CY131" s="156"/>
      <c r="CZ131" s="63"/>
      <c r="DC131" t="str">
        <f>VLOOKUP(E131,'[2]List of Work Orders'!$A:$F,6,FALSE)</f>
        <v>PCAN3</v>
      </c>
      <c r="DS131" s="156" t="s">
        <v>397</v>
      </c>
    </row>
    <row r="132" spans="1:123" customFormat="1" ht="15" customHeight="1" x14ac:dyDescent="0.25">
      <c r="A132" s="242">
        <v>45541</v>
      </c>
      <c r="B132" s="222">
        <v>45534</v>
      </c>
      <c r="C132" s="223"/>
      <c r="D132" s="66" t="s">
        <v>320</v>
      </c>
      <c r="E132" s="404" t="s">
        <v>1080</v>
      </c>
      <c r="F132" s="95" t="s">
        <v>949</v>
      </c>
      <c r="G132" s="95" t="s">
        <v>1081</v>
      </c>
      <c r="H132" s="95" t="s">
        <v>378</v>
      </c>
      <c r="I132" s="95" t="s">
        <v>239</v>
      </c>
      <c r="J132" s="163" t="s">
        <v>1082</v>
      </c>
      <c r="K132" s="101" t="s">
        <v>271</v>
      </c>
      <c r="L132" s="101" t="s">
        <v>242</v>
      </c>
      <c r="M132" s="345" t="s">
        <v>272</v>
      </c>
      <c r="N132" s="442" t="s">
        <v>467</v>
      </c>
      <c r="O132" s="165">
        <v>713.32849999999996</v>
      </c>
      <c r="P132" s="933">
        <v>713.33</v>
      </c>
      <c r="Q132" s="157">
        <v>45</v>
      </c>
      <c r="R132" s="109" t="s">
        <v>244</v>
      </c>
      <c r="S132" s="110">
        <v>2734702.55</v>
      </c>
      <c r="T132" s="93">
        <v>572539.79</v>
      </c>
      <c r="U132" s="141">
        <v>92159.039999999994</v>
      </c>
      <c r="V132" s="158">
        <f t="shared" si="85"/>
        <v>0.16096530164305259</v>
      </c>
      <c r="W132" s="159">
        <v>45534.662499999999</v>
      </c>
      <c r="X132" s="159">
        <v>45541.520833333336</v>
      </c>
      <c r="Y132" s="160">
        <v>45677</v>
      </c>
      <c r="Z132" s="470">
        <v>45726</v>
      </c>
      <c r="AA132" s="470">
        <v>45721</v>
      </c>
      <c r="AB132" s="470"/>
      <c r="AC132" s="161">
        <f t="shared" si="86"/>
        <v>186.33750000000146</v>
      </c>
      <c r="AD132" s="161">
        <f t="shared" si="80"/>
        <v>179.47916666666424</v>
      </c>
      <c r="AE132" s="446">
        <f t="shared" si="72"/>
        <v>-45721</v>
      </c>
      <c r="AF132" s="160">
        <f t="shared" si="81"/>
        <v>45559.497551546388</v>
      </c>
      <c r="AG132" s="160">
        <f t="shared" si="82"/>
        <v>45569.920231958764</v>
      </c>
      <c r="AH132" s="159">
        <f t="shared" si="83"/>
        <v>45584.662499999999</v>
      </c>
      <c r="AI132" s="162">
        <f t="shared" si="87"/>
        <v>5.0207604166667057</v>
      </c>
      <c r="AJ132" s="224">
        <f t="shared" si="84"/>
        <v>-762.01666666666665</v>
      </c>
      <c r="AK132" s="225">
        <f t="shared" si="88"/>
        <v>40</v>
      </c>
      <c r="AL132" s="170">
        <f t="shared" si="89"/>
        <v>36</v>
      </c>
      <c r="AM132" s="170">
        <f t="shared" si="90"/>
        <v>27.835051546391753</v>
      </c>
      <c r="AN132" s="170">
        <f t="shared" si="91"/>
        <v>35.257731958762882</v>
      </c>
      <c r="AO132" s="226">
        <f t="shared" si="92"/>
        <v>24.835051546391753</v>
      </c>
      <c r="AP132" s="227">
        <v>60</v>
      </c>
      <c r="AQ132" s="228">
        <f t="shared" si="93"/>
        <v>57</v>
      </c>
      <c r="AR132" s="228">
        <f t="shared" si="94"/>
        <v>52</v>
      </c>
      <c r="AS132" s="229">
        <f t="shared" si="95"/>
        <v>45781</v>
      </c>
      <c r="AT132" s="982">
        <f t="shared" ca="1" si="96"/>
        <v>174</v>
      </c>
      <c r="AU132" s="50"/>
      <c r="AV132" s="118"/>
      <c r="AW132" s="49"/>
      <c r="AX132" s="49"/>
      <c r="AY132" s="49"/>
      <c r="AZ132" s="300"/>
      <c r="BA132" s="119"/>
      <c r="BB132" s="304"/>
      <c r="BC132" s="231" t="s">
        <v>264</v>
      </c>
      <c r="BD132" s="232" t="s">
        <v>601</v>
      </c>
      <c r="BE132" s="222">
        <f t="shared" si="97"/>
        <v>45736</v>
      </c>
      <c r="BF132" s="233">
        <f t="shared" si="98"/>
        <v>-10</v>
      </c>
      <c r="BG132" s="234">
        <v>45772</v>
      </c>
      <c r="BH132" s="235">
        <v>45726</v>
      </c>
      <c r="BI132" s="234">
        <v>45853</v>
      </c>
      <c r="BJ132" s="236" t="s">
        <v>1083</v>
      </c>
      <c r="BK132" s="222" t="s">
        <v>247</v>
      </c>
      <c r="BL132" s="222"/>
      <c r="BM132" s="238"/>
      <c r="BN132" s="222"/>
      <c r="BO132" s="222">
        <v>45875</v>
      </c>
      <c r="BP132" s="243" t="s">
        <v>1084</v>
      </c>
      <c r="BQ132" s="244" t="s">
        <v>247</v>
      </c>
      <c r="BR132" s="238"/>
      <c r="BS132" s="67"/>
      <c r="BT132" s="66"/>
      <c r="BU132" s="66"/>
      <c r="BV132" s="66"/>
      <c r="BW132" s="74"/>
      <c r="BX132" s="81"/>
      <c r="BY132" s="66">
        <v>45677</v>
      </c>
      <c r="BZ132" s="944" t="s">
        <v>1085</v>
      </c>
      <c r="CA132" s="42" t="str">
        <f t="shared" si="99"/>
        <v>0</v>
      </c>
      <c r="CB132" s="62">
        <f t="shared" si="100"/>
        <v>186.33750000000146</v>
      </c>
      <c r="CC132" s="42">
        <f t="shared" si="101"/>
        <v>0</v>
      </c>
      <c r="CD132" s="62">
        <f t="shared" si="102"/>
        <v>186.33750000000146</v>
      </c>
      <c r="CE132" s="62">
        <f t="shared" si="103"/>
        <v>5.0207604166667057</v>
      </c>
      <c r="CF132" s="145">
        <f t="shared" si="104"/>
        <v>148</v>
      </c>
      <c r="CG132" s="145"/>
      <c r="CH132" s="443">
        <f t="shared" si="105"/>
        <v>9.0085381944444833</v>
      </c>
      <c r="CI132" s="996">
        <f t="shared" si="106"/>
        <v>9.0085381944444833</v>
      </c>
      <c r="CJ132" s="261">
        <f t="shared" si="107"/>
        <v>2.4666666666666668</v>
      </c>
      <c r="CK132" s="458" t="str">
        <f t="shared" si="108"/>
        <v/>
      </c>
      <c r="CL132" t="str">
        <f t="shared" si="109"/>
        <v>REV</v>
      </c>
      <c r="CM132" t="str">
        <f t="shared" si="110"/>
        <v/>
      </c>
      <c r="CN132" s="635">
        <v>45875</v>
      </c>
      <c r="CO132" s="631">
        <v>263774.28000000003</v>
      </c>
      <c r="CP132" s="629" t="str">
        <f t="shared" si="111"/>
        <v>NTC ISSUED</v>
      </c>
      <c r="CQ132" s="635">
        <v>45883</v>
      </c>
      <c r="CR132" s="697"/>
      <c r="CS132" s="633">
        <f t="shared" ca="1" si="112"/>
        <v>12</v>
      </c>
      <c r="CT132" s="635"/>
      <c r="CU132" s="631"/>
      <c r="CV132" s="638"/>
      <c r="CW132" s="156" t="s">
        <v>1086</v>
      </c>
      <c r="CX132" s="156" t="str">
        <f>VLOOKUP(E132,'[1]List of Work Orders'!$A:$I,9,FALSE)</f>
        <v>ME155242</v>
      </c>
      <c r="CY132" s="156"/>
      <c r="CZ132" s="63"/>
      <c r="DC132" t="str">
        <f>VLOOKUP(E132,'[2]List of Work Orders'!$A:$F,6,FALSE)</f>
        <v>FCOMP</v>
      </c>
      <c r="DS132" s="156" t="s">
        <v>397</v>
      </c>
    </row>
    <row r="133" spans="1:123" customFormat="1" ht="15" customHeight="1" x14ac:dyDescent="0.25">
      <c r="A133" s="242">
        <v>45541</v>
      </c>
      <c r="B133" s="222">
        <v>45534</v>
      </c>
      <c r="C133" s="223" t="s">
        <v>247</v>
      </c>
      <c r="D133" s="66" t="s">
        <v>320</v>
      </c>
      <c r="E133" s="404" t="s">
        <v>1087</v>
      </c>
      <c r="F133" s="95" t="s">
        <v>949</v>
      </c>
      <c r="G133" s="95" t="s">
        <v>1088</v>
      </c>
      <c r="H133" s="95" t="s">
        <v>378</v>
      </c>
      <c r="I133" s="95" t="s">
        <v>239</v>
      </c>
      <c r="J133" s="163" t="s">
        <v>1089</v>
      </c>
      <c r="K133" s="101" t="s">
        <v>271</v>
      </c>
      <c r="L133" s="101" t="s">
        <v>263</v>
      </c>
      <c r="M133" s="345" t="s">
        <v>272</v>
      </c>
      <c r="N133" s="442" t="s">
        <v>467</v>
      </c>
      <c r="O133" s="165">
        <v>831.79750000000001</v>
      </c>
      <c r="P133" s="933">
        <v>2323.61</v>
      </c>
      <c r="Q133" s="157">
        <v>45</v>
      </c>
      <c r="R133" s="109" t="s">
        <v>244</v>
      </c>
      <c r="S133" s="110">
        <v>3487719.57</v>
      </c>
      <c r="T133" s="93">
        <v>668695.04000000004</v>
      </c>
      <c r="U133" s="141"/>
      <c r="V133" s="158">
        <f t="shared" si="85"/>
        <v>0</v>
      </c>
      <c r="W133" s="159">
        <v>45534.675694444442</v>
      </c>
      <c r="X133" s="159">
        <v>45541.522916666669</v>
      </c>
      <c r="Y133" s="160">
        <v>45539</v>
      </c>
      <c r="Z133" s="470"/>
      <c r="AA133" s="470">
        <v>45786</v>
      </c>
      <c r="AB133" s="470"/>
      <c r="AC133" s="161">
        <f t="shared" si="86"/>
        <v>251.32430555555766</v>
      </c>
      <c r="AD133" s="161">
        <f t="shared" si="80"/>
        <v>244.47708333333139</v>
      </c>
      <c r="AE133" s="446">
        <f t="shared" si="72"/>
        <v>-45786</v>
      </c>
      <c r="AF133" s="160">
        <f t="shared" si="81"/>
        <v>45561.151676977192</v>
      </c>
      <c r="AG133" s="160">
        <f t="shared" si="82"/>
        <v>45572.011938985925</v>
      </c>
      <c r="AH133" s="159">
        <f t="shared" si="83"/>
        <v>45584.675694444442</v>
      </c>
      <c r="AI133" s="162">
        <f t="shared" si="87"/>
        <v>6.3948073302469668</v>
      </c>
      <c r="AJ133" s="224">
        <f t="shared" si="84"/>
        <v>-763.1</v>
      </c>
      <c r="AK133" s="225">
        <f t="shared" si="88"/>
        <v>50</v>
      </c>
      <c r="AL133" s="170">
        <f t="shared" si="89"/>
        <v>36</v>
      </c>
      <c r="AM133" s="170">
        <f t="shared" si="90"/>
        <v>29.475982532751093</v>
      </c>
      <c r="AN133" s="170">
        <f t="shared" si="91"/>
        <v>37.336244541484717</v>
      </c>
      <c r="AO133" s="226">
        <f t="shared" si="92"/>
        <v>26.475982532751093</v>
      </c>
      <c r="AP133" s="227">
        <v>60</v>
      </c>
      <c r="AQ133" s="228">
        <f t="shared" si="93"/>
        <v>57</v>
      </c>
      <c r="AR133" s="228">
        <f t="shared" si="94"/>
        <v>52</v>
      </c>
      <c r="AS133" s="229">
        <f t="shared" si="95"/>
        <v>45846</v>
      </c>
      <c r="AT133" s="982">
        <f t="shared" ca="1" si="96"/>
        <v>109</v>
      </c>
      <c r="AU133" s="50"/>
      <c r="AV133" s="118"/>
      <c r="AW133" s="49"/>
      <c r="AX133" s="49"/>
      <c r="AY133" s="49"/>
      <c r="AZ133" s="300"/>
      <c r="BA133" s="119"/>
      <c r="BB133" s="304"/>
      <c r="BC133" s="231" t="s">
        <v>13</v>
      </c>
      <c r="BD133" s="232"/>
      <c r="BE133" s="222">
        <f t="shared" si="97"/>
        <v>45801</v>
      </c>
      <c r="BF133" s="233" t="e">
        <f t="shared" si="98"/>
        <v>#VALUE!</v>
      </c>
      <c r="BG133" s="234"/>
      <c r="BH133" s="235"/>
      <c r="BI133" s="234"/>
      <c r="BJ133" s="236"/>
      <c r="BK133" s="222"/>
      <c r="BL133" s="222"/>
      <c r="BM133" s="238"/>
      <c r="BN133" s="222"/>
      <c r="BO133" s="222"/>
      <c r="BP133" s="243"/>
      <c r="BQ133" s="244" t="s">
        <v>247</v>
      </c>
      <c r="BR133" s="238">
        <v>45804</v>
      </c>
      <c r="BS133" s="67"/>
      <c r="BT133" s="66"/>
      <c r="BU133" s="66"/>
      <c r="BV133" s="66"/>
      <c r="BW133" s="74"/>
      <c r="BX133" s="81"/>
      <c r="BY133" s="66">
        <v>45542</v>
      </c>
      <c r="BZ133" s="944" t="s">
        <v>1090</v>
      </c>
      <c r="CA133" s="42" t="str">
        <f t="shared" si="99"/>
        <v>0</v>
      </c>
      <c r="CB133" s="62">
        <f t="shared" si="100"/>
        <v>251.32430555555766</v>
      </c>
      <c r="CC133" s="42">
        <f t="shared" si="101"/>
        <v>0</v>
      </c>
      <c r="CD133" s="62">
        <f t="shared" si="102"/>
        <v>251.32430555555766</v>
      </c>
      <c r="CE133" s="62">
        <f t="shared" si="103"/>
        <v>6.3948073302469668</v>
      </c>
      <c r="CF133" s="145">
        <f t="shared" si="104"/>
        <v>83</v>
      </c>
      <c r="CG133" s="145"/>
      <c r="CH133" s="443">
        <f t="shared" si="105"/>
        <v>8.5066962191358559</v>
      </c>
      <c r="CI133" s="996">
        <f t="shared" si="106"/>
        <v>8.5066962191358559</v>
      </c>
      <c r="CJ133" s="261">
        <f t="shared" si="107"/>
        <v>1.3833333333333333</v>
      </c>
      <c r="CK133" s="458" t="str">
        <f t="shared" si="108"/>
        <v/>
      </c>
      <c r="CL133" t="str">
        <f t="shared" si="109"/>
        <v>REV</v>
      </c>
      <c r="CM133" t="str">
        <f t="shared" si="110"/>
        <v/>
      </c>
      <c r="CN133" s="635"/>
      <c r="CO133" s="631"/>
      <c r="CP133" s="629" t="str">
        <f t="shared" si="111"/>
        <v>FOR ISSUANCE</v>
      </c>
      <c r="CQ133" s="635"/>
      <c r="CR133" s="697"/>
      <c r="CS133" s="633" t="str">
        <f t="shared" ca="1" si="112"/>
        <v>0</v>
      </c>
      <c r="CT133" s="635"/>
      <c r="CU133" s="631"/>
      <c r="CV133" s="638"/>
      <c r="CW133" s="156" t="s">
        <v>1091</v>
      </c>
      <c r="CX133" s="156" t="str">
        <f>VLOOKUP(E133,'[1]List of Work Orders'!$A:$I,9,FALSE)</f>
        <v>ME155242</v>
      </c>
      <c r="CY133" s="156"/>
      <c r="DC133" t="str">
        <f>VLOOKUP(E133,'[2]List of Work Orders'!$A:$F,6,FALSE)</f>
        <v>SCHED</v>
      </c>
      <c r="DS133" s="156" t="s">
        <v>397</v>
      </c>
    </row>
    <row r="134" spans="1:123" customFormat="1" ht="15" customHeight="1" x14ac:dyDescent="0.25">
      <c r="A134" s="242">
        <v>45548</v>
      </c>
      <c r="B134" s="222">
        <v>45542</v>
      </c>
      <c r="C134" s="223"/>
      <c r="D134" s="66" t="s">
        <v>234</v>
      </c>
      <c r="E134" s="412" t="s">
        <v>1092</v>
      </c>
      <c r="F134" s="95" t="s">
        <v>926</v>
      </c>
      <c r="G134" s="95" t="s">
        <v>1093</v>
      </c>
      <c r="H134" s="95" t="s">
        <v>238</v>
      </c>
      <c r="I134" s="95" t="s">
        <v>239</v>
      </c>
      <c r="J134" s="168" t="s">
        <v>1094</v>
      </c>
      <c r="K134" s="101" t="s">
        <v>299</v>
      </c>
      <c r="L134" s="101" t="s">
        <v>288</v>
      </c>
      <c r="M134" s="345" t="s">
        <v>534</v>
      </c>
      <c r="N134" s="442" t="s">
        <v>381</v>
      </c>
      <c r="O134" s="165">
        <v>106.5369</v>
      </c>
      <c r="P134" s="165" t="e">
        <v>#N/A</v>
      </c>
      <c r="Q134" s="157">
        <v>20</v>
      </c>
      <c r="R134" s="109" t="s">
        <v>244</v>
      </c>
      <c r="S134" s="110">
        <v>364183.84</v>
      </c>
      <c r="T134" s="93">
        <v>85791.63</v>
      </c>
      <c r="U134" s="141"/>
      <c r="V134" s="158">
        <f t="shared" si="85"/>
        <v>0</v>
      </c>
      <c r="W134" s="159">
        <v>45537.420138888891</v>
      </c>
      <c r="X134" s="159">
        <v>45544.552083333336</v>
      </c>
      <c r="Y134" s="160">
        <v>45542</v>
      </c>
      <c r="Z134" s="470"/>
      <c r="AA134" s="470" t="s">
        <v>534</v>
      </c>
      <c r="AB134" s="470"/>
      <c r="AC134" s="161" t="e">
        <f t="shared" si="86"/>
        <v>#VALUE!</v>
      </c>
      <c r="AD134" s="161" t="e">
        <f t="shared" si="80"/>
        <v>#VALUE!</v>
      </c>
      <c r="AE134" s="446" t="e">
        <f t="shared" si="72"/>
        <v>#VALUE!</v>
      </c>
      <c r="AF134" s="160" t="e">
        <f t="shared" si="81"/>
        <v>#N/A</v>
      </c>
      <c r="AG134" s="160" t="e">
        <f t="shared" si="82"/>
        <v>#N/A</v>
      </c>
      <c r="AH134" s="159">
        <f t="shared" si="83"/>
        <v>45587.420138888891</v>
      </c>
      <c r="AI134" s="162" t="e">
        <f t="shared" si="87"/>
        <v>#VALUE!</v>
      </c>
      <c r="AJ134" s="224" t="e">
        <f t="shared" si="84"/>
        <v>#VALUE!</v>
      </c>
      <c r="AK134" s="225" t="e">
        <f t="shared" si="88"/>
        <v>#N/A</v>
      </c>
      <c r="AL134" s="170">
        <f t="shared" si="89"/>
        <v>36</v>
      </c>
      <c r="AM134" s="170" t="e">
        <f t="shared" si="90"/>
        <v>#N/A</v>
      </c>
      <c r="AN134" s="170" t="e">
        <f t="shared" si="91"/>
        <v>#N/A</v>
      </c>
      <c r="AO134" s="226" t="e">
        <f t="shared" si="92"/>
        <v>#N/A</v>
      </c>
      <c r="AP134" s="227">
        <v>60</v>
      </c>
      <c r="AQ134" s="228">
        <f t="shared" si="93"/>
        <v>57</v>
      </c>
      <c r="AR134" s="228">
        <f t="shared" si="94"/>
        <v>52</v>
      </c>
      <c r="AS134" s="229" t="e">
        <f t="shared" si="95"/>
        <v>#VALUE!</v>
      </c>
      <c r="AT134" s="982" t="str">
        <f t="shared" ca="1" si="96"/>
        <v/>
      </c>
      <c r="AU134" s="50"/>
      <c r="AV134" s="118"/>
      <c r="AW134" s="49"/>
      <c r="AX134" s="49"/>
      <c r="AY134" s="49"/>
      <c r="AZ134" s="300"/>
      <c r="BA134" s="119"/>
      <c r="BB134" s="304"/>
      <c r="BC134" s="231"/>
      <c r="BD134" s="232"/>
      <c r="BE134" s="222" t="e">
        <f t="shared" si="97"/>
        <v>#VALUE!</v>
      </c>
      <c r="BF134" s="233" t="e">
        <f t="shared" si="98"/>
        <v>#VALUE!</v>
      </c>
      <c r="BG134" s="234"/>
      <c r="BH134" s="235"/>
      <c r="BI134" s="234"/>
      <c r="BJ134" s="236"/>
      <c r="BK134" s="222"/>
      <c r="BL134" s="222"/>
      <c r="BM134" s="238"/>
      <c r="BN134" s="222"/>
      <c r="BO134" s="222"/>
      <c r="BP134" s="243"/>
      <c r="BQ134" s="244" t="s">
        <v>247</v>
      </c>
      <c r="BR134" s="238"/>
      <c r="BS134" s="67"/>
      <c r="BT134" s="66"/>
      <c r="BU134" s="66"/>
      <c r="BV134" s="66"/>
      <c r="BW134" s="74"/>
      <c r="BX134" s="81"/>
      <c r="BY134" s="66">
        <v>45548</v>
      </c>
      <c r="BZ134" s="944" t="s">
        <v>1095</v>
      </c>
      <c r="CA134" s="42" t="str">
        <f t="shared" si="99"/>
        <v>0</v>
      </c>
      <c r="CB134" s="62" t="e">
        <f t="shared" si="100"/>
        <v>#VALUE!</v>
      </c>
      <c r="CC134" s="42">
        <f t="shared" si="101"/>
        <v>0</v>
      </c>
      <c r="CD134" s="62" t="e">
        <f t="shared" si="102"/>
        <v>#VALUE!</v>
      </c>
      <c r="CE134" s="62" t="e">
        <f t="shared" si="103"/>
        <v>#VALUE!</v>
      </c>
      <c r="CF134" s="145" t="e">
        <f t="shared" si="104"/>
        <v>#VALUE!</v>
      </c>
      <c r="CG134" s="145"/>
      <c r="CH134" s="443" t="e">
        <f t="shared" si="105"/>
        <v>#N/A</v>
      </c>
      <c r="CI134" s="996" t="e">
        <f t="shared" si="106"/>
        <v>#N/A</v>
      </c>
      <c r="CJ134" s="261" t="e">
        <f t="shared" si="107"/>
        <v>#VALUE!</v>
      </c>
      <c r="CK134" s="458" t="str">
        <f t="shared" si="108"/>
        <v/>
      </c>
      <c r="CL134" t="str">
        <f t="shared" si="109"/>
        <v>REV</v>
      </c>
      <c r="CM134" t="str">
        <f t="shared" si="110"/>
        <v/>
      </c>
      <c r="CN134" s="635"/>
      <c r="CO134" s="631"/>
      <c r="CP134" s="629" t="str">
        <f t="shared" si="111"/>
        <v>FOR ISSUANCE</v>
      </c>
      <c r="CQ134" s="635"/>
      <c r="CR134" s="697"/>
      <c r="CS134" s="633" t="str">
        <f t="shared" ca="1" si="112"/>
        <v>0</v>
      </c>
      <c r="CT134" s="635"/>
      <c r="CU134" s="631"/>
      <c r="CV134" s="638"/>
      <c r="CW134" s="156" t="s">
        <v>1096</v>
      </c>
      <c r="CX134" s="156" t="str">
        <f>VLOOKUP(E134,'[1]List of Work Orders'!$A:$I,9,FALSE)</f>
        <v>ME185284</v>
      </c>
      <c r="CY134" s="156"/>
      <c r="DC134" t="str">
        <f>VLOOKUP(E134,'[2]List of Work Orders'!$A:$F,6,FALSE)</f>
        <v>CLOSED-CAN</v>
      </c>
      <c r="DS134" s="156" t="s">
        <v>381</v>
      </c>
    </row>
    <row r="135" spans="1:123" ht="15" customHeight="1" x14ac:dyDescent="0.2">
      <c r="A135" s="242">
        <v>45545</v>
      </c>
      <c r="B135" s="222">
        <v>45542</v>
      </c>
      <c r="C135" s="223"/>
      <c r="D135" s="66" t="s">
        <v>320</v>
      </c>
      <c r="E135" s="404" t="s">
        <v>1097</v>
      </c>
      <c r="F135" s="95" t="s">
        <v>1098</v>
      </c>
      <c r="G135" s="95" t="s">
        <v>1099</v>
      </c>
      <c r="H135" s="95" t="s">
        <v>253</v>
      </c>
      <c r="I135" s="95" t="s">
        <v>254</v>
      </c>
      <c r="J135" s="1134" t="s">
        <v>410</v>
      </c>
      <c r="K135" s="101"/>
      <c r="L135" s="101" t="s">
        <v>255</v>
      </c>
      <c r="M135" s="345" t="s">
        <v>331</v>
      </c>
      <c r="N135" s="442" t="s">
        <v>403</v>
      </c>
      <c r="O135" s="165">
        <v>16.934100000000001</v>
      </c>
      <c r="P135" s="165">
        <v>16.93</v>
      </c>
      <c r="Q135" s="157">
        <v>0</v>
      </c>
      <c r="R135" s="109" t="s">
        <v>327</v>
      </c>
      <c r="S135" s="110">
        <v>30613.7</v>
      </c>
      <c r="T135" s="93">
        <v>13636.79</v>
      </c>
      <c r="U135" s="141"/>
      <c r="V135" s="158">
        <f t="shared" si="85"/>
        <v>0</v>
      </c>
      <c r="W135" s="159">
        <v>45538.404166666667</v>
      </c>
      <c r="X135" s="159">
        <v>45544.558333333334</v>
      </c>
      <c r="Y135" s="160">
        <v>45542</v>
      </c>
      <c r="Z135" s="470"/>
      <c r="AA135" s="470"/>
      <c r="AB135" s="470"/>
      <c r="AC135" s="161">
        <f t="shared" si="86"/>
        <v>-45538.404166666667</v>
      </c>
      <c r="AD135" s="161">
        <f t="shared" si="80"/>
        <v>-45544.558333333334</v>
      </c>
      <c r="AE135" s="446">
        <f t="shared" si="72"/>
        <v>0</v>
      </c>
      <c r="AF135" s="160">
        <f t="shared" si="81"/>
        <v>45557.178360215054</v>
      </c>
      <c r="AG135" s="160">
        <f t="shared" si="82"/>
        <v>45565.984811827955</v>
      </c>
      <c r="AH135" s="159">
        <f t="shared" si="83"/>
        <v>45588.404166666667</v>
      </c>
      <c r="AI135" s="162">
        <f t="shared" si="87"/>
        <v>-1568.5450324074072</v>
      </c>
      <c r="AJ135" s="224">
        <f t="shared" si="84"/>
        <v>0</v>
      </c>
      <c r="AK135" s="225">
        <f t="shared" si="88"/>
        <v>20</v>
      </c>
      <c r="AL135" s="170">
        <f t="shared" si="89"/>
        <v>36</v>
      </c>
      <c r="AM135" s="170">
        <f t="shared" si="90"/>
        <v>21.774193548387096</v>
      </c>
      <c r="AN135" s="170">
        <f t="shared" si="91"/>
        <v>27.58064516129032</v>
      </c>
      <c r="AO135" s="226">
        <f t="shared" si="92"/>
        <v>18.774193548387096</v>
      </c>
      <c r="AP135" s="227">
        <v>60</v>
      </c>
      <c r="AQ135" s="228">
        <f t="shared" si="93"/>
        <v>57</v>
      </c>
      <c r="AR135" s="228">
        <f t="shared" si="94"/>
        <v>52</v>
      </c>
      <c r="AS135" s="229">
        <f t="shared" si="95"/>
        <v>60</v>
      </c>
      <c r="AT135" s="982">
        <f t="shared" ca="1" si="96"/>
        <v>45895</v>
      </c>
      <c r="AU135" s="1077"/>
      <c r="AV135" s="1078"/>
      <c r="AW135" s="1079"/>
      <c r="AX135" s="1079"/>
      <c r="AY135" s="1079"/>
      <c r="AZ135" s="1080"/>
      <c r="BA135" s="1081"/>
      <c r="BB135" s="1091"/>
      <c r="BC135" s="231"/>
      <c r="BD135" s="232"/>
      <c r="BE135" s="222">
        <f t="shared" si="97"/>
        <v>15</v>
      </c>
      <c r="BF135" s="233">
        <f t="shared" si="98"/>
        <v>0</v>
      </c>
      <c r="BG135" s="234"/>
      <c r="BH135" s="235"/>
      <c r="BI135" s="234"/>
      <c r="BJ135" s="236"/>
      <c r="BK135" s="222"/>
      <c r="BL135" s="222"/>
      <c r="BM135" s="238"/>
      <c r="BN135" s="222"/>
      <c r="BO135" s="222"/>
      <c r="BP135" s="243"/>
      <c r="BQ135" s="244" t="s">
        <v>247</v>
      </c>
      <c r="BR135" s="238"/>
      <c r="BS135" s="67"/>
      <c r="BT135" s="66"/>
      <c r="BU135" s="66"/>
      <c r="BV135" s="66"/>
      <c r="BW135" s="74"/>
      <c r="BX135" s="81"/>
      <c r="BY135" s="66">
        <v>45547</v>
      </c>
      <c r="BZ135" s="944" t="s">
        <v>1100</v>
      </c>
      <c r="CA135" s="42" t="str">
        <f t="shared" si="99"/>
        <v>0</v>
      </c>
      <c r="CB135" s="62">
        <f t="shared" si="100"/>
        <v>-45538.404166666667</v>
      </c>
      <c r="CC135" s="42">
        <f t="shared" si="101"/>
        <v>0</v>
      </c>
      <c r="CD135" s="62">
        <f t="shared" si="102"/>
        <v>-45538.404166666667</v>
      </c>
      <c r="CE135" s="62">
        <f t="shared" si="103"/>
        <v>-1568.5450324074072</v>
      </c>
      <c r="CF135" s="1059" t="str">
        <f t="shared" si="104"/>
        <v>0</v>
      </c>
      <c r="CH135" s="1082">
        <f t="shared" si="105"/>
        <v>11.387189814814798</v>
      </c>
      <c r="CI135" s="1083">
        <f t="shared" si="106"/>
        <v>11.387189814814798</v>
      </c>
      <c r="CJ135" s="1084">
        <f t="shared" si="107"/>
        <v>0</v>
      </c>
      <c r="CK135" s="1085">
        <f t="shared" si="108"/>
        <v>317.59583333333285</v>
      </c>
      <c r="CL135" s="1057" t="str">
        <f t="shared" si="109"/>
        <v>NON-REV</v>
      </c>
      <c r="CM135" s="1057" t="str">
        <f t="shared" si="110"/>
        <v>10 MONTHS AND ABOVE</v>
      </c>
      <c r="CN135" s="1086"/>
      <c r="CO135" s="1087"/>
      <c r="CP135" s="629" t="str">
        <f t="shared" si="111"/>
        <v>FOR ISSUANCE</v>
      </c>
      <c r="CQ135" s="1086"/>
      <c r="CR135" s="1088"/>
      <c r="CS135" s="1089" t="str">
        <f t="shared" ca="1" si="112"/>
        <v>0</v>
      </c>
      <c r="CT135" s="1086"/>
      <c r="CU135" s="1087"/>
      <c r="CV135" s="1090"/>
      <c r="CW135" s="156" t="s">
        <v>1101</v>
      </c>
      <c r="CX135" s="156" t="str">
        <f>VLOOKUP(E135,'[1]List of Work Orders'!$A:$I,9,FALSE)</f>
        <v>ME155242</v>
      </c>
      <c r="CY135" s="156"/>
      <c r="DC135" s="1057" t="str">
        <f>VLOOKUP(E135,'[2]List of Work Orders'!$A:$F,6,FALSE)</f>
        <v>SCHED</v>
      </c>
      <c r="DS135" s="156" t="s">
        <v>403</v>
      </c>
    </row>
    <row r="136" spans="1:123" customFormat="1" ht="15" customHeight="1" x14ac:dyDescent="0.25">
      <c r="A136" s="242">
        <v>45548</v>
      </c>
      <c r="B136" s="222">
        <v>45542</v>
      </c>
      <c r="C136" s="223"/>
      <c r="D136" s="66" t="s">
        <v>320</v>
      </c>
      <c r="E136" s="404" t="s">
        <v>1102</v>
      </c>
      <c r="F136" s="95" t="s">
        <v>876</v>
      </c>
      <c r="G136" s="95" t="s">
        <v>1103</v>
      </c>
      <c r="H136" s="95" t="s">
        <v>318</v>
      </c>
      <c r="I136" s="95" t="s">
        <v>239</v>
      </c>
      <c r="J136" s="163" t="s">
        <v>982</v>
      </c>
      <c r="K136" s="101" t="s">
        <v>299</v>
      </c>
      <c r="L136" s="101" t="s">
        <v>5</v>
      </c>
      <c r="M136" s="345" t="s">
        <v>272</v>
      </c>
      <c r="N136" s="442" t="s">
        <v>403</v>
      </c>
      <c r="O136" s="165">
        <v>64.684200000000004</v>
      </c>
      <c r="P136" s="933">
        <v>64.680000000000007</v>
      </c>
      <c r="Q136" s="157">
        <v>44</v>
      </c>
      <c r="R136" s="109" t="s">
        <v>548</v>
      </c>
      <c r="S136" s="110">
        <v>375766.47</v>
      </c>
      <c r="T136" s="93">
        <v>52088.52</v>
      </c>
      <c r="U136" s="141"/>
      <c r="V136" s="158">
        <f t="shared" si="85"/>
        <v>0</v>
      </c>
      <c r="W136" s="159">
        <v>45541.28125</v>
      </c>
      <c r="X136" s="159">
        <v>45547.62777777778</v>
      </c>
      <c r="Y136" s="160">
        <v>45542</v>
      </c>
      <c r="Z136" s="470"/>
      <c r="AA136" s="470">
        <v>45751</v>
      </c>
      <c r="AB136" s="470"/>
      <c r="AC136" s="161">
        <f t="shared" si="86"/>
        <v>209.71875</v>
      </c>
      <c r="AD136" s="161">
        <f t="shared" si="80"/>
        <v>203.37222222222044</v>
      </c>
      <c r="AE136" s="446">
        <f t="shared" si="72"/>
        <v>-45751</v>
      </c>
      <c r="AF136" s="160">
        <f t="shared" si="81"/>
        <v>45561.366751858739</v>
      </c>
      <c r="AG136" s="160">
        <f t="shared" si="82"/>
        <v>45570.522885687729</v>
      </c>
      <c r="AH136" s="159">
        <f t="shared" si="83"/>
        <v>45591.28125</v>
      </c>
      <c r="AI136" s="162">
        <f t="shared" si="87"/>
        <v>6.8133265398550718</v>
      </c>
      <c r="AJ136" s="224">
        <f t="shared" si="84"/>
        <v>-762.51666666666665</v>
      </c>
      <c r="AK136" s="225">
        <f t="shared" si="88"/>
        <v>23</v>
      </c>
      <c r="AL136" s="170">
        <f t="shared" si="89"/>
        <v>36</v>
      </c>
      <c r="AM136" s="170">
        <f t="shared" si="90"/>
        <v>23.085501858736059</v>
      </c>
      <c r="AN136" s="170">
        <f t="shared" si="91"/>
        <v>29.241635687732341</v>
      </c>
      <c r="AO136" s="226">
        <f t="shared" si="92"/>
        <v>20.085501858736059</v>
      </c>
      <c r="AP136" s="227">
        <v>60</v>
      </c>
      <c r="AQ136" s="228">
        <f t="shared" si="93"/>
        <v>57</v>
      </c>
      <c r="AR136" s="228">
        <f t="shared" si="94"/>
        <v>52</v>
      </c>
      <c r="AS136" s="229">
        <f t="shared" si="95"/>
        <v>45811</v>
      </c>
      <c r="AT136" s="982">
        <f t="shared" ca="1" si="96"/>
        <v>144</v>
      </c>
      <c r="AU136" s="50"/>
      <c r="AV136" s="118"/>
      <c r="AW136" s="49"/>
      <c r="AX136" s="49"/>
      <c r="AY136" s="49"/>
      <c r="AZ136" s="300"/>
      <c r="BA136" s="119"/>
      <c r="BB136" s="304"/>
      <c r="BC136" s="231" t="s">
        <v>12</v>
      </c>
      <c r="BD136" s="232"/>
      <c r="BE136" s="222">
        <f t="shared" si="97"/>
        <v>45766</v>
      </c>
      <c r="BF136" s="233">
        <f t="shared" si="98"/>
        <v>20</v>
      </c>
      <c r="BG136" s="234">
        <v>45761</v>
      </c>
      <c r="BH136" s="235">
        <v>45786</v>
      </c>
      <c r="BI136" s="234"/>
      <c r="BJ136" s="236"/>
      <c r="BK136" s="222"/>
      <c r="BL136" s="222"/>
      <c r="BM136" s="238"/>
      <c r="BN136" s="222"/>
      <c r="BO136" s="222"/>
      <c r="BP136" s="243"/>
      <c r="BQ136" s="244" t="s">
        <v>247</v>
      </c>
      <c r="BR136" s="238"/>
      <c r="BS136" s="67"/>
      <c r="BT136" s="66"/>
      <c r="BU136" s="66"/>
      <c r="BV136" s="66"/>
      <c r="BW136" s="74"/>
      <c r="BX136" s="81"/>
      <c r="BY136" s="66">
        <v>45548</v>
      </c>
      <c r="BZ136" s="944" t="s">
        <v>1104</v>
      </c>
      <c r="CA136" s="42" t="str">
        <f t="shared" si="99"/>
        <v>0</v>
      </c>
      <c r="CB136" s="62">
        <f t="shared" si="100"/>
        <v>209.71875</v>
      </c>
      <c r="CC136" s="42">
        <f t="shared" si="101"/>
        <v>0</v>
      </c>
      <c r="CD136" s="62">
        <f t="shared" si="102"/>
        <v>209.71875</v>
      </c>
      <c r="CE136" s="62">
        <f t="shared" si="103"/>
        <v>6.8133265398550718</v>
      </c>
      <c r="CF136" s="145">
        <f t="shared" si="104"/>
        <v>118</v>
      </c>
      <c r="CG136" s="145"/>
      <c r="CH136" s="443">
        <f t="shared" si="105"/>
        <v>10.646901419082123</v>
      </c>
      <c r="CI136" s="996">
        <f t="shared" si="106"/>
        <v>10.646901419082123</v>
      </c>
      <c r="CJ136" s="261">
        <f t="shared" si="107"/>
        <v>1.9666666666666666</v>
      </c>
      <c r="CK136" s="458" t="str">
        <f t="shared" si="108"/>
        <v/>
      </c>
      <c r="CL136" t="str">
        <f t="shared" si="109"/>
        <v>NON-REV</v>
      </c>
      <c r="CM136" t="str">
        <f t="shared" si="110"/>
        <v/>
      </c>
      <c r="CN136" s="635"/>
      <c r="CO136" s="631"/>
      <c r="CP136" s="629" t="str">
        <f t="shared" si="111"/>
        <v>FOR ISSUANCE</v>
      </c>
      <c r="CQ136" s="635"/>
      <c r="CR136" s="697"/>
      <c r="CS136" s="633" t="str">
        <f t="shared" ca="1" si="112"/>
        <v>0</v>
      </c>
      <c r="CT136" s="635"/>
      <c r="CU136" s="631"/>
      <c r="CV136" s="638"/>
      <c r="CW136" s="156" t="s">
        <v>1105</v>
      </c>
      <c r="CX136" s="156" t="str">
        <f>VLOOKUP(E136,'[1]List of Work Orders'!$A:$I,9,FALSE)</f>
        <v>ME166067</v>
      </c>
      <c r="CY136" s="156"/>
      <c r="DC136" t="str">
        <f>VLOOKUP(E136,'[2]List of Work Orders'!$A:$F,6,FALSE)</f>
        <v>FCOMP</v>
      </c>
      <c r="DS136" s="156" t="s">
        <v>397</v>
      </c>
    </row>
    <row r="137" spans="1:123" customFormat="1" ht="15" customHeight="1" x14ac:dyDescent="0.25">
      <c r="A137" s="242">
        <v>45551</v>
      </c>
      <c r="B137" s="222">
        <v>45547</v>
      </c>
      <c r="C137" s="223"/>
      <c r="D137" s="66" t="s">
        <v>320</v>
      </c>
      <c r="E137" s="404" t="s">
        <v>1106</v>
      </c>
      <c r="F137" s="95" t="s">
        <v>1107</v>
      </c>
      <c r="G137" s="95" t="s">
        <v>1108</v>
      </c>
      <c r="H137" s="95" t="s">
        <v>269</v>
      </c>
      <c r="I137" s="95" t="s">
        <v>239</v>
      </c>
      <c r="J137" s="163" t="s">
        <v>1109</v>
      </c>
      <c r="K137" s="101"/>
      <c r="L137" s="101" t="s">
        <v>242</v>
      </c>
      <c r="M137" s="345" t="s">
        <v>272</v>
      </c>
      <c r="N137" s="442" t="s">
        <v>467</v>
      </c>
      <c r="O137" s="165">
        <v>16.93</v>
      </c>
      <c r="P137" s="933">
        <v>16.93</v>
      </c>
      <c r="Q137" s="157">
        <v>0</v>
      </c>
      <c r="R137" s="109" t="s">
        <v>327</v>
      </c>
      <c r="S137" s="110">
        <v>117785.94</v>
      </c>
      <c r="T137" s="93">
        <v>13633.28</v>
      </c>
      <c r="U137" s="141"/>
      <c r="V137" s="158">
        <f t="shared" si="85"/>
        <v>0</v>
      </c>
      <c r="W137" s="159">
        <v>45541.610405092593</v>
      </c>
      <c r="X137" s="159">
        <v>45547.630555555559</v>
      </c>
      <c r="Y137" s="160">
        <v>45547</v>
      </c>
      <c r="Z137" s="470"/>
      <c r="AA137" s="470">
        <v>45777</v>
      </c>
      <c r="AB137" s="470"/>
      <c r="AC137" s="161">
        <f t="shared" si="86"/>
        <v>235.38959490740672</v>
      </c>
      <c r="AD137" s="161">
        <f t="shared" ref="AD137:AD168" si="113">AA137-X137</f>
        <v>229.36944444444089</v>
      </c>
      <c r="AE137" s="446">
        <f t="shared" ref="AE137:AE200" si="114">AB137-AA137</f>
        <v>-45777</v>
      </c>
      <c r="AF137" s="160">
        <f t="shared" ref="AF137:AF168" si="115">W137+AO137</f>
        <v>45560.38459864098</v>
      </c>
      <c r="AG137" s="160">
        <f t="shared" ref="AG137:AG168" si="116">W137+AN137</f>
        <v>45569.191050253881</v>
      </c>
      <c r="AH137" s="159">
        <f t="shared" ref="AH137:AH168" si="117">W137+50</f>
        <v>45591.610405092593</v>
      </c>
      <c r="AI137" s="162">
        <f t="shared" si="87"/>
        <v>8.1078638245884544</v>
      </c>
      <c r="AJ137" s="224">
        <f t="shared" ref="AJ137:AJ168" si="118">AE137/AP137</f>
        <v>-762.95</v>
      </c>
      <c r="AK137" s="225">
        <f t="shared" si="88"/>
        <v>20</v>
      </c>
      <c r="AL137" s="170">
        <f t="shared" si="89"/>
        <v>36</v>
      </c>
      <c r="AM137" s="170">
        <f t="shared" si="90"/>
        <v>21.774193548387096</v>
      </c>
      <c r="AN137" s="170">
        <f t="shared" si="91"/>
        <v>27.58064516129032</v>
      </c>
      <c r="AO137" s="226">
        <f t="shared" si="92"/>
        <v>18.774193548387096</v>
      </c>
      <c r="AP137" s="227">
        <v>60</v>
      </c>
      <c r="AQ137" s="228">
        <f t="shared" si="93"/>
        <v>57</v>
      </c>
      <c r="AR137" s="228">
        <f t="shared" si="94"/>
        <v>52</v>
      </c>
      <c r="AS137" s="229">
        <f t="shared" si="95"/>
        <v>45837</v>
      </c>
      <c r="AT137" s="982">
        <f t="shared" ca="1" si="96"/>
        <v>118</v>
      </c>
      <c r="AU137" s="50"/>
      <c r="AV137" s="118"/>
      <c r="AW137" s="49"/>
      <c r="AX137" s="49"/>
      <c r="AY137" s="49"/>
      <c r="AZ137" s="300"/>
      <c r="BA137" s="119"/>
      <c r="BB137" s="304"/>
      <c r="BC137" s="231" t="s">
        <v>12</v>
      </c>
      <c r="BD137" s="232"/>
      <c r="BE137" s="222">
        <f t="shared" si="97"/>
        <v>45792</v>
      </c>
      <c r="BF137" s="233">
        <f t="shared" si="98"/>
        <v>12</v>
      </c>
      <c r="BG137" s="234">
        <v>45776</v>
      </c>
      <c r="BH137" s="235">
        <v>45804</v>
      </c>
      <c r="BI137" s="234"/>
      <c r="BJ137" s="236"/>
      <c r="BK137" s="222"/>
      <c r="BL137" s="222"/>
      <c r="BM137" s="238"/>
      <c r="BN137" s="222"/>
      <c r="BO137" s="222"/>
      <c r="BP137" s="243"/>
      <c r="BQ137" s="244" t="s">
        <v>246</v>
      </c>
      <c r="BR137" s="238"/>
      <c r="BS137" s="67"/>
      <c r="BT137" s="66"/>
      <c r="BU137" s="66"/>
      <c r="BV137" s="66"/>
      <c r="BW137" s="74"/>
      <c r="BX137" s="81"/>
      <c r="BY137" s="66">
        <v>45552</v>
      </c>
      <c r="BZ137" s="944" t="s">
        <v>1110</v>
      </c>
      <c r="CA137" s="42" t="str">
        <f t="shared" si="99"/>
        <v>0</v>
      </c>
      <c r="CB137" s="62">
        <f t="shared" si="100"/>
        <v>235.38959490740672</v>
      </c>
      <c r="CC137" s="42">
        <f t="shared" si="101"/>
        <v>0</v>
      </c>
      <c r="CD137" s="62">
        <f t="shared" si="102"/>
        <v>235.38959490740672</v>
      </c>
      <c r="CE137" s="62">
        <f t="shared" si="103"/>
        <v>8.1078638245884544</v>
      </c>
      <c r="CF137" s="145">
        <f t="shared" si="104"/>
        <v>92</v>
      </c>
      <c r="CG137" s="145"/>
      <c r="CH137" s="443">
        <f t="shared" si="105"/>
        <v>11.276752713477343</v>
      </c>
      <c r="CI137" s="996">
        <f t="shared" si="106"/>
        <v>11.276752713477343</v>
      </c>
      <c r="CJ137" s="261">
        <f t="shared" si="107"/>
        <v>1.5333333333333334</v>
      </c>
      <c r="CK137" s="458" t="str">
        <f t="shared" si="108"/>
        <v/>
      </c>
      <c r="CL137" t="str">
        <f t="shared" si="109"/>
        <v>NON-REV</v>
      </c>
      <c r="CM137" t="str">
        <f t="shared" si="110"/>
        <v/>
      </c>
      <c r="CN137" s="635"/>
      <c r="CO137" s="631"/>
      <c r="CP137" s="629" t="str">
        <f t="shared" si="111"/>
        <v>FOR ISSUANCE</v>
      </c>
      <c r="CQ137" s="635"/>
      <c r="CR137" s="697"/>
      <c r="CS137" s="633" t="str">
        <f t="shared" ca="1" si="112"/>
        <v>0</v>
      </c>
      <c r="CT137" s="635"/>
      <c r="CU137" s="631"/>
      <c r="CV137" s="638"/>
      <c r="CW137" s="156" t="s">
        <v>1111</v>
      </c>
      <c r="CX137" s="156" t="str">
        <f>VLOOKUP(E137,'[1]List of Work Orders'!$A:$I,9,FALSE)</f>
        <v>ME155242</v>
      </c>
      <c r="CY137" s="156"/>
      <c r="CZ137" s="63"/>
      <c r="DC137" t="str">
        <f>VLOOKUP(E137,'[2]List of Work Orders'!$A:$F,6,FALSE)</f>
        <v>SCHED</v>
      </c>
      <c r="DS137" s="156" t="s">
        <v>381</v>
      </c>
    </row>
    <row r="138" spans="1:123" customFormat="1" ht="15" customHeight="1" x14ac:dyDescent="0.25">
      <c r="A138" s="242">
        <v>45551</v>
      </c>
      <c r="B138" s="222">
        <v>45547</v>
      </c>
      <c r="C138" s="223"/>
      <c r="D138" s="66" t="s">
        <v>320</v>
      </c>
      <c r="E138" s="404" t="s">
        <v>1112</v>
      </c>
      <c r="F138" s="95" t="s">
        <v>949</v>
      </c>
      <c r="G138" s="95" t="s">
        <v>1113</v>
      </c>
      <c r="H138" s="95" t="s">
        <v>378</v>
      </c>
      <c r="I138" s="95" t="s">
        <v>239</v>
      </c>
      <c r="J138" s="163" t="s">
        <v>1114</v>
      </c>
      <c r="K138" s="101" t="s">
        <v>299</v>
      </c>
      <c r="L138" s="101" t="s">
        <v>288</v>
      </c>
      <c r="M138" s="345" t="s">
        <v>272</v>
      </c>
      <c r="N138" s="442" t="s">
        <v>381</v>
      </c>
      <c r="O138" s="165">
        <v>534.45119999999997</v>
      </c>
      <c r="P138" s="933">
        <v>1078.79</v>
      </c>
      <c r="Q138" s="157">
        <v>23</v>
      </c>
      <c r="R138" s="109" t="s">
        <v>244</v>
      </c>
      <c r="S138" s="110">
        <v>2000088.16</v>
      </c>
      <c r="T138" s="93">
        <v>429627.22</v>
      </c>
      <c r="U138" s="141">
        <v>93509.88</v>
      </c>
      <c r="V138" s="158">
        <f t="shared" si="85"/>
        <v>0.21765352763263002</v>
      </c>
      <c r="W138" s="159">
        <v>45545.39570601852</v>
      </c>
      <c r="X138" s="159">
        <v>45548.57916666667</v>
      </c>
      <c r="Y138" s="160">
        <v>45546</v>
      </c>
      <c r="Z138" s="470">
        <v>45808</v>
      </c>
      <c r="AA138" s="470">
        <v>45808</v>
      </c>
      <c r="AB138" s="470"/>
      <c r="AC138" s="161">
        <f t="shared" si="86"/>
        <v>262.60429398147971</v>
      </c>
      <c r="AD138" s="161">
        <f t="shared" si="113"/>
        <v>259.42083333332994</v>
      </c>
      <c r="AE138" s="446">
        <f t="shared" si="114"/>
        <v>-45808</v>
      </c>
      <c r="AF138" s="160">
        <f t="shared" si="115"/>
        <v>45571.871688551269</v>
      </c>
      <c r="AG138" s="160">
        <f t="shared" si="116"/>
        <v>45582.731950560003</v>
      </c>
      <c r="AH138" s="159">
        <f t="shared" si="117"/>
        <v>45595.39570601852</v>
      </c>
      <c r="AI138" s="162">
        <f t="shared" si="87"/>
        <v>6.681820369084317</v>
      </c>
      <c r="AJ138" s="224">
        <f t="shared" si="118"/>
        <v>-763.4666666666667</v>
      </c>
      <c r="AK138" s="225">
        <f t="shared" si="88"/>
        <v>50</v>
      </c>
      <c r="AL138" s="170">
        <f t="shared" si="89"/>
        <v>36</v>
      </c>
      <c r="AM138" s="170">
        <f t="shared" si="90"/>
        <v>29.475982532751093</v>
      </c>
      <c r="AN138" s="170">
        <f t="shared" si="91"/>
        <v>37.336244541484717</v>
      </c>
      <c r="AO138" s="226">
        <f t="shared" si="92"/>
        <v>26.475982532751093</v>
      </c>
      <c r="AP138" s="227">
        <v>60</v>
      </c>
      <c r="AQ138" s="228">
        <f t="shared" si="93"/>
        <v>57</v>
      </c>
      <c r="AR138" s="228">
        <f t="shared" si="94"/>
        <v>52</v>
      </c>
      <c r="AS138" s="229">
        <f t="shared" si="95"/>
        <v>45868</v>
      </c>
      <c r="AT138" s="982">
        <f t="shared" ca="1" si="96"/>
        <v>87</v>
      </c>
      <c r="AU138" s="50"/>
      <c r="AV138" s="118"/>
      <c r="AW138" s="49"/>
      <c r="AX138" s="49"/>
      <c r="AY138" s="49"/>
      <c r="AZ138" s="300"/>
      <c r="BA138" s="119"/>
      <c r="BB138" s="304"/>
      <c r="BC138" s="231" t="s">
        <v>12</v>
      </c>
      <c r="BD138" s="232"/>
      <c r="BE138" s="222">
        <f t="shared" si="97"/>
        <v>45823</v>
      </c>
      <c r="BF138" s="233">
        <f t="shared" si="98"/>
        <v>43</v>
      </c>
      <c r="BG138" s="234">
        <v>45808</v>
      </c>
      <c r="BH138" s="235">
        <v>45866</v>
      </c>
      <c r="BI138" s="234"/>
      <c r="BJ138" s="236"/>
      <c r="BK138" s="222"/>
      <c r="BL138" s="222"/>
      <c r="BM138" s="238"/>
      <c r="BN138" s="222"/>
      <c r="BO138" s="222"/>
      <c r="BP138" s="243"/>
      <c r="BQ138" s="244" t="s">
        <v>247</v>
      </c>
      <c r="BR138" s="238">
        <v>45806</v>
      </c>
      <c r="BS138" s="67"/>
      <c r="BT138" s="66"/>
      <c r="BU138" s="66"/>
      <c r="BV138" s="66"/>
      <c r="BW138" s="74"/>
      <c r="BX138" s="81"/>
      <c r="BY138" s="66">
        <v>45552</v>
      </c>
      <c r="BZ138" s="944" t="s">
        <v>1115</v>
      </c>
      <c r="CA138" s="42" t="str">
        <f t="shared" si="99"/>
        <v>0</v>
      </c>
      <c r="CB138" s="62">
        <f t="shared" si="100"/>
        <v>262.60429398147971</v>
      </c>
      <c r="CC138" s="42">
        <f t="shared" si="101"/>
        <v>0</v>
      </c>
      <c r="CD138" s="62">
        <f t="shared" si="102"/>
        <v>262.60429398147971</v>
      </c>
      <c r="CE138" s="62">
        <f t="shared" si="103"/>
        <v>6.681820369084317</v>
      </c>
      <c r="CF138" s="145">
        <f t="shared" si="104"/>
        <v>61</v>
      </c>
      <c r="CG138" s="145"/>
      <c r="CH138" s="443">
        <f t="shared" si="105"/>
        <v>8.2339314801954266</v>
      </c>
      <c r="CI138" s="996">
        <f t="shared" si="106"/>
        <v>8.2339314801954266</v>
      </c>
      <c r="CJ138" s="261">
        <f t="shared" si="107"/>
        <v>1.0166666666666666</v>
      </c>
      <c r="CK138" s="458" t="str">
        <f t="shared" si="108"/>
        <v/>
      </c>
      <c r="CL138" t="str">
        <f t="shared" si="109"/>
        <v>REV</v>
      </c>
      <c r="CM138" t="str">
        <f t="shared" si="110"/>
        <v/>
      </c>
      <c r="CN138" s="635"/>
      <c r="CO138" s="631"/>
      <c r="CP138" s="629" t="str">
        <f t="shared" si="111"/>
        <v>FOR ISSUANCE</v>
      </c>
      <c r="CQ138" s="635"/>
      <c r="CR138" s="697"/>
      <c r="CS138" s="633" t="str">
        <f t="shared" ca="1" si="112"/>
        <v>0</v>
      </c>
      <c r="CT138" s="635"/>
      <c r="CU138" s="631"/>
      <c r="CV138" s="638"/>
      <c r="CW138" s="156" t="s">
        <v>1116</v>
      </c>
      <c r="CX138" s="156" t="str">
        <f>VLOOKUP(E138,'[1]List of Work Orders'!$A:$I,9,FALSE)</f>
        <v>ME185284</v>
      </c>
      <c r="CY138" s="156"/>
      <c r="DC138" t="str">
        <f>VLOOKUP(E138,'[2]List of Work Orders'!$A:$F,6,FALSE)</f>
        <v>SCHED</v>
      </c>
      <c r="DS138" s="156" t="s">
        <v>397</v>
      </c>
    </row>
    <row r="139" spans="1:123" customFormat="1" ht="15" customHeight="1" x14ac:dyDescent="0.25">
      <c r="A139" s="242">
        <v>45555</v>
      </c>
      <c r="B139" s="222">
        <v>45553</v>
      </c>
      <c r="C139" s="223" t="s">
        <v>247</v>
      </c>
      <c r="D139" s="66" t="s">
        <v>284</v>
      </c>
      <c r="E139" s="404" t="s">
        <v>1117</v>
      </c>
      <c r="F139" s="95" t="s">
        <v>937</v>
      </c>
      <c r="G139" s="95" t="s">
        <v>938</v>
      </c>
      <c r="H139" s="95" t="s">
        <v>378</v>
      </c>
      <c r="I139" s="95" t="s">
        <v>239</v>
      </c>
      <c r="J139" s="163" t="s">
        <v>1118</v>
      </c>
      <c r="K139" s="101" t="s">
        <v>299</v>
      </c>
      <c r="L139" s="101" t="s">
        <v>5</v>
      </c>
      <c r="M139" s="345" t="s">
        <v>272</v>
      </c>
      <c r="N139" s="442" t="s">
        <v>403</v>
      </c>
      <c r="O139" s="165">
        <v>550.21709999999996</v>
      </c>
      <c r="P139" s="933">
        <v>550.22</v>
      </c>
      <c r="Q139" s="157">
        <v>136</v>
      </c>
      <c r="R139" s="109" t="s">
        <v>548</v>
      </c>
      <c r="S139" s="110">
        <v>2501537.66</v>
      </c>
      <c r="T139" s="93">
        <v>443077.47</v>
      </c>
      <c r="U139" s="141"/>
      <c r="V139" s="158">
        <f t="shared" si="85"/>
        <v>0</v>
      </c>
      <c r="W139" s="159">
        <f>VLOOKUP(E139,'[3]List of Work Orders'!$A:$P,7,FALSE)</f>
        <v>45546.451226851852</v>
      </c>
      <c r="X139" s="159">
        <v>45551.607638888891</v>
      </c>
      <c r="Y139" s="160">
        <v>45548</v>
      </c>
      <c r="Z139" s="470"/>
      <c r="AA139" s="470">
        <v>45747.425000000003</v>
      </c>
      <c r="AB139" s="470"/>
      <c r="AC139" s="161">
        <f t="shared" si="86"/>
        <v>200.97377314815094</v>
      </c>
      <c r="AD139" s="161">
        <f t="shared" si="113"/>
        <v>195.8173611111124</v>
      </c>
      <c r="AE139" s="446">
        <f t="shared" si="114"/>
        <v>-45747.425000000003</v>
      </c>
      <c r="AF139" s="160">
        <f t="shared" si="115"/>
        <v>45568.98314174547</v>
      </c>
      <c r="AG139" s="160">
        <f t="shared" si="116"/>
        <v>45578.79165238377</v>
      </c>
      <c r="AH139" s="159">
        <f t="shared" si="117"/>
        <v>45596.451226851852</v>
      </c>
      <c r="AI139" s="162">
        <f t="shared" si="87"/>
        <v>5.9036045862269333</v>
      </c>
      <c r="AJ139" s="224">
        <f t="shared" si="118"/>
        <v>-762.45708333333334</v>
      </c>
      <c r="AK139" s="225">
        <f t="shared" si="88"/>
        <v>40</v>
      </c>
      <c r="AL139" s="170">
        <f t="shared" si="89"/>
        <v>32</v>
      </c>
      <c r="AM139" s="170">
        <f t="shared" si="90"/>
        <v>25.531914893617024</v>
      </c>
      <c r="AN139" s="170">
        <f t="shared" si="91"/>
        <v>32.340425531914896</v>
      </c>
      <c r="AO139" s="226">
        <f t="shared" si="92"/>
        <v>22.531914893617024</v>
      </c>
      <c r="AP139" s="227">
        <v>60</v>
      </c>
      <c r="AQ139" s="228">
        <f t="shared" si="93"/>
        <v>57</v>
      </c>
      <c r="AR139" s="228">
        <f t="shared" si="94"/>
        <v>52</v>
      </c>
      <c r="AS139" s="229">
        <f t="shared" si="95"/>
        <v>45807.425000000003</v>
      </c>
      <c r="AT139" s="982">
        <f t="shared" ca="1" si="96"/>
        <v>147.57499999999709</v>
      </c>
      <c r="AU139" s="50"/>
      <c r="AV139" s="118"/>
      <c r="AW139" s="49"/>
      <c r="AX139" s="49"/>
      <c r="AY139" s="49"/>
      <c r="AZ139" s="300"/>
      <c r="BA139" s="119"/>
      <c r="BB139" s="304"/>
      <c r="BC139" s="231" t="s">
        <v>264</v>
      </c>
      <c r="BD139" s="232"/>
      <c r="BE139" s="222">
        <f t="shared" si="97"/>
        <v>45762.425000000003</v>
      </c>
      <c r="BF139" s="233">
        <f t="shared" si="98"/>
        <v>0.57499999999708962</v>
      </c>
      <c r="BG139" s="234">
        <v>45747</v>
      </c>
      <c r="BH139" s="235">
        <v>45763</v>
      </c>
      <c r="BI139" s="234">
        <v>45824</v>
      </c>
      <c r="BJ139" s="236" t="s">
        <v>1119</v>
      </c>
      <c r="BK139" s="222" t="s">
        <v>247</v>
      </c>
      <c r="BL139" s="222" t="s">
        <v>247</v>
      </c>
      <c r="BM139" s="238"/>
      <c r="BN139" s="222"/>
      <c r="BO139" s="222">
        <v>45833</v>
      </c>
      <c r="BP139" s="243" t="s">
        <v>1084</v>
      </c>
      <c r="BQ139" s="244" t="s">
        <v>246</v>
      </c>
      <c r="BR139" s="238"/>
      <c r="BS139" s="67"/>
      <c r="BT139" s="66"/>
      <c r="BU139" s="66"/>
      <c r="BV139" s="66"/>
      <c r="BW139" s="74"/>
      <c r="BX139" s="81"/>
      <c r="BY139" s="66">
        <v>45556</v>
      </c>
      <c r="BZ139" s="944" t="s">
        <v>1120</v>
      </c>
      <c r="CA139" s="42" t="str">
        <f t="shared" si="99"/>
        <v>0</v>
      </c>
      <c r="CB139" s="62">
        <f t="shared" si="100"/>
        <v>200.97377314815094</v>
      </c>
      <c r="CC139" s="42">
        <f t="shared" si="101"/>
        <v>0</v>
      </c>
      <c r="CD139" s="62">
        <f t="shared" si="102"/>
        <v>200.97377314815094</v>
      </c>
      <c r="CE139" s="62">
        <f t="shared" si="103"/>
        <v>5.9036045862269333</v>
      </c>
      <c r="CF139" s="145">
        <f t="shared" si="104"/>
        <v>121.57499999999709</v>
      </c>
      <c r="CG139" s="145"/>
      <c r="CH139" s="443">
        <f t="shared" si="105"/>
        <v>9.4748702112268468</v>
      </c>
      <c r="CI139" s="996">
        <f t="shared" si="106"/>
        <v>9.4748702112268468</v>
      </c>
      <c r="CJ139" s="261">
        <f t="shared" si="107"/>
        <v>2.0262499999999517</v>
      </c>
      <c r="CK139" s="458" t="str">
        <f t="shared" si="108"/>
        <v/>
      </c>
      <c r="CL139" t="str">
        <f t="shared" si="109"/>
        <v>NON-REV</v>
      </c>
      <c r="CM139" t="str">
        <f t="shared" si="110"/>
        <v/>
      </c>
      <c r="CN139" s="635">
        <v>45833</v>
      </c>
      <c r="CO139" s="631">
        <v>334982.87</v>
      </c>
      <c r="CP139" s="629" t="str">
        <f t="shared" si="111"/>
        <v>NTC ISSUED</v>
      </c>
      <c r="CQ139" s="635">
        <v>45833</v>
      </c>
      <c r="CR139" s="697"/>
      <c r="CS139" s="633">
        <f t="shared" ca="1" si="112"/>
        <v>62</v>
      </c>
      <c r="CT139" s="635">
        <v>45847</v>
      </c>
      <c r="CU139" s="631">
        <v>86751.01</v>
      </c>
      <c r="CV139" s="638">
        <v>45853</v>
      </c>
      <c r="CW139" s="156" t="s">
        <v>1121</v>
      </c>
      <c r="CX139" s="156" t="str">
        <f>VLOOKUP(E139,'[1]List of Work Orders'!$A:$I,9,FALSE)</f>
        <v>ME166067</v>
      </c>
      <c r="CY139" s="156"/>
      <c r="DC139" t="str">
        <f>VLOOKUP(E139,'[2]List of Work Orders'!$A:$F,6,FALSE)</f>
        <v>FCOMP</v>
      </c>
      <c r="DS139" s="156" t="s">
        <v>397</v>
      </c>
    </row>
    <row r="140" spans="1:123" customFormat="1" ht="15" customHeight="1" x14ac:dyDescent="0.25">
      <c r="A140" s="242">
        <v>45559</v>
      </c>
      <c r="B140" s="222">
        <v>45552</v>
      </c>
      <c r="C140" s="223"/>
      <c r="D140" s="66" t="s">
        <v>320</v>
      </c>
      <c r="E140" s="404" t="s">
        <v>1122</v>
      </c>
      <c r="F140" s="95" t="s">
        <v>1123</v>
      </c>
      <c r="G140" s="95" t="s">
        <v>1124</v>
      </c>
      <c r="H140" s="95" t="s">
        <v>253</v>
      </c>
      <c r="I140" s="95" t="s">
        <v>254</v>
      </c>
      <c r="J140" s="168" t="s">
        <v>1125</v>
      </c>
      <c r="K140" s="101" t="s">
        <v>271</v>
      </c>
      <c r="L140" s="101" t="s">
        <v>263</v>
      </c>
      <c r="M140" s="345" t="s">
        <v>272</v>
      </c>
      <c r="N140" s="442" t="s">
        <v>467</v>
      </c>
      <c r="O140" s="165">
        <v>262.64100000000002</v>
      </c>
      <c r="P140" s="933">
        <v>307.04000000000002</v>
      </c>
      <c r="Q140" s="157">
        <v>4.5</v>
      </c>
      <c r="R140" s="109" t="s">
        <v>244</v>
      </c>
      <c r="S140" s="110">
        <v>840479.63</v>
      </c>
      <c r="T140" s="93">
        <v>211499.83</v>
      </c>
      <c r="U140" s="141"/>
      <c r="V140" s="158">
        <f t="shared" si="85"/>
        <v>0</v>
      </c>
      <c r="W140" s="159">
        <f>VLOOKUP(E140,'[3]List of Work Orders'!$A:$P,7,FALSE)</f>
        <v>45546.704641203702</v>
      </c>
      <c r="X140" s="159">
        <v>45551.595833333333</v>
      </c>
      <c r="Y140" s="160">
        <v>45548</v>
      </c>
      <c r="Z140" s="470"/>
      <c r="AA140" s="470">
        <v>45667</v>
      </c>
      <c r="AB140" s="470"/>
      <c r="AC140" s="161">
        <f t="shared" si="86"/>
        <v>120.29535879629839</v>
      </c>
      <c r="AD140" s="161">
        <f t="shared" si="113"/>
        <v>115.40416666666715</v>
      </c>
      <c r="AE140" s="446">
        <f t="shared" si="114"/>
        <v>-45667</v>
      </c>
      <c r="AF140" s="160">
        <f t="shared" si="115"/>
        <v>45569.176339316909</v>
      </c>
      <c r="AG140" s="160">
        <f t="shared" si="116"/>
        <v>45578.968792147098</v>
      </c>
      <c r="AH140" s="159">
        <f t="shared" si="117"/>
        <v>45596.704641203702</v>
      </c>
      <c r="AI140" s="162">
        <f t="shared" si="87"/>
        <v>3.5420300090021186</v>
      </c>
      <c r="AJ140" s="224">
        <f t="shared" si="118"/>
        <v>-761.11666666666667</v>
      </c>
      <c r="AK140" s="225">
        <f t="shared" si="88"/>
        <v>30</v>
      </c>
      <c r="AL140" s="170">
        <f t="shared" si="89"/>
        <v>36</v>
      </c>
      <c r="AM140" s="170">
        <f t="shared" si="90"/>
        <v>25.471698113207545</v>
      </c>
      <c r="AN140" s="170">
        <f t="shared" si="91"/>
        <v>32.264150943396224</v>
      </c>
      <c r="AO140" s="226">
        <f t="shared" si="92"/>
        <v>22.471698113207545</v>
      </c>
      <c r="AP140" s="227">
        <v>60</v>
      </c>
      <c r="AQ140" s="228">
        <f t="shared" si="93"/>
        <v>57</v>
      </c>
      <c r="AR140" s="228">
        <f t="shared" si="94"/>
        <v>52</v>
      </c>
      <c r="AS140" s="229">
        <f t="shared" si="95"/>
        <v>45727</v>
      </c>
      <c r="AT140" s="982">
        <f t="shared" ca="1" si="96"/>
        <v>228</v>
      </c>
      <c r="AU140" s="50"/>
      <c r="AV140" s="118"/>
      <c r="AW140" s="49"/>
      <c r="AX140" s="49"/>
      <c r="AY140" s="49"/>
      <c r="AZ140" s="300"/>
      <c r="BA140" s="119"/>
      <c r="BB140" s="304"/>
      <c r="BC140" s="231" t="s">
        <v>13</v>
      </c>
      <c r="BD140" s="232"/>
      <c r="BE140" s="222">
        <f t="shared" si="97"/>
        <v>45682</v>
      </c>
      <c r="BF140" s="233" t="e">
        <f t="shared" si="98"/>
        <v>#VALUE!</v>
      </c>
      <c r="BG140" s="234"/>
      <c r="BH140" s="235"/>
      <c r="BI140" s="234"/>
      <c r="BJ140" s="236"/>
      <c r="BK140" s="222"/>
      <c r="BL140" s="222"/>
      <c r="BM140" s="238"/>
      <c r="BN140" s="222"/>
      <c r="BO140" s="222"/>
      <c r="BP140" s="243"/>
      <c r="BQ140" s="244" t="s">
        <v>247</v>
      </c>
      <c r="BR140" s="238">
        <v>45667</v>
      </c>
      <c r="BS140" s="67"/>
      <c r="BT140" s="66"/>
      <c r="BU140" s="66"/>
      <c r="BV140" s="66"/>
      <c r="BW140" s="74"/>
      <c r="BX140" s="81"/>
      <c r="BY140" s="66">
        <v>45559</v>
      </c>
      <c r="BZ140" s="944" t="s">
        <v>1126</v>
      </c>
      <c r="CA140" s="42" t="str">
        <f t="shared" si="99"/>
        <v>0</v>
      </c>
      <c r="CB140" s="62">
        <f t="shared" si="100"/>
        <v>120.29535879629839</v>
      </c>
      <c r="CC140" s="42">
        <f t="shared" si="101"/>
        <v>0</v>
      </c>
      <c r="CD140" s="62">
        <f t="shared" si="102"/>
        <v>120.29535879629839</v>
      </c>
      <c r="CE140" s="62">
        <f t="shared" si="103"/>
        <v>3.5420300090021186</v>
      </c>
      <c r="CF140" s="145">
        <f t="shared" si="104"/>
        <v>202</v>
      </c>
      <c r="CG140" s="145"/>
      <c r="CH140" s="443">
        <f t="shared" si="105"/>
        <v>9.4898077867798971</v>
      </c>
      <c r="CI140" s="996">
        <f t="shared" si="106"/>
        <v>9.4898077867798971</v>
      </c>
      <c r="CJ140" s="261">
        <f t="shared" si="107"/>
        <v>3.3666666666666667</v>
      </c>
      <c r="CK140" s="458" t="str">
        <f t="shared" si="108"/>
        <v/>
      </c>
      <c r="CL140" t="str">
        <f t="shared" si="109"/>
        <v>REV</v>
      </c>
      <c r="CM140" t="str">
        <f t="shared" si="110"/>
        <v/>
      </c>
      <c r="CN140" s="635"/>
      <c r="CO140" s="631"/>
      <c r="CP140" s="629" t="str">
        <f t="shared" si="111"/>
        <v>FOR ISSUANCE</v>
      </c>
      <c r="CQ140" s="635"/>
      <c r="CR140" s="697"/>
      <c r="CS140" s="633" t="str">
        <f t="shared" ca="1" si="112"/>
        <v>0</v>
      </c>
      <c r="CT140" s="635"/>
      <c r="CU140" s="631"/>
      <c r="CV140" s="638"/>
      <c r="CW140" s="156" t="s">
        <v>1127</v>
      </c>
      <c r="CX140" s="156" t="str">
        <f>VLOOKUP(E140,'[1]List of Work Orders'!$A:$I,9,FALSE)</f>
        <v>ME155242</v>
      </c>
      <c r="CY140" s="156"/>
      <c r="DC140" t="str">
        <f>VLOOKUP(E140,'[2]List of Work Orders'!$A:$F,6,FALSE)</f>
        <v>FCOMP</v>
      </c>
      <c r="DS140" s="156" t="s">
        <v>403</v>
      </c>
    </row>
    <row r="141" spans="1:123" customFormat="1" ht="15" customHeight="1" x14ac:dyDescent="0.25">
      <c r="A141" s="242">
        <v>45559</v>
      </c>
      <c r="B141" s="222">
        <v>45552</v>
      </c>
      <c r="C141" s="223"/>
      <c r="D141" s="66" t="s">
        <v>320</v>
      </c>
      <c r="E141" s="404" t="s">
        <v>1128</v>
      </c>
      <c r="F141" s="95" t="s">
        <v>1129</v>
      </c>
      <c r="G141" s="95" t="s">
        <v>1130</v>
      </c>
      <c r="H141" s="95" t="s">
        <v>253</v>
      </c>
      <c r="I141" s="95" t="s">
        <v>254</v>
      </c>
      <c r="J141" s="168" t="s">
        <v>1125</v>
      </c>
      <c r="K141" s="101" t="s">
        <v>271</v>
      </c>
      <c r="L141" s="101" t="s">
        <v>263</v>
      </c>
      <c r="M141" s="345" t="s">
        <v>256</v>
      </c>
      <c r="N141" s="442" t="s">
        <v>467</v>
      </c>
      <c r="O141" s="165">
        <v>954.85059999999999</v>
      </c>
      <c r="P141" s="933">
        <v>1314.55</v>
      </c>
      <c r="Q141" s="157">
        <v>295.5</v>
      </c>
      <c r="R141" s="109" t="s">
        <v>244</v>
      </c>
      <c r="S141" s="110">
        <v>3368500.83</v>
      </c>
      <c r="T141" s="93">
        <v>768924.13</v>
      </c>
      <c r="U141" s="141">
        <v>808259.64</v>
      </c>
      <c r="V141" s="158">
        <f t="shared" si="85"/>
        <v>1.0511565555889111</v>
      </c>
      <c r="W141" s="159">
        <f>VLOOKUP(E141,'[3]List of Work Orders'!$A:$P,7,FALSE)</f>
        <v>45546.933831018519</v>
      </c>
      <c r="X141" s="159">
        <v>45551.602083333331</v>
      </c>
      <c r="Y141" s="160">
        <v>45548</v>
      </c>
      <c r="Z141" s="470">
        <v>45667</v>
      </c>
      <c r="AA141" s="470">
        <v>45667</v>
      </c>
      <c r="AB141" s="470">
        <v>45838.552083333336</v>
      </c>
      <c r="AC141" s="161">
        <f t="shared" si="86"/>
        <v>120.06616898148059</v>
      </c>
      <c r="AD141" s="161">
        <f t="shared" si="113"/>
        <v>115.39791666666861</v>
      </c>
      <c r="AE141" s="446">
        <f t="shared" si="114"/>
        <v>171.55208333333576</v>
      </c>
      <c r="AF141" s="160">
        <f t="shared" si="115"/>
        <v>45569.502012836703</v>
      </c>
      <c r="AG141" s="160">
        <f t="shared" si="116"/>
        <v>45579.32019465488</v>
      </c>
      <c r="AH141" s="159">
        <f t="shared" si="117"/>
        <v>45596.933831018519</v>
      </c>
      <c r="AI141" s="162">
        <f t="shared" si="87"/>
        <v>3.5219409567900968</v>
      </c>
      <c r="AJ141" s="224">
        <f t="shared" si="118"/>
        <v>2.8592013888889292</v>
      </c>
      <c r="AK141" s="225">
        <f t="shared" si="88"/>
        <v>50</v>
      </c>
      <c r="AL141" s="170">
        <f t="shared" si="89"/>
        <v>30</v>
      </c>
      <c r="AM141" s="170">
        <f t="shared" si="90"/>
        <v>25.56818181818182</v>
      </c>
      <c r="AN141" s="170">
        <f t="shared" si="91"/>
        <v>32.38636363636364</v>
      </c>
      <c r="AO141" s="226">
        <f t="shared" si="92"/>
        <v>22.56818181818182</v>
      </c>
      <c r="AP141" s="227">
        <v>60</v>
      </c>
      <c r="AQ141" s="228">
        <f t="shared" si="93"/>
        <v>57</v>
      </c>
      <c r="AR141" s="228">
        <f t="shared" si="94"/>
        <v>52</v>
      </c>
      <c r="AS141" s="229">
        <f t="shared" si="95"/>
        <v>45727</v>
      </c>
      <c r="AT141" s="982">
        <f t="shared" ca="1" si="96"/>
        <v>228</v>
      </c>
      <c r="AU141" s="50"/>
      <c r="AV141" s="118"/>
      <c r="AW141" s="49"/>
      <c r="AX141" s="49"/>
      <c r="AY141" s="49"/>
      <c r="AZ141" s="300"/>
      <c r="BA141" s="119"/>
      <c r="BB141" s="304"/>
      <c r="BC141" s="231" t="s">
        <v>14</v>
      </c>
      <c r="BD141" s="232"/>
      <c r="BE141" s="222">
        <f t="shared" si="97"/>
        <v>45682</v>
      </c>
      <c r="BF141" s="233">
        <f t="shared" si="98"/>
        <v>10</v>
      </c>
      <c r="BG141" s="234">
        <v>45667</v>
      </c>
      <c r="BH141" s="235">
        <v>45692</v>
      </c>
      <c r="BI141" s="234">
        <v>45814</v>
      </c>
      <c r="BJ141" s="236" t="s">
        <v>1119</v>
      </c>
      <c r="BK141" s="238"/>
      <c r="BL141" s="242"/>
      <c r="BM141" s="238"/>
      <c r="BN141" s="222"/>
      <c r="BO141" s="258">
        <v>45827</v>
      </c>
      <c r="BP141" s="259" t="s">
        <v>1084</v>
      </c>
      <c r="BQ141" s="244" t="s">
        <v>247</v>
      </c>
      <c r="BR141" s="238">
        <v>45667</v>
      </c>
      <c r="BS141" s="67"/>
      <c r="BT141" s="66"/>
      <c r="BU141" s="66"/>
      <c r="BV141" s="66"/>
      <c r="BW141" s="74"/>
      <c r="BX141" s="81"/>
      <c r="BY141" s="66">
        <v>45559</v>
      </c>
      <c r="BZ141" s="944" t="s">
        <v>1131</v>
      </c>
      <c r="CA141" s="42" t="str">
        <f t="shared" si="99"/>
        <v>0</v>
      </c>
      <c r="CB141" s="62">
        <f t="shared" si="100"/>
        <v>120.06616898148059</v>
      </c>
      <c r="CC141" s="42">
        <f t="shared" si="101"/>
        <v>0</v>
      </c>
      <c r="CD141" s="62">
        <f t="shared" si="102"/>
        <v>120.06616898148059</v>
      </c>
      <c r="CE141" s="62">
        <f t="shared" si="103"/>
        <v>3.5219409567900968</v>
      </c>
      <c r="CF141" s="145">
        <f t="shared" si="104"/>
        <v>202</v>
      </c>
      <c r="CG141" s="145"/>
      <c r="CH141" s="443">
        <f t="shared" si="105"/>
        <v>9.4472742901234295</v>
      </c>
      <c r="CI141" s="996">
        <f t="shared" si="106"/>
        <v>9.4472742901234295</v>
      </c>
      <c r="CJ141" s="261">
        <f>CF141/AP141</f>
        <v>3.3666666666666667</v>
      </c>
      <c r="CK141" s="458" t="str">
        <f t="shared" si="108"/>
        <v/>
      </c>
      <c r="CL141" t="str">
        <f t="shared" si="109"/>
        <v>REV</v>
      </c>
      <c r="CM141" t="str">
        <f t="shared" si="110"/>
        <v/>
      </c>
      <c r="CN141" s="635"/>
      <c r="CO141" s="631"/>
      <c r="CP141" s="629" t="str">
        <f t="shared" si="111"/>
        <v>FOR ISSUANCE</v>
      </c>
      <c r="CQ141" s="635"/>
      <c r="CR141" s="697"/>
      <c r="CS141" s="633" t="str">
        <f t="shared" ca="1" si="112"/>
        <v>0</v>
      </c>
      <c r="CT141" s="635"/>
      <c r="CU141" s="631"/>
      <c r="CV141" s="638"/>
      <c r="CW141" s="156" t="s">
        <v>1132</v>
      </c>
      <c r="CX141" s="156" t="str">
        <f>VLOOKUP(E141,'[1]List of Work Orders'!$A:$I,9,FALSE)</f>
        <v>ME155242</v>
      </c>
      <c r="CY141" s="156"/>
      <c r="DC141" t="str">
        <f>VLOOKUP(E141,'[2]List of Work Orders'!$A:$F,6,FALSE)</f>
        <v>FCOMP</v>
      </c>
      <c r="DS141" s="156" t="s">
        <v>403</v>
      </c>
    </row>
    <row r="142" spans="1:123" customFormat="1" ht="15" customHeight="1" x14ac:dyDescent="0.25">
      <c r="A142" s="242">
        <v>45582</v>
      </c>
      <c r="B142" s="222">
        <v>45552</v>
      </c>
      <c r="C142" s="223"/>
      <c r="D142" s="66" t="s">
        <v>284</v>
      </c>
      <c r="E142" s="404" t="s">
        <v>1133</v>
      </c>
      <c r="F142" s="95" t="s">
        <v>1134</v>
      </c>
      <c r="G142" s="95" t="s">
        <v>1135</v>
      </c>
      <c r="H142" s="95" t="s">
        <v>378</v>
      </c>
      <c r="I142" s="95" t="s">
        <v>239</v>
      </c>
      <c r="J142" s="163" t="s">
        <v>1136</v>
      </c>
      <c r="K142" s="101" t="s">
        <v>271</v>
      </c>
      <c r="L142" s="101" t="s">
        <v>5</v>
      </c>
      <c r="M142" s="345" t="s">
        <v>272</v>
      </c>
      <c r="N142" s="442" t="s">
        <v>403</v>
      </c>
      <c r="O142" s="165">
        <v>34.987000000000002</v>
      </c>
      <c r="P142" s="933">
        <v>34.99</v>
      </c>
      <c r="Q142" s="157">
        <v>19</v>
      </c>
      <c r="R142" s="109" t="s">
        <v>244</v>
      </c>
      <c r="S142" s="110">
        <v>278461.53999999998</v>
      </c>
      <c r="T142" s="93">
        <v>28174.13</v>
      </c>
      <c r="U142" s="141"/>
      <c r="V142" s="158">
        <f t="shared" si="85"/>
        <v>0</v>
      </c>
      <c r="W142" s="159">
        <v>45547.618750000001</v>
      </c>
      <c r="X142" s="159">
        <v>45552.613888888889</v>
      </c>
      <c r="Y142" s="160">
        <v>45552</v>
      </c>
      <c r="Z142" s="470"/>
      <c r="AA142" s="470">
        <v>45681</v>
      </c>
      <c r="AB142" s="470"/>
      <c r="AC142" s="161">
        <f t="shared" si="86"/>
        <v>133.38124999999854</v>
      </c>
      <c r="AD142" s="161">
        <f t="shared" si="113"/>
        <v>128.38611111111095</v>
      </c>
      <c r="AE142" s="446">
        <f t="shared" si="114"/>
        <v>-45681</v>
      </c>
      <c r="AF142" s="160">
        <f t="shared" si="115"/>
        <v>45566.392943548388</v>
      </c>
      <c r="AG142" s="160">
        <f t="shared" si="116"/>
        <v>45575.199395161289</v>
      </c>
      <c r="AH142" s="159">
        <f t="shared" si="117"/>
        <v>45597.618750000001</v>
      </c>
      <c r="AI142" s="162">
        <f t="shared" si="87"/>
        <v>4.5942430555555056</v>
      </c>
      <c r="AJ142" s="224">
        <f t="shared" si="118"/>
        <v>-761.35</v>
      </c>
      <c r="AK142" s="225">
        <f t="shared" si="88"/>
        <v>20</v>
      </c>
      <c r="AL142" s="170">
        <f t="shared" si="89"/>
        <v>36</v>
      </c>
      <c r="AM142" s="170">
        <f t="shared" si="90"/>
        <v>21.774193548387096</v>
      </c>
      <c r="AN142" s="170">
        <f t="shared" si="91"/>
        <v>27.58064516129032</v>
      </c>
      <c r="AO142" s="226">
        <f t="shared" si="92"/>
        <v>18.774193548387096</v>
      </c>
      <c r="AP142" s="227">
        <v>60</v>
      </c>
      <c r="AQ142" s="228">
        <f t="shared" si="93"/>
        <v>57</v>
      </c>
      <c r="AR142" s="228">
        <f t="shared" si="94"/>
        <v>52</v>
      </c>
      <c r="AS142" s="229">
        <f t="shared" si="95"/>
        <v>45741</v>
      </c>
      <c r="AT142" s="982">
        <f t="shared" ca="1" si="96"/>
        <v>214</v>
      </c>
      <c r="AU142" s="50"/>
      <c r="AV142" s="118"/>
      <c r="AW142" s="49"/>
      <c r="AX142" s="49"/>
      <c r="AY142" s="49"/>
      <c r="AZ142" s="300"/>
      <c r="BA142" s="119"/>
      <c r="BB142" s="304"/>
      <c r="BC142" s="231" t="s">
        <v>264</v>
      </c>
      <c r="BD142" s="232"/>
      <c r="BE142" s="222">
        <f t="shared" si="97"/>
        <v>45696</v>
      </c>
      <c r="BF142" s="233">
        <f t="shared" si="98"/>
        <v>41</v>
      </c>
      <c r="BG142" s="234">
        <v>45681</v>
      </c>
      <c r="BH142" s="235">
        <v>45737</v>
      </c>
      <c r="BI142" s="234">
        <v>45798</v>
      </c>
      <c r="BJ142" s="236" t="s">
        <v>245</v>
      </c>
      <c r="BK142" s="222" t="s">
        <v>247</v>
      </c>
      <c r="BL142" s="222"/>
      <c r="BM142" s="238"/>
      <c r="BN142" s="222"/>
      <c r="BO142" s="222">
        <v>45818</v>
      </c>
      <c r="BP142" s="243" t="s">
        <v>1084</v>
      </c>
      <c r="BQ142" s="244" t="s">
        <v>247</v>
      </c>
      <c r="BR142" s="238">
        <v>45680</v>
      </c>
      <c r="BS142" s="67"/>
      <c r="BT142" s="66"/>
      <c r="BU142" s="66"/>
      <c r="BV142" s="66"/>
      <c r="BW142" s="74"/>
      <c r="BX142" s="81"/>
      <c r="BY142" s="66">
        <v>45582</v>
      </c>
      <c r="BZ142" s="944" t="s">
        <v>1137</v>
      </c>
      <c r="CA142" s="42" t="str">
        <f t="shared" si="99"/>
        <v>0</v>
      </c>
      <c r="CB142" s="62">
        <f t="shared" si="100"/>
        <v>133.38124999999854</v>
      </c>
      <c r="CC142" s="42">
        <f t="shared" si="101"/>
        <v>0</v>
      </c>
      <c r="CD142" s="62">
        <f t="shared" si="102"/>
        <v>133.38124999999854</v>
      </c>
      <c r="CE142" s="62">
        <f t="shared" si="103"/>
        <v>4.5942430555555056</v>
      </c>
      <c r="CF142" s="145">
        <f t="shared" si="104"/>
        <v>188</v>
      </c>
      <c r="CG142" s="145"/>
      <c r="CH142" s="443">
        <f t="shared" si="105"/>
        <v>11.069798611111061</v>
      </c>
      <c r="CI142" s="996">
        <f t="shared" si="106"/>
        <v>11.069798611111061</v>
      </c>
      <c r="CJ142" s="261">
        <f t="shared" si="107"/>
        <v>3.1333333333333333</v>
      </c>
      <c r="CK142" s="458" t="str">
        <f t="shared" si="108"/>
        <v/>
      </c>
      <c r="CL142" t="str">
        <f t="shared" si="109"/>
        <v>REV</v>
      </c>
      <c r="CM142" t="str">
        <f t="shared" si="110"/>
        <v/>
      </c>
      <c r="CN142" s="635">
        <v>45818</v>
      </c>
      <c r="CO142" s="631">
        <v>1219.25</v>
      </c>
      <c r="CP142" s="629" t="str">
        <f t="shared" si="111"/>
        <v>NTC ISSUED</v>
      </c>
      <c r="CQ142" s="635">
        <v>45818</v>
      </c>
      <c r="CR142" s="697"/>
      <c r="CS142" s="633">
        <f t="shared" ca="1" si="112"/>
        <v>77</v>
      </c>
      <c r="CT142" s="635">
        <v>45847</v>
      </c>
      <c r="CU142" s="631">
        <v>1219.25</v>
      </c>
      <c r="CV142" s="638">
        <v>45853</v>
      </c>
      <c r="CW142" s="156" t="s">
        <v>1138</v>
      </c>
      <c r="CX142" s="156" t="str">
        <f>VLOOKUP(E142,'[1]List of Work Orders'!$A:$I,9,FALSE)</f>
        <v>ME166067</v>
      </c>
      <c r="CY142" s="156"/>
      <c r="DC142" t="str">
        <f>VLOOKUP(E142,'[2]List of Work Orders'!$A:$F,6,FALSE)</f>
        <v>FCOMP</v>
      </c>
      <c r="DS142" s="156" t="s">
        <v>397</v>
      </c>
    </row>
    <row r="143" spans="1:123" customFormat="1" ht="15" customHeight="1" x14ac:dyDescent="0.25">
      <c r="A143" s="242">
        <v>45560</v>
      </c>
      <c r="B143" s="222">
        <v>45555</v>
      </c>
      <c r="C143" s="223"/>
      <c r="D143" s="66" t="s">
        <v>284</v>
      </c>
      <c r="E143" s="404" t="s">
        <v>1139</v>
      </c>
      <c r="F143" s="95" t="s">
        <v>1140</v>
      </c>
      <c r="G143" s="95" t="s">
        <v>1141</v>
      </c>
      <c r="H143" s="95" t="s">
        <v>269</v>
      </c>
      <c r="I143" s="95" t="s">
        <v>239</v>
      </c>
      <c r="J143" s="163" t="s">
        <v>298</v>
      </c>
      <c r="K143" s="101" t="s">
        <v>299</v>
      </c>
      <c r="L143" s="101" t="s">
        <v>242</v>
      </c>
      <c r="M143" s="345" t="s">
        <v>272</v>
      </c>
      <c r="N143" s="442" t="s">
        <v>467</v>
      </c>
      <c r="O143" s="165">
        <v>66.983099999999993</v>
      </c>
      <c r="P143" s="933">
        <v>66.98</v>
      </c>
      <c r="Q143" s="157">
        <v>30</v>
      </c>
      <c r="R143" s="109" t="s">
        <v>244</v>
      </c>
      <c r="S143" s="110">
        <v>390162.58</v>
      </c>
      <c r="T143" s="93">
        <v>53940.12</v>
      </c>
      <c r="U143" s="141">
        <v>18124.07</v>
      </c>
      <c r="V143" s="158">
        <f t="shared" si="85"/>
        <v>0.33600351649199145</v>
      </c>
      <c r="W143" s="159">
        <v>45551.717303240737</v>
      </c>
      <c r="X143" s="159">
        <v>45555.597222222219</v>
      </c>
      <c r="Y143" s="160">
        <v>45555</v>
      </c>
      <c r="Z143" s="470"/>
      <c r="AA143" s="470">
        <v>45681</v>
      </c>
      <c r="AB143" s="470"/>
      <c r="AC143" s="161">
        <f t="shared" si="86"/>
        <v>129.28269675926276</v>
      </c>
      <c r="AD143" s="161">
        <f t="shared" si="113"/>
        <v>125.40277777778101</v>
      </c>
      <c r="AE143" s="446">
        <f t="shared" si="114"/>
        <v>-45681</v>
      </c>
      <c r="AF143" s="160">
        <f t="shared" si="115"/>
        <v>45571.802805099476</v>
      </c>
      <c r="AG143" s="160">
        <f t="shared" si="116"/>
        <v>45580.958938928467</v>
      </c>
      <c r="AH143" s="159">
        <f t="shared" si="117"/>
        <v>45601.717303240737</v>
      </c>
      <c r="AI143" s="162">
        <f t="shared" si="87"/>
        <v>4.2001262594494788</v>
      </c>
      <c r="AJ143" s="224">
        <f t="shared" si="118"/>
        <v>-761.35</v>
      </c>
      <c r="AK143" s="225">
        <f t="shared" si="88"/>
        <v>23</v>
      </c>
      <c r="AL143" s="170">
        <f t="shared" si="89"/>
        <v>36</v>
      </c>
      <c r="AM143" s="170">
        <f t="shared" si="90"/>
        <v>23.085501858736059</v>
      </c>
      <c r="AN143" s="170">
        <f t="shared" si="91"/>
        <v>29.241635687732341</v>
      </c>
      <c r="AO143" s="226">
        <f t="shared" si="92"/>
        <v>20.085501858736059</v>
      </c>
      <c r="AP143" s="227">
        <v>60</v>
      </c>
      <c r="AQ143" s="228">
        <f t="shared" si="93"/>
        <v>57</v>
      </c>
      <c r="AR143" s="228">
        <f t="shared" si="94"/>
        <v>52</v>
      </c>
      <c r="AS143" s="229">
        <f t="shared" si="95"/>
        <v>45741</v>
      </c>
      <c r="AT143" s="982">
        <f t="shared" ca="1" si="96"/>
        <v>214</v>
      </c>
      <c r="AU143" s="50"/>
      <c r="AV143" s="118"/>
      <c r="AW143" s="49"/>
      <c r="AX143" s="49"/>
      <c r="AY143" s="49"/>
      <c r="AZ143" s="300"/>
      <c r="BA143" s="119"/>
      <c r="BB143" s="304"/>
      <c r="BC143" s="231" t="s">
        <v>12</v>
      </c>
      <c r="BD143" s="232" t="s">
        <v>601</v>
      </c>
      <c r="BE143" s="222">
        <f t="shared" si="97"/>
        <v>45696</v>
      </c>
      <c r="BF143" s="233">
        <f t="shared" si="98"/>
        <v>6</v>
      </c>
      <c r="BG143" s="234">
        <v>45680</v>
      </c>
      <c r="BH143" s="235">
        <v>45702</v>
      </c>
      <c r="BI143" s="234"/>
      <c r="BJ143" s="236"/>
      <c r="BK143" s="222"/>
      <c r="BL143" s="222"/>
      <c r="BM143" s="238"/>
      <c r="BN143" s="222"/>
      <c r="BO143" s="222"/>
      <c r="BP143" s="243"/>
      <c r="BQ143" s="244" t="s">
        <v>247</v>
      </c>
      <c r="BR143" s="238">
        <v>45680</v>
      </c>
      <c r="BS143" s="67"/>
      <c r="BT143" s="66"/>
      <c r="BU143" s="66"/>
      <c r="BV143" s="66"/>
      <c r="BW143" s="74"/>
      <c r="BX143" s="81"/>
      <c r="BY143" s="66">
        <v>45563</v>
      </c>
      <c r="BZ143" s="944" t="s">
        <v>1142</v>
      </c>
      <c r="CA143" s="42" t="str">
        <f t="shared" si="99"/>
        <v>0</v>
      </c>
      <c r="CB143" s="62">
        <f t="shared" si="100"/>
        <v>129.28269675926276</v>
      </c>
      <c r="CC143" s="42">
        <f t="shared" si="101"/>
        <v>0</v>
      </c>
      <c r="CD143" s="62">
        <f t="shared" si="102"/>
        <v>129.28269675926276</v>
      </c>
      <c r="CE143" s="62">
        <f t="shared" si="103"/>
        <v>4.2001262594494788</v>
      </c>
      <c r="CF143" s="145">
        <f t="shared" si="104"/>
        <v>188</v>
      </c>
      <c r="CG143" s="145"/>
      <c r="CH143" s="443">
        <f t="shared" si="105"/>
        <v>10.307855728048512</v>
      </c>
      <c r="CI143" s="996">
        <f t="shared" si="106"/>
        <v>10.307855728048512</v>
      </c>
      <c r="CJ143" s="261">
        <f t="shared" si="107"/>
        <v>3.1333333333333333</v>
      </c>
      <c r="CK143" s="458" t="str">
        <f t="shared" si="108"/>
        <v/>
      </c>
      <c r="CL143" t="str">
        <f t="shared" si="109"/>
        <v>REV</v>
      </c>
      <c r="CM143" t="str">
        <f t="shared" si="110"/>
        <v/>
      </c>
      <c r="CN143" s="635"/>
      <c r="CO143" s="631"/>
      <c r="CP143" s="629" t="str">
        <f t="shared" si="111"/>
        <v>FOR ISSUANCE</v>
      </c>
      <c r="CQ143" s="635"/>
      <c r="CR143" s="697"/>
      <c r="CS143" s="633" t="str">
        <f t="shared" ca="1" si="112"/>
        <v>0</v>
      </c>
      <c r="CT143" s="635"/>
      <c r="CU143" s="631"/>
      <c r="CV143" s="638"/>
      <c r="CW143" s="156" t="s">
        <v>1143</v>
      </c>
      <c r="CX143" s="156" t="str">
        <f>VLOOKUP(E143,'[1]List of Work Orders'!$A:$I,9,FALSE)</f>
        <v>ME155242</v>
      </c>
      <c r="CY143" s="156"/>
      <c r="CZ143" s="63"/>
      <c r="DC143" t="str">
        <f>VLOOKUP(E143,'[2]List of Work Orders'!$A:$F,6,FALSE)</f>
        <v>FCOMP</v>
      </c>
      <c r="DS143" s="156" t="s">
        <v>397</v>
      </c>
    </row>
    <row r="144" spans="1:123" customFormat="1" ht="15" customHeight="1" x14ac:dyDescent="0.25">
      <c r="A144" s="242">
        <v>45560</v>
      </c>
      <c r="B144" s="222">
        <v>45554</v>
      </c>
      <c r="C144" s="223"/>
      <c r="D144" s="66" t="s">
        <v>320</v>
      </c>
      <c r="E144" s="404" t="s">
        <v>1144</v>
      </c>
      <c r="F144" s="95" t="s">
        <v>1145</v>
      </c>
      <c r="G144" s="95" t="s">
        <v>1146</v>
      </c>
      <c r="H144" s="95" t="s">
        <v>253</v>
      </c>
      <c r="I144" s="95" t="s">
        <v>254</v>
      </c>
      <c r="J144" s="168" t="s">
        <v>1147</v>
      </c>
      <c r="K144" s="101"/>
      <c r="L144" s="101" t="s">
        <v>263</v>
      </c>
      <c r="M144" s="345" t="s">
        <v>331</v>
      </c>
      <c r="N144" s="442" t="s">
        <v>467</v>
      </c>
      <c r="O144" s="165">
        <v>18.309999999999999</v>
      </c>
      <c r="P144" s="165">
        <v>18.309999999999999</v>
      </c>
      <c r="Q144" s="157">
        <v>0</v>
      </c>
      <c r="R144" s="109" t="s">
        <v>327</v>
      </c>
      <c r="S144" s="110">
        <v>41797.83</v>
      </c>
      <c r="T144" s="93">
        <v>14748.76</v>
      </c>
      <c r="U144" s="141"/>
      <c r="V144" s="158">
        <f t="shared" si="85"/>
        <v>0</v>
      </c>
      <c r="W144" s="159">
        <v>45553.64539351852</v>
      </c>
      <c r="X144" s="159">
        <v>45559.536805555559</v>
      </c>
      <c r="Y144" s="160">
        <v>45554</v>
      </c>
      <c r="Z144" s="470"/>
      <c r="AA144" s="470"/>
      <c r="AB144" s="470"/>
      <c r="AC144" s="161">
        <f t="shared" si="86"/>
        <v>-45553.64539351852</v>
      </c>
      <c r="AD144" s="161">
        <f t="shared" si="113"/>
        <v>-45559.536805555559</v>
      </c>
      <c r="AE144" s="446">
        <f t="shared" si="114"/>
        <v>0</v>
      </c>
      <c r="AF144" s="160">
        <f t="shared" si="115"/>
        <v>45572.419587066906</v>
      </c>
      <c r="AG144" s="160">
        <f t="shared" si="116"/>
        <v>45581.226038679808</v>
      </c>
      <c r="AH144" s="159">
        <f t="shared" si="117"/>
        <v>45603.64539351852</v>
      </c>
      <c r="AI144" s="162">
        <f t="shared" si="87"/>
        <v>-1569.0700079989711</v>
      </c>
      <c r="AJ144" s="224">
        <f t="shared" si="118"/>
        <v>0</v>
      </c>
      <c r="AK144" s="225">
        <f t="shared" si="88"/>
        <v>20</v>
      </c>
      <c r="AL144" s="170">
        <f t="shared" si="89"/>
        <v>36</v>
      </c>
      <c r="AM144" s="170">
        <f t="shared" si="90"/>
        <v>21.774193548387096</v>
      </c>
      <c r="AN144" s="170">
        <f t="shared" si="91"/>
        <v>27.58064516129032</v>
      </c>
      <c r="AO144" s="226">
        <f t="shared" si="92"/>
        <v>18.774193548387096</v>
      </c>
      <c r="AP144" s="227">
        <v>60</v>
      </c>
      <c r="AQ144" s="228">
        <f t="shared" si="93"/>
        <v>57</v>
      </c>
      <c r="AR144" s="228">
        <f t="shared" si="94"/>
        <v>52</v>
      </c>
      <c r="AS144" s="229">
        <f t="shared" si="95"/>
        <v>60</v>
      </c>
      <c r="AT144" s="982">
        <f t="shared" ca="1" si="96"/>
        <v>45895</v>
      </c>
      <c r="AU144" s="50"/>
      <c r="AV144" s="118"/>
      <c r="AW144" s="49"/>
      <c r="AX144" s="49"/>
      <c r="AY144" s="49"/>
      <c r="AZ144" s="300"/>
      <c r="BA144" s="119"/>
      <c r="BB144" s="304"/>
      <c r="BC144" s="231"/>
      <c r="BD144" s="232"/>
      <c r="BE144" s="222">
        <f t="shared" si="97"/>
        <v>15</v>
      </c>
      <c r="BF144" s="233">
        <f t="shared" si="98"/>
        <v>0</v>
      </c>
      <c r="BG144" s="234"/>
      <c r="BH144" s="235"/>
      <c r="BI144" s="234"/>
      <c r="BJ144" s="236"/>
      <c r="BK144" s="222"/>
      <c r="BL144" s="222"/>
      <c r="BM144" s="238"/>
      <c r="BN144" s="222"/>
      <c r="BO144" s="222"/>
      <c r="BP144" s="243"/>
      <c r="BQ144" s="244" t="s">
        <v>246</v>
      </c>
      <c r="BR144" s="238"/>
      <c r="BS144" s="67"/>
      <c r="BT144" s="66"/>
      <c r="BU144" s="66"/>
      <c r="BV144" s="66"/>
      <c r="BW144" s="74"/>
      <c r="BX144" s="81"/>
      <c r="BY144" s="66" t="s">
        <v>308</v>
      </c>
      <c r="BZ144" s="944" t="s">
        <v>1148</v>
      </c>
      <c r="CA144" s="42" t="str">
        <f t="shared" si="99"/>
        <v>0</v>
      </c>
      <c r="CB144" s="62">
        <f t="shared" si="100"/>
        <v>-45553.64539351852</v>
      </c>
      <c r="CC144" s="42">
        <f t="shared" si="101"/>
        <v>0</v>
      </c>
      <c r="CD144" s="62">
        <f t="shared" si="102"/>
        <v>-45553.64539351852</v>
      </c>
      <c r="CE144" s="62">
        <f t="shared" si="103"/>
        <v>-1569.0700079989711</v>
      </c>
      <c r="CF144" s="145" t="str">
        <f t="shared" si="104"/>
        <v>0</v>
      </c>
      <c r="CG144" s="145"/>
      <c r="CH144" s="443">
        <f t="shared" si="105"/>
        <v>10.862214223250977</v>
      </c>
      <c r="CI144" s="996">
        <f t="shared" si="106"/>
        <v>10.862214223250977</v>
      </c>
      <c r="CJ144" s="261">
        <f t="shared" si="107"/>
        <v>0</v>
      </c>
      <c r="CK144" s="458">
        <f t="shared" si="108"/>
        <v>302.35460648148</v>
      </c>
      <c r="CL144" t="str">
        <f t="shared" si="109"/>
        <v>NON-REV</v>
      </c>
      <c r="CM144" t="str">
        <f t="shared" si="110"/>
        <v>10 MONTHS AND ABOVE</v>
      </c>
      <c r="CN144" s="635"/>
      <c r="CO144" s="631"/>
      <c r="CP144" s="629" t="str">
        <f t="shared" si="111"/>
        <v>FOR ISSUANCE</v>
      </c>
      <c r="CQ144" s="635"/>
      <c r="CR144" s="697"/>
      <c r="CS144" s="633" t="str">
        <f t="shared" ca="1" si="112"/>
        <v>0</v>
      </c>
      <c r="CT144" s="635"/>
      <c r="CU144" s="631"/>
      <c r="CV144" s="638"/>
      <c r="CW144" s="156" t="s">
        <v>1149</v>
      </c>
      <c r="CX144" s="156" t="str">
        <f>VLOOKUP(E144,'[1]List of Work Orders'!$A:$I,9,FALSE)</f>
        <v>ME155242</v>
      </c>
      <c r="CY144" s="156"/>
      <c r="DC144" t="str">
        <f>VLOOKUP(E144,'[2]List of Work Orders'!$A:$F,6,FALSE)</f>
        <v>SCHED</v>
      </c>
      <c r="DS144" s="156" t="s">
        <v>381</v>
      </c>
    </row>
    <row r="145" spans="1:123" customFormat="1" ht="15" customHeight="1" x14ac:dyDescent="0.25">
      <c r="A145" s="242">
        <v>45555</v>
      </c>
      <c r="B145" s="222">
        <v>45554</v>
      </c>
      <c r="C145" s="223"/>
      <c r="D145" s="66" t="s">
        <v>320</v>
      </c>
      <c r="E145" s="404" t="s">
        <v>1150</v>
      </c>
      <c r="F145" s="95" t="s">
        <v>974</v>
      </c>
      <c r="G145" s="95" t="s">
        <v>975</v>
      </c>
      <c r="H145" s="95" t="s">
        <v>378</v>
      </c>
      <c r="I145" s="95" t="s">
        <v>239</v>
      </c>
      <c r="J145" s="163" t="s">
        <v>1151</v>
      </c>
      <c r="K145" s="101" t="s">
        <v>271</v>
      </c>
      <c r="L145" s="101" t="s">
        <v>288</v>
      </c>
      <c r="M145" s="345" t="s">
        <v>272</v>
      </c>
      <c r="N145" s="442" t="s">
        <v>381</v>
      </c>
      <c r="O145" s="165">
        <v>15.46</v>
      </c>
      <c r="P145" s="933">
        <v>15.46</v>
      </c>
      <c r="Q145" s="157">
        <v>0</v>
      </c>
      <c r="R145" s="109" t="s">
        <v>548</v>
      </c>
      <c r="S145" s="110">
        <v>45965.21</v>
      </c>
      <c r="T145" s="93">
        <v>12449.52</v>
      </c>
      <c r="U145" s="141"/>
      <c r="V145" s="158">
        <f t="shared" si="85"/>
        <v>0</v>
      </c>
      <c r="W145" s="159">
        <v>45553.645787037036</v>
      </c>
      <c r="X145" s="159">
        <v>45555.589583333334</v>
      </c>
      <c r="Y145" s="160">
        <v>45554</v>
      </c>
      <c r="Z145" s="470">
        <v>45733</v>
      </c>
      <c r="AA145" s="470">
        <v>45733</v>
      </c>
      <c r="AB145" s="470"/>
      <c r="AC145" s="161">
        <f t="shared" si="86"/>
        <v>179.35421296296408</v>
      </c>
      <c r="AD145" s="161">
        <f t="shared" si="113"/>
        <v>177.4104166666657</v>
      </c>
      <c r="AE145" s="446">
        <f t="shared" si="114"/>
        <v>-45733</v>
      </c>
      <c r="AF145" s="160">
        <f t="shared" si="115"/>
        <v>45572.419980585422</v>
      </c>
      <c r="AG145" s="160">
        <f t="shared" si="116"/>
        <v>45581.226432198324</v>
      </c>
      <c r="AH145" s="159">
        <f t="shared" si="117"/>
        <v>45603.645787037036</v>
      </c>
      <c r="AI145" s="162">
        <f t="shared" si="87"/>
        <v>6.1777562242798734</v>
      </c>
      <c r="AJ145" s="224">
        <f t="shared" si="118"/>
        <v>-762.2166666666667</v>
      </c>
      <c r="AK145" s="225">
        <f t="shared" si="88"/>
        <v>20</v>
      </c>
      <c r="AL145" s="170">
        <f t="shared" si="89"/>
        <v>36</v>
      </c>
      <c r="AM145" s="170">
        <f t="shared" si="90"/>
        <v>21.774193548387096</v>
      </c>
      <c r="AN145" s="170">
        <f t="shared" si="91"/>
        <v>27.58064516129032</v>
      </c>
      <c r="AO145" s="226">
        <f t="shared" si="92"/>
        <v>18.774193548387096</v>
      </c>
      <c r="AP145" s="227">
        <v>60</v>
      </c>
      <c r="AQ145" s="228">
        <f t="shared" si="93"/>
        <v>57</v>
      </c>
      <c r="AR145" s="228">
        <f t="shared" si="94"/>
        <v>52</v>
      </c>
      <c r="AS145" s="229">
        <f t="shared" si="95"/>
        <v>45793</v>
      </c>
      <c r="AT145" s="982">
        <f t="shared" ca="1" si="96"/>
        <v>162</v>
      </c>
      <c r="AU145" s="50"/>
      <c r="AV145" s="118"/>
      <c r="AW145" s="49"/>
      <c r="AX145" s="49"/>
      <c r="AY145" s="49"/>
      <c r="AZ145" s="300"/>
      <c r="BA145" s="119"/>
      <c r="BB145" s="304"/>
      <c r="BC145" s="231" t="s">
        <v>12</v>
      </c>
      <c r="BD145" s="232"/>
      <c r="BE145" s="222">
        <f t="shared" si="97"/>
        <v>45748</v>
      </c>
      <c r="BF145" s="233">
        <f t="shared" si="98"/>
        <v>14</v>
      </c>
      <c r="BG145" s="234">
        <v>45733</v>
      </c>
      <c r="BH145" s="235">
        <v>45762</v>
      </c>
      <c r="BI145" s="234"/>
      <c r="BJ145" s="236"/>
      <c r="BK145" s="222"/>
      <c r="BL145" s="222"/>
      <c r="BM145" s="238"/>
      <c r="BN145" s="222"/>
      <c r="BO145" s="222"/>
      <c r="BP145" s="243"/>
      <c r="BQ145" s="244" t="s">
        <v>246</v>
      </c>
      <c r="BR145" s="238"/>
      <c r="BS145" s="67"/>
      <c r="BT145" s="66"/>
      <c r="BU145" s="66"/>
      <c r="BV145" s="66"/>
      <c r="BW145" s="74"/>
      <c r="BX145" s="81"/>
      <c r="BY145" s="66" t="s">
        <v>308</v>
      </c>
      <c r="BZ145" s="944" t="s">
        <v>1152</v>
      </c>
      <c r="CA145" s="42" t="str">
        <f t="shared" si="99"/>
        <v>0</v>
      </c>
      <c r="CB145" s="62">
        <f t="shared" si="100"/>
        <v>179.35421296296408</v>
      </c>
      <c r="CC145" s="42">
        <f t="shared" si="101"/>
        <v>0</v>
      </c>
      <c r="CD145" s="62">
        <f t="shared" si="102"/>
        <v>179.35421296296408</v>
      </c>
      <c r="CE145" s="62">
        <f t="shared" si="103"/>
        <v>6.1777562242798734</v>
      </c>
      <c r="CF145" s="145">
        <f t="shared" si="104"/>
        <v>136</v>
      </c>
      <c r="CG145" s="145"/>
      <c r="CH145" s="443">
        <f t="shared" si="105"/>
        <v>10.862200668724318</v>
      </c>
      <c r="CI145" s="996">
        <f t="shared" si="106"/>
        <v>10.862200668724318</v>
      </c>
      <c r="CJ145" s="261">
        <f t="shared" si="107"/>
        <v>2.2666666666666666</v>
      </c>
      <c r="CK145" s="458" t="str">
        <f t="shared" si="108"/>
        <v/>
      </c>
      <c r="CL145" t="str">
        <f t="shared" si="109"/>
        <v>NON-REV</v>
      </c>
      <c r="CM145" t="str">
        <f t="shared" si="110"/>
        <v/>
      </c>
      <c r="CN145" s="635"/>
      <c r="CO145" s="631"/>
      <c r="CP145" s="629" t="str">
        <f t="shared" si="111"/>
        <v>FOR ISSUANCE</v>
      </c>
      <c r="CQ145" s="635"/>
      <c r="CR145" s="697"/>
      <c r="CS145" s="633" t="str">
        <f t="shared" ca="1" si="112"/>
        <v>0</v>
      </c>
      <c r="CT145" s="635"/>
      <c r="CU145" s="631"/>
      <c r="CV145" s="638"/>
      <c r="CW145" s="156" t="s">
        <v>1153</v>
      </c>
      <c r="CX145" s="156" t="str">
        <f>VLOOKUP(E145,'[1]List of Work Orders'!$A:$I,9,FALSE)</f>
        <v>ME185284</v>
      </c>
      <c r="CY145" s="156"/>
      <c r="DC145" t="str">
        <f>VLOOKUP(E145,'[2]List of Work Orders'!$A:$F,6,FALSE)</f>
        <v>FCOMP</v>
      </c>
      <c r="DS145" s="156" t="s">
        <v>381</v>
      </c>
    </row>
    <row r="146" spans="1:123" ht="15" customHeight="1" x14ac:dyDescent="0.2">
      <c r="A146" s="242">
        <v>45565</v>
      </c>
      <c r="B146" s="222">
        <v>45555</v>
      </c>
      <c r="C146" s="223" t="s">
        <v>247</v>
      </c>
      <c r="D146" s="66" t="s">
        <v>320</v>
      </c>
      <c r="E146" s="404" t="s">
        <v>1154</v>
      </c>
      <c r="F146" s="95" t="s">
        <v>1155</v>
      </c>
      <c r="G146" s="95" t="s">
        <v>1156</v>
      </c>
      <c r="H146" s="95" t="s">
        <v>238</v>
      </c>
      <c r="I146" s="95" t="s">
        <v>239</v>
      </c>
      <c r="J146" s="163" t="s">
        <v>1157</v>
      </c>
      <c r="K146" s="101" t="s">
        <v>271</v>
      </c>
      <c r="L146" s="101" t="s">
        <v>255</v>
      </c>
      <c r="M146" s="345" t="s">
        <v>272</v>
      </c>
      <c r="N146" s="442" t="s">
        <v>381</v>
      </c>
      <c r="O146" s="165">
        <v>224.01419999999999</v>
      </c>
      <c r="P146" s="933">
        <v>224.01</v>
      </c>
      <c r="Q146" s="157">
        <v>169</v>
      </c>
      <c r="R146" s="109" t="s">
        <v>244</v>
      </c>
      <c r="S146" s="110">
        <v>1042085.27</v>
      </c>
      <c r="T146" s="93">
        <v>180394.18</v>
      </c>
      <c r="U146" s="141"/>
      <c r="V146" s="158">
        <f t="shared" si="85"/>
        <v>0</v>
      </c>
      <c r="W146" s="159">
        <v>45553.692731481482</v>
      </c>
      <c r="X146" s="159">
        <v>45559.599305555559</v>
      </c>
      <c r="Y146" s="160">
        <v>45555</v>
      </c>
      <c r="Z146" s="470">
        <v>45677</v>
      </c>
      <c r="AA146" s="470">
        <v>45677</v>
      </c>
      <c r="AB146" s="470"/>
      <c r="AC146" s="161">
        <f t="shared" si="86"/>
        <v>123.30726851851796</v>
      </c>
      <c r="AD146" s="161">
        <f t="shared" si="113"/>
        <v>117.40069444444089</v>
      </c>
      <c r="AE146" s="446">
        <f t="shared" si="114"/>
        <v>-45677</v>
      </c>
      <c r="AF146" s="160">
        <f t="shared" si="115"/>
        <v>45573.706430111619</v>
      </c>
      <c r="AG146" s="160">
        <f t="shared" si="116"/>
        <v>45582.843416412987</v>
      </c>
      <c r="AH146" s="159">
        <f t="shared" si="117"/>
        <v>45603.692731481482</v>
      </c>
      <c r="AI146" s="162">
        <f t="shared" si="87"/>
        <v>4.01849580439813</v>
      </c>
      <c r="AJ146" s="224">
        <f t="shared" si="118"/>
        <v>-761.2833333333333</v>
      </c>
      <c r="AK146" s="225">
        <f t="shared" si="88"/>
        <v>28</v>
      </c>
      <c r="AL146" s="170">
        <f t="shared" si="89"/>
        <v>32</v>
      </c>
      <c r="AM146" s="170">
        <f t="shared" si="90"/>
        <v>23.013698630136989</v>
      </c>
      <c r="AN146" s="170">
        <f t="shared" si="91"/>
        <v>29.150684931506852</v>
      </c>
      <c r="AO146" s="226">
        <f t="shared" si="92"/>
        <v>20.013698630136989</v>
      </c>
      <c r="AP146" s="227">
        <v>60</v>
      </c>
      <c r="AQ146" s="228">
        <f t="shared" si="93"/>
        <v>57</v>
      </c>
      <c r="AR146" s="228">
        <f t="shared" si="94"/>
        <v>52</v>
      </c>
      <c r="AS146" s="229">
        <f t="shared" si="95"/>
        <v>45737</v>
      </c>
      <c r="AT146" s="982">
        <f t="shared" ca="1" si="96"/>
        <v>218</v>
      </c>
      <c r="AU146" s="1077"/>
      <c r="AV146" s="1078"/>
      <c r="AW146" s="1079"/>
      <c r="AX146" s="1079"/>
      <c r="AY146" s="1079"/>
      <c r="AZ146" s="1080"/>
      <c r="BA146" s="1081"/>
      <c r="BB146" s="1091"/>
      <c r="BC146" s="231" t="s">
        <v>12</v>
      </c>
      <c r="BD146" s="232"/>
      <c r="BE146" s="222">
        <f t="shared" si="97"/>
        <v>45692</v>
      </c>
      <c r="BF146" s="233">
        <f t="shared" si="98"/>
        <v>174</v>
      </c>
      <c r="BG146" s="234">
        <v>45677</v>
      </c>
      <c r="BH146" s="235">
        <v>45866</v>
      </c>
      <c r="BI146" s="234"/>
      <c r="BJ146" s="236"/>
      <c r="BK146" s="222"/>
      <c r="BL146" s="222"/>
      <c r="BM146" s="238"/>
      <c r="BN146" s="222"/>
      <c r="BO146" s="222"/>
      <c r="BP146" s="243"/>
      <c r="BQ146" s="244" t="s">
        <v>247</v>
      </c>
      <c r="BR146" s="238">
        <v>45674</v>
      </c>
      <c r="BS146" s="67"/>
      <c r="BT146" s="66"/>
      <c r="BU146" s="66"/>
      <c r="BV146" s="66"/>
      <c r="BW146" s="74"/>
      <c r="BX146" s="81"/>
      <c r="BY146" s="66">
        <v>45567</v>
      </c>
      <c r="BZ146" s="944" t="s">
        <v>1158</v>
      </c>
      <c r="CA146" s="42" t="str">
        <f t="shared" si="99"/>
        <v>0</v>
      </c>
      <c r="CB146" s="62">
        <f t="shared" si="100"/>
        <v>123.30726851851796</v>
      </c>
      <c r="CC146" s="42">
        <f t="shared" si="101"/>
        <v>0</v>
      </c>
      <c r="CD146" s="62">
        <f t="shared" si="102"/>
        <v>123.30726851851796</v>
      </c>
      <c r="CE146" s="62">
        <f t="shared" si="103"/>
        <v>4.01849580439813</v>
      </c>
      <c r="CF146" s="1059">
        <f t="shared" si="104"/>
        <v>192</v>
      </c>
      <c r="CH146" s="1082">
        <f t="shared" si="105"/>
        <v>10.275638661540986</v>
      </c>
      <c r="CI146" s="1083">
        <f t="shared" si="106"/>
        <v>10.275638661540986</v>
      </c>
      <c r="CJ146" s="1084">
        <f t="shared" si="107"/>
        <v>3.2</v>
      </c>
      <c r="CK146" s="1085" t="str">
        <f t="shared" si="108"/>
        <v/>
      </c>
      <c r="CL146" s="1057" t="str">
        <f t="shared" si="109"/>
        <v>REV</v>
      </c>
      <c r="CM146" s="1057" t="str">
        <f t="shared" si="110"/>
        <v/>
      </c>
      <c r="CN146" s="1086"/>
      <c r="CO146" s="1087"/>
      <c r="CP146" s="629" t="str">
        <f t="shared" si="111"/>
        <v>FOR ISSUANCE</v>
      </c>
      <c r="CQ146" s="1086"/>
      <c r="CR146" s="1088"/>
      <c r="CS146" s="1089" t="str">
        <f t="shared" ca="1" si="112"/>
        <v>0</v>
      </c>
      <c r="CT146" s="1086"/>
      <c r="CU146" s="1087"/>
      <c r="CV146" s="1090"/>
      <c r="CW146" s="156" t="s">
        <v>1159</v>
      </c>
      <c r="CX146" s="156" t="str">
        <f>VLOOKUP(E146,'[1]List of Work Orders'!$A:$I,9,FALSE)</f>
        <v>ME185284</v>
      </c>
      <c r="CY146" s="156"/>
      <c r="DC146" s="1057" t="str">
        <f>VLOOKUP(E146,'[2]List of Work Orders'!$A:$F,6,FALSE)</f>
        <v>FCOMP</v>
      </c>
      <c r="DS146" s="156" t="s">
        <v>397</v>
      </c>
    </row>
    <row r="147" spans="1:123" ht="15" customHeight="1" x14ac:dyDescent="0.2">
      <c r="A147" s="242">
        <v>45569</v>
      </c>
      <c r="B147" s="222">
        <v>45567</v>
      </c>
      <c r="C147" s="223"/>
      <c r="D147" s="66" t="s">
        <v>320</v>
      </c>
      <c r="E147" s="404" t="s">
        <v>1160</v>
      </c>
      <c r="F147" s="95" t="s">
        <v>1161</v>
      </c>
      <c r="G147" s="95" t="s">
        <v>1162</v>
      </c>
      <c r="H147" s="95" t="s">
        <v>253</v>
      </c>
      <c r="I147" s="95" t="s">
        <v>254</v>
      </c>
      <c r="J147" s="163"/>
      <c r="K147" s="101"/>
      <c r="L147" s="101" t="s">
        <v>255</v>
      </c>
      <c r="M147" s="345" t="s">
        <v>272</v>
      </c>
      <c r="N147" s="442" t="s">
        <v>381</v>
      </c>
      <c r="O147" s="165">
        <v>56.42</v>
      </c>
      <c r="P147" s="933">
        <v>56.42</v>
      </c>
      <c r="Q147" s="157">
        <v>0</v>
      </c>
      <c r="R147" s="109" t="s">
        <v>327</v>
      </c>
      <c r="S147" s="110">
        <v>258338.31</v>
      </c>
      <c r="T147" s="93">
        <v>45433.69</v>
      </c>
      <c r="U147" s="141"/>
      <c r="V147" s="158">
        <f t="shared" si="85"/>
        <v>0</v>
      </c>
      <c r="W147" s="159">
        <v>45559.670127314814</v>
      </c>
      <c r="X147" s="159">
        <v>45565.549305555556</v>
      </c>
      <c r="Y147" s="160">
        <v>45563</v>
      </c>
      <c r="Z147" s="470"/>
      <c r="AA147" s="470">
        <v>45735</v>
      </c>
      <c r="AB147" s="470"/>
      <c r="AC147" s="161">
        <f t="shared" si="86"/>
        <v>175.32987268518627</v>
      </c>
      <c r="AD147" s="161">
        <f t="shared" si="113"/>
        <v>169.4506944444438</v>
      </c>
      <c r="AE147" s="446">
        <f t="shared" si="114"/>
        <v>-45735</v>
      </c>
      <c r="AF147" s="160">
        <f t="shared" si="115"/>
        <v>45579.755629173553</v>
      </c>
      <c r="AG147" s="160">
        <f t="shared" si="116"/>
        <v>45588.911763002543</v>
      </c>
      <c r="AH147" s="159">
        <f t="shared" si="117"/>
        <v>45609.670127314814</v>
      </c>
      <c r="AI147" s="162">
        <f t="shared" si="87"/>
        <v>5.6961033517288779</v>
      </c>
      <c r="AJ147" s="224">
        <f t="shared" si="118"/>
        <v>-762.25</v>
      </c>
      <c r="AK147" s="225">
        <f t="shared" si="88"/>
        <v>23</v>
      </c>
      <c r="AL147" s="170">
        <f t="shared" si="89"/>
        <v>36</v>
      </c>
      <c r="AM147" s="170">
        <f t="shared" si="90"/>
        <v>23.085501858736059</v>
      </c>
      <c r="AN147" s="170">
        <f t="shared" si="91"/>
        <v>29.241635687732341</v>
      </c>
      <c r="AO147" s="226">
        <f t="shared" si="92"/>
        <v>20.085501858736059</v>
      </c>
      <c r="AP147" s="227">
        <v>60</v>
      </c>
      <c r="AQ147" s="228">
        <f t="shared" si="93"/>
        <v>57</v>
      </c>
      <c r="AR147" s="228">
        <f t="shared" si="94"/>
        <v>52</v>
      </c>
      <c r="AS147" s="229">
        <f t="shared" si="95"/>
        <v>45795</v>
      </c>
      <c r="AT147" s="982">
        <f t="shared" ca="1" si="96"/>
        <v>160</v>
      </c>
      <c r="AU147" s="1077"/>
      <c r="AV147" s="1078"/>
      <c r="AW147" s="1079"/>
      <c r="AX147" s="1079"/>
      <c r="AY147" s="1079"/>
      <c r="AZ147" s="1080"/>
      <c r="BA147" s="1081"/>
      <c r="BB147" s="1091"/>
      <c r="BC147" s="231" t="s">
        <v>13</v>
      </c>
      <c r="BD147" s="232"/>
      <c r="BE147" s="222">
        <f t="shared" si="97"/>
        <v>45750</v>
      </c>
      <c r="BF147" s="233" t="e">
        <f t="shared" si="98"/>
        <v>#VALUE!</v>
      </c>
      <c r="BG147" s="234"/>
      <c r="BH147" s="235"/>
      <c r="BI147" s="234"/>
      <c r="BJ147" s="236"/>
      <c r="BK147" s="222"/>
      <c r="BL147" s="222"/>
      <c r="BM147" s="238"/>
      <c r="BN147" s="222"/>
      <c r="BO147" s="222"/>
      <c r="BP147" s="243"/>
      <c r="BQ147" s="244" t="s">
        <v>247</v>
      </c>
      <c r="BR147" s="238"/>
      <c r="BS147" s="67"/>
      <c r="BT147" s="66"/>
      <c r="BU147" s="66"/>
      <c r="BV147" s="66"/>
      <c r="BW147" s="74"/>
      <c r="BX147" s="81"/>
      <c r="BY147" s="66">
        <v>45570</v>
      </c>
      <c r="BZ147" s="944" t="s">
        <v>1163</v>
      </c>
      <c r="CA147" s="42" t="str">
        <f t="shared" si="99"/>
        <v>0</v>
      </c>
      <c r="CB147" s="62">
        <f t="shared" si="100"/>
        <v>175.32987268518627</v>
      </c>
      <c r="CC147" s="42">
        <f t="shared" si="101"/>
        <v>0</v>
      </c>
      <c r="CD147" s="62">
        <f t="shared" si="102"/>
        <v>175.32987268518627</v>
      </c>
      <c r="CE147" s="62">
        <f t="shared" si="103"/>
        <v>5.6961033517288779</v>
      </c>
      <c r="CF147" s="1059">
        <f t="shared" si="104"/>
        <v>134</v>
      </c>
      <c r="CH147" s="1082">
        <f t="shared" si="105"/>
        <v>10.049484994240954</v>
      </c>
      <c r="CI147" s="1083">
        <f t="shared" si="106"/>
        <v>10.049484994240954</v>
      </c>
      <c r="CJ147" s="1084">
        <f t="shared" si="107"/>
        <v>2.2333333333333334</v>
      </c>
      <c r="CK147" s="1085" t="str">
        <f t="shared" si="108"/>
        <v/>
      </c>
      <c r="CL147" s="1057" t="str">
        <f t="shared" si="109"/>
        <v>NON-REV</v>
      </c>
      <c r="CM147" s="1057" t="str">
        <f t="shared" si="110"/>
        <v/>
      </c>
      <c r="CN147" s="1086"/>
      <c r="CO147" s="1087"/>
      <c r="CP147" s="629" t="str">
        <f t="shared" si="111"/>
        <v>FOR ISSUANCE</v>
      </c>
      <c r="CQ147" s="1086"/>
      <c r="CR147" s="1088"/>
      <c r="CS147" s="1089" t="str">
        <f t="shared" ca="1" si="112"/>
        <v>0</v>
      </c>
      <c r="CT147" s="1086"/>
      <c r="CU147" s="1087"/>
      <c r="CV147" s="1090"/>
      <c r="CW147" s="156" t="s">
        <v>1164</v>
      </c>
      <c r="CX147" s="156" t="str">
        <f>VLOOKUP(E147,'[1]List of Work Orders'!$A:$I,9,FALSE)</f>
        <v>ME185284</v>
      </c>
      <c r="CY147" s="156"/>
      <c r="DC147" s="1057" t="str">
        <f>VLOOKUP(E147,'[2]List of Work Orders'!$A:$F,6,FALSE)</f>
        <v>FCOMP</v>
      </c>
      <c r="DS147" s="156" t="s">
        <v>1165</v>
      </c>
    </row>
    <row r="148" spans="1:123" customFormat="1" ht="15" customHeight="1" x14ac:dyDescent="0.25">
      <c r="A148" s="242">
        <v>45567</v>
      </c>
      <c r="B148" s="222">
        <v>45569</v>
      </c>
      <c r="C148" s="223"/>
      <c r="D148" s="66" t="s">
        <v>284</v>
      </c>
      <c r="E148" s="404" t="s">
        <v>1166</v>
      </c>
      <c r="F148" s="95" t="s">
        <v>1167</v>
      </c>
      <c r="G148" s="95" t="s">
        <v>1168</v>
      </c>
      <c r="H148" s="95" t="s">
        <v>269</v>
      </c>
      <c r="I148" s="95" t="s">
        <v>239</v>
      </c>
      <c r="J148" s="163"/>
      <c r="K148" s="101"/>
      <c r="L148" s="101" t="s">
        <v>242</v>
      </c>
      <c r="M148" s="345" t="s">
        <v>272</v>
      </c>
      <c r="N148" s="442" t="s">
        <v>467</v>
      </c>
      <c r="O148" s="165">
        <v>45.448</v>
      </c>
      <c r="P148" s="933">
        <v>45.45</v>
      </c>
      <c r="Q148" s="157">
        <v>75</v>
      </c>
      <c r="R148" s="109" t="s">
        <v>548</v>
      </c>
      <c r="S148" s="110">
        <v>367791.66</v>
      </c>
      <c r="T148" s="93">
        <v>36606.230000000003</v>
      </c>
      <c r="U148" s="141"/>
      <c r="V148" s="158">
        <f t="shared" si="85"/>
        <v>0</v>
      </c>
      <c r="W148" s="159">
        <v>45559.822523148148</v>
      </c>
      <c r="X148" s="159">
        <v>45565.543055555558</v>
      </c>
      <c r="Y148" s="160">
        <v>45566</v>
      </c>
      <c r="Z148" s="470"/>
      <c r="AA148" s="470">
        <v>45773</v>
      </c>
      <c r="AB148" s="470"/>
      <c r="AC148" s="161">
        <f t="shared" si="86"/>
        <v>213.17747685185168</v>
      </c>
      <c r="AD148" s="161">
        <f t="shared" si="113"/>
        <v>207.45694444444234</v>
      </c>
      <c r="AE148" s="446">
        <f t="shared" si="114"/>
        <v>-45773</v>
      </c>
      <c r="AF148" s="160">
        <f t="shared" si="115"/>
        <v>45577.896903313434</v>
      </c>
      <c r="AG148" s="160">
        <f t="shared" si="116"/>
        <v>45586.516738024184</v>
      </c>
      <c r="AH148" s="159">
        <f t="shared" si="117"/>
        <v>45609.822523148148</v>
      </c>
      <c r="AI148" s="162">
        <f t="shared" si="87"/>
        <v>7.5866102056100146</v>
      </c>
      <c r="AJ148" s="224">
        <f t="shared" si="118"/>
        <v>-762.88333333333333</v>
      </c>
      <c r="AK148" s="225">
        <f t="shared" si="88"/>
        <v>20</v>
      </c>
      <c r="AL148" s="170">
        <f t="shared" si="89"/>
        <v>34</v>
      </c>
      <c r="AM148" s="170">
        <f t="shared" si="90"/>
        <v>21.074380165289259</v>
      </c>
      <c r="AN148" s="170">
        <f t="shared" si="91"/>
        <v>26.694214876033058</v>
      </c>
      <c r="AO148" s="226">
        <f t="shared" si="92"/>
        <v>18.074380165289259</v>
      </c>
      <c r="AP148" s="227">
        <v>60</v>
      </c>
      <c r="AQ148" s="228">
        <f t="shared" si="93"/>
        <v>57</v>
      </c>
      <c r="AR148" s="228">
        <f t="shared" si="94"/>
        <v>52</v>
      </c>
      <c r="AS148" s="229">
        <f t="shared" si="95"/>
        <v>45833</v>
      </c>
      <c r="AT148" s="982">
        <f t="shared" ca="1" si="96"/>
        <v>122</v>
      </c>
      <c r="AU148" s="50"/>
      <c r="AV148" s="118"/>
      <c r="AW148" s="49"/>
      <c r="AX148" s="49"/>
      <c r="AY148" s="49"/>
      <c r="AZ148" s="300"/>
      <c r="BA148" s="119"/>
      <c r="BB148" s="304"/>
      <c r="BC148" s="231" t="s">
        <v>12</v>
      </c>
      <c r="BD148" s="232"/>
      <c r="BE148" s="222"/>
      <c r="BF148" s="233">
        <f t="shared" si="98"/>
        <v>45806</v>
      </c>
      <c r="BG148" s="234">
        <v>45773</v>
      </c>
      <c r="BH148" s="235">
        <v>45806</v>
      </c>
      <c r="BI148" s="234"/>
      <c r="BJ148" s="236"/>
      <c r="BK148" s="222"/>
      <c r="BL148" s="222"/>
      <c r="BM148" s="238"/>
      <c r="BN148" s="222"/>
      <c r="BO148" s="222"/>
      <c r="BP148" s="243"/>
      <c r="BQ148" s="244" t="s">
        <v>247</v>
      </c>
      <c r="BR148" s="238">
        <v>45771</v>
      </c>
      <c r="BS148" s="67"/>
      <c r="BT148" s="66"/>
      <c r="BU148" s="66"/>
      <c r="BV148" s="66"/>
      <c r="BW148" s="74"/>
      <c r="BX148" s="81"/>
      <c r="BY148" s="66" t="s">
        <v>308</v>
      </c>
      <c r="BZ148" s="66" t="s">
        <v>308</v>
      </c>
      <c r="CA148" s="42" t="str">
        <f t="shared" si="99"/>
        <v>0</v>
      </c>
      <c r="CB148" s="62">
        <f t="shared" si="100"/>
        <v>213.17747685185168</v>
      </c>
      <c r="CC148" s="42">
        <f t="shared" si="101"/>
        <v>0</v>
      </c>
      <c r="CD148" s="62">
        <f t="shared" si="102"/>
        <v>213.17747685185168</v>
      </c>
      <c r="CE148" s="62">
        <f t="shared" si="103"/>
        <v>7.5866102056100146</v>
      </c>
      <c r="CF148" s="145">
        <f t="shared" si="104"/>
        <v>96</v>
      </c>
      <c r="CG148" s="145"/>
      <c r="CH148" s="443">
        <f t="shared" si="105"/>
        <v>11.00308079384531</v>
      </c>
      <c r="CI148" s="996">
        <f t="shared" si="106"/>
        <v>11.00308079384531</v>
      </c>
      <c r="CJ148" s="261">
        <f t="shared" si="107"/>
        <v>1.6</v>
      </c>
      <c r="CK148" s="458" t="str">
        <f t="shared" si="108"/>
        <v/>
      </c>
      <c r="CL148" t="str">
        <f t="shared" si="109"/>
        <v>NON-REV</v>
      </c>
      <c r="CM148" t="str">
        <f t="shared" si="110"/>
        <v/>
      </c>
      <c r="CN148" s="635"/>
      <c r="CO148" s="631"/>
      <c r="CP148" s="629" t="str">
        <f t="shared" si="111"/>
        <v>FOR ISSUANCE</v>
      </c>
      <c r="CQ148" s="635"/>
      <c r="CR148" s="697"/>
      <c r="CS148" s="633" t="str">
        <f t="shared" ca="1" si="112"/>
        <v>0</v>
      </c>
      <c r="CT148" s="635"/>
      <c r="CU148" s="631"/>
      <c r="CV148" s="638"/>
      <c r="CW148" s="156" t="s">
        <v>1169</v>
      </c>
      <c r="CX148" s="156" t="str">
        <f>VLOOKUP(E148,'[1]List of Work Orders'!$A:$I,9,FALSE)</f>
        <v>ME155242</v>
      </c>
      <c r="CY148" s="156"/>
      <c r="CZ148" s="63"/>
      <c r="DC148" t="str">
        <f>VLOOKUP(E148,'[2]List of Work Orders'!$A:$F,6,FALSE)</f>
        <v>FCOMP</v>
      </c>
      <c r="DS148" s="156" t="s">
        <v>381</v>
      </c>
    </row>
    <row r="149" spans="1:123" customFormat="1" ht="15" customHeight="1" x14ac:dyDescent="0.25">
      <c r="A149" s="242">
        <v>45567</v>
      </c>
      <c r="B149" s="222">
        <v>45562</v>
      </c>
      <c r="C149" s="223"/>
      <c r="D149" s="66" t="s">
        <v>320</v>
      </c>
      <c r="E149" s="404" t="s">
        <v>1170</v>
      </c>
      <c r="F149" s="95" t="s">
        <v>1171</v>
      </c>
      <c r="G149" s="95" t="s">
        <v>1172</v>
      </c>
      <c r="H149" s="95" t="s">
        <v>318</v>
      </c>
      <c r="I149" s="95" t="s">
        <v>239</v>
      </c>
      <c r="J149" s="163" t="s">
        <v>1173</v>
      </c>
      <c r="K149" s="101" t="s">
        <v>299</v>
      </c>
      <c r="L149" s="101" t="s">
        <v>5</v>
      </c>
      <c r="M149" s="345" t="s">
        <v>272</v>
      </c>
      <c r="N149" s="442" t="s">
        <v>403</v>
      </c>
      <c r="O149" s="165">
        <v>76.916899999999998</v>
      </c>
      <c r="P149" s="933">
        <v>76.92</v>
      </c>
      <c r="Q149" s="157">
        <v>54</v>
      </c>
      <c r="R149" s="109" t="s">
        <v>244</v>
      </c>
      <c r="S149" s="110">
        <v>407351.66</v>
      </c>
      <c r="T149" s="93">
        <v>61939.519999999997</v>
      </c>
      <c r="U149" s="141"/>
      <c r="V149" s="158">
        <f t="shared" si="85"/>
        <v>0</v>
      </c>
      <c r="W149" s="159">
        <v>45560.508067129631</v>
      </c>
      <c r="X149" s="159">
        <v>45565.556250000001</v>
      </c>
      <c r="Y149" s="160">
        <v>45562</v>
      </c>
      <c r="Z149" s="470"/>
      <c r="AA149" s="470">
        <v>45703</v>
      </c>
      <c r="AB149" s="470"/>
      <c r="AC149" s="161">
        <f t="shared" si="86"/>
        <v>142.49193287036906</v>
      </c>
      <c r="AD149" s="161">
        <f t="shared" si="113"/>
        <v>137.44374999999854</v>
      </c>
      <c r="AE149" s="446">
        <f t="shared" si="114"/>
        <v>-45703</v>
      </c>
      <c r="AF149" s="160">
        <f t="shared" si="115"/>
        <v>45579.808447357769</v>
      </c>
      <c r="AG149" s="160">
        <f t="shared" si="116"/>
        <v>45588.755215418605</v>
      </c>
      <c r="AH149" s="159">
        <f t="shared" si="117"/>
        <v>45610.508067129631</v>
      </c>
      <c r="AI149" s="162">
        <f t="shared" si="87"/>
        <v>4.7922478701927185</v>
      </c>
      <c r="AJ149" s="224">
        <f t="shared" si="118"/>
        <v>-761.7166666666667</v>
      </c>
      <c r="AK149" s="225">
        <f t="shared" si="88"/>
        <v>23</v>
      </c>
      <c r="AL149" s="170">
        <f t="shared" si="89"/>
        <v>34</v>
      </c>
      <c r="AM149" s="170">
        <f t="shared" si="90"/>
        <v>22.300380228136884</v>
      </c>
      <c r="AN149" s="170">
        <f t="shared" si="91"/>
        <v>28.247148288973385</v>
      </c>
      <c r="AO149" s="226">
        <f t="shared" si="92"/>
        <v>19.300380228136884</v>
      </c>
      <c r="AP149" s="227">
        <v>60</v>
      </c>
      <c r="AQ149" s="228">
        <f t="shared" si="93"/>
        <v>57</v>
      </c>
      <c r="AR149" s="228">
        <f t="shared" si="94"/>
        <v>52</v>
      </c>
      <c r="AS149" s="229">
        <f t="shared" si="95"/>
        <v>45763</v>
      </c>
      <c r="AT149" s="982">
        <f t="shared" ca="1" si="96"/>
        <v>192</v>
      </c>
      <c r="AU149" s="50"/>
      <c r="AV149" s="118"/>
      <c r="AW149" s="49"/>
      <c r="AX149" s="49"/>
      <c r="AY149" s="49"/>
      <c r="AZ149" s="300"/>
      <c r="BA149" s="119"/>
      <c r="BB149" s="304"/>
      <c r="BC149" s="231" t="s">
        <v>12</v>
      </c>
      <c r="BD149" s="232"/>
      <c r="BE149" s="222">
        <f t="shared" ref="BE149:BE212" si="119">AA149+15</f>
        <v>45718</v>
      </c>
      <c r="BF149" s="233">
        <f t="shared" si="98"/>
        <v>1</v>
      </c>
      <c r="BG149" s="234">
        <v>45703</v>
      </c>
      <c r="BH149" s="235">
        <v>45719</v>
      </c>
      <c r="BI149" s="234"/>
      <c r="BJ149" s="236"/>
      <c r="BK149" s="222"/>
      <c r="BL149" s="222"/>
      <c r="BM149" s="238"/>
      <c r="BN149" s="222"/>
      <c r="BO149" s="222"/>
      <c r="BP149" s="243"/>
      <c r="BQ149" s="244" t="s">
        <v>247</v>
      </c>
      <c r="BR149" s="238">
        <v>45700</v>
      </c>
      <c r="BS149" s="67"/>
      <c r="BT149" s="66"/>
      <c r="BU149" s="66"/>
      <c r="BV149" s="66"/>
      <c r="BW149" s="74"/>
      <c r="BX149" s="81"/>
      <c r="BY149" s="66">
        <v>45567</v>
      </c>
      <c r="BZ149" s="944" t="s">
        <v>1174</v>
      </c>
      <c r="CA149" s="42" t="str">
        <f t="shared" si="99"/>
        <v>0</v>
      </c>
      <c r="CB149" s="62">
        <f t="shared" si="100"/>
        <v>142.49193287036906</v>
      </c>
      <c r="CC149" s="42">
        <f t="shared" si="101"/>
        <v>0</v>
      </c>
      <c r="CD149" s="62">
        <f t="shared" si="102"/>
        <v>142.49193287036906</v>
      </c>
      <c r="CE149" s="62">
        <f t="shared" si="103"/>
        <v>4.7922478701927185</v>
      </c>
      <c r="CF149" s="145">
        <f t="shared" si="104"/>
        <v>166</v>
      </c>
      <c r="CG149" s="145"/>
      <c r="CH149" s="443">
        <f t="shared" si="105"/>
        <v>10.375112320320596</v>
      </c>
      <c r="CI149" s="996">
        <f t="shared" si="106"/>
        <v>10.375112320320596</v>
      </c>
      <c r="CJ149" s="261">
        <f t="shared" si="107"/>
        <v>2.7666666666666666</v>
      </c>
      <c r="CK149" s="458" t="str">
        <f t="shared" si="108"/>
        <v/>
      </c>
      <c r="CL149" t="str">
        <f t="shared" si="109"/>
        <v>REV</v>
      </c>
      <c r="CM149" t="str">
        <f t="shared" si="110"/>
        <v/>
      </c>
      <c r="CN149" s="635"/>
      <c r="CO149" s="631"/>
      <c r="CP149" s="629" t="str">
        <f t="shared" si="111"/>
        <v>FOR ISSUANCE</v>
      </c>
      <c r="CQ149" s="635"/>
      <c r="CR149" s="697"/>
      <c r="CS149" s="633" t="str">
        <f t="shared" ca="1" si="112"/>
        <v>0</v>
      </c>
      <c r="CT149" s="635"/>
      <c r="CU149" s="631"/>
      <c r="CV149" s="638"/>
      <c r="CW149" s="156" t="s">
        <v>1175</v>
      </c>
      <c r="CX149" s="156" t="str">
        <f>VLOOKUP(E149,'[1]List of Work Orders'!$A:$I,9,FALSE)</f>
        <v>ME166067</v>
      </c>
      <c r="CY149" s="156"/>
      <c r="DC149" t="str">
        <f>VLOOKUP(E149,'[2]List of Work Orders'!$A:$F,6,FALSE)</f>
        <v>FCOMP</v>
      </c>
      <c r="DS149" s="156" t="s">
        <v>403</v>
      </c>
    </row>
    <row r="150" spans="1:123" customFormat="1" ht="15" customHeight="1" x14ac:dyDescent="0.25">
      <c r="A150" s="242">
        <v>45567</v>
      </c>
      <c r="B150" s="222">
        <v>45569</v>
      </c>
      <c r="C150" s="223"/>
      <c r="D150" s="66" t="s">
        <v>284</v>
      </c>
      <c r="E150" s="404" t="s">
        <v>1176</v>
      </c>
      <c r="F150" s="95" t="s">
        <v>1177</v>
      </c>
      <c r="G150" s="95" t="s">
        <v>888</v>
      </c>
      <c r="H150" s="95" t="s">
        <v>238</v>
      </c>
      <c r="I150" s="95" t="s">
        <v>239</v>
      </c>
      <c r="J150" s="163"/>
      <c r="K150" s="101" t="s">
        <v>271</v>
      </c>
      <c r="L150" s="101" t="s">
        <v>312</v>
      </c>
      <c r="M150" s="345" t="s">
        <v>331</v>
      </c>
      <c r="N150" s="442" t="s">
        <v>1178</v>
      </c>
      <c r="O150" s="165">
        <v>84.107699999999994</v>
      </c>
      <c r="P150" s="165">
        <v>104.39</v>
      </c>
      <c r="Q150" s="157">
        <v>45</v>
      </c>
      <c r="R150" s="109" t="s">
        <v>244</v>
      </c>
      <c r="S150" s="110">
        <v>377002.44</v>
      </c>
      <c r="T150" s="93">
        <v>67729.740000000005</v>
      </c>
      <c r="U150" s="141"/>
      <c r="V150" s="158">
        <f t="shared" si="85"/>
        <v>0</v>
      </c>
      <c r="W150" s="159">
        <v>45560.648009259261</v>
      </c>
      <c r="X150" s="159">
        <v>45565.554166666669</v>
      </c>
      <c r="Y150" s="160">
        <v>45566</v>
      </c>
      <c r="Z150" s="470"/>
      <c r="AA150" s="470"/>
      <c r="AB150" s="470"/>
      <c r="AC150" s="161">
        <f t="shared" si="86"/>
        <v>-45560.648009259261</v>
      </c>
      <c r="AD150" s="161">
        <f t="shared" si="113"/>
        <v>-45565.554166666669</v>
      </c>
      <c r="AE150" s="446">
        <f t="shared" si="114"/>
        <v>0</v>
      </c>
      <c r="AF150" s="160">
        <f t="shared" si="115"/>
        <v>45581.854905810986</v>
      </c>
      <c r="AG150" s="160">
        <f t="shared" si="116"/>
        <v>45591.310078224778</v>
      </c>
      <c r="AH150" s="159">
        <f t="shared" si="117"/>
        <v>45610.648009259261</v>
      </c>
      <c r="AI150" s="162">
        <f t="shared" si="87"/>
        <v>-1411.6012737911522</v>
      </c>
      <c r="AJ150" s="224">
        <f t="shared" si="118"/>
        <v>0</v>
      </c>
      <c r="AK150" s="225">
        <f t="shared" si="88"/>
        <v>26</v>
      </c>
      <c r="AL150" s="170">
        <f t="shared" si="89"/>
        <v>36</v>
      </c>
      <c r="AM150" s="170">
        <f t="shared" si="90"/>
        <v>24.206896551724139</v>
      </c>
      <c r="AN150" s="170">
        <f t="shared" si="91"/>
        <v>30.662068965517239</v>
      </c>
      <c r="AO150" s="226">
        <f t="shared" si="92"/>
        <v>21.206896551724139</v>
      </c>
      <c r="AP150" s="227">
        <v>60</v>
      </c>
      <c r="AQ150" s="228">
        <f t="shared" si="93"/>
        <v>57</v>
      </c>
      <c r="AR150" s="228">
        <f t="shared" si="94"/>
        <v>52</v>
      </c>
      <c r="AS150" s="229">
        <f t="shared" si="95"/>
        <v>60</v>
      </c>
      <c r="AT150" s="982">
        <f t="shared" ca="1" si="96"/>
        <v>45895</v>
      </c>
      <c r="AU150" s="50"/>
      <c r="AV150" s="118"/>
      <c r="AW150" s="49"/>
      <c r="AX150" s="49"/>
      <c r="AY150" s="49"/>
      <c r="AZ150" s="300"/>
      <c r="BA150" s="119"/>
      <c r="BB150" s="304"/>
      <c r="BC150" s="231"/>
      <c r="BD150" s="232"/>
      <c r="BE150" s="222">
        <f t="shared" si="119"/>
        <v>15</v>
      </c>
      <c r="BF150" s="233">
        <f t="shared" si="98"/>
        <v>0</v>
      </c>
      <c r="BG150" s="234"/>
      <c r="BH150" s="235"/>
      <c r="BI150" s="234"/>
      <c r="BJ150" s="236"/>
      <c r="BK150" s="222"/>
      <c r="BL150" s="222"/>
      <c r="BM150" s="238"/>
      <c r="BN150" s="222"/>
      <c r="BO150" s="222"/>
      <c r="BP150" s="243"/>
      <c r="BQ150" s="244"/>
      <c r="BR150" s="238"/>
      <c r="BS150" s="67"/>
      <c r="BT150" s="66"/>
      <c r="BU150" s="66"/>
      <c r="BV150" s="66"/>
      <c r="BW150" s="74"/>
      <c r="BX150" s="81"/>
      <c r="BY150" s="66">
        <v>45567</v>
      </c>
      <c r="BZ150" s="944" t="s">
        <v>1179</v>
      </c>
      <c r="CA150" s="42" t="str">
        <f t="shared" si="99"/>
        <v>0</v>
      </c>
      <c r="CB150" s="62">
        <f t="shared" si="100"/>
        <v>-45560.648009259261</v>
      </c>
      <c r="CC150" s="42">
        <f t="shared" si="101"/>
        <v>0</v>
      </c>
      <c r="CD150" s="62">
        <f t="shared" si="102"/>
        <v>-45560.648009259261</v>
      </c>
      <c r="CE150" s="62">
        <f t="shared" si="103"/>
        <v>-1411.6012737911522</v>
      </c>
      <c r="CF150" s="145" t="str">
        <f t="shared" si="104"/>
        <v>0</v>
      </c>
      <c r="CG150" s="145"/>
      <c r="CH150" s="443">
        <f t="shared" si="105"/>
        <v>9.553640738762212</v>
      </c>
      <c r="CI150" s="996">
        <f t="shared" si="106"/>
        <v>9.553640738762212</v>
      </c>
      <c r="CJ150" s="261">
        <f t="shared" si="107"/>
        <v>0</v>
      </c>
      <c r="CK150" s="458">
        <f t="shared" si="108"/>
        <v>295.35199074073898</v>
      </c>
      <c r="CL150" t="str">
        <f t="shared" si="109"/>
        <v>REV</v>
      </c>
      <c r="CM150" t="str">
        <f t="shared" si="110"/>
        <v>10 MONTHS AND ABOVE</v>
      </c>
      <c r="CN150" s="635"/>
      <c r="CO150" s="631"/>
      <c r="CP150" s="629" t="str">
        <f t="shared" si="111"/>
        <v>FOR ISSUANCE</v>
      </c>
      <c r="CQ150" s="635"/>
      <c r="CR150" s="697"/>
      <c r="CS150" s="633" t="str">
        <f t="shared" ca="1" si="112"/>
        <v>0</v>
      </c>
      <c r="CT150" s="635"/>
      <c r="CU150" s="631"/>
      <c r="CV150" s="638"/>
      <c r="CW150" s="156" t="s">
        <v>1180</v>
      </c>
      <c r="CX150" s="156" t="str">
        <f>VLOOKUP(E150,'[1]List of Work Orders'!$A:$I,9,FALSE)</f>
        <v>ME184184</v>
      </c>
      <c r="CY150" s="156"/>
      <c r="DC150" t="str">
        <f>VLOOKUP(E150,'[2]List of Work Orders'!$A:$F,6,FALSE)</f>
        <v>SCHED</v>
      </c>
      <c r="DS150" s="156" t="s">
        <v>381</v>
      </c>
    </row>
    <row r="151" spans="1:123" customFormat="1" ht="15" customHeight="1" x14ac:dyDescent="0.25">
      <c r="A151" s="242">
        <v>45567</v>
      </c>
      <c r="B151" s="222">
        <v>45567</v>
      </c>
      <c r="C151" s="223" t="s">
        <v>247</v>
      </c>
      <c r="D151" s="66" t="s">
        <v>320</v>
      </c>
      <c r="E151" s="407" t="s">
        <v>1181</v>
      </c>
      <c r="F151" s="95" t="s">
        <v>1182</v>
      </c>
      <c r="G151" s="95" t="s">
        <v>1183</v>
      </c>
      <c r="H151" s="95" t="s">
        <v>238</v>
      </c>
      <c r="I151" s="95" t="s">
        <v>239</v>
      </c>
      <c r="J151" s="163" t="s">
        <v>1184</v>
      </c>
      <c r="K151" s="101" t="s">
        <v>271</v>
      </c>
      <c r="L151" s="101" t="s">
        <v>288</v>
      </c>
      <c r="M151" s="345" t="s">
        <v>272</v>
      </c>
      <c r="N151" s="442" t="s">
        <v>381</v>
      </c>
      <c r="O151" s="165">
        <v>428.8492</v>
      </c>
      <c r="P151" s="933">
        <v>49.95</v>
      </c>
      <c r="Q151" s="157">
        <v>200</v>
      </c>
      <c r="R151" s="109" t="s">
        <v>244</v>
      </c>
      <c r="S151" s="110">
        <v>1862458.44</v>
      </c>
      <c r="T151" s="93">
        <v>345375.27</v>
      </c>
      <c r="U151" s="141"/>
      <c r="V151" s="158">
        <f t="shared" si="85"/>
        <v>0</v>
      </c>
      <c r="W151" s="159">
        <v>45561.476388888892</v>
      </c>
      <c r="X151" s="159">
        <v>45566.396527777775</v>
      </c>
      <c r="Y151" s="160">
        <v>45563</v>
      </c>
      <c r="Z151" s="470"/>
      <c r="AA151" s="470">
        <v>45667</v>
      </c>
      <c r="AB151" s="470"/>
      <c r="AC151" s="161">
        <f t="shared" si="86"/>
        <v>105.52361111110804</v>
      </c>
      <c r="AD151" s="161">
        <f t="shared" si="113"/>
        <v>100.60347222222481</v>
      </c>
      <c r="AE151" s="446">
        <f t="shared" si="114"/>
        <v>-45667</v>
      </c>
      <c r="AF151" s="160">
        <f t="shared" si="115"/>
        <v>45578.815371939738</v>
      </c>
      <c r="AG151" s="160">
        <f t="shared" si="116"/>
        <v>45587.239100753301</v>
      </c>
      <c r="AH151" s="159">
        <f t="shared" si="117"/>
        <v>45611.476388888892</v>
      </c>
      <c r="AI151" s="162">
        <f t="shared" si="87"/>
        <v>3.8911831597221083</v>
      </c>
      <c r="AJ151" s="224">
        <f t="shared" si="118"/>
        <v>-761.11666666666667</v>
      </c>
      <c r="AK151" s="225">
        <f t="shared" si="88"/>
        <v>20</v>
      </c>
      <c r="AL151" s="170">
        <f t="shared" si="89"/>
        <v>32</v>
      </c>
      <c r="AM151" s="170">
        <f t="shared" si="90"/>
        <v>20.33898305084746</v>
      </c>
      <c r="AN151" s="170">
        <f t="shared" si="91"/>
        <v>25.762711864406779</v>
      </c>
      <c r="AO151" s="226">
        <f t="shared" si="92"/>
        <v>17.33898305084746</v>
      </c>
      <c r="AP151" s="227">
        <v>60</v>
      </c>
      <c r="AQ151" s="228">
        <f t="shared" si="93"/>
        <v>57</v>
      </c>
      <c r="AR151" s="228">
        <f t="shared" si="94"/>
        <v>52</v>
      </c>
      <c r="AS151" s="229">
        <f t="shared" si="95"/>
        <v>45727</v>
      </c>
      <c r="AT151" s="982">
        <f t="shared" ca="1" si="96"/>
        <v>228</v>
      </c>
      <c r="AU151" s="50"/>
      <c r="AV151" s="118"/>
      <c r="AW151" s="49"/>
      <c r="AX151" s="49"/>
      <c r="AY151" s="49"/>
      <c r="AZ151" s="300"/>
      <c r="BA151" s="119"/>
      <c r="BB151" s="304"/>
      <c r="BC151" s="231" t="s">
        <v>13</v>
      </c>
      <c r="BD151" s="232"/>
      <c r="BE151" s="222">
        <f t="shared" si="119"/>
        <v>45682</v>
      </c>
      <c r="BF151" s="233" t="e">
        <f t="shared" si="98"/>
        <v>#VALUE!</v>
      </c>
      <c r="BG151" s="234"/>
      <c r="BH151" s="235"/>
      <c r="BI151" s="234"/>
      <c r="BJ151" s="236"/>
      <c r="BK151" s="222"/>
      <c r="BL151" s="222"/>
      <c r="BM151" s="238"/>
      <c r="BN151" s="222"/>
      <c r="BO151" s="222"/>
      <c r="BP151" s="243"/>
      <c r="BQ151" s="244" t="s">
        <v>247</v>
      </c>
      <c r="BR151" s="238"/>
      <c r="BS151" s="67"/>
      <c r="BT151" s="66"/>
      <c r="BU151" s="66"/>
      <c r="BV151" s="66"/>
      <c r="BW151" s="74"/>
      <c r="BX151" s="81"/>
      <c r="BY151" s="66"/>
      <c r="BZ151" s="944" t="s">
        <v>1185</v>
      </c>
      <c r="CA151" s="42" t="str">
        <f t="shared" si="99"/>
        <v>0</v>
      </c>
      <c r="CB151" s="62">
        <f t="shared" si="100"/>
        <v>105.52361111110804</v>
      </c>
      <c r="CC151" s="42">
        <f t="shared" si="101"/>
        <v>0</v>
      </c>
      <c r="CD151" s="62">
        <f t="shared" si="102"/>
        <v>105.52361111110804</v>
      </c>
      <c r="CE151" s="62">
        <f t="shared" si="103"/>
        <v>3.8911831597221083</v>
      </c>
      <c r="CF151" s="145">
        <f t="shared" si="104"/>
        <v>202</v>
      </c>
      <c r="CG151" s="145"/>
      <c r="CH151" s="443">
        <f t="shared" si="105"/>
        <v>11.339933159722108</v>
      </c>
      <c r="CI151" s="996">
        <f t="shared" si="106"/>
        <v>11.339933159722108</v>
      </c>
      <c r="CJ151" s="261">
        <f t="shared" si="107"/>
        <v>3.3666666666666667</v>
      </c>
      <c r="CK151" s="458" t="str">
        <f t="shared" si="108"/>
        <v/>
      </c>
      <c r="CL151" t="str">
        <f t="shared" si="109"/>
        <v>REV</v>
      </c>
      <c r="CM151" t="str">
        <f t="shared" si="110"/>
        <v/>
      </c>
      <c r="CN151" s="635"/>
      <c r="CO151" s="631"/>
      <c r="CP151" s="629" t="str">
        <f t="shared" si="111"/>
        <v>FOR ISSUANCE</v>
      </c>
      <c r="CQ151" s="635"/>
      <c r="CR151" s="697"/>
      <c r="CS151" s="633" t="str">
        <f t="shared" ca="1" si="112"/>
        <v>0</v>
      </c>
      <c r="CT151" s="635"/>
      <c r="CU151" s="631"/>
      <c r="CV151" s="638"/>
      <c r="CW151" s="156" t="s">
        <v>1186</v>
      </c>
      <c r="CX151" s="156" t="str">
        <f>VLOOKUP(E151,'[1]List of Work Orders'!$A:$I,9,FALSE)</f>
        <v>ME185284</v>
      </c>
      <c r="CY151" s="156"/>
      <c r="DC151" t="str">
        <f>VLOOKUP(E151,'[2]List of Work Orders'!$A:$F,6,FALSE)</f>
        <v>FCOMP</v>
      </c>
      <c r="DS151" s="156" t="s">
        <v>397</v>
      </c>
    </row>
    <row r="152" spans="1:123" customFormat="1" ht="15" customHeight="1" x14ac:dyDescent="0.25">
      <c r="A152" s="242">
        <v>45569</v>
      </c>
      <c r="B152" s="222">
        <v>45567</v>
      </c>
      <c r="C152" s="223"/>
      <c r="D152" s="66" t="s">
        <v>320</v>
      </c>
      <c r="E152" s="404" t="s">
        <v>1187</v>
      </c>
      <c r="F152" s="95" t="s">
        <v>1188</v>
      </c>
      <c r="G152" s="95" t="s">
        <v>1189</v>
      </c>
      <c r="H152" s="95" t="s">
        <v>253</v>
      </c>
      <c r="I152" s="95" t="s">
        <v>254</v>
      </c>
      <c r="J152" s="168" t="s">
        <v>1147</v>
      </c>
      <c r="K152" s="101"/>
      <c r="L152" s="101" t="s">
        <v>263</v>
      </c>
      <c r="M152" s="345" t="s">
        <v>272</v>
      </c>
      <c r="N152" s="442" t="s">
        <v>467</v>
      </c>
      <c r="O152" s="165">
        <v>19.142050000000001</v>
      </c>
      <c r="P152" s="933">
        <v>19.14</v>
      </c>
      <c r="Q152" s="157">
        <v>0</v>
      </c>
      <c r="R152" s="109" t="s">
        <v>327</v>
      </c>
      <c r="S152" s="110">
        <v>42050.26</v>
      </c>
      <c r="T152" s="93">
        <v>15414.9</v>
      </c>
      <c r="U152" s="141"/>
      <c r="V152" s="158">
        <f t="shared" si="85"/>
        <v>0</v>
      </c>
      <c r="W152" s="159">
        <v>45562.357395833336</v>
      </c>
      <c r="X152" s="159">
        <v>45568.456944444442</v>
      </c>
      <c r="Y152" s="160">
        <v>45563</v>
      </c>
      <c r="Z152" s="470"/>
      <c r="AA152" s="470">
        <v>45639</v>
      </c>
      <c r="AB152" s="470"/>
      <c r="AC152" s="161">
        <f t="shared" si="86"/>
        <v>76.642604166663659</v>
      </c>
      <c r="AD152" s="161">
        <f t="shared" si="113"/>
        <v>70.543055555557657</v>
      </c>
      <c r="AE152" s="446">
        <f t="shared" si="114"/>
        <v>-45639</v>
      </c>
      <c r="AF152" s="160">
        <f t="shared" si="115"/>
        <v>45581.131589381723</v>
      </c>
      <c r="AG152" s="160">
        <f t="shared" si="116"/>
        <v>45589.938040994624</v>
      </c>
      <c r="AH152" s="159">
        <f t="shared" si="117"/>
        <v>45612.357395833336</v>
      </c>
      <c r="AI152" s="162">
        <f t="shared" si="87"/>
        <v>2.6399119212961928</v>
      </c>
      <c r="AJ152" s="224">
        <f t="shared" si="118"/>
        <v>-760.65</v>
      </c>
      <c r="AK152" s="225">
        <f t="shared" si="88"/>
        <v>20</v>
      </c>
      <c r="AL152" s="170">
        <f t="shared" si="89"/>
        <v>36</v>
      </c>
      <c r="AM152" s="170">
        <f t="shared" si="90"/>
        <v>21.774193548387096</v>
      </c>
      <c r="AN152" s="170">
        <f t="shared" si="91"/>
        <v>27.58064516129032</v>
      </c>
      <c r="AO152" s="226">
        <f t="shared" si="92"/>
        <v>18.774193548387096</v>
      </c>
      <c r="AP152" s="227">
        <v>60</v>
      </c>
      <c r="AQ152" s="228">
        <f t="shared" si="93"/>
        <v>57</v>
      </c>
      <c r="AR152" s="228">
        <f t="shared" si="94"/>
        <v>52</v>
      </c>
      <c r="AS152" s="229">
        <f t="shared" si="95"/>
        <v>45699</v>
      </c>
      <c r="AT152" s="982">
        <f t="shared" ca="1" si="96"/>
        <v>256</v>
      </c>
      <c r="AU152" s="50"/>
      <c r="AV152" s="118"/>
      <c r="AW152" s="49"/>
      <c r="AX152" s="49"/>
      <c r="AY152" s="49"/>
      <c r="AZ152" s="300"/>
      <c r="BA152" s="119"/>
      <c r="BB152" s="304"/>
      <c r="BC152" s="231" t="s">
        <v>13</v>
      </c>
      <c r="BD152" s="232"/>
      <c r="BE152" s="222">
        <f t="shared" si="119"/>
        <v>45654</v>
      </c>
      <c r="BF152" s="233" t="e">
        <f t="shared" si="98"/>
        <v>#VALUE!</v>
      </c>
      <c r="BG152" s="234"/>
      <c r="BH152" s="235"/>
      <c r="BI152" s="234"/>
      <c r="BJ152" s="236"/>
      <c r="BK152" s="222"/>
      <c r="BL152" s="222"/>
      <c r="BM152" s="238"/>
      <c r="BN152" s="222"/>
      <c r="BO152" s="222"/>
      <c r="BP152" s="243"/>
      <c r="BQ152" s="244" t="s">
        <v>246</v>
      </c>
      <c r="BR152" s="238"/>
      <c r="BS152" s="67"/>
      <c r="BT152" s="66"/>
      <c r="BU152" s="66"/>
      <c r="BV152" s="66"/>
      <c r="BW152" s="74"/>
      <c r="BX152" s="81"/>
      <c r="BY152" s="66" t="s">
        <v>308</v>
      </c>
      <c r="BZ152" s="944" t="s">
        <v>1190</v>
      </c>
      <c r="CA152" s="42" t="str">
        <f t="shared" si="99"/>
        <v>0</v>
      </c>
      <c r="CB152" s="62">
        <f t="shared" si="100"/>
        <v>76.642604166663659</v>
      </c>
      <c r="CC152" s="42">
        <f t="shared" si="101"/>
        <v>0</v>
      </c>
      <c r="CD152" s="62">
        <f t="shared" si="102"/>
        <v>76.642604166663659</v>
      </c>
      <c r="CE152" s="62">
        <f t="shared" si="103"/>
        <v>2.6399119212961928</v>
      </c>
      <c r="CF152" s="145">
        <f t="shared" si="104"/>
        <v>230</v>
      </c>
      <c r="CG152" s="145"/>
      <c r="CH152" s="443">
        <f t="shared" si="105"/>
        <v>10.562134143518414</v>
      </c>
      <c r="CI152" s="996">
        <f t="shared" si="106"/>
        <v>10.562134143518414</v>
      </c>
      <c r="CJ152" s="261">
        <f t="shared" si="107"/>
        <v>3.8333333333333335</v>
      </c>
      <c r="CK152" s="458" t="str">
        <f t="shared" si="108"/>
        <v/>
      </c>
      <c r="CL152" t="str">
        <f t="shared" si="109"/>
        <v>NON-REV</v>
      </c>
      <c r="CM152" t="str">
        <f t="shared" si="110"/>
        <v/>
      </c>
      <c r="CN152" s="635"/>
      <c r="CO152" s="631"/>
      <c r="CP152" s="629" t="str">
        <f t="shared" si="111"/>
        <v>FOR ISSUANCE</v>
      </c>
      <c r="CQ152" s="635"/>
      <c r="CR152" s="697"/>
      <c r="CS152" s="633" t="str">
        <f t="shared" ca="1" si="112"/>
        <v>0</v>
      </c>
      <c r="CT152" s="635"/>
      <c r="CU152" s="631"/>
      <c r="CV152" s="638"/>
      <c r="CW152" s="156" t="s">
        <v>1191</v>
      </c>
      <c r="CX152" s="156" t="str">
        <f>VLOOKUP(E152,'[1]List of Work Orders'!$A:$I,9,FALSE)</f>
        <v>ME155242</v>
      </c>
      <c r="CY152" s="156"/>
      <c r="DC152" t="str">
        <f>VLOOKUP(E152,'[2]List of Work Orders'!$A:$F,6,FALSE)</f>
        <v>FCOMP</v>
      </c>
      <c r="DS152" s="156" t="s">
        <v>381</v>
      </c>
    </row>
    <row r="153" spans="1:123" customFormat="1" ht="15" customHeight="1" x14ac:dyDescent="0.25">
      <c r="A153" s="242">
        <v>45574</v>
      </c>
      <c r="B153" s="222">
        <v>45567</v>
      </c>
      <c r="C153" s="223"/>
      <c r="D153" s="66" t="s">
        <v>320</v>
      </c>
      <c r="E153" s="412" t="s">
        <v>1192</v>
      </c>
      <c r="F153" s="95" t="s">
        <v>1193</v>
      </c>
      <c r="G153" s="95" t="s">
        <v>1194</v>
      </c>
      <c r="H153" s="95" t="s">
        <v>378</v>
      </c>
      <c r="I153" s="95" t="s">
        <v>239</v>
      </c>
      <c r="J153" s="163" t="s">
        <v>1195</v>
      </c>
      <c r="K153" s="101" t="s">
        <v>299</v>
      </c>
      <c r="L153" s="101" t="s">
        <v>288</v>
      </c>
      <c r="M153" s="345" t="s">
        <v>534</v>
      </c>
      <c r="N153" s="442" t="s">
        <v>381</v>
      </c>
      <c r="O153" s="165">
        <v>125.6533</v>
      </c>
      <c r="P153" s="165" t="e">
        <v>#N/A</v>
      </c>
      <c r="Q153" s="157">
        <v>60</v>
      </c>
      <c r="R153" s="109" t="s">
        <v>244</v>
      </c>
      <c r="S153" s="110">
        <v>656201.56000000006</v>
      </c>
      <c r="T153" s="93">
        <v>101185.84</v>
      </c>
      <c r="U153" s="141"/>
      <c r="V153" s="158">
        <f t="shared" si="85"/>
        <v>0</v>
      </c>
      <c r="W153" s="159">
        <v>45565.623611111114</v>
      </c>
      <c r="X153" s="159">
        <v>45569.51666666667</v>
      </c>
      <c r="Y153" s="160">
        <v>45567</v>
      </c>
      <c r="Z153" s="470"/>
      <c r="AA153" s="470" t="s">
        <v>534</v>
      </c>
      <c r="AB153" s="470"/>
      <c r="AC153" s="161" t="e">
        <f t="shared" si="86"/>
        <v>#VALUE!</v>
      </c>
      <c r="AD153" s="161" t="e">
        <f t="shared" si="113"/>
        <v>#VALUE!</v>
      </c>
      <c r="AE153" s="446" t="e">
        <f t="shared" si="114"/>
        <v>#VALUE!</v>
      </c>
      <c r="AF153" s="160" t="e">
        <f t="shared" si="115"/>
        <v>#N/A</v>
      </c>
      <c r="AG153" s="160" t="e">
        <f t="shared" si="116"/>
        <v>#N/A</v>
      </c>
      <c r="AH153" s="159">
        <f t="shared" si="117"/>
        <v>45615.623611111114</v>
      </c>
      <c r="AI153" s="162" t="e">
        <f t="shared" si="87"/>
        <v>#VALUE!</v>
      </c>
      <c r="AJ153" s="224" t="e">
        <f t="shared" si="118"/>
        <v>#VALUE!</v>
      </c>
      <c r="AK153" s="225" t="e">
        <f t="shared" si="88"/>
        <v>#N/A</v>
      </c>
      <c r="AL153" s="170">
        <f t="shared" si="89"/>
        <v>34</v>
      </c>
      <c r="AM153" s="170" t="e">
        <f t="shared" si="90"/>
        <v>#N/A</v>
      </c>
      <c r="AN153" s="170" t="e">
        <f t="shared" si="91"/>
        <v>#N/A</v>
      </c>
      <c r="AO153" s="226" t="e">
        <f t="shared" si="92"/>
        <v>#N/A</v>
      </c>
      <c r="AP153" s="227">
        <v>60</v>
      </c>
      <c r="AQ153" s="228">
        <f t="shared" si="93"/>
        <v>57</v>
      </c>
      <c r="AR153" s="228">
        <f t="shared" si="94"/>
        <v>52</v>
      </c>
      <c r="AS153" s="229" t="e">
        <f t="shared" si="95"/>
        <v>#VALUE!</v>
      </c>
      <c r="AT153" s="982" t="str">
        <f t="shared" ca="1" si="96"/>
        <v/>
      </c>
      <c r="AU153" s="50"/>
      <c r="AV153" s="118"/>
      <c r="AW153" s="49"/>
      <c r="AX153" s="49"/>
      <c r="AY153" s="49"/>
      <c r="AZ153" s="300"/>
      <c r="BA153" s="119"/>
      <c r="BB153" s="304"/>
      <c r="BC153" s="231"/>
      <c r="BD153" s="232"/>
      <c r="BE153" s="222" t="e">
        <f t="shared" si="119"/>
        <v>#VALUE!</v>
      </c>
      <c r="BF153" s="233" t="e">
        <f t="shared" si="98"/>
        <v>#VALUE!</v>
      </c>
      <c r="BG153" s="234"/>
      <c r="BH153" s="235"/>
      <c r="BI153" s="234"/>
      <c r="BJ153" s="236"/>
      <c r="BK153" s="222"/>
      <c r="BL153" s="222"/>
      <c r="BM153" s="238"/>
      <c r="BN153" s="222"/>
      <c r="BO153" s="222"/>
      <c r="BP153" s="243"/>
      <c r="BQ153" s="244" t="s">
        <v>247</v>
      </c>
      <c r="BR153" s="238"/>
      <c r="BS153" s="67"/>
      <c r="BT153" s="66"/>
      <c r="BU153" s="66"/>
      <c r="BV153" s="66"/>
      <c r="BW153" s="74"/>
      <c r="BX153" s="81"/>
      <c r="BY153" s="66">
        <v>45576</v>
      </c>
      <c r="BZ153" s="944" t="s">
        <v>1196</v>
      </c>
      <c r="CA153" s="42" t="str">
        <f t="shared" si="99"/>
        <v>0</v>
      </c>
      <c r="CB153" s="62" t="e">
        <f t="shared" si="100"/>
        <v>#VALUE!</v>
      </c>
      <c r="CC153" s="42">
        <f t="shared" si="101"/>
        <v>0</v>
      </c>
      <c r="CD153" s="62" t="e">
        <f t="shared" si="102"/>
        <v>#VALUE!</v>
      </c>
      <c r="CE153" s="62" t="e">
        <f t="shared" si="103"/>
        <v>#VALUE!</v>
      </c>
      <c r="CF153" s="145" t="e">
        <f t="shared" si="104"/>
        <v>#VALUE!</v>
      </c>
      <c r="CG153" s="145"/>
      <c r="CH153" s="443" t="e">
        <f t="shared" si="105"/>
        <v>#N/A</v>
      </c>
      <c r="CI153" s="996" t="e">
        <f t="shared" si="106"/>
        <v>#N/A</v>
      </c>
      <c r="CJ153" s="261" t="e">
        <f t="shared" si="107"/>
        <v>#VALUE!</v>
      </c>
      <c r="CK153" s="458" t="str">
        <f t="shared" si="108"/>
        <v/>
      </c>
      <c r="CL153" t="str">
        <f t="shared" si="109"/>
        <v>REV</v>
      </c>
      <c r="CM153" t="str">
        <f t="shared" si="110"/>
        <v/>
      </c>
      <c r="CN153" s="635"/>
      <c r="CO153" s="631"/>
      <c r="CP153" s="629" t="str">
        <f t="shared" si="111"/>
        <v>FOR ISSUANCE</v>
      </c>
      <c r="CQ153" s="635"/>
      <c r="CR153" s="697"/>
      <c r="CS153" s="633" t="str">
        <f t="shared" ca="1" si="112"/>
        <v>0</v>
      </c>
      <c r="CT153" s="635"/>
      <c r="CU153" s="631"/>
      <c r="CV153" s="638"/>
      <c r="CW153" s="156" t="s">
        <v>1197</v>
      </c>
      <c r="CX153" s="156" t="str">
        <f>VLOOKUP(E153,'[1]List of Work Orders'!$A:$I,9,FALSE)</f>
        <v>ME185284</v>
      </c>
      <c r="CY153" s="156"/>
      <c r="DC153" t="str">
        <f>VLOOKUP(E153,'[2]List of Work Orders'!$A:$F,6,FALSE)</f>
        <v>CLOSED-CAN</v>
      </c>
      <c r="DS153" s="156" t="s">
        <v>397</v>
      </c>
    </row>
    <row r="154" spans="1:123" customFormat="1" ht="15" customHeight="1" x14ac:dyDescent="0.25">
      <c r="A154" s="242">
        <v>45574</v>
      </c>
      <c r="B154" s="222">
        <v>45570</v>
      </c>
      <c r="C154" s="223"/>
      <c r="D154" s="66" t="s">
        <v>234</v>
      </c>
      <c r="E154" s="412" t="s">
        <v>1198</v>
      </c>
      <c r="F154" s="95" t="s">
        <v>926</v>
      </c>
      <c r="G154" s="95" t="s">
        <v>969</v>
      </c>
      <c r="H154" s="95" t="s">
        <v>378</v>
      </c>
      <c r="I154" s="95" t="s">
        <v>239</v>
      </c>
      <c r="J154" s="168" t="s">
        <v>1094</v>
      </c>
      <c r="K154" s="101" t="s">
        <v>299</v>
      </c>
      <c r="L154" s="101" t="s">
        <v>288</v>
      </c>
      <c r="M154" s="345" t="s">
        <v>534</v>
      </c>
      <c r="N154" s="442" t="s">
        <v>381</v>
      </c>
      <c r="O154" s="165">
        <v>82.501800000000003</v>
      </c>
      <c r="P154" s="165" t="e">
        <v>#N/A</v>
      </c>
      <c r="Q154" s="157">
        <v>31</v>
      </c>
      <c r="R154" s="109" t="s">
        <v>244</v>
      </c>
      <c r="S154" s="110">
        <v>346178.09</v>
      </c>
      <c r="T154" s="93">
        <v>66436.77</v>
      </c>
      <c r="U154" s="141"/>
      <c r="V154" s="158">
        <f t="shared" si="85"/>
        <v>0</v>
      </c>
      <c r="W154" s="159">
        <v>45567.323611111111</v>
      </c>
      <c r="X154" s="159">
        <v>45569.595833333333</v>
      </c>
      <c r="Y154" s="160">
        <v>45570</v>
      </c>
      <c r="Z154" s="470"/>
      <c r="AA154" s="470" t="s">
        <v>534</v>
      </c>
      <c r="AB154" s="470"/>
      <c r="AC154" s="161" t="e">
        <f t="shared" si="86"/>
        <v>#VALUE!</v>
      </c>
      <c r="AD154" s="161" t="e">
        <f t="shared" si="113"/>
        <v>#VALUE!</v>
      </c>
      <c r="AE154" s="446" t="e">
        <f t="shared" si="114"/>
        <v>#VALUE!</v>
      </c>
      <c r="AF154" s="160" t="e">
        <f t="shared" si="115"/>
        <v>#N/A</v>
      </c>
      <c r="AG154" s="160" t="e">
        <f t="shared" si="116"/>
        <v>#N/A</v>
      </c>
      <c r="AH154" s="159">
        <f t="shared" si="117"/>
        <v>45617.323611111111</v>
      </c>
      <c r="AI154" s="162" t="e">
        <f t="shared" si="87"/>
        <v>#VALUE!</v>
      </c>
      <c r="AJ154" s="224" t="e">
        <f t="shared" si="118"/>
        <v>#VALUE!</v>
      </c>
      <c r="AK154" s="225" t="e">
        <f t="shared" si="88"/>
        <v>#N/A</v>
      </c>
      <c r="AL154" s="170">
        <f t="shared" si="89"/>
        <v>36</v>
      </c>
      <c r="AM154" s="170" t="e">
        <f t="shared" si="90"/>
        <v>#N/A</v>
      </c>
      <c r="AN154" s="170" t="e">
        <f t="shared" si="91"/>
        <v>#N/A</v>
      </c>
      <c r="AO154" s="226" t="e">
        <f t="shared" si="92"/>
        <v>#N/A</v>
      </c>
      <c r="AP154" s="227">
        <v>60</v>
      </c>
      <c r="AQ154" s="228">
        <f t="shared" si="93"/>
        <v>57</v>
      </c>
      <c r="AR154" s="228">
        <f t="shared" si="94"/>
        <v>52</v>
      </c>
      <c r="AS154" s="229" t="e">
        <f t="shared" si="95"/>
        <v>#VALUE!</v>
      </c>
      <c r="AT154" s="982" t="str">
        <f t="shared" ca="1" si="96"/>
        <v/>
      </c>
      <c r="AU154" s="50"/>
      <c r="AV154" s="118"/>
      <c r="AW154" s="49"/>
      <c r="AX154" s="49"/>
      <c r="AY154" s="49"/>
      <c r="AZ154" s="300"/>
      <c r="BA154" s="119"/>
      <c r="BB154" s="304"/>
      <c r="BC154" s="231"/>
      <c r="BD154" s="232"/>
      <c r="BE154" s="222" t="e">
        <f t="shared" si="119"/>
        <v>#VALUE!</v>
      </c>
      <c r="BF154" s="233" t="e">
        <f t="shared" si="98"/>
        <v>#VALUE!</v>
      </c>
      <c r="BG154" s="234"/>
      <c r="BH154" s="235"/>
      <c r="BI154" s="234"/>
      <c r="BJ154" s="236"/>
      <c r="BK154" s="222"/>
      <c r="BL154" s="222"/>
      <c r="BM154" s="238"/>
      <c r="BN154" s="222"/>
      <c r="BO154" s="222"/>
      <c r="BP154" s="243"/>
      <c r="BQ154" s="244" t="s">
        <v>247</v>
      </c>
      <c r="BR154" s="238"/>
      <c r="BS154" s="67"/>
      <c r="BT154" s="66"/>
      <c r="BU154" s="66"/>
      <c r="BV154" s="66"/>
      <c r="BW154" s="74"/>
      <c r="BX154" s="81"/>
      <c r="BY154" s="66">
        <v>45576</v>
      </c>
      <c r="BZ154" s="944" t="s">
        <v>1199</v>
      </c>
      <c r="CA154" s="42" t="str">
        <f t="shared" si="99"/>
        <v>0</v>
      </c>
      <c r="CB154" s="62" t="e">
        <f t="shared" si="100"/>
        <v>#VALUE!</v>
      </c>
      <c r="CC154" s="42">
        <f t="shared" si="101"/>
        <v>0</v>
      </c>
      <c r="CD154" s="62" t="e">
        <f t="shared" si="102"/>
        <v>#VALUE!</v>
      </c>
      <c r="CE154" s="62" t="e">
        <f t="shared" si="103"/>
        <v>#VALUE!</v>
      </c>
      <c r="CF154" s="145" t="e">
        <f t="shared" si="104"/>
        <v>#VALUE!</v>
      </c>
      <c r="CG154" s="145"/>
      <c r="CH154" s="443" t="e">
        <f t="shared" si="105"/>
        <v>#N/A</v>
      </c>
      <c r="CI154" s="996" t="e">
        <f t="shared" si="106"/>
        <v>#N/A</v>
      </c>
      <c r="CJ154" s="261" t="e">
        <f t="shared" si="107"/>
        <v>#VALUE!</v>
      </c>
      <c r="CK154" s="458" t="str">
        <f t="shared" si="108"/>
        <v/>
      </c>
      <c r="CL154" t="str">
        <f t="shared" si="109"/>
        <v>REV</v>
      </c>
      <c r="CM154" t="str">
        <f t="shared" si="110"/>
        <v/>
      </c>
      <c r="CN154" s="635"/>
      <c r="CO154" s="631"/>
      <c r="CP154" s="629" t="str">
        <f t="shared" si="111"/>
        <v>FOR ISSUANCE</v>
      </c>
      <c r="CQ154" s="635"/>
      <c r="CR154" s="697"/>
      <c r="CS154" s="633" t="str">
        <f t="shared" ca="1" si="112"/>
        <v>0</v>
      </c>
      <c r="CT154" s="635"/>
      <c r="CU154" s="631"/>
      <c r="CV154" s="638"/>
      <c r="CW154" s="156" t="s">
        <v>1200</v>
      </c>
      <c r="CX154" s="156" t="str">
        <f>VLOOKUP(E154,'[1]List of Work Orders'!$A:$I,9,FALSE)</f>
        <v>ME185284</v>
      </c>
      <c r="CY154" s="156"/>
      <c r="DC154" t="str">
        <f>VLOOKUP(E154,'[2]List of Work Orders'!$A:$F,6,FALSE)</f>
        <v>CLOSED-CAN</v>
      </c>
      <c r="DS154" s="156" t="s">
        <v>397</v>
      </c>
    </row>
    <row r="155" spans="1:123" customFormat="1" ht="15" customHeight="1" x14ac:dyDescent="0.25">
      <c r="A155" s="242">
        <v>45573</v>
      </c>
      <c r="B155" s="222">
        <v>45568</v>
      </c>
      <c r="C155" s="223"/>
      <c r="D155" s="66" t="s">
        <v>234</v>
      </c>
      <c r="E155" s="404" t="s">
        <v>1201</v>
      </c>
      <c r="F155" s="95" t="s">
        <v>926</v>
      </c>
      <c r="G155" s="95" t="s">
        <v>1202</v>
      </c>
      <c r="H155" s="95" t="s">
        <v>238</v>
      </c>
      <c r="I155" s="95" t="s">
        <v>239</v>
      </c>
      <c r="J155" s="168" t="s">
        <v>1203</v>
      </c>
      <c r="K155" s="101" t="s">
        <v>299</v>
      </c>
      <c r="L155" s="101" t="s">
        <v>242</v>
      </c>
      <c r="M155" s="345" t="s">
        <v>534</v>
      </c>
      <c r="N155" s="442" t="s">
        <v>467</v>
      </c>
      <c r="O155" s="165">
        <v>127.3669</v>
      </c>
      <c r="P155" s="165" t="e">
        <v>#N/A</v>
      </c>
      <c r="Q155" s="157">
        <v>31</v>
      </c>
      <c r="R155" s="109" t="s">
        <v>244</v>
      </c>
      <c r="S155" s="110">
        <v>1895538.6</v>
      </c>
      <c r="T155" s="93">
        <v>102565.86</v>
      </c>
      <c r="U155" s="141"/>
      <c r="V155" s="158">
        <f t="shared" si="85"/>
        <v>0</v>
      </c>
      <c r="W155" s="159">
        <v>45567.357638888891</v>
      </c>
      <c r="X155" s="159">
        <v>45569.594444444447</v>
      </c>
      <c r="Y155" s="160">
        <v>45570</v>
      </c>
      <c r="Z155" s="470"/>
      <c r="AA155" s="470" t="s">
        <v>534</v>
      </c>
      <c r="AB155" s="470"/>
      <c r="AC155" s="161" t="e">
        <f t="shared" si="86"/>
        <v>#VALUE!</v>
      </c>
      <c r="AD155" s="161" t="e">
        <f t="shared" si="113"/>
        <v>#VALUE!</v>
      </c>
      <c r="AE155" s="446" t="e">
        <f t="shared" si="114"/>
        <v>#VALUE!</v>
      </c>
      <c r="AF155" s="160" t="e">
        <f t="shared" si="115"/>
        <v>#N/A</v>
      </c>
      <c r="AG155" s="160" t="e">
        <f t="shared" si="116"/>
        <v>#N/A</v>
      </c>
      <c r="AH155" s="159">
        <f t="shared" si="117"/>
        <v>45617.357638888891</v>
      </c>
      <c r="AI155" s="162" t="e">
        <f t="shared" si="87"/>
        <v>#VALUE!</v>
      </c>
      <c r="AJ155" s="224" t="e">
        <f t="shared" si="118"/>
        <v>#VALUE!</v>
      </c>
      <c r="AK155" s="225" t="e">
        <f t="shared" si="88"/>
        <v>#N/A</v>
      </c>
      <c r="AL155" s="170">
        <f t="shared" si="89"/>
        <v>36</v>
      </c>
      <c r="AM155" s="170" t="e">
        <f t="shared" si="90"/>
        <v>#N/A</v>
      </c>
      <c r="AN155" s="170" t="e">
        <f t="shared" si="91"/>
        <v>#N/A</v>
      </c>
      <c r="AO155" s="226" t="e">
        <f t="shared" si="92"/>
        <v>#N/A</v>
      </c>
      <c r="AP155" s="227">
        <v>60</v>
      </c>
      <c r="AQ155" s="228">
        <f t="shared" si="93"/>
        <v>57</v>
      </c>
      <c r="AR155" s="228">
        <f t="shared" si="94"/>
        <v>52</v>
      </c>
      <c r="AS155" s="229" t="e">
        <f t="shared" si="95"/>
        <v>#VALUE!</v>
      </c>
      <c r="AT155" s="982" t="str">
        <f t="shared" ca="1" si="96"/>
        <v/>
      </c>
      <c r="AU155" s="50"/>
      <c r="AV155" s="118"/>
      <c r="AW155" s="49"/>
      <c r="AX155" s="49"/>
      <c r="AY155" s="49"/>
      <c r="AZ155" s="300"/>
      <c r="BA155" s="119"/>
      <c r="BB155" s="304"/>
      <c r="BC155" s="231"/>
      <c r="BD155" s="232"/>
      <c r="BE155" s="222" t="e">
        <f t="shared" si="119"/>
        <v>#VALUE!</v>
      </c>
      <c r="BF155" s="233" t="e">
        <f t="shared" si="98"/>
        <v>#VALUE!</v>
      </c>
      <c r="BG155" s="234"/>
      <c r="BH155" s="235"/>
      <c r="BI155" s="234"/>
      <c r="BJ155" s="236"/>
      <c r="BK155" s="222"/>
      <c r="BL155" s="222"/>
      <c r="BM155" s="238"/>
      <c r="BN155" s="222"/>
      <c r="BO155" s="222"/>
      <c r="BP155" s="243"/>
      <c r="BQ155" s="244" t="s">
        <v>247</v>
      </c>
      <c r="BR155" s="238"/>
      <c r="BS155" s="67"/>
      <c r="BT155" s="66"/>
      <c r="BU155" s="66"/>
      <c r="BV155" s="66"/>
      <c r="BW155" s="74"/>
      <c r="BX155" s="81"/>
      <c r="BY155" s="66">
        <v>45576</v>
      </c>
      <c r="BZ155" s="944" t="s">
        <v>1204</v>
      </c>
      <c r="CA155" s="42" t="str">
        <f t="shared" si="99"/>
        <v>0</v>
      </c>
      <c r="CB155" s="62" t="e">
        <f t="shared" si="100"/>
        <v>#VALUE!</v>
      </c>
      <c r="CC155" s="42">
        <f t="shared" si="101"/>
        <v>0</v>
      </c>
      <c r="CD155" s="62" t="e">
        <f t="shared" si="102"/>
        <v>#VALUE!</v>
      </c>
      <c r="CE155" s="62" t="e">
        <f t="shared" si="103"/>
        <v>#VALUE!</v>
      </c>
      <c r="CF155" s="145" t="e">
        <f t="shared" si="104"/>
        <v>#VALUE!</v>
      </c>
      <c r="CG155" s="145"/>
      <c r="CH155" s="443" t="e">
        <f t="shared" si="105"/>
        <v>#N/A</v>
      </c>
      <c r="CI155" s="996" t="e">
        <f t="shared" si="106"/>
        <v>#N/A</v>
      </c>
      <c r="CJ155" s="261" t="e">
        <f t="shared" si="107"/>
        <v>#VALUE!</v>
      </c>
      <c r="CK155" s="458" t="str">
        <f t="shared" si="108"/>
        <v/>
      </c>
      <c r="CL155" t="str">
        <f t="shared" si="109"/>
        <v>REV</v>
      </c>
      <c r="CM155" t="str">
        <f t="shared" si="110"/>
        <v/>
      </c>
      <c r="CN155" s="635"/>
      <c r="CO155" s="631"/>
      <c r="CP155" s="629" t="str">
        <f t="shared" si="111"/>
        <v>FOR ISSUANCE</v>
      </c>
      <c r="CQ155" s="635"/>
      <c r="CR155" s="697"/>
      <c r="CS155" s="633" t="str">
        <f t="shared" ca="1" si="112"/>
        <v>0</v>
      </c>
      <c r="CT155" s="635"/>
      <c r="CU155" s="631"/>
      <c r="CV155" s="638"/>
      <c r="CW155" s="156" t="s">
        <v>1205</v>
      </c>
      <c r="CX155" s="156" t="str">
        <f>VLOOKUP(E155,'[1]List of Work Orders'!$A:$I,9,FALSE)</f>
        <v>ME155242</v>
      </c>
      <c r="CY155" s="156"/>
      <c r="CZ155" s="63"/>
      <c r="DC155" t="str">
        <f>VLOOKUP(E155,'[2]List of Work Orders'!$A:$F,6,FALSE)</f>
        <v>PCAN3</v>
      </c>
      <c r="DS155" s="156" t="s">
        <v>397</v>
      </c>
    </row>
    <row r="156" spans="1:123" customFormat="1" ht="15" customHeight="1" x14ac:dyDescent="0.25">
      <c r="A156" s="242">
        <v>45573</v>
      </c>
      <c r="B156" s="222">
        <v>45572</v>
      </c>
      <c r="C156" s="223"/>
      <c r="D156" s="66" t="s">
        <v>320</v>
      </c>
      <c r="E156" s="404" t="s">
        <v>1206</v>
      </c>
      <c r="F156" s="95" t="s">
        <v>1207</v>
      </c>
      <c r="G156" s="95" t="s">
        <v>1208</v>
      </c>
      <c r="H156" s="95" t="s">
        <v>238</v>
      </c>
      <c r="I156" s="95" t="s">
        <v>239</v>
      </c>
      <c r="J156" s="163" t="s">
        <v>988</v>
      </c>
      <c r="K156" s="101" t="s">
        <v>271</v>
      </c>
      <c r="L156" s="101" t="s">
        <v>263</v>
      </c>
      <c r="M156" s="345" t="s">
        <v>331</v>
      </c>
      <c r="N156" s="442" t="s">
        <v>467</v>
      </c>
      <c r="O156" s="165">
        <v>13.71</v>
      </c>
      <c r="P156" s="165">
        <v>13.71</v>
      </c>
      <c r="Q156" s="157">
        <v>35</v>
      </c>
      <c r="R156" s="109" t="s">
        <v>548</v>
      </c>
      <c r="S156" s="110">
        <v>47460.27</v>
      </c>
      <c r="T156" s="93">
        <v>11040.3</v>
      </c>
      <c r="U156" s="141"/>
      <c r="V156" s="158">
        <f t="shared" si="85"/>
        <v>0</v>
      </c>
      <c r="W156" s="159">
        <v>45567.707638888889</v>
      </c>
      <c r="X156" s="159">
        <v>45569.597222222219</v>
      </c>
      <c r="Y156" s="160">
        <v>45570</v>
      </c>
      <c r="Z156" s="470"/>
      <c r="AA156" s="470"/>
      <c r="AB156" s="470"/>
      <c r="AC156" s="161">
        <f t="shared" si="86"/>
        <v>-45567.707638888889</v>
      </c>
      <c r="AD156" s="161">
        <f t="shared" si="113"/>
        <v>-45569.597222222219</v>
      </c>
      <c r="AE156" s="446">
        <f t="shared" si="114"/>
        <v>0</v>
      </c>
      <c r="AF156" s="160">
        <f t="shared" si="115"/>
        <v>45586.481832437275</v>
      </c>
      <c r="AG156" s="160">
        <f t="shared" si="116"/>
        <v>45595.288284050177</v>
      </c>
      <c r="AH156" s="159">
        <f t="shared" si="117"/>
        <v>45617.707638888889</v>
      </c>
      <c r="AI156" s="162">
        <f t="shared" si="87"/>
        <v>-1569.5543742283949</v>
      </c>
      <c r="AJ156" s="224">
        <f t="shared" si="118"/>
        <v>0</v>
      </c>
      <c r="AK156" s="225">
        <f t="shared" si="88"/>
        <v>20</v>
      </c>
      <c r="AL156" s="170">
        <f t="shared" si="89"/>
        <v>36</v>
      </c>
      <c r="AM156" s="170">
        <f t="shared" si="90"/>
        <v>21.774193548387096</v>
      </c>
      <c r="AN156" s="170">
        <f t="shared" si="91"/>
        <v>27.58064516129032</v>
      </c>
      <c r="AO156" s="226">
        <f t="shared" si="92"/>
        <v>18.774193548387096</v>
      </c>
      <c r="AP156" s="227">
        <v>60</v>
      </c>
      <c r="AQ156" s="228">
        <f t="shared" si="93"/>
        <v>57</v>
      </c>
      <c r="AR156" s="228">
        <f t="shared" si="94"/>
        <v>52</v>
      </c>
      <c r="AS156" s="229">
        <f t="shared" si="95"/>
        <v>60</v>
      </c>
      <c r="AT156" s="982">
        <f t="shared" ca="1" si="96"/>
        <v>45895</v>
      </c>
      <c r="AU156" s="50"/>
      <c r="AV156" s="118"/>
      <c r="AW156" s="49"/>
      <c r="AX156" s="49"/>
      <c r="AY156" s="49"/>
      <c r="AZ156" s="300"/>
      <c r="BA156" s="119"/>
      <c r="BB156" s="304"/>
      <c r="BC156" s="231"/>
      <c r="BD156" s="232"/>
      <c r="BE156" s="222">
        <f t="shared" si="119"/>
        <v>15</v>
      </c>
      <c r="BF156" s="233">
        <f t="shared" si="98"/>
        <v>0</v>
      </c>
      <c r="BG156" s="234"/>
      <c r="BH156" s="235"/>
      <c r="BI156" s="234"/>
      <c r="BJ156" s="236"/>
      <c r="BK156" s="222"/>
      <c r="BL156" s="222"/>
      <c r="BM156" s="238"/>
      <c r="BN156" s="222"/>
      <c r="BO156" s="222"/>
      <c r="BP156" s="243"/>
      <c r="BQ156" s="244" t="s">
        <v>247</v>
      </c>
      <c r="BR156" s="238"/>
      <c r="BS156" s="67"/>
      <c r="BT156" s="66"/>
      <c r="BU156" s="66"/>
      <c r="BV156" s="66"/>
      <c r="BW156" s="74"/>
      <c r="BX156" s="81"/>
      <c r="BY156" s="66" t="s">
        <v>308</v>
      </c>
      <c r="BZ156" s="944">
        <v>124828</v>
      </c>
      <c r="CA156" s="42" t="str">
        <f t="shared" si="99"/>
        <v>0</v>
      </c>
      <c r="CB156" s="62">
        <f t="shared" si="100"/>
        <v>-45567.707638888889</v>
      </c>
      <c r="CC156" s="42">
        <f t="shared" si="101"/>
        <v>0</v>
      </c>
      <c r="CD156" s="62">
        <f t="shared" si="102"/>
        <v>-45567.707638888889</v>
      </c>
      <c r="CE156" s="62">
        <f t="shared" si="103"/>
        <v>-1569.5543742283949</v>
      </c>
      <c r="CF156" s="145" t="str">
        <f t="shared" si="104"/>
        <v>0</v>
      </c>
      <c r="CG156" s="145"/>
      <c r="CH156" s="443">
        <f t="shared" si="105"/>
        <v>10.377847993827155</v>
      </c>
      <c r="CI156" s="996">
        <f t="shared" si="106"/>
        <v>10.377847993827155</v>
      </c>
      <c r="CJ156" s="261">
        <f t="shared" si="107"/>
        <v>0</v>
      </c>
      <c r="CK156" s="458">
        <f t="shared" si="108"/>
        <v>288.29236111111095</v>
      </c>
      <c r="CL156" t="str">
        <f t="shared" si="109"/>
        <v>NON-REV</v>
      </c>
      <c r="CM156" t="str">
        <f t="shared" si="110"/>
        <v>10 MONTHS AND ABOVE</v>
      </c>
      <c r="CN156" s="635"/>
      <c r="CO156" s="631"/>
      <c r="CP156" s="629" t="str">
        <f t="shared" si="111"/>
        <v>FOR ISSUANCE</v>
      </c>
      <c r="CQ156" s="635"/>
      <c r="CR156" s="697"/>
      <c r="CS156" s="633" t="str">
        <f t="shared" ca="1" si="112"/>
        <v>0</v>
      </c>
      <c r="CT156" s="635"/>
      <c r="CU156" s="631"/>
      <c r="CV156" s="638"/>
      <c r="CW156" s="156" t="s">
        <v>1209</v>
      </c>
      <c r="CX156" s="156" t="str">
        <f>VLOOKUP(E156,'[1]List of Work Orders'!$A:$I,9,FALSE)</f>
        <v>ME155242</v>
      </c>
      <c r="CY156" s="156"/>
      <c r="DC156" t="str">
        <f>VLOOKUP(E156,'[2]List of Work Orders'!$A:$F,6,FALSE)</f>
        <v>SCHED</v>
      </c>
      <c r="DS156" s="156" t="s">
        <v>381</v>
      </c>
    </row>
    <row r="157" spans="1:123" customFormat="1" ht="15" customHeight="1" x14ac:dyDescent="0.25">
      <c r="A157" s="242">
        <v>45573</v>
      </c>
      <c r="B157" s="222">
        <v>45568</v>
      </c>
      <c r="C157" s="223"/>
      <c r="D157" s="66" t="s">
        <v>320</v>
      </c>
      <c r="E157" s="404" t="s">
        <v>1210</v>
      </c>
      <c r="F157" s="95" t="s">
        <v>1211</v>
      </c>
      <c r="G157" s="95" t="s">
        <v>1212</v>
      </c>
      <c r="H157" s="95" t="s">
        <v>238</v>
      </c>
      <c r="I157" s="95" t="s">
        <v>239</v>
      </c>
      <c r="J157" s="163"/>
      <c r="K157" s="101"/>
      <c r="L157" s="101" t="s">
        <v>242</v>
      </c>
      <c r="M157" s="345" t="s">
        <v>272</v>
      </c>
      <c r="N157" s="442" t="s">
        <v>467</v>
      </c>
      <c r="O157" s="165">
        <v>55.999499999999998</v>
      </c>
      <c r="P157" s="933">
        <v>134.28</v>
      </c>
      <c r="Q157" s="157">
        <v>93.715000000000003</v>
      </c>
      <c r="R157" s="109" t="s">
        <v>548</v>
      </c>
      <c r="S157" s="110">
        <v>407370.66</v>
      </c>
      <c r="T157" s="93">
        <v>45119.54</v>
      </c>
      <c r="U157" s="141"/>
      <c r="V157" s="158">
        <f t="shared" si="85"/>
        <v>0</v>
      </c>
      <c r="W157" s="159">
        <v>45567.707638888889</v>
      </c>
      <c r="X157" s="159">
        <v>45572.44027777778</v>
      </c>
      <c r="Y157" s="160">
        <v>45570</v>
      </c>
      <c r="Z157" s="470"/>
      <c r="AA157" s="470">
        <v>45811</v>
      </c>
      <c r="AB157" s="470"/>
      <c r="AC157" s="161">
        <f t="shared" si="86"/>
        <v>243.29236111111095</v>
      </c>
      <c r="AD157" s="161">
        <f t="shared" si="113"/>
        <v>238.55972222222044</v>
      </c>
      <c r="AE157" s="446">
        <f t="shared" si="114"/>
        <v>-45811</v>
      </c>
      <c r="AF157" s="160">
        <f t="shared" si="115"/>
        <v>45588.052709311421</v>
      </c>
      <c r="AG157" s="160">
        <f t="shared" si="116"/>
        <v>45597.278061424098</v>
      </c>
      <c r="AH157" s="159">
        <f t="shared" si="117"/>
        <v>45617.707638888889</v>
      </c>
      <c r="AI157" s="162">
        <f t="shared" si="87"/>
        <v>7.8161799270990393</v>
      </c>
      <c r="AJ157" s="224">
        <f t="shared" si="118"/>
        <v>-763.51666666666665</v>
      </c>
      <c r="AK157" s="225">
        <f t="shared" si="88"/>
        <v>26</v>
      </c>
      <c r="AL157" s="170">
        <f t="shared" si="89"/>
        <v>34</v>
      </c>
      <c r="AM157" s="170">
        <f t="shared" si="90"/>
        <v>23.345070422535212</v>
      </c>
      <c r="AN157" s="170">
        <f t="shared" si="91"/>
        <v>29.570422535211268</v>
      </c>
      <c r="AO157" s="226">
        <f t="shared" si="92"/>
        <v>20.345070422535212</v>
      </c>
      <c r="AP157" s="227">
        <v>60</v>
      </c>
      <c r="AQ157" s="228">
        <f t="shared" si="93"/>
        <v>57</v>
      </c>
      <c r="AR157" s="228">
        <f t="shared" si="94"/>
        <v>52</v>
      </c>
      <c r="AS157" s="229">
        <f t="shared" si="95"/>
        <v>45871</v>
      </c>
      <c r="AT157" s="982">
        <f t="shared" ca="1" si="96"/>
        <v>84</v>
      </c>
      <c r="AU157" s="50"/>
      <c r="AV157" s="118"/>
      <c r="AW157" s="49"/>
      <c r="AX157" s="49"/>
      <c r="AY157" s="49"/>
      <c r="AZ157" s="300"/>
      <c r="BA157" s="119"/>
      <c r="BB157" s="304"/>
      <c r="BC157" s="231" t="s">
        <v>12</v>
      </c>
      <c r="BD157" s="232"/>
      <c r="BE157" s="222">
        <f t="shared" si="119"/>
        <v>45826</v>
      </c>
      <c r="BF157" s="233">
        <f t="shared" si="98"/>
        <v>0</v>
      </c>
      <c r="BG157" s="234">
        <v>45811</v>
      </c>
      <c r="BH157" s="235">
        <v>45826</v>
      </c>
      <c r="BI157" s="234"/>
      <c r="BJ157" s="236"/>
      <c r="BK157" s="222"/>
      <c r="BL157" s="222"/>
      <c r="BM157" s="238"/>
      <c r="BN157" s="222"/>
      <c r="BO157" s="222"/>
      <c r="BP157" s="243"/>
      <c r="BQ157" s="244" t="s">
        <v>247</v>
      </c>
      <c r="BR157" s="238"/>
      <c r="BS157" s="67"/>
      <c r="BT157" s="66"/>
      <c r="BU157" s="66"/>
      <c r="BV157" s="66"/>
      <c r="BW157" s="74"/>
      <c r="BX157" s="81"/>
      <c r="BY157" s="66">
        <v>45576</v>
      </c>
      <c r="BZ157" s="944" t="s">
        <v>1213</v>
      </c>
      <c r="CA157" s="42" t="str">
        <f t="shared" si="99"/>
        <v>0</v>
      </c>
      <c r="CB157" s="62">
        <f t="shared" si="100"/>
        <v>243.29236111111095</v>
      </c>
      <c r="CC157" s="42">
        <f t="shared" si="101"/>
        <v>0</v>
      </c>
      <c r="CD157" s="62">
        <f t="shared" si="102"/>
        <v>243.29236111111095</v>
      </c>
      <c r="CE157" s="62">
        <f t="shared" si="103"/>
        <v>7.8161799270990393</v>
      </c>
      <c r="CF157" s="145">
        <f t="shared" si="104"/>
        <v>58</v>
      </c>
      <c r="CG157" s="145"/>
      <c r="CH157" s="443">
        <f t="shared" si="105"/>
        <v>9.6795283433886325</v>
      </c>
      <c r="CI157" s="996">
        <f t="shared" si="106"/>
        <v>9.6795283433886325</v>
      </c>
      <c r="CJ157" s="261">
        <f t="shared" si="107"/>
        <v>0.96666666666666667</v>
      </c>
      <c r="CK157" s="458" t="str">
        <f t="shared" si="108"/>
        <v/>
      </c>
      <c r="CL157" t="str">
        <f t="shared" si="109"/>
        <v>NON-REV</v>
      </c>
      <c r="CM157" t="str">
        <f t="shared" si="110"/>
        <v/>
      </c>
      <c r="CN157" s="635"/>
      <c r="CO157" s="631"/>
      <c r="CP157" s="629" t="str">
        <f t="shared" si="111"/>
        <v>FOR ISSUANCE</v>
      </c>
      <c r="CQ157" s="635"/>
      <c r="CR157" s="697"/>
      <c r="CS157" s="633" t="str">
        <f t="shared" ca="1" si="112"/>
        <v>0</v>
      </c>
      <c r="CT157" s="635"/>
      <c r="CU157" s="631"/>
      <c r="CV157" s="638"/>
      <c r="CW157" s="156" t="s">
        <v>1214</v>
      </c>
      <c r="CX157" s="156" t="str">
        <f>VLOOKUP(E157,'[1]List of Work Orders'!$A:$I,9,FALSE)</f>
        <v>ME155242</v>
      </c>
      <c r="CY157" s="156"/>
      <c r="CZ157" s="63"/>
      <c r="DC157" t="str">
        <f>VLOOKUP(E157,'[2]List of Work Orders'!$A:$F,6,FALSE)</f>
        <v>SCHED</v>
      </c>
      <c r="DS157" s="156" t="s">
        <v>403</v>
      </c>
    </row>
    <row r="158" spans="1:123" customFormat="1" ht="15" customHeight="1" x14ac:dyDescent="0.25">
      <c r="A158" s="242">
        <v>45574</v>
      </c>
      <c r="B158" s="222">
        <v>45570</v>
      </c>
      <c r="C158" s="223"/>
      <c r="D158" s="66" t="s">
        <v>320</v>
      </c>
      <c r="E158" s="404" t="s">
        <v>1215</v>
      </c>
      <c r="F158" s="95" t="s">
        <v>1216</v>
      </c>
      <c r="G158" s="95" t="s">
        <v>1217</v>
      </c>
      <c r="H158" s="95" t="s">
        <v>238</v>
      </c>
      <c r="I158" s="95" t="s">
        <v>239</v>
      </c>
      <c r="J158" s="168" t="s">
        <v>1218</v>
      </c>
      <c r="K158" s="101" t="s">
        <v>299</v>
      </c>
      <c r="L158" s="101" t="s">
        <v>5</v>
      </c>
      <c r="M158" s="345" t="s">
        <v>438</v>
      </c>
      <c r="N158" s="442" t="s">
        <v>403</v>
      </c>
      <c r="O158" s="165">
        <v>91.226200000000006</v>
      </c>
      <c r="P158" s="165">
        <v>169.51</v>
      </c>
      <c r="Q158" s="157">
        <v>42</v>
      </c>
      <c r="R158" s="109" t="s">
        <v>548</v>
      </c>
      <c r="S158" s="110">
        <v>426527.55</v>
      </c>
      <c r="T158" s="93">
        <v>73462.539999999994</v>
      </c>
      <c r="U158" s="141"/>
      <c r="V158" s="158">
        <f t="shared" si="85"/>
        <v>0</v>
      </c>
      <c r="W158" s="159">
        <v>45568.703726851854</v>
      </c>
      <c r="X158" s="159">
        <v>45573.53125</v>
      </c>
      <c r="Y158" s="160">
        <v>45570</v>
      </c>
      <c r="Z158" s="470"/>
      <c r="AA158" s="470"/>
      <c r="AB158" s="470"/>
      <c r="AC158" s="161">
        <f t="shared" si="86"/>
        <v>-45568.703726851854</v>
      </c>
      <c r="AD158" s="161">
        <f t="shared" si="113"/>
        <v>-45573.53125</v>
      </c>
      <c r="AE158" s="446">
        <f t="shared" si="114"/>
        <v>0</v>
      </c>
      <c r="AF158" s="160">
        <f t="shared" si="115"/>
        <v>45589.910623403579</v>
      </c>
      <c r="AG158" s="160">
        <f t="shared" si="116"/>
        <v>45599.365795817372</v>
      </c>
      <c r="AH158" s="159">
        <f t="shared" si="117"/>
        <v>45618.703726851854</v>
      </c>
      <c r="AI158" s="162">
        <f t="shared" si="87"/>
        <v>-1411.8508633319484</v>
      </c>
      <c r="AJ158" s="224">
        <f t="shared" si="118"/>
        <v>0</v>
      </c>
      <c r="AK158" s="225">
        <f t="shared" si="88"/>
        <v>26</v>
      </c>
      <c r="AL158" s="170">
        <f t="shared" si="89"/>
        <v>36</v>
      </c>
      <c r="AM158" s="170">
        <f t="shared" si="90"/>
        <v>24.206896551724139</v>
      </c>
      <c r="AN158" s="170">
        <f t="shared" si="91"/>
        <v>30.662068965517239</v>
      </c>
      <c r="AO158" s="226">
        <f t="shared" si="92"/>
        <v>21.206896551724139</v>
      </c>
      <c r="AP158" s="227">
        <v>60</v>
      </c>
      <c r="AQ158" s="228">
        <f t="shared" si="93"/>
        <v>57</v>
      </c>
      <c r="AR158" s="228">
        <f t="shared" si="94"/>
        <v>52</v>
      </c>
      <c r="AS158" s="229">
        <f t="shared" si="95"/>
        <v>60</v>
      </c>
      <c r="AT158" s="982">
        <f t="shared" ca="1" si="96"/>
        <v>45895</v>
      </c>
      <c r="AU158" s="50"/>
      <c r="AV158" s="118"/>
      <c r="AW158" s="49"/>
      <c r="AX158" s="49"/>
      <c r="AY158" s="49"/>
      <c r="AZ158" s="300"/>
      <c r="BA158" s="119"/>
      <c r="BB158" s="304"/>
      <c r="BC158" s="231"/>
      <c r="BD158" s="232"/>
      <c r="BE158" s="222">
        <f t="shared" si="119"/>
        <v>15</v>
      </c>
      <c r="BF158" s="233">
        <f t="shared" si="98"/>
        <v>0</v>
      </c>
      <c r="BG158" s="234"/>
      <c r="BH158" s="235"/>
      <c r="BI158" s="234"/>
      <c r="BJ158" s="236"/>
      <c r="BK158" s="222"/>
      <c r="BL158" s="222"/>
      <c r="BM158" s="238"/>
      <c r="BN158" s="222"/>
      <c r="BO158" s="222"/>
      <c r="BP158" s="243"/>
      <c r="BQ158" s="244" t="s">
        <v>247</v>
      </c>
      <c r="BR158" s="238"/>
      <c r="BS158" s="67"/>
      <c r="BT158" s="66"/>
      <c r="BU158" s="66"/>
      <c r="BV158" s="66"/>
      <c r="BW158" s="74"/>
      <c r="BX158" s="81"/>
      <c r="BY158" s="66">
        <v>45576</v>
      </c>
      <c r="BZ158" s="944" t="s">
        <v>1219</v>
      </c>
      <c r="CA158" s="42" t="str">
        <f t="shared" si="99"/>
        <v>0</v>
      </c>
      <c r="CB158" s="62">
        <f t="shared" si="100"/>
        <v>-45568.703726851854</v>
      </c>
      <c r="CC158" s="42">
        <f t="shared" si="101"/>
        <v>0</v>
      </c>
      <c r="CD158" s="62">
        <f t="shared" si="102"/>
        <v>-45568.703726851854</v>
      </c>
      <c r="CE158" s="62">
        <f t="shared" si="103"/>
        <v>-1411.8508633319484</v>
      </c>
      <c r="CF158" s="145" t="str">
        <f t="shared" si="104"/>
        <v>0</v>
      </c>
      <c r="CG158" s="145"/>
      <c r="CH158" s="443">
        <f t="shared" si="105"/>
        <v>9.3040511979660518</v>
      </c>
      <c r="CI158" s="996">
        <f t="shared" si="106"/>
        <v>9.3040511979660518</v>
      </c>
      <c r="CJ158" s="261">
        <f t="shared" si="107"/>
        <v>0</v>
      </c>
      <c r="CK158" s="458">
        <f t="shared" si="108"/>
        <v>287.2962731481457</v>
      </c>
      <c r="CL158" t="str">
        <f t="shared" si="109"/>
        <v>NON-REV</v>
      </c>
      <c r="CM158" t="str">
        <f t="shared" si="110"/>
        <v>10 MONTHS AND ABOVE</v>
      </c>
      <c r="CN158" s="635"/>
      <c r="CO158" s="631"/>
      <c r="CP158" s="629" t="str">
        <f t="shared" si="111"/>
        <v>FOR ISSUANCE</v>
      </c>
      <c r="CQ158" s="635"/>
      <c r="CR158" s="697"/>
      <c r="CS158" s="633" t="str">
        <f t="shared" ca="1" si="112"/>
        <v>0</v>
      </c>
      <c r="CT158" s="635"/>
      <c r="CU158" s="631"/>
      <c r="CV158" s="638"/>
      <c r="CW158" s="156" t="s">
        <v>1220</v>
      </c>
      <c r="CX158" s="156" t="str">
        <f>VLOOKUP(E158,'[1]List of Work Orders'!$A:$I,9,FALSE)</f>
        <v>ME166067</v>
      </c>
      <c r="CY158" s="156"/>
      <c r="DC158" t="str">
        <f>VLOOKUP(E158,'[2]List of Work Orders'!$A:$F,6,FALSE)</f>
        <v>SCHED</v>
      </c>
      <c r="DS158" s="156" t="s">
        <v>381</v>
      </c>
    </row>
    <row r="159" spans="1:123" ht="15" customHeight="1" x14ac:dyDescent="0.2">
      <c r="A159" s="242">
        <v>45580</v>
      </c>
      <c r="B159" s="222">
        <v>45583</v>
      </c>
      <c r="C159" s="223"/>
      <c r="D159" s="66" t="s">
        <v>284</v>
      </c>
      <c r="E159" s="404" t="s">
        <v>1221</v>
      </c>
      <c r="F159" s="95" t="s">
        <v>286</v>
      </c>
      <c r="G159" s="95" t="s">
        <v>1222</v>
      </c>
      <c r="H159" s="95" t="s">
        <v>238</v>
      </c>
      <c r="I159" s="95" t="s">
        <v>239</v>
      </c>
      <c r="J159" s="163"/>
      <c r="K159" s="101"/>
      <c r="L159" s="101" t="s">
        <v>255</v>
      </c>
      <c r="M159" s="345" t="s">
        <v>272</v>
      </c>
      <c r="N159" s="442" t="s">
        <v>381</v>
      </c>
      <c r="O159" s="165">
        <v>53.13</v>
      </c>
      <c r="P159" s="933">
        <v>53.13</v>
      </c>
      <c r="Q159" s="157">
        <v>0</v>
      </c>
      <c r="R159" s="109" t="s">
        <v>319</v>
      </c>
      <c r="S159" s="110">
        <v>45790.87</v>
      </c>
      <c r="T159" s="93">
        <v>42792.34</v>
      </c>
      <c r="U159" s="141"/>
      <c r="V159" s="158">
        <f t="shared" si="85"/>
        <v>0</v>
      </c>
      <c r="W159" s="159">
        <v>45572.677083333336</v>
      </c>
      <c r="X159" s="159">
        <v>45579.382638888892</v>
      </c>
      <c r="Y159" s="160">
        <v>45574</v>
      </c>
      <c r="Z159" s="470"/>
      <c r="AA159" s="470">
        <v>45750</v>
      </c>
      <c r="AB159" s="470"/>
      <c r="AC159" s="161">
        <f t="shared" si="86"/>
        <v>177.32291666666424</v>
      </c>
      <c r="AD159" s="161">
        <f t="shared" si="113"/>
        <v>170.61736111110804</v>
      </c>
      <c r="AE159" s="446">
        <f t="shared" si="114"/>
        <v>-45750</v>
      </c>
      <c r="AF159" s="160">
        <f t="shared" si="115"/>
        <v>45592.762585192075</v>
      </c>
      <c r="AG159" s="160">
        <f t="shared" si="116"/>
        <v>45601.918719021065</v>
      </c>
      <c r="AH159" s="159">
        <f t="shared" si="117"/>
        <v>45622.677083333336</v>
      </c>
      <c r="AI159" s="162">
        <f t="shared" si="87"/>
        <v>5.7608532105474257</v>
      </c>
      <c r="AJ159" s="224">
        <f t="shared" si="118"/>
        <v>-762.5</v>
      </c>
      <c r="AK159" s="225">
        <f t="shared" si="88"/>
        <v>23</v>
      </c>
      <c r="AL159" s="170">
        <f t="shared" si="89"/>
        <v>36</v>
      </c>
      <c r="AM159" s="170">
        <f t="shared" si="90"/>
        <v>23.085501858736059</v>
      </c>
      <c r="AN159" s="170">
        <f t="shared" si="91"/>
        <v>29.241635687732341</v>
      </c>
      <c r="AO159" s="226">
        <f t="shared" si="92"/>
        <v>20.085501858736059</v>
      </c>
      <c r="AP159" s="227">
        <v>60</v>
      </c>
      <c r="AQ159" s="228">
        <f t="shared" si="93"/>
        <v>57</v>
      </c>
      <c r="AR159" s="228">
        <f t="shared" si="94"/>
        <v>52</v>
      </c>
      <c r="AS159" s="229">
        <f t="shared" si="95"/>
        <v>45810</v>
      </c>
      <c r="AT159" s="982">
        <f t="shared" ca="1" si="96"/>
        <v>145</v>
      </c>
      <c r="AU159" s="1077"/>
      <c r="AV159" s="1078"/>
      <c r="AW159" s="1079"/>
      <c r="AX159" s="1079"/>
      <c r="AY159" s="1079"/>
      <c r="AZ159" s="1080"/>
      <c r="BA159" s="1081"/>
      <c r="BB159" s="1091"/>
      <c r="BC159" s="231" t="s">
        <v>13</v>
      </c>
      <c r="BD159" s="232"/>
      <c r="BE159" s="222">
        <f t="shared" si="119"/>
        <v>45765</v>
      </c>
      <c r="BF159" s="233" t="e">
        <f t="shared" si="98"/>
        <v>#VALUE!</v>
      </c>
      <c r="BG159" s="234"/>
      <c r="BH159" s="235"/>
      <c r="BI159" s="234"/>
      <c r="BJ159" s="236"/>
      <c r="BK159" s="222"/>
      <c r="BL159" s="222"/>
      <c r="BM159" s="238"/>
      <c r="BN159" s="222"/>
      <c r="BO159" s="222"/>
      <c r="BP159" s="243"/>
      <c r="BQ159" s="244" t="s">
        <v>247</v>
      </c>
      <c r="BR159" s="238"/>
      <c r="BS159" s="67"/>
      <c r="BT159" s="66"/>
      <c r="BU159" s="66"/>
      <c r="BV159" s="66"/>
      <c r="BW159" s="74"/>
      <c r="BX159" s="81"/>
      <c r="BY159" s="66" t="s">
        <v>308</v>
      </c>
      <c r="BZ159" s="944" t="s">
        <v>1223</v>
      </c>
      <c r="CA159" s="42" t="str">
        <f t="shared" si="99"/>
        <v>0</v>
      </c>
      <c r="CB159" s="62">
        <f t="shared" si="100"/>
        <v>177.32291666666424</v>
      </c>
      <c r="CC159" s="42">
        <f t="shared" si="101"/>
        <v>0</v>
      </c>
      <c r="CD159" s="62">
        <f t="shared" si="102"/>
        <v>177.32291666666424</v>
      </c>
      <c r="CE159" s="62">
        <f t="shared" si="103"/>
        <v>5.7608532105474257</v>
      </c>
      <c r="CF159" s="1059">
        <f t="shared" si="104"/>
        <v>119</v>
      </c>
      <c r="CH159" s="1082">
        <f t="shared" si="105"/>
        <v>9.626916012479791</v>
      </c>
      <c r="CI159" s="1083">
        <f t="shared" si="106"/>
        <v>9.626916012479791</v>
      </c>
      <c r="CJ159" s="1084">
        <f t="shared" si="107"/>
        <v>1.9833333333333334</v>
      </c>
      <c r="CK159" s="1085" t="str">
        <f t="shared" si="108"/>
        <v/>
      </c>
      <c r="CL159" s="1057" t="str">
        <f t="shared" si="109"/>
        <v>NON-REV</v>
      </c>
      <c r="CM159" s="1057" t="str">
        <f t="shared" si="110"/>
        <v/>
      </c>
      <c r="CN159" s="1086"/>
      <c r="CO159" s="1087"/>
      <c r="CP159" s="629" t="str">
        <f t="shared" si="111"/>
        <v>FOR ISSUANCE</v>
      </c>
      <c r="CQ159" s="1086"/>
      <c r="CR159" s="1088"/>
      <c r="CS159" s="1089" t="str">
        <f t="shared" ca="1" si="112"/>
        <v>0</v>
      </c>
      <c r="CT159" s="1086"/>
      <c r="CU159" s="1087"/>
      <c r="CV159" s="1090"/>
      <c r="CW159" s="156" t="s">
        <v>1224</v>
      </c>
      <c r="CX159" s="156" t="str">
        <f>VLOOKUP(E159,'[1]List of Work Orders'!$A:$I,9,FALSE)</f>
        <v>ME185284</v>
      </c>
      <c r="CY159" s="156"/>
      <c r="DC159" s="1057" t="str">
        <f>VLOOKUP(E159,'[2]List of Work Orders'!$A:$F,6,FALSE)</f>
        <v>FCOMP</v>
      </c>
      <c r="DS159" s="156" t="s">
        <v>397</v>
      </c>
    </row>
    <row r="160" spans="1:123" customFormat="1" ht="15" customHeight="1" x14ac:dyDescent="0.25">
      <c r="A160" s="242">
        <v>45580</v>
      </c>
      <c r="B160" s="222">
        <v>45584</v>
      </c>
      <c r="C160" s="223"/>
      <c r="D160" s="66" t="s">
        <v>320</v>
      </c>
      <c r="E160" s="404" t="s">
        <v>1225</v>
      </c>
      <c r="F160" s="95" t="s">
        <v>1226</v>
      </c>
      <c r="G160" s="95" t="s">
        <v>1227</v>
      </c>
      <c r="H160" s="95" t="s">
        <v>318</v>
      </c>
      <c r="I160" s="95" t="s">
        <v>239</v>
      </c>
      <c r="J160" s="163"/>
      <c r="K160" s="101"/>
      <c r="L160" s="101" t="s">
        <v>242</v>
      </c>
      <c r="M160" s="345" t="s">
        <v>331</v>
      </c>
      <c r="N160" s="442" t="s">
        <v>467</v>
      </c>
      <c r="O160" s="165">
        <v>55.649000000000001</v>
      </c>
      <c r="P160" s="165">
        <v>133.93</v>
      </c>
      <c r="Q160" s="157">
        <v>102.5</v>
      </c>
      <c r="R160" s="109" t="s">
        <v>548</v>
      </c>
      <c r="S160" s="110">
        <v>380806.27</v>
      </c>
      <c r="T160" s="93">
        <v>44837.23</v>
      </c>
      <c r="U160" s="141"/>
      <c r="V160" s="158">
        <f t="shared" si="85"/>
        <v>0</v>
      </c>
      <c r="W160" s="159">
        <v>45573.747337962966</v>
      </c>
      <c r="X160" s="159">
        <v>45579.395138888889</v>
      </c>
      <c r="Y160" s="160">
        <v>45576</v>
      </c>
      <c r="Z160" s="470"/>
      <c r="AA160" s="470"/>
      <c r="AB160" s="470"/>
      <c r="AC160" s="161">
        <f t="shared" si="86"/>
        <v>-45573.747337962966</v>
      </c>
      <c r="AD160" s="161">
        <f t="shared" si="113"/>
        <v>-45579.395138888889</v>
      </c>
      <c r="AE160" s="446">
        <f t="shared" si="114"/>
        <v>0</v>
      </c>
      <c r="AF160" s="160">
        <f t="shared" si="115"/>
        <v>45593.193381128433</v>
      </c>
      <c r="AG160" s="160">
        <f t="shared" si="116"/>
        <v>45602.178992639223</v>
      </c>
      <c r="AH160" s="159">
        <f t="shared" si="117"/>
        <v>45623.747337962966</v>
      </c>
      <c r="AI160" s="162">
        <f t="shared" si="87"/>
        <v>-1522.7766538405895</v>
      </c>
      <c r="AJ160" s="224">
        <f t="shared" si="118"/>
        <v>0</v>
      </c>
      <c r="AK160" s="225">
        <f t="shared" si="88"/>
        <v>26</v>
      </c>
      <c r="AL160" s="170">
        <f t="shared" si="89"/>
        <v>32</v>
      </c>
      <c r="AM160" s="170">
        <f t="shared" si="90"/>
        <v>22.446043165467625</v>
      </c>
      <c r="AN160" s="170">
        <f t="shared" si="91"/>
        <v>28.431654676258994</v>
      </c>
      <c r="AO160" s="226">
        <f t="shared" si="92"/>
        <v>19.446043165467625</v>
      </c>
      <c r="AP160" s="227">
        <v>60</v>
      </c>
      <c r="AQ160" s="228">
        <f t="shared" si="93"/>
        <v>57</v>
      </c>
      <c r="AR160" s="228">
        <f t="shared" si="94"/>
        <v>52</v>
      </c>
      <c r="AS160" s="229">
        <f t="shared" si="95"/>
        <v>60</v>
      </c>
      <c r="AT160" s="982">
        <f t="shared" ca="1" si="96"/>
        <v>45895</v>
      </c>
      <c r="AU160" s="50"/>
      <c r="AV160" s="118"/>
      <c r="AW160" s="49"/>
      <c r="AX160" s="49"/>
      <c r="AY160" s="49"/>
      <c r="AZ160" s="300"/>
      <c r="BA160" s="119"/>
      <c r="BB160" s="304"/>
      <c r="BC160" s="231"/>
      <c r="BD160" s="232"/>
      <c r="BE160" s="222">
        <f t="shared" si="119"/>
        <v>15</v>
      </c>
      <c r="BF160" s="233">
        <f t="shared" si="98"/>
        <v>0</v>
      </c>
      <c r="BG160" s="234"/>
      <c r="BH160" s="235"/>
      <c r="BI160" s="234"/>
      <c r="BJ160" s="236"/>
      <c r="BK160" s="222"/>
      <c r="BL160" s="222"/>
      <c r="BM160" s="238"/>
      <c r="BN160" s="222"/>
      <c r="BO160" s="222"/>
      <c r="BP160" s="243"/>
      <c r="BQ160" s="244" t="s">
        <v>247</v>
      </c>
      <c r="BR160" s="238"/>
      <c r="BS160" s="67"/>
      <c r="BT160" s="66"/>
      <c r="BU160" s="66"/>
      <c r="BV160" s="66"/>
      <c r="BW160" s="74"/>
      <c r="BX160" s="81"/>
      <c r="BY160" s="66">
        <v>45582</v>
      </c>
      <c r="BZ160" s="944" t="s">
        <v>1228</v>
      </c>
      <c r="CA160" s="42" t="str">
        <f t="shared" si="99"/>
        <v>0</v>
      </c>
      <c r="CB160" s="62">
        <f t="shared" si="100"/>
        <v>-45573.747337962966</v>
      </c>
      <c r="CC160" s="42">
        <f t="shared" si="101"/>
        <v>0</v>
      </c>
      <c r="CD160" s="62">
        <f t="shared" si="102"/>
        <v>-45573.747337962966</v>
      </c>
      <c r="CE160" s="62">
        <f t="shared" si="103"/>
        <v>-1522.7766538405895</v>
      </c>
      <c r="CF160" s="145" t="str">
        <f t="shared" si="104"/>
        <v>0</v>
      </c>
      <c r="CG160" s="145"/>
      <c r="CH160" s="443">
        <f t="shared" si="105"/>
        <v>9.8654134671028046</v>
      </c>
      <c r="CI160" s="996">
        <f t="shared" si="106"/>
        <v>9.8654134671028046</v>
      </c>
      <c r="CJ160" s="261">
        <f t="shared" si="107"/>
        <v>0</v>
      </c>
      <c r="CK160" s="458">
        <f t="shared" si="108"/>
        <v>282.25266203703359</v>
      </c>
      <c r="CL160" t="str">
        <f t="shared" si="109"/>
        <v>NON-REV</v>
      </c>
      <c r="CM160" t="str">
        <f t="shared" si="110"/>
        <v>10 MONTHS AND ABOVE</v>
      </c>
      <c r="CN160" s="635"/>
      <c r="CO160" s="631"/>
      <c r="CP160" s="629" t="str">
        <f t="shared" si="111"/>
        <v>FOR ISSUANCE</v>
      </c>
      <c r="CQ160" s="635"/>
      <c r="CR160" s="697"/>
      <c r="CS160" s="633" t="str">
        <f t="shared" ca="1" si="112"/>
        <v>0</v>
      </c>
      <c r="CT160" s="635"/>
      <c r="CU160" s="631"/>
      <c r="CV160" s="638"/>
      <c r="CW160" s="156" t="s">
        <v>1229</v>
      </c>
      <c r="CX160" s="156" t="str">
        <f>VLOOKUP(E160,'[1]List of Work Orders'!$A:$I,9,FALSE)</f>
        <v>ME155242</v>
      </c>
      <c r="CY160" s="156"/>
      <c r="CZ160" s="63"/>
      <c r="DC160" t="str">
        <f>VLOOKUP(E160,'[2]List of Work Orders'!$A:$F,6,FALSE)</f>
        <v>SCHED</v>
      </c>
      <c r="DS160" s="156" t="s">
        <v>381</v>
      </c>
    </row>
    <row r="161" spans="1:123" customFormat="1" ht="15" customHeight="1" x14ac:dyDescent="0.25">
      <c r="A161" s="242">
        <v>45586</v>
      </c>
      <c r="B161" s="222">
        <v>45584</v>
      </c>
      <c r="C161" s="223"/>
      <c r="D161" s="66" t="s">
        <v>234</v>
      </c>
      <c r="E161" s="404" t="s">
        <v>1230</v>
      </c>
      <c r="F161" s="95" t="s">
        <v>1231</v>
      </c>
      <c r="G161" s="95" t="s">
        <v>1232</v>
      </c>
      <c r="H161" s="95" t="s">
        <v>238</v>
      </c>
      <c r="I161" s="95" t="s">
        <v>239</v>
      </c>
      <c r="J161" s="163" t="s">
        <v>298</v>
      </c>
      <c r="K161" s="101" t="s">
        <v>299</v>
      </c>
      <c r="L161" s="101" t="s">
        <v>263</v>
      </c>
      <c r="M161" s="345" t="s">
        <v>272</v>
      </c>
      <c r="N161" s="442" t="s">
        <v>467</v>
      </c>
      <c r="O161" s="165">
        <v>80.56</v>
      </c>
      <c r="P161" s="933">
        <v>237.12</v>
      </c>
      <c r="Q161" s="157">
        <v>14</v>
      </c>
      <c r="R161" s="109" t="s">
        <v>548</v>
      </c>
      <c r="S161" s="110">
        <v>478556.27</v>
      </c>
      <c r="T161" s="93">
        <v>64873.27</v>
      </c>
      <c r="U161" s="141"/>
      <c r="V161" s="158">
        <f t="shared" si="85"/>
        <v>0</v>
      </c>
      <c r="W161" s="159">
        <v>45574.652777777781</v>
      </c>
      <c r="X161" s="159">
        <v>45579.414583333331</v>
      </c>
      <c r="Y161" s="160">
        <v>45576</v>
      </c>
      <c r="Z161" s="470"/>
      <c r="AA161" s="470">
        <v>45749</v>
      </c>
      <c r="AB161" s="470"/>
      <c r="AC161" s="161">
        <f t="shared" si="86"/>
        <v>174.34722222221899</v>
      </c>
      <c r="AD161" s="161">
        <f t="shared" si="113"/>
        <v>169.58541666666861</v>
      </c>
      <c r="AE161" s="446">
        <f t="shared" si="114"/>
        <v>-45749</v>
      </c>
      <c r="AF161" s="160">
        <f t="shared" si="115"/>
        <v>45596.521198830415</v>
      </c>
      <c r="AG161" s="160">
        <f t="shared" si="116"/>
        <v>45606.152777777781</v>
      </c>
      <c r="AH161" s="159">
        <f t="shared" si="117"/>
        <v>45624.652777777781</v>
      </c>
      <c r="AI161" s="162">
        <f t="shared" si="87"/>
        <v>5.2580908289240647</v>
      </c>
      <c r="AJ161" s="224">
        <f t="shared" si="118"/>
        <v>-762.48333333333335</v>
      </c>
      <c r="AK161" s="225">
        <f t="shared" si="88"/>
        <v>28</v>
      </c>
      <c r="AL161" s="170">
        <f t="shared" si="89"/>
        <v>36</v>
      </c>
      <c r="AM161" s="170">
        <f t="shared" si="90"/>
        <v>24.868421052631579</v>
      </c>
      <c r="AN161" s="170">
        <f t="shared" si="91"/>
        <v>31.499999999999996</v>
      </c>
      <c r="AO161" s="226">
        <f t="shared" si="92"/>
        <v>21.868421052631579</v>
      </c>
      <c r="AP161" s="227">
        <v>60</v>
      </c>
      <c r="AQ161" s="228">
        <f t="shared" si="93"/>
        <v>57</v>
      </c>
      <c r="AR161" s="228">
        <f t="shared" si="94"/>
        <v>52</v>
      </c>
      <c r="AS161" s="229">
        <f t="shared" si="95"/>
        <v>45809</v>
      </c>
      <c r="AT161" s="982">
        <f t="shared" ca="1" si="96"/>
        <v>146</v>
      </c>
      <c r="AU161" s="50"/>
      <c r="AV161" s="118"/>
      <c r="AW161" s="49"/>
      <c r="AX161" s="49"/>
      <c r="AY161" s="49"/>
      <c r="AZ161" s="300"/>
      <c r="BA161" s="119"/>
      <c r="BB161" s="304"/>
      <c r="BC161" s="231" t="s">
        <v>13</v>
      </c>
      <c r="BD161" s="232"/>
      <c r="BE161" s="222">
        <f t="shared" si="119"/>
        <v>45764</v>
      </c>
      <c r="BF161" s="233" t="e">
        <f t="shared" si="98"/>
        <v>#VALUE!</v>
      </c>
      <c r="BG161" s="234"/>
      <c r="BH161" s="235"/>
      <c r="BI161" s="234"/>
      <c r="BJ161" s="236"/>
      <c r="BK161" s="222"/>
      <c r="BL161" s="222"/>
      <c r="BM161" s="238"/>
      <c r="BN161" s="222"/>
      <c r="BO161" s="222"/>
      <c r="BP161" s="243"/>
      <c r="BQ161" s="244" t="s">
        <v>247</v>
      </c>
      <c r="BR161" s="238"/>
      <c r="BS161" s="67"/>
      <c r="BT161" s="66"/>
      <c r="BU161" s="66"/>
      <c r="BV161" s="66"/>
      <c r="BW161" s="74"/>
      <c r="BX161" s="81"/>
      <c r="BY161" s="66">
        <v>45586</v>
      </c>
      <c r="BZ161" s="944" t="s">
        <v>1233</v>
      </c>
      <c r="CA161" s="42" t="str">
        <f t="shared" si="99"/>
        <v>0</v>
      </c>
      <c r="CB161" s="62">
        <f t="shared" si="100"/>
        <v>174.34722222221899</v>
      </c>
      <c r="CC161" s="42">
        <f t="shared" si="101"/>
        <v>0</v>
      </c>
      <c r="CD161" s="62">
        <f t="shared" si="102"/>
        <v>174.34722222221899</v>
      </c>
      <c r="CE161" s="62">
        <f t="shared" si="103"/>
        <v>5.2580908289240647</v>
      </c>
      <c r="CF161" s="145">
        <f t="shared" si="104"/>
        <v>120</v>
      </c>
      <c r="CG161" s="145"/>
      <c r="CH161" s="443">
        <f t="shared" si="105"/>
        <v>8.8771384479716833</v>
      </c>
      <c r="CI161" s="996">
        <f t="shared" si="106"/>
        <v>8.8771384479716833</v>
      </c>
      <c r="CJ161" s="261">
        <f t="shared" si="107"/>
        <v>2</v>
      </c>
      <c r="CK161" s="458" t="str">
        <f t="shared" si="108"/>
        <v/>
      </c>
      <c r="CL161" t="str">
        <f t="shared" si="109"/>
        <v>NON-REV</v>
      </c>
      <c r="CM161" t="str">
        <f t="shared" si="110"/>
        <v/>
      </c>
      <c r="CN161" s="635"/>
      <c r="CO161" s="631"/>
      <c r="CP161" s="629" t="str">
        <f t="shared" si="111"/>
        <v>FOR ISSUANCE</v>
      </c>
      <c r="CQ161" s="635"/>
      <c r="CR161" s="697"/>
      <c r="CS161" s="633" t="str">
        <f t="shared" ca="1" si="112"/>
        <v>0</v>
      </c>
      <c r="CT161" s="635"/>
      <c r="CU161" s="631"/>
      <c r="CV161" s="638"/>
      <c r="CW161" s="156" t="s">
        <v>1234</v>
      </c>
      <c r="CX161" s="156" t="str">
        <f>VLOOKUP(E161,'[1]List of Work Orders'!$A:$I,9,FALSE)</f>
        <v>ME155242</v>
      </c>
      <c r="CY161" s="156"/>
      <c r="DC161" t="str">
        <f>VLOOKUP(E161,'[2]List of Work Orders'!$A:$F,6,FALSE)</f>
        <v>FCOMP</v>
      </c>
      <c r="DS161" s="156" t="s">
        <v>397</v>
      </c>
    </row>
    <row r="162" spans="1:123" customFormat="1" ht="15" customHeight="1" x14ac:dyDescent="0.25">
      <c r="A162" s="242">
        <v>45580</v>
      </c>
      <c r="B162" s="222">
        <v>45582</v>
      </c>
      <c r="C162" s="223"/>
      <c r="D162" s="66" t="s">
        <v>234</v>
      </c>
      <c r="E162" s="404" t="s">
        <v>1235</v>
      </c>
      <c r="F162" s="95" t="s">
        <v>275</v>
      </c>
      <c r="G162" s="95" t="s">
        <v>276</v>
      </c>
      <c r="H162" s="95" t="s">
        <v>238</v>
      </c>
      <c r="I162" s="95" t="s">
        <v>239</v>
      </c>
      <c r="J162" s="163" t="s">
        <v>1236</v>
      </c>
      <c r="K162" s="101" t="s">
        <v>271</v>
      </c>
      <c r="L162" s="101" t="s">
        <v>288</v>
      </c>
      <c r="M162" s="345" t="s">
        <v>272</v>
      </c>
      <c r="N162" s="442" t="s">
        <v>381</v>
      </c>
      <c r="O162" s="165">
        <v>74.3279</v>
      </c>
      <c r="P162" s="933">
        <v>288.97000000000003</v>
      </c>
      <c r="Q162" s="157">
        <v>4999</v>
      </c>
      <c r="R162" s="109" t="s">
        <v>244</v>
      </c>
      <c r="S162" s="110">
        <v>900581.01</v>
      </c>
      <c r="T162" s="93">
        <v>59854.94</v>
      </c>
      <c r="U162" s="141"/>
      <c r="V162" s="158">
        <f t="shared" si="85"/>
        <v>0</v>
      </c>
      <c r="W162" s="159">
        <v>45574.668055555558</v>
      </c>
      <c r="X162" s="159">
        <v>45579.563888888886</v>
      </c>
      <c r="Y162" s="160">
        <v>45576</v>
      </c>
      <c r="Z162" s="470"/>
      <c r="AA162" s="470">
        <v>45733</v>
      </c>
      <c r="AB162" s="470"/>
      <c r="AC162" s="161">
        <f t="shared" si="86"/>
        <v>158.33194444444234</v>
      </c>
      <c r="AD162" s="161">
        <f t="shared" si="113"/>
        <v>153.43611111111386</v>
      </c>
      <c r="AE162" s="446">
        <f t="shared" si="114"/>
        <v>-45733</v>
      </c>
      <c r="AF162" s="160">
        <f t="shared" si="115"/>
        <v>45588.074305555558</v>
      </c>
      <c r="AG162" s="160">
        <f t="shared" si="116"/>
        <v>45595.449305555558</v>
      </c>
      <c r="AH162" s="159">
        <f t="shared" si="117"/>
        <v>45624.668055555558</v>
      </c>
      <c r="AI162" s="162">
        <f t="shared" si="87"/>
        <v>7.2380317460316492</v>
      </c>
      <c r="AJ162" s="224">
        <f t="shared" si="118"/>
        <v>-762.2166666666667</v>
      </c>
      <c r="AK162" s="225">
        <f t="shared" si="88"/>
        <v>28</v>
      </c>
      <c r="AL162" s="170">
        <f t="shared" si="89"/>
        <v>20</v>
      </c>
      <c r="AM162" s="170">
        <f t="shared" si="90"/>
        <v>16.406250000000004</v>
      </c>
      <c r="AN162" s="170">
        <f t="shared" si="91"/>
        <v>20.781250000000004</v>
      </c>
      <c r="AO162" s="226">
        <f t="shared" si="92"/>
        <v>13.406250000000004</v>
      </c>
      <c r="AP162" s="227">
        <v>60</v>
      </c>
      <c r="AQ162" s="228">
        <f t="shared" si="93"/>
        <v>57</v>
      </c>
      <c r="AR162" s="228">
        <f t="shared" si="94"/>
        <v>52</v>
      </c>
      <c r="AS162" s="229">
        <f t="shared" si="95"/>
        <v>45793</v>
      </c>
      <c r="AT162" s="982">
        <f t="shared" ca="1" si="96"/>
        <v>162</v>
      </c>
      <c r="AU162" s="50"/>
      <c r="AV162" s="118"/>
      <c r="AW162" s="49"/>
      <c r="AX162" s="49"/>
      <c r="AY162" s="49"/>
      <c r="AZ162" s="300"/>
      <c r="BA162" s="119"/>
      <c r="BB162" s="304"/>
      <c r="BC162" s="231" t="s">
        <v>13</v>
      </c>
      <c r="BD162" s="232"/>
      <c r="BE162" s="222">
        <f t="shared" si="119"/>
        <v>45748</v>
      </c>
      <c r="BF162" s="233" t="e">
        <f t="shared" si="98"/>
        <v>#VALUE!</v>
      </c>
      <c r="BG162" s="234"/>
      <c r="BH162" s="235"/>
      <c r="BI162" s="234"/>
      <c r="BJ162" s="236"/>
      <c r="BK162" s="222"/>
      <c r="BL162" s="222"/>
      <c r="BM162" s="238"/>
      <c r="BN162" s="222"/>
      <c r="BO162" s="222"/>
      <c r="BP162" s="243"/>
      <c r="BQ162" s="244" t="s">
        <v>247</v>
      </c>
      <c r="BR162" s="238"/>
      <c r="BS162" s="67"/>
      <c r="BT162" s="66"/>
      <c r="BU162" s="66"/>
      <c r="BV162" s="66"/>
      <c r="BW162" s="74"/>
      <c r="BX162" s="81"/>
      <c r="BY162" s="66">
        <v>45582</v>
      </c>
      <c r="BZ162" s="944" t="s">
        <v>1237</v>
      </c>
      <c r="CA162" s="42" t="str">
        <f t="shared" si="99"/>
        <v>0</v>
      </c>
      <c r="CB162" s="62">
        <f t="shared" si="100"/>
        <v>158.33194444444234</v>
      </c>
      <c r="CC162" s="42">
        <f t="shared" si="101"/>
        <v>0</v>
      </c>
      <c r="CD162" s="62">
        <f t="shared" si="102"/>
        <v>158.33194444444234</v>
      </c>
      <c r="CE162" s="62">
        <f t="shared" si="103"/>
        <v>7.2380317460316492</v>
      </c>
      <c r="CF162" s="145">
        <f t="shared" si="104"/>
        <v>136</v>
      </c>
      <c r="CG162" s="145"/>
      <c r="CH162" s="443">
        <f t="shared" si="105"/>
        <v>13.455174603174507</v>
      </c>
      <c r="CI162" s="996">
        <f t="shared" si="106"/>
        <v>13.455174603174507</v>
      </c>
      <c r="CJ162" s="261">
        <f t="shared" si="107"/>
        <v>2.2666666666666666</v>
      </c>
      <c r="CK162" s="458" t="str">
        <f t="shared" si="108"/>
        <v/>
      </c>
      <c r="CL162" t="str">
        <f t="shared" si="109"/>
        <v>REV</v>
      </c>
      <c r="CM162" t="str">
        <f t="shared" si="110"/>
        <v/>
      </c>
      <c r="CN162" s="635"/>
      <c r="CO162" s="631"/>
      <c r="CP162" s="629" t="str">
        <f t="shared" si="111"/>
        <v>FOR ISSUANCE</v>
      </c>
      <c r="CQ162" s="635"/>
      <c r="CR162" s="697"/>
      <c r="CS162" s="633" t="str">
        <f t="shared" ca="1" si="112"/>
        <v>0</v>
      </c>
      <c r="CT162" s="635"/>
      <c r="CU162" s="631"/>
      <c r="CV162" s="638"/>
      <c r="CW162" s="156" t="s">
        <v>1238</v>
      </c>
      <c r="CX162" s="156" t="str">
        <f>VLOOKUP(E162,'[1]List of Work Orders'!$A:$I,9,FALSE)</f>
        <v>ME185284</v>
      </c>
      <c r="CY162" s="156"/>
      <c r="DC162" t="str">
        <f>VLOOKUP(E162,'[2]List of Work Orders'!$A:$F,6,FALSE)</f>
        <v>FCOMP</v>
      </c>
      <c r="DS162" s="156" t="s">
        <v>403</v>
      </c>
    </row>
    <row r="163" spans="1:123" customFormat="1" ht="15" customHeight="1" x14ac:dyDescent="0.25">
      <c r="A163" s="242">
        <v>45588</v>
      </c>
      <c r="B163" s="222">
        <v>45584</v>
      </c>
      <c r="C163" s="223"/>
      <c r="D163" s="66" t="s">
        <v>320</v>
      </c>
      <c r="E163" s="404" t="s">
        <v>1239</v>
      </c>
      <c r="F163" s="95" t="s">
        <v>1240</v>
      </c>
      <c r="G163" s="95" t="s">
        <v>1241</v>
      </c>
      <c r="H163" s="95" t="s">
        <v>238</v>
      </c>
      <c r="I163" s="95" t="s">
        <v>239</v>
      </c>
      <c r="J163" s="163"/>
      <c r="K163" s="101" t="s">
        <v>271</v>
      </c>
      <c r="L163" s="101" t="s">
        <v>312</v>
      </c>
      <c r="M163" s="345" t="s">
        <v>331</v>
      </c>
      <c r="N163" s="442" t="s">
        <v>1178</v>
      </c>
      <c r="O163" s="165">
        <v>176.43559999999999</v>
      </c>
      <c r="P163" s="165">
        <v>411.28</v>
      </c>
      <c r="Q163" s="157">
        <v>69</v>
      </c>
      <c r="R163" s="109" t="s">
        <v>244</v>
      </c>
      <c r="S163" s="110">
        <v>789203.25</v>
      </c>
      <c r="T163" s="93">
        <v>142079.60999999999</v>
      </c>
      <c r="U163" s="141"/>
      <c r="V163" s="158">
        <f t="shared" si="85"/>
        <v>0</v>
      </c>
      <c r="W163" s="159">
        <v>45575.406689814816</v>
      </c>
      <c r="X163" s="159">
        <v>45582.520833333336</v>
      </c>
      <c r="Y163" s="160">
        <v>45581</v>
      </c>
      <c r="Z163" s="470"/>
      <c r="AA163" s="470"/>
      <c r="AB163" s="470"/>
      <c r="AC163" s="161">
        <f t="shared" si="86"/>
        <v>-45575.406689814816</v>
      </c>
      <c r="AD163" s="161">
        <f t="shared" si="113"/>
        <v>-45582.520833333336</v>
      </c>
      <c r="AE163" s="446">
        <f t="shared" si="114"/>
        <v>0</v>
      </c>
      <c r="AF163" s="160">
        <f t="shared" si="115"/>
        <v>45597.43736466144</v>
      </c>
      <c r="AG163" s="160">
        <f t="shared" si="116"/>
        <v>45607.112211287211</v>
      </c>
      <c r="AH163" s="159">
        <f t="shared" si="117"/>
        <v>45625.406689814816</v>
      </c>
      <c r="AI163" s="162">
        <f t="shared" si="87"/>
        <v>-1365.5866342720249</v>
      </c>
      <c r="AJ163" s="224">
        <f t="shared" si="118"/>
        <v>0</v>
      </c>
      <c r="AK163" s="225">
        <f t="shared" si="88"/>
        <v>32</v>
      </c>
      <c r="AL163" s="170">
        <f t="shared" si="89"/>
        <v>34</v>
      </c>
      <c r="AM163" s="170">
        <f t="shared" si="90"/>
        <v>25.030674846625768</v>
      </c>
      <c r="AN163" s="170">
        <f t="shared" si="91"/>
        <v>31.70552147239264</v>
      </c>
      <c r="AO163" s="226">
        <f t="shared" si="92"/>
        <v>22.030674846625768</v>
      </c>
      <c r="AP163" s="227">
        <v>60</v>
      </c>
      <c r="AQ163" s="228">
        <f t="shared" si="93"/>
        <v>57</v>
      </c>
      <c r="AR163" s="228">
        <f t="shared" si="94"/>
        <v>52</v>
      </c>
      <c r="AS163" s="229">
        <f t="shared" si="95"/>
        <v>60</v>
      </c>
      <c r="AT163" s="982">
        <f t="shared" ca="1" si="96"/>
        <v>45895</v>
      </c>
      <c r="AU163" s="50"/>
      <c r="AV163" s="118"/>
      <c r="AW163" s="49"/>
      <c r="AX163" s="49"/>
      <c r="AY163" s="49"/>
      <c r="AZ163" s="300"/>
      <c r="BA163" s="119"/>
      <c r="BB163" s="304"/>
      <c r="BC163" s="231"/>
      <c r="BD163" s="232"/>
      <c r="BE163" s="222">
        <f t="shared" si="119"/>
        <v>15</v>
      </c>
      <c r="BF163" s="233">
        <f t="shared" ref="BF163:BF178" si="120">IF(ISBLANK(AA163),0,IF(ISBLANK(BH163),(BE163-$L$1),(BH163-BE163)))</f>
        <v>0</v>
      </c>
      <c r="BG163" s="234"/>
      <c r="BH163" s="235"/>
      <c r="BI163" s="234"/>
      <c r="BJ163" s="236"/>
      <c r="BK163" s="222"/>
      <c r="BL163" s="222"/>
      <c r="BM163" s="238"/>
      <c r="BN163" s="222"/>
      <c r="BO163" s="222"/>
      <c r="BP163" s="243"/>
      <c r="BQ163" s="244" t="s">
        <v>247</v>
      </c>
      <c r="BR163" s="238"/>
      <c r="BS163" s="67"/>
      <c r="BT163" s="66"/>
      <c r="BU163" s="66"/>
      <c r="BV163" s="66"/>
      <c r="BW163" s="74"/>
      <c r="BX163" s="81"/>
      <c r="BY163" s="66">
        <v>45589</v>
      </c>
      <c r="BZ163" s="944" t="s">
        <v>1242</v>
      </c>
      <c r="CA163" s="42" t="str">
        <f t="shared" si="99"/>
        <v>0</v>
      </c>
      <c r="CB163" s="62">
        <f t="shared" si="100"/>
        <v>-45575.406689814816</v>
      </c>
      <c r="CC163" s="42">
        <f t="shared" si="101"/>
        <v>0</v>
      </c>
      <c r="CD163" s="62">
        <f t="shared" si="102"/>
        <v>-45575.406689814816</v>
      </c>
      <c r="CE163" s="62">
        <f t="shared" si="103"/>
        <v>-1365.5866342720249</v>
      </c>
      <c r="CF163" s="145" t="str">
        <f t="shared" si="104"/>
        <v>0</v>
      </c>
      <c r="CG163" s="145"/>
      <c r="CH163" s="443">
        <f t="shared" si="105"/>
        <v>8.7970054338575423</v>
      </c>
      <c r="CI163" s="996">
        <f t="shared" si="106"/>
        <v>8.7970054338575423</v>
      </c>
      <c r="CJ163" s="261">
        <f t="shared" si="107"/>
        <v>0</v>
      </c>
      <c r="CK163" s="458">
        <f t="shared" si="108"/>
        <v>280.59331018518424</v>
      </c>
      <c r="CL163" t="str">
        <f t="shared" si="109"/>
        <v>REV</v>
      </c>
      <c r="CM163" t="str">
        <f t="shared" si="110"/>
        <v>10 MONTHS AND ABOVE</v>
      </c>
      <c r="CN163" s="635"/>
      <c r="CO163" s="631"/>
      <c r="CP163" s="629" t="str">
        <f t="shared" ref="CP163:CP178" si="121">IF(CQ163,"NTC ISSUED","FOR ISSUANCE")</f>
        <v>FOR ISSUANCE</v>
      </c>
      <c r="CQ163" s="635"/>
      <c r="CR163" s="697"/>
      <c r="CS163" s="633" t="str">
        <f t="shared" ca="1" si="112"/>
        <v>0</v>
      </c>
      <c r="CT163" s="635"/>
      <c r="CU163" s="631"/>
      <c r="CV163" s="638"/>
      <c r="CW163" s="156" t="s">
        <v>1243</v>
      </c>
      <c r="CX163" s="156" t="str">
        <f>VLOOKUP(E163,'[1]List of Work Orders'!$A:$I,9,FALSE)</f>
        <v>ME184184</v>
      </c>
      <c r="CY163" s="156"/>
      <c r="DC163" t="str">
        <f>VLOOKUP(E163,'[2]List of Work Orders'!$A:$F,6,FALSE)</f>
        <v>SCHED</v>
      </c>
      <c r="DS163" s="156" t="s">
        <v>381</v>
      </c>
    </row>
    <row r="164" spans="1:123" customFormat="1" ht="15" customHeight="1" x14ac:dyDescent="0.25">
      <c r="A164" s="242">
        <v>45593</v>
      </c>
      <c r="B164" s="222">
        <v>45584</v>
      </c>
      <c r="C164" s="223" t="s">
        <v>247</v>
      </c>
      <c r="D164" s="66" t="s">
        <v>320</v>
      </c>
      <c r="E164" s="404" t="s">
        <v>1244</v>
      </c>
      <c r="F164" s="95" t="s">
        <v>1245</v>
      </c>
      <c r="G164" s="95" t="s">
        <v>1246</v>
      </c>
      <c r="H164" s="95" t="s">
        <v>253</v>
      </c>
      <c r="I164" s="95" t="s">
        <v>254</v>
      </c>
      <c r="J164" s="163" t="s">
        <v>663</v>
      </c>
      <c r="K164" s="101" t="s">
        <v>271</v>
      </c>
      <c r="L164" s="101" t="s">
        <v>5</v>
      </c>
      <c r="M164" s="345" t="s">
        <v>272</v>
      </c>
      <c r="N164" s="442" t="s">
        <v>403</v>
      </c>
      <c r="O164" s="165">
        <v>1773.3821</v>
      </c>
      <c r="P164" s="933">
        <v>1716.66</v>
      </c>
      <c r="Q164" s="157">
        <v>348</v>
      </c>
      <c r="R164" s="109" t="s">
        <v>244</v>
      </c>
      <c r="S164" s="110">
        <v>8506182.5099999998</v>
      </c>
      <c r="T164" s="93">
        <v>1428065.65</v>
      </c>
      <c r="U164" s="141"/>
      <c r="V164" s="158">
        <f t="shared" si="85"/>
        <v>0</v>
      </c>
      <c r="W164" s="159">
        <v>45575.424305555556</v>
      </c>
      <c r="X164" s="159">
        <v>45582.522222222222</v>
      </c>
      <c r="Y164" s="160">
        <v>45581</v>
      </c>
      <c r="Z164" s="470"/>
      <c r="AA164" s="470">
        <v>45694</v>
      </c>
      <c r="AB164" s="470"/>
      <c r="AC164" s="161">
        <f t="shared" si="86"/>
        <v>118.5756944444438</v>
      </c>
      <c r="AD164" s="161">
        <f t="shared" si="113"/>
        <v>111.4777777777781</v>
      </c>
      <c r="AE164" s="446">
        <f t="shared" si="114"/>
        <v>-45694</v>
      </c>
      <c r="AF164" s="160">
        <f t="shared" si="115"/>
        <v>45596.617853942655</v>
      </c>
      <c r="AG164" s="160">
        <f t="shared" si="116"/>
        <v>45606.069466845882</v>
      </c>
      <c r="AH164" s="159">
        <f t="shared" si="117"/>
        <v>45625.424305555556</v>
      </c>
      <c r="AI164" s="162">
        <f t="shared" si="87"/>
        <v>3.6758465277777579</v>
      </c>
      <c r="AJ164" s="224">
        <f t="shared" si="118"/>
        <v>-761.56666666666672</v>
      </c>
      <c r="AK164" s="225">
        <f t="shared" si="88"/>
        <v>50</v>
      </c>
      <c r="AL164" s="170">
        <f t="shared" si="89"/>
        <v>28</v>
      </c>
      <c r="AM164" s="170">
        <f t="shared" si="90"/>
        <v>24.193548387096776</v>
      </c>
      <c r="AN164" s="170">
        <f t="shared" si="91"/>
        <v>30.64516129032258</v>
      </c>
      <c r="AO164" s="226">
        <f t="shared" si="92"/>
        <v>21.193548387096776</v>
      </c>
      <c r="AP164" s="227">
        <v>60</v>
      </c>
      <c r="AQ164" s="228">
        <f t="shared" si="93"/>
        <v>57</v>
      </c>
      <c r="AR164" s="228">
        <f t="shared" si="94"/>
        <v>52</v>
      </c>
      <c r="AS164" s="229">
        <f t="shared" si="95"/>
        <v>45754</v>
      </c>
      <c r="AT164" s="982">
        <f t="shared" ca="1" si="96"/>
        <v>201</v>
      </c>
      <c r="AU164" s="50"/>
      <c r="AV164" s="118"/>
      <c r="AW164" s="49"/>
      <c r="AX164" s="49"/>
      <c r="AY164" s="49"/>
      <c r="AZ164" s="300"/>
      <c r="BA164" s="119"/>
      <c r="BB164" s="304"/>
      <c r="BC164" s="231" t="s">
        <v>264</v>
      </c>
      <c r="BD164" s="232"/>
      <c r="BE164" s="222">
        <f t="shared" si="119"/>
        <v>45709</v>
      </c>
      <c r="BF164" s="233">
        <f t="shared" si="120"/>
        <v>20</v>
      </c>
      <c r="BG164" s="234">
        <v>45694</v>
      </c>
      <c r="BH164" s="235">
        <v>45729</v>
      </c>
      <c r="BI164" s="234">
        <v>45798</v>
      </c>
      <c r="BJ164" s="236" t="s">
        <v>1247</v>
      </c>
      <c r="BK164" s="222"/>
      <c r="BL164" s="222"/>
      <c r="BM164" s="238"/>
      <c r="BN164" s="222"/>
      <c r="BO164" s="222">
        <v>45811</v>
      </c>
      <c r="BP164" s="243" t="s">
        <v>1084</v>
      </c>
      <c r="BQ164" s="244" t="s">
        <v>247</v>
      </c>
      <c r="BR164" s="238">
        <v>45702</v>
      </c>
      <c r="BS164" s="67"/>
      <c r="BT164" s="66"/>
      <c r="BU164" s="66"/>
      <c r="BV164" s="66"/>
      <c r="BW164" s="74"/>
      <c r="BX164" s="81"/>
      <c r="BY164" s="66">
        <v>45601</v>
      </c>
      <c r="BZ164" s="944" t="s">
        <v>1248</v>
      </c>
      <c r="CA164" s="42" t="str">
        <f t="shared" si="99"/>
        <v>0</v>
      </c>
      <c r="CB164" s="62">
        <f t="shared" si="100"/>
        <v>118.5756944444438</v>
      </c>
      <c r="CC164" s="42">
        <f t="shared" si="101"/>
        <v>0</v>
      </c>
      <c r="CD164" s="62">
        <f t="shared" si="102"/>
        <v>118.5756944444438</v>
      </c>
      <c r="CE164" s="62">
        <f t="shared" si="103"/>
        <v>3.6758465277777579</v>
      </c>
      <c r="CF164" s="145">
        <f t="shared" si="104"/>
        <v>175</v>
      </c>
      <c r="CG164" s="145"/>
      <c r="CH164" s="443">
        <f t="shared" si="105"/>
        <v>9.1008465277777582</v>
      </c>
      <c r="CI164" s="996">
        <f t="shared" si="106"/>
        <v>9.1008465277777582</v>
      </c>
      <c r="CJ164" s="261">
        <f t="shared" si="107"/>
        <v>2.9166666666666665</v>
      </c>
      <c r="CK164" s="458" t="str">
        <f t="shared" si="108"/>
        <v/>
      </c>
      <c r="CL164" t="str">
        <f t="shared" si="109"/>
        <v>REV</v>
      </c>
      <c r="CM164" t="str">
        <f t="shared" si="110"/>
        <v/>
      </c>
      <c r="CN164" s="635">
        <v>45812</v>
      </c>
      <c r="CO164" s="631">
        <v>259923.86</v>
      </c>
      <c r="CP164" s="629" t="str">
        <f t="shared" si="121"/>
        <v>NTC ISSUED</v>
      </c>
      <c r="CQ164" s="635">
        <v>45812</v>
      </c>
      <c r="CR164" s="697"/>
      <c r="CS164" s="633">
        <f t="shared" ca="1" si="112"/>
        <v>83</v>
      </c>
      <c r="CT164" s="635"/>
      <c r="CU164" s="631"/>
      <c r="CV164" s="638"/>
      <c r="CW164" s="156" t="s">
        <v>1249</v>
      </c>
      <c r="CX164" s="156" t="str">
        <f>VLOOKUP(E164,'[1]List of Work Orders'!$A:$I,9,FALSE)</f>
        <v>ME166067</v>
      </c>
      <c r="CY164" s="156"/>
      <c r="DC164" t="str">
        <f>VLOOKUP(E164,'[2]List of Work Orders'!$A:$F,6,FALSE)</f>
        <v>FCOMP</v>
      </c>
      <c r="DS164" s="156" t="s">
        <v>403</v>
      </c>
    </row>
    <row r="165" spans="1:123" ht="15" customHeight="1" x14ac:dyDescent="0.2">
      <c r="A165" s="242">
        <v>45595</v>
      </c>
      <c r="B165" s="222">
        <v>45583</v>
      </c>
      <c r="C165" s="223"/>
      <c r="D165" s="66" t="s">
        <v>320</v>
      </c>
      <c r="E165" s="404" t="s">
        <v>1250</v>
      </c>
      <c r="F165" s="95" t="s">
        <v>1251</v>
      </c>
      <c r="G165" s="95" t="s">
        <v>1252</v>
      </c>
      <c r="H165" s="95" t="s">
        <v>318</v>
      </c>
      <c r="I165" s="95" t="s">
        <v>239</v>
      </c>
      <c r="J165" s="1134" t="s">
        <v>1253</v>
      </c>
      <c r="K165" s="101"/>
      <c r="L165" s="101" t="s">
        <v>255</v>
      </c>
      <c r="M165" s="345" t="s">
        <v>331</v>
      </c>
      <c r="N165" s="442" t="s">
        <v>403</v>
      </c>
      <c r="O165" s="165">
        <v>35.965200000000003</v>
      </c>
      <c r="P165" s="165">
        <v>112.85</v>
      </c>
      <c r="Q165" s="157">
        <v>0</v>
      </c>
      <c r="R165" s="109" t="s">
        <v>327</v>
      </c>
      <c r="S165" s="110">
        <v>155380.98000000001</v>
      </c>
      <c r="T165" s="93">
        <v>28961.94</v>
      </c>
      <c r="U165" s="141"/>
      <c r="V165" s="158">
        <f t="shared" si="85"/>
        <v>0</v>
      </c>
      <c r="W165" s="159">
        <v>45576.635706018518</v>
      </c>
      <c r="X165" s="159">
        <v>45582.540972222225</v>
      </c>
      <c r="Y165" s="160">
        <v>45581</v>
      </c>
      <c r="Z165" s="470"/>
      <c r="AA165" s="470"/>
      <c r="AB165" s="470"/>
      <c r="AC165" s="161">
        <f t="shared" si="86"/>
        <v>-45576.635706018518</v>
      </c>
      <c r="AD165" s="161">
        <f t="shared" si="113"/>
        <v>-45582.540972222225</v>
      </c>
      <c r="AE165" s="446">
        <f t="shared" si="114"/>
        <v>0</v>
      </c>
      <c r="AF165" s="160">
        <f t="shared" si="115"/>
        <v>45597.842602570243</v>
      </c>
      <c r="AG165" s="160">
        <f t="shared" si="116"/>
        <v>45607.297774984036</v>
      </c>
      <c r="AH165" s="159">
        <f t="shared" si="117"/>
        <v>45626.635706018518</v>
      </c>
      <c r="AI165" s="162">
        <f t="shared" si="87"/>
        <v>-1412.0966190967276</v>
      </c>
      <c r="AJ165" s="224">
        <f t="shared" si="118"/>
        <v>0</v>
      </c>
      <c r="AK165" s="225">
        <f t="shared" si="88"/>
        <v>26</v>
      </c>
      <c r="AL165" s="170">
        <f t="shared" si="89"/>
        <v>36</v>
      </c>
      <c r="AM165" s="170">
        <f t="shared" si="90"/>
        <v>24.206896551724139</v>
      </c>
      <c r="AN165" s="170">
        <f t="shared" si="91"/>
        <v>30.662068965517239</v>
      </c>
      <c r="AO165" s="226">
        <f t="shared" si="92"/>
        <v>21.206896551724139</v>
      </c>
      <c r="AP165" s="227">
        <v>60</v>
      </c>
      <c r="AQ165" s="228">
        <f t="shared" si="93"/>
        <v>57</v>
      </c>
      <c r="AR165" s="228">
        <f t="shared" si="94"/>
        <v>52</v>
      </c>
      <c r="AS165" s="229">
        <f t="shared" si="95"/>
        <v>60</v>
      </c>
      <c r="AT165" s="982">
        <f t="shared" ca="1" si="96"/>
        <v>45895</v>
      </c>
      <c r="AU165" s="1077"/>
      <c r="AV165" s="1078"/>
      <c r="AW165" s="1079"/>
      <c r="AX165" s="1079"/>
      <c r="AY165" s="1079"/>
      <c r="AZ165" s="1080"/>
      <c r="BA165" s="1081"/>
      <c r="BB165" s="1091"/>
      <c r="BC165" s="231"/>
      <c r="BD165" s="232"/>
      <c r="BE165" s="222">
        <f t="shared" si="119"/>
        <v>15</v>
      </c>
      <c r="BF165" s="233">
        <f t="shared" si="120"/>
        <v>0</v>
      </c>
      <c r="BG165" s="234"/>
      <c r="BH165" s="235"/>
      <c r="BI165" s="234"/>
      <c r="BJ165" s="236"/>
      <c r="BK165" s="222"/>
      <c r="BL165" s="222"/>
      <c r="BM165" s="238"/>
      <c r="BN165" s="222"/>
      <c r="BO165" s="222"/>
      <c r="BP165" s="243"/>
      <c r="BQ165" s="244" t="s">
        <v>246</v>
      </c>
      <c r="BR165" s="238"/>
      <c r="BS165" s="67"/>
      <c r="BT165" s="66"/>
      <c r="BU165" s="66"/>
      <c r="BV165" s="66"/>
      <c r="BW165" s="74"/>
      <c r="BX165" s="81"/>
      <c r="BY165" s="66">
        <v>45601</v>
      </c>
      <c r="BZ165" s="944" t="s">
        <v>1254</v>
      </c>
      <c r="CA165" s="42" t="str">
        <f t="shared" si="99"/>
        <v>0</v>
      </c>
      <c r="CB165" s="62">
        <f t="shared" si="100"/>
        <v>-45576.635706018518</v>
      </c>
      <c r="CC165" s="42">
        <f t="shared" si="101"/>
        <v>0</v>
      </c>
      <c r="CD165" s="62">
        <f t="shared" si="102"/>
        <v>-45576.635706018518</v>
      </c>
      <c r="CE165" s="62">
        <f t="shared" si="103"/>
        <v>-1412.0966190967276</v>
      </c>
      <c r="CF165" s="1059" t="str">
        <f t="shared" si="104"/>
        <v>0</v>
      </c>
      <c r="CH165" s="1082">
        <f t="shared" si="105"/>
        <v>9.0582954331869328</v>
      </c>
      <c r="CI165" s="1083">
        <f t="shared" si="106"/>
        <v>9.0582954331869328</v>
      </c>
      <c r="CJ165" s="1084">
        <f t="shared" si="107"/>
        <v>0</v>
      </c>
      <c r="CK165" s="1085">
        <f t="shared" si="108"/>
        <v>279.36429398148175</v>
      </c>
      <c r="CL165" s="1057" t="str">
        <f t="shared" si="109"/>
        <v>NON-REV</v>
      </c>
      <c r="CM165" s="1057" t="str">
        <f t="shared" si="110"/>
        <v>10 MONTHS AND ABOVE</v>
      </c>
      <c r="CN165" s="1086"/>
      <c r="CO165" s="1087"/>
      <c r="CP165" s="629" t="str">
        <f t="shared" si="121"/>
        <v>FOR ISSUANCE</v>
      </c>
      <c r="CQ165" s="1086"/>
      <c r="CR165" s="1088"/>
      <c r="CS165" s="1089" t="str">
        <f t="shared" ca="1" si="112"/>
        <v>0</v>
      </c>
      <c r="CT165" s="1086"/>
      <c r="CU165" s="1087"/>
      <c r="CV165" s="1090"/>
      <c r="CW165" s="156" t="s">
        <v>1255</v>
      </c>
      <c r="CX165" s="156" t="str">
        <f>VLOOKUP(E165,'[1]List of Work Orders'!$A:$I,9,FALSE)</f>
        <v>ME185284</v>
      </c>
      <c r="CY165" s="156"/>
      <c r="DC165" s="1057" t="str">
        <f>VLOOKUP(E165,'[2]List of Work Orders'!$A:$F,6,FALSE)</f>
        <v>SCHED</v>
      </c>
      <c r="DS165" s="156" t="s">
        <v>397</v>
      </c>
    </row>
    <row r="166" spans="1:123" customFormat="1" ht="15" customHeight="1" x14ac:dyDescent="0.25">
      <c r="A166" s="242">
        <v>45587</v>
      </c>
      <c r="B166" s="222">
        <v>45584</v>
      </c>
      <c r="C166" s="223"/>
      <c r="D166" s="66" t="s">
        <v>320</v>
      </c>
      <c r="E166" s="404" t="s">
        <v>1256</v>
      </c>
      <c r="F166" s="95" t="s">
        <v>1257</v>
      </c>
      <c r="G166" s="95" t="s">
        <v>1258</v>
      </c>
      <c r="H166" s="95" t="s">
        <v>318</v>
      </c>
      <c r="I166" s="95" t="s">
        <v>239</v>
      </c>
      <c r="J166" s="163"/>
      <c r="K166" s="101"/>
      <c r="L166" s="101" t="s">
        <v>263</v>
      </c>
      <c r="M166" s="345" t="s">
        <v>272</v>
      </c>
      <c r="N166" s="442" t="s">
        <v>467</v>
      </c>
      <c r="O166" s="165">
        <v>10.35</v>
      </c>
      <c r="P166" s="933">
        <v>10.35</v>
      </c>
      <c r="Q166" s="157">
        <v>54</v>
      </c>
      <c r="R166" s="109" t="s">
        <v>548</v>
      </c>
      <c r="S166" s="110">
        <v>37965.19</v>
      </c>
      <c r="T166" s="93">
        <v>8334.57</v>
      </c>
      <c r="U166" s="141"/>
      <c r="V166" s="158">
        <f t="shared" si="85"/>
        <v>0</v>
      </c>
      <c r="W166" s="159">
        <v>45576.653032407405</v>
      </c>
      <c r="X166" s="159">
        <v>45582.541666666664</v>
      </c>
      <c r="Y166" s="160">
        <v>45581</v>
      </c>
      <c r="Z166" s="470"/>
      <c r="AA166" s="470">
        <v>45671</v>
      </c>
      <c r="AB166" s="470"/>
      <c r="AC166" s="161">
        <f t="shared" si="86"/>
        <v>94.34696759259532</v>
      </c>
      <c r="AD166" s="161">
        <f t="shared" si="113"/>
        <v>88.458333333335759</v>
      </c>
      <c r="AE166" s="446">
        <f t="shared" si="114"/>
        <v>-45671</v>
      </c>
      <c r="AF166" s="160">
        <f t="shared" si="115"/>
        <v>45594.727412572691</v>
      </c>
      <c r="AG166" s="160">
        <f t="shared" si="116"/>
        <v>45603.34724728344</v>
      </c>
      <c r="AH166" s="159">
        <f t="shared" si="117"/>
        <v>45626.653032407405</v>
      </c>
      <c r="AI166" s="162">
        <f t="shared" si="87"/>
        <v>3.3576420819717745</v>
      </c>
      <c r="AJ166" s="224">
        <f t="shared" si="118"/>
        <v>-761.18333333333328</v>
      </c>
      <c r="AK166" s="225">
        <f t="shared" si="88"/>
        <v>20</v>
      </c>
      <c r="AL166" s="170">
        <f t="shared" si="89"/>
        <v>34</v>
      </c>
      <c r="AM166" s="170">
        <f t="shared" si="90"/>
        <v>21.074380165289259</v>
      </c>
      <c r="AN166" s="170">
        <f t="shared" si="91"/>
        <v>26.694214876033058</v>
      </c>
      <c r="AO166" s="226">
        <f t="shared" si="92"/>
        <v>18.074380165289259</v>
      </c>
      <c r="AP166" s="227">
        <v>60</v>
      </c>
      <c r="AQ166" s="228">
        <f t="shared" si="93"/>
        <v>57</v>
      </c>
      <c r="AR166" s="228">
        <f t="shared" si="94"/>
        <v>52</v>
      </c>
      <c r="AS166" s="229">
        <f t="shared" si="95"/>
        <v>45731</v>
      </c>
      <c r="AT166" s="982">
        <f t="shared" ca="1" si="96"/>
        <v>224</v>
      </c>
      <c r="AU166" s="50"/>
      <c r="AV166" s="118"/>
      <c r="AW166" s="49"/>
      <c r="AX166" s="49"/>
      <c r="AY166" s="49"/>
      <c r="AZ166" s="300"/>
      <c r="BA166" s="119"/>
      <c r="BB166" s="304"/>
      <c r="BC166" s="231" t="s">
        <v>13</v>
      </c>
      <c r="BD166" s="232"/>
      <c r="BE166" s="222">
        <f t="shared" si="119"/>
        <v>45686</v>
      </c>
      <c r="BF166" s="233" t="e">
        <f t="shared" si="120"/>
        <v>#VALUE!</v>
      </c>
      <c r="BG166" s="234"/>
      <c r="BH166" s="235"/>
      <c r="BI166" s="234"/>
      <c r="BJ166" s="236"/>
      <c r="BK166" s="222"/>
      <c r="BL166" s="222"/>
      <c r="BM166" s="238"/>
      <c r="BN166" s="222"/>
      <c r="BO166" s="222"/>
      <c r="BP166" s="243"/>
      <c r="BQ166" s="244" t="s">
        <v>247</v>
      </c>
      <c r="BR166" s="238">
        <v>45670</v>
      </c>
      <c r="BS166" s="67"/>
      <c r="BT166" s="66"/>
      <c r="BU166" s="66"/>
      <c r="BV166" s="66"/>
      <c r="BW166" s="74"/>
      <c r="BX166" s="81"/>
      <c r="BY166" s="66" t="s">
        <v>308</v>
      </c>
      <c r="BZ166" s="944" t="s">
        <v>1259</v>
      </c>
      <c r="CA166" s="42" t="str">
        <f t="shared" si="99"/>
        <v>0</v>
      </c>
      <c r="CB166" s="62">
        <f t="shared" si="100"/>
        <v>94.34696759259532</v>
      </c>
      <c r="CC166" s="42">
        <f t="shared" si="101"/>
        <v>0</v>
      </c>
      <c r="CD166" s="62">
        <f t="shared" si="102"/>
        <v>94.34696759259532</v>
      </c>
      <c r="CE166" s="62">
        <f t="shared" si="103"/>
        <v>3.3576420819717745</v>
      </c>
      <c r="CF166" s="145">
        <f t="shared" si="104"/>
        <v>198</v>
      </c>
      <c r="CG166" s="145"/>
      <c r="CH166" s="443">
        <f t="shared" si="105"/>
        <v>10.404112670207068</v>
      </c>
      <c r="CI166" s="996">
        <f t="shared" si="106"/>
        <v>10.404112670207068</v>
      </c>
      <c r="CJ166" s="261">
        <f t="shared" si="107"/>
        <v>3.3</v>
      </c>
      <c r="CK166" s="458" t="str">
        <f t="shared" si="108"/>
        <v/>
      </c>
      <c r="CL166" t="str">
        <f t="shared" si="109"/>
        <v>NON-REV</v>
      </c>
      <c r="CM166" t="str">
        <f t="shared" si="110"/>
        <v/>
      </c>
      <c r="CN166" s="635"/>
      <c r="CO166" s="631"/>
      <c r="CP166" s="629" t="str">
        <f t="shared" si="121"/>
        <v>FOR ISSUANCE</v>
      </c>
      <c r="CQ166" s="635"/>
      <c r="CR166" s="697"/>
      <c r="CS166" s="633" t="str">
        <f t="shared" ca="1" si="112"/>
        <v>0</v>
      </c>
      <c r="CT166" s="635"/>
      <c r="CU166" s="631"/>
      <c r="CV166" s="638"/>
      <c r="CW166" s="156" t="s">
        <v>1260</v>
      </c>
      <c r="CX166" s="156" t="str">
        <f>VLOOKUP(E166,'[1]List of Work Orders'!$A:$I,9,FALSE)</f>
        <v>ME155242</v>
      </c>
      <c r="CY166" s="156"/>
      <c r="DC166" t="str">
        <f>VLOOKUP(E166,'[2]List of Work Orders'!$A:$F,6,FALSE)</f>
        <v>FCOMP</v>
      </c>
      <c r="DS166" s="156" t="s">
        <v>1165</v>
      </c>
    </row>
    <row r="167" spans="1:123" customFormat="1" ht="15" customHeight="1" x14ac:dyDescent="0.25">
      <c r="A167" s="242">
        <v>45586</v>
      </c>
      <c r="B167" s="222">
        <v>45584</v>
      </c>
      <c r="C167" s="223"/>
      <c r="D167" s="66" t="s">
        <v>234</v>
      </c>
      <c r="E167" s="404" t="s">
        <v>1261</v>
      </c>
      <c r="F167" s="95" t="s">
        <v>1262</v>
      </c>
      <c r="G167" s="95" t="s">
        <v>1263</v>
      </c>
      <c r="H167" s="95" t="s">
        <v>238</v>
      </c>
      <c r="I167" s="95" t="s">
        <v>239</v>
      </c>
      <c r="J167" s="163" t="s">
        <v>982</v>
      </c>
      <c r="K167" s="101" t="s">
        <v>271</v>
      </c>
      <c r="L167" s="101" t="s">
        <v>5</v>
      </c>
      <c r="M167" s="345" t="s">
        <v>331</v>
      </c>
      <c r="N167" s="442" t="s">
        <v>403</v>
      </c>
      <c r="O167" s="165">
        <v>8.93</v>
      </c>
      <c r="P167" s="165">
        <v>8.93</v>
      </c>
      <c r="Q167" s="157">
        <v>0</v>
      </c>
      <c r="R167" s="109" t="s">
        <v>319</v>
      </c>
      <c r="S167" s="110">
        <v>18594.84</v>
      </c>
      <c r="T167" s="93">
        <v>7191.18</v>
      </c>
      <c r="U167" s="141"/>
      <c r="V167" s="158">
        <f t="shared" si="85"/>
        <v>0</v>
      </c>
      <c r="W167" s="159">
        <v>45576.655393518522</v>
      </c>
      <c r="X167" s="159">
        <v>45582.536111111112</v>
      </c>
      <c r="Y167" s="160">
        <v>45581</v>
      </c>
      <c r="Z167" s="470"/>
      <c r="AA167" s="470"/>
      <c r="AB167" s="470"/>
      <c r="AC167" s="161">
        <f t="shared" si="86"/>
        <v>-45576.655393518522</v>
      </c>
      <c r="AD167" s="161">
        <f t="shared" si="113"/>
        <v>-45582.536111111112</v>
      </c>
      <c r="AE167" s="446">
        <f t="shared" si="114"/>
        <v>0</v>
      </c>
      <c r="AF167" s="160">
        <f t="shared" si="115"/>
        <v>45595.429587066908</v>
      </c>
      <c r="AG167" s="160">
        <f t="shared" si="116"/>
        <v>45604.23603867981</v>
      </c>
      <c r="AH167" s="159">
        <f t="shared" si="117"/>
        <v>45626.655393518522</v>
      </c>
      <c r="AI167" s="162">
        <f t="shared" si="87"/>
        <v>-1569.862574665638</v>
      </c>
      <c r="AJ167" s="224">
        <f t="shared" si="118"/>
        <v>0</v>
      </c>
      <c r="AK167" s="225">
        <f t="shared" si="88"/>
        <v>20</v>
      </c>
      <c r="AL167" s="170">
        <f t="shared" si="89"/>
        <v>36</v>
      </c>
      <c r="AM167" s="170">
        <f t="shared" si="90"/>
        <v>21.774193548387096</v>
      </c>
      <c r="AN167" s="170">
        <f t="shared" si="91"/>
        <v>27.58064516129032</v>
      </c>
      <c r="AO167" s="226">
        <f t="shared" si="92"/>
        <v>18.774193548387096</v>
      </c>
      <c r="AP167" s="227">
        <v>60</v>
      </c>
      <c r="AQ167" s="228">
        <f t="shared" si="93"/>
        <v>57</v>
      </c>
      <c r="AR167" s="228">
        <f t="shared" si="94"/>
        <v>52</v>
      </c>
      <c r="AS167" s="229">
        <f t="shared" si="95"/>
        <v>60</v>
      </c>
      <c r="AT167" s="982">
        <f t="shared" ca="1" si="96"/>
        <v>45895</v>
      </c>
      <c r="AU167" s="50"/>
      <c r="AV167" s="118"/>
      <c r="AW167" s="49"/>
      <c r="AX167" s="49"/>
      <c r="AY167" s="49"/>
      <c r="AZ167" s="300"/>
      <c r="BA167" s="119"/>
      <c r="BB167" s="304"/>
      <c r="BC167" s="231"/>
      <c r="BD167" s="232"/>
      <c r="BE167" s="222">
        <f t="shared" si="119"/>
        <v>15</v>
      </c>
      <c r="BF167" s="233">
        <f t="shared" si="120"/>
        <v>0</v>
      </c>
      <c r="BG167" s="234"/>
      <c r="BH167" s="235"/>
      <c r="BI167" s="234"/>
      <c r="BJ167" s="236"/>
      <c r="BK167" s="222"/>
      <c r="BL167" s="222"/>
      <c r="BM167" s="238"/>
      <c r="BN167" s="222"/>
      <c r="BO167" s="222"/>
      <c r="BP167" s="243"/>
      <c r="BQ167" s="244" t="s">
        <v>247</v>
      </c>
      <c r="BR167" s="238"/>
      <c r="BS167" s="67"/>
      <c r="BT167" s="66"/>
      <c r="BU167" s="66"/>
      <c r="BV167" s="66"/>
      <c r="BW167" s="74"/>
      <c r="BX167" s="81"/>
      <c r="BY167" s="66" t="s">
        <v>308</v>
      </c>
      <c r="BZ167" s="944" t="s">
        <v>1264</v>
      </c>
      <c r="CA167" s="42" t="str">
        <f t="shared" si="99"/>
        <v>0</v>
      </c>
      <c r="CB167" s="62">
        <f t="shared" si="100"/>
        <v>-45576.655393518522</v>
      </c>
      <c r="CC167" s="42">
        <f t="shared" si="101"/>
        <v>0</v>
      </c>
      <c r="CD167" s="62">
        <f t="shared" si="102"/>
        <v>-45576.655393518522</v>
      </c>
      <c r="CE167" s="62">
        <f t="shared" si="103"/>
        <v>-1569.862574665638</v>
      </c>
      <c r="CF167" s="145" t="str">
        <f t="shared" si="104"/>
        <v>0</v>
      </c>
      <c r="CG167" s="145"/>
      <c r="CH167" s="443">
        <f t="shared" si="105"/>
        <v>10.06964755658424</v>
      </c>
      <c r="CI167" s="996">
        <f t="shared" si="106"/>
        <v>10.06964755658424</v>
      </c>
      <c r="CJ167" s="261">
        <f t="shared" si="107"/>
        <v>0</v>
      </c>
      <c r="CK167" s="458">
        <f t="shared" si="108"/>
        <v>279.34460648147797</v>
      </c>
      <c r="CL167" t="str">
        <f t="shared" si="109"/>
        <v>NON-REV</v>
      </c>
      <c r="CM167" t="str">
        <f t="shared" si="110"/>
        <v>10 MONTHS AND ABOVE</v>
      </c>
      <c r="CN167" s="635"/>
      <c r="CO167" s="631"/>
      <c r="CP167" s="629" t="str">
        <f t="shared" si="121"/>
        <v>FOR ISSUANCE</v>
      </c>
      <c r="CQ167" s="635"/>
      <c r="CR167" s="697"/>
      <c r="CS167" s="633" t="str">
        <f t="shared" ca="1" si="112"/>
        <v>0</v>
      </c>
      <c r="CT167" s="635"/>
      <c r="CU167" s="631"/>
      <c r="CV167" s="638"/>
      <c r="CW167" s="156" t="s">
        <v>1265</v>
      </c>
      <c r="CX167" s="156" t="str">
        <f>VLOOKUP(E167,'[1]List of Work Orders'!$A:$I,9,FALSE)</f>
        <v>ME166067</v>
      </c>
      <c r="CY167" s="156"/>
      <c r="DC167" t="str">
        <f>VLOOKUP(E167,'[2]List of Work Orders'!$A:$F,6,FALSE)</f>
        <v>SCHED</v>
      </c>
      <c r="DS167" s="156" t="s">
        <v>381</v>
      </c>
    </row>
    <row r="168" spans="1:123" ht="15" customHeight="1" x14ac:dyDescent="0.2">
      <c r="A168" s="242">
        <v>45600</v>
      </c>
      <c r="B168" s="222">
        <v>45586</v>
      </c>
      <c r="C168" s="223"/>
      <c r="D168" s="66" t="s">
        <v>284</v>
      </c>
      <c r="E168" s="404" t="s">
        <v>1266</v>
      </c>
      <c r="F168" s="95" t="s">
        <v>1267</v>
      </c>
      <c r="G168" s="95" t="s">
        <v>1051</v>
      </c>
      <c r="H168" s="95" t="s">
        <v>269</v>
      </c>
      <c r="I168" s="95" t="s">
        <v>239</v>
      </c>
      <c r="J168" s="163"/>
      <c r="K168" s="101"/>
      <c r="L168" s="101" t="s">
        <v>255</v>
      </c>
      <c r="M168" s="345" t="s">
        <v>256</v>
      </c>
      <c r="N168" s="442" t="s">
        <v>381</v>
      </c>
      <c r="O168" s="165">
        <v>2.1979500000000001</v>
      </c>
      <c r="P168" s="933">
        <v>2.2000000000000002</v>
      </c>
      <c r="Q168" s="157">
        <v>0</v>
      </c>
      <c r="R168" s="109" t="s">
        <v>319</v>
      </c>
      <c r="S168" s="110">
        <v>16595.27</v>
      </c>
      <c r="T168" s="93">
        <v>1769.95</v>
      </c>
      <c r="U168" s="141"/>
      <c r="V168" s="158">
        <f t="shared" si="85"/>
        <v>0</v>
      </c>
      <c r="W168" s="159">
        <v>45579.57199074074</v>
      </c>
      <c r="X168" s="159">
        <v>45583.620138888888</v>
      </c>
      <c r="Y168" s="160">
        <v>45586</v>
      </c>
      <c r="Z168" s="470"/>
      <c r="AA168" s="470">
        <v>45716</v>
      </c>
      <c r="AB168" s="470">
        <v>45863</v>
      </c>
      <c r="AC168" s="161">
        <f t="shared" si="86"/>
        <v>136.42800925925985</v>
      </c>
      <c r="AD168" s="161">
        <f t="shared" si="113"/>
        <v>132.3798611111124</v>
      </c>
      <c r="AE168" s="446">
        <f t="shared" si="114"/>
        <v>147</v>
      </c>
      <c r="AF168" s="160">
        <f t="shared" si="115"/>
        <v>45598.346184289127</v>
      </c>
      <c r="AG168" s="160">
        <f t="shared" si="116"/>
        <v>45607.152635902028</v>
      </c>
      <c r="AH168" s="159">
        <f t="shared" si="117"/>
        <v>45629.57199074074</v>
      </c>
      <c r="AI168" s="162">
        <f t="shared" si="87"/>
        <v>4.6991869855967279</v>
      </c>
      <c r="AJ168" s="224">
        <f t="shared" si="118"/>
        <v>2.4500000000000002</v>
      </c>
      <c r="AK168" s="225">
        <f t="shared" si="88"/>
        <v>20</v>
      </c>
      <c r="AL168" s="170">
        <f t="shared" si="89"/>
        <v>36</v>
      </c>
      <c r="AM168" s="170">
        <f t="shared" si="90"/>
        <v>21.774193548387096</v>
      </c>
      <c r="AN168" s="170">
        <f t="shared" si="91"/>
        <v>27.58064516129032</v>
      </c>
      <c r="AO168" s="226">
        <f t="shared" si="92"/>
        <v>18.774193548387096</v>
      </c>
      <c r="AP168" s="227">
        <v>60</v>
      </c>
      <c r="AQ168" s="228">
        <f t="shared" si="93"/>
        <v>57</v>
      </c>
      <c r="AR168" s="228">
        <f t="shared" si="94"/>
        <v>52</v>
      </c>
      <c r="AS168" s="229">
        <f t="shared" si="95"/>
        <v>45776</v>
      </c>
      <c r="AT168" s="982">
        <f t="shared" ca="1" si="96"/>
        <v>179</v>
      </c>
      <c r="AU168" s="1077"/>
      <c r="AV168" s="1078"/>
      <c r="AW168" s="1079"/>
      <c r="AX168" s="1079"/>
      <c r="AY168" s="1079"/>
      <c r="AZ168" s="1080"/>
      <c r="BA168" s="1081"/>
      <c r="BB168" s="1091"/>
      <c r="BC168" s="231" t="s">
        <v>14</v>
      </c>
      <c r="BD168" s="232"/>
      <c r="BE168" s="222">
        <f t="shared" si="119"/>
        <v>45731</v>
      </c>
      <c r="BF168" s="233">
        <f t="shared" si="120"/>
        <v>-12</v>
      </c>
      <c r="BG168" s="234">
        <v>45593</v>
      </c>
      <c r="BH168" s="235">
        <v>45719</v>
      </c>
      <c r="BI168" s="234"/>
      <c r="BJ168" s="236"/>
      <c r="BK168" s="222"/>
      <c r="BL168" s="222"/>
      <c r="BM168" s="238"/>
      <c r="BN168" s="222"/>
      <c r="BO168" s="222"/>
      <c r="BP168" s="243"/>
      <c r="BQ168" s="244" t="s">
        <v>247</v>
      </c>
      <c r="BR168" s="238"/>
      <c r="BS168" s="67"/>
      <c r="BT168" s="66"/>
      <c r="BU168" s="66"/>
      <c r="BV168" s="66"/>
      <c r="BW168" s="74"/>
      <c r="BX168" s="81"/>
      <c r="BY168" s="66" t="s">
        <v>308</v>
      </c>
      <c r="BZ168" s="944" t="s">
        <v>1268</v>
      </c>
      <c r="CA168" s="42" t="str">
        <f t="shared" si="99"/>
        <v>0</v>
      </c>
      <c r="CB168" s="62">
        <f t="shared" si="100"/>
        <v>136.42800925925985</v>
      </c>
      <c r="CC168" s="42">
        <f t="shared" si="101"/>
        <v>0</v>
      </c>
      <c r="CD168" s="62">
        <f t="shared" si="102"/>
        <v>136.42800925925985</v>
      </c>
      <c r="CE168" s="62">
        <f t="shared" si="103"/>
        <v>4.6991869855967279</v>
      </c>
      <c r="CF168" s="1059">
        <f t="shared" si="104"/>
        <v>153</v>
      </c>
      <c r="CH168" s="1082">
        <f t="shared" si="105"/>
        <v>9.9691869855967283</v>
      </c>
      <c r="CI168" s="1083">
        <f t="shared" si="106"/>
        <v>9.9691869855967283</v>
      </c>
      <c r="CJ168" s="1084">
        <f t="shared" si="107"/>
        <v>2.5499999999999998</v>
      </c>
      <c r="CK168" s="1085" t="str">
        <f t="shared" si="108"/>
        <v/>
      </c>
      <c r="CL168" s="1057" t="str">
        <f t="shared" si="109"/>
        <v>NON-REV</v>
      </c>
      <c r="CM168" s="1057" t="str">
        <f t="shared" si="110"/>
        <v/>
      </c>
      <c r="CN168" s="1086"/>
      <c r="CO168" s="1087"/>
      <c r="CP168" s="629" t="str">
        <f t="shared" si="121"/>
        <v>FOR ISSUANCE</v>
      </c>
      <c r="CQ168" s="1086"/>
      <c r="CR168" s="1088"/>
      <c r="CS168" s="1089" t="str">
        <f t="shared" ca="1" si="112"/>
        <v>0</v>
      </c>
      <c r="CT168" s="1086"/>
      <c r="CU168" s="1087"/>
      <c r="CV168" s="1090"/>
      <c r="CW168" s="156" t="s">
        <v>1269</v>
      </c>
      <c r="CX168" s="156" t="str">
        <f>VLOOKUP(E168,'[1]List of Work Orders'!$A:$I,9,FALSE)</f>
        <v>ME185284</v>
      </c>
      <c r="CY168" s="156"/>
      <c r="DC168" s="1057" t="str">
        <f>VLOOKUP(E168,'[2]List of Work Orders'!$A:$F,6,FALSE)</f>
        <v>FCOMP</v>
      </c>
      <c r="DS168" s="156" t="s">
        <v>381</v>
      </c>
    </row>
    <row r="169" spans="1:123" customFormat="1" ht="15" customHeight="1" x14ac:dyDescent="0.25">
      <c r="A169" s="242">
        <v>45595</v>
      </c>
      <c r="B169" s="222">
        <v>45586</v>
      </c>
      <c r="C169" s="223"/>
      <c r="D169" s="66" t="s">
        <v>234</v>
      </c>
      <c r="E169" s="412" t="s">
        <v>1270</v>
      </c>
      <c r="F169" s="95" t="s">
        <v>1271</v>
      </c>
      <c r="G169" s="95" t="s">
        <v>1272</v>
      </c>
      <c r="H169" s="95" t="s">
        <v>378</v>
      </c>
      <c r="I169" s="95" t="s">
        <v>239</v>
      </c>
      <c r="J169" s="168" t="s">
        <v>1273</v>
      </c>
      <c r="K169" s="101" t="s">
        <v>299</v>
      </c>
      <c r="L169" s="101" t="s">
        <v>288</v>
      </c>
      <c r="M169" s="345" t="s">
        <v>534</v>
      </c>
      <c r="N169" s="442" t="s">
        <v>381</v>
      </c>
      <c r="O169" s="165">
        <v>47.532699999999998</v>
      </c>
      <c r="P169" s="165" t="e">
        <v>#N/A</v>
      </c>
      <c r="Q169" s="157">
        <v>11</v>
      </c>
      <c r="R169" s="109" t="s">
        <v>244</v>
      </c>
      <c r="S169" s="110">
        <v>806019.23</v>
      </c>
      <c r="T169" s="93">
        <v>38276.89</v>
      </c>
      <c r="U169" s="141"/>
      <c r="V169" s="158">
        <f t="shared" si="85"/>
        <v>0</v>
      </c>
      <c r="W169" s="159">
        <v>45580.627384259256</v>
      </c>
      <c r="X169" s="159">
        <v>45583.621527777781</v>
      </c>
      <c r="Y169" s="160">
        <v>45586</v>
      </c>
      <c r="Z169" s="470"/>
      <c r="AA169" s="470" t="s">
        <v>534</v>
      </c>
      <c r="AB169" s="470"/>
      <c r="AC169" s="161" t="e">
        <f t="shared" si="86"/>
        <v>#VALUE!</v>
      </c>
      <c r="AD169" s="161" t="e">
        <f t="shared" ref="AD169:AD200" si="122">AA169-X169</f>
        <v>#VALUE!</v>
      </c>
      <c r="AE169" s="446" t="e">
        <f t="shared" si="114"/>
        <v>#VALUE!</v>
      </c>
      <c r="AF169" s="160" t="e">
        <f t="shared" ref="AF169:AF200" si="123">W169+AO169</f>
        <v>#N/A</v>
      </c>
      <c r="AG169" s="160" t="e">
        <f t="shared" ref="AG169:AG200" si="124">W169+AN169</f>
        <v>#N/A</v>
      </c>
      <c r="AH169" s="159">
        <f t="shared" ref="AH169:AH200" si="125">W169+50</f>
        <v>45630.627384259256</v>
      </c>
      <c r="AI169" s="162" t="e">
        <f t="shared" si="87"/>
        <v>#VALUE!</v>
      </c>
      <c r="AJ169" s="224" t="e">
        <f t="shared" ref="AJ169:AJ200" si="126">AE169/AP169</f>
        <v>#VALUE!</v>
      </c>
      <c r="AK169" s="225" t="e">
        <f t="shared" si="88"/>
        <v>#N/A</v>
      </c>
      <c r="AL169" s="170">
        <f t="shared" si="89"/>
        <v>36</v>
      </c>
      <c r="AM169" s="170" t="e">
        <f t="shared" si="90"/>
        <v>#N/A</v>
      </c>
      <c r="AN169" s="170" t="e">
        <f t="shared" si="91"/>
        <v>#N/A</v>
      </c>
      <c r="AO169" s="226" t="e">
        <f t="shared" si="92"/>
        <v>#N/A</v>
      </c>
      <c r="AP169" s="227">
        <v>60</v>
      </c>
      <c r="AQ169" s="228">
        <f t="shared" si="93"/>
        <v>57</v>
      </c>
      <c r="AR169" s="228">
        <f t="shared" si="94"/>
        <v>52</v>
      </c>
      <c r="AS169" s="229" t="e">
        <f t="shared" si="95"/>
        <v>#VALUE!</v>
      </c>
      <c r="AT169" s="982" t="str">
        <f t="shared" ca="1" si="96"/>
        <v/>
      </c>
      <c r="AU169" s="50"/>
      <c r="AV169" s="118"/>
      <c r="AW169" s="49"/>
      <c r="AX169" s="49"/>
      <c r="AY169" s="49"/>
      <c r="AZ169" s="300"/>
      <c r="BA169" s="119"/>
      <c r="BB169" s="304"/>
      <c r="BC169" s="231"/>
      <c r="BD169" s="232"/>
      <c r="BE169" s="222" t="e">
        <f t="shared" si="119"/>
        <v>#VALUE!</v>
      </c>
      <c r="BF169" s="233" t="e">
        <f t="shared" si="120"/>
        <v>#VALUE!</v>
      </c>
      <c r="BG169" s="234"/>
      <c r="BH169" s="235"/>
      <c r="BI169" s="234"/>
      <c r="BJ169" s="236"/>
      <c r="BK169" s="222"/>
      <c r="BL169" s="222"/>
      <c r="BM169" s="238"/>
      <c r="BN169" s="222"/>
      <c r="BO169" s="222"/>
      <c r="BP169" s="243"/>
      <c r="BQ169" s="244" t="s">
        <v>247</v>
      </c>
      <c r="BR169" s="238"/>
      <c r="BS169" s="67"/>
      <c r="BT169" s="66"/>
      <c r="BU169" s="66"/>
      <c r="BV169" s="66"/>
      <c r="BW169" s="74"/>
      <c r="BX169" s="81"/>
      <c r="BY169" s="66">
        <v>45601</v>
      </c>
      <c r="BZ169" s="944" t="s">
        <v>1274</v>
      </c>
      <c r="CA169" s="42" t="str">
        <f t="shared" si="99"/>
        <v>0</v>
      </c>
      <c r="CB169" s="62" t="e">
        <f t="shared" si="100"/>
        <v>#VALUE!</v>
      </c>
      <c r="CC169" s="42">
        <f t="shared" si="101"/>
        <v>0</v>
      </c>
      <c r="CD169" s="62" t="e">
        <f t="shared" si="102"/>
        <v>#VALUE!</v>
      </c>
      <c r="CE169" s="62" t="e">
        <f t="shared" si="103"/>
        <v>#VALUE!</v>
      </c>
      <c r="CF169" s="145" t="e">
        <f t="shared" si="104"/>
        <v>#VALUE!</v>
      </c>
      <c r="CG169" s="145"/>
      <c r="CH169" s="443" t="e">
        <f t="shared" si="105"/>
        <v>#N/A</v>
      </c>
      <c r="CI169" s="996" t="e">
        <f t="shared" si="106"/>
        <v>#N/A</v>
      </c>
      <c r="CJ169" s="261" t="e">
        <f t="shared" si="107"/>
        <v>#VALUE!</v>
      </c>
      <c r="CK169" s="458" t="str">
        <f t="shared" si="108"/>
        <v/>
      </c>
      <c r="CL169" t="str">
        <f t="shared" si="109"/>
        <v>REV</v>
      </c>
      <c r="CM169" t="str">
        <f t="shared" si="110"/>
        <v/>
      </c>
      <c r="CN169" s="635"/>
      <c r="CO169" s="631"/>
      <c r="CP169" s="629" t="str">
        <f t="shared" si="121"/>
        <v>FOR ISSUANCE</v>
      </c>
      <c r="CQ169" s="635"/>
      <c r="CR169" s="697"/>
      <c r="CS169" s="633" t="str">
        <f t="shared" ca="1" si="112"/>
        <v>0</v>
      </c>
      <c r="CT169" s="635"/>
      <c r="CU169" s="631"/>
      <c r="CV169" s="638"/>
      <c r="CW169" s="156" t="s">
        <v>1275</v>
      </c>
      <c r="CX169" s="156" t="str">
        <f>VLOOKUP(E169,'[1]List of Work Orders'!$A:$I,9,FALSE)</f>
        <v>ME185284</v>
      </c>
      <c r="CY169" s="156"/>
      <c r="DC169" t="str">
        <f>VLOOKUP(E169,'[2]List of Work Orders'!$A:$F,6,FALSE)</f>
        <v>CLOSED-CAN</v>
      </c>
      <c r="DS169" s="156" t="s">
        <v>381</v>
      </c>
    </row>
    <row r="170" spans="1:123" customFormat="1" ht="15" customHeight="1" x14ac:dyDescent="0.25">
      <c r="A170" s="242">
        <v>45601</v>
      </c>
      <c r="B170" s="222">
        <v>45586</v>
      </c>
      <c r="C170" s="223"/>
      <c r="D170" s="66" t="s">
        <v>234</v>
      </c>
      <c r="E170" s="404" t="s">
        <v>1276</v>
      </c>
      <c r="F170" s="95" t="s">
        <v>1277</v>
      </c>
      <c r="G170" s="95" t="s">
        <v>1278</v>
      </c>
      <c r="H170" s="95" t="s">
        <v>378</v>
      </c>
      <c r="I170" s="95" t="s">
        <v>239</v>
      </c>
      <c r="J170" s="163" t="s">
        <v>1279</v>
      </c>
      <c r="K170" s="101" t="s">
        <v>271</v>
      </c>
      <c r="L170" s="101" t="s">
        <v>288</v>
      </c>
      <c r="M170" s="345" t="s">
        <v>272</v>
      </c>
      <c r="N170" s="442" t="s">
        <v>381</v>
      </c>
      <c r="O170" s="165">
        <v>116.3974</v>
      </c>
      <c r="P170" s="933">
        <v>249.8</v>
      </c>
      <c r="Q170" s="157">
        <v>0</v>
      </c>
      <c r="R170" s="109" t="s">
        <v>319</v>
      </c>
      <c r="S170" s="110">
        <v>248970.42</v>
      </c>
      <c r="T170" s="93">
        <v>93739.94</v>
      </c>
      <c r="U170" s="141">
        <v>75757.59</v>
      </c>
      <c r="V170" s="158">
        <f t="shared" si="85"/>
        <v>0.8081676817800395</v>
      </c>
      <c r="W170" s="159">
        <v>45581.698645833334</v>
      </c>
      <c r="X170" s="159">
        <v>45586.633333333331</v>
      </c>
      <c r="Y170" s="160">
        <v>45586</v>
      </c>
      <c r="Z170" s="470"/>
      <c r="AA170" s="470">
        <v>45688</v>
      </c>
      <c r="AB170" s="470"/>
      <c r="AC170" s="161">
        <f t="shared" si="86"/>
        <v>106.30135416666599</v>
      </c>
      <c r="AD170" s="161">
        <f t="shared" si="122"/>
        <v>101.36666666666861</v>
      </c>
      <c r="AE170" s="446">
        <f t="shared" si="114"/>
        <v>-45688</v>
      </c>
      <c r="AF170" s="160">
        <f t="shared" si="123"/>
        <v>45603.567066885968</v>
      </c>
      <c r="AG170" s="160">
        <f t="shared" si="124"/>
        <v>45613.198645833334</v>
      </c>
      <c r="AH170" s="159">
        <f t="shared" si="125"/>
        <v>45631.698645833334</v>
      </c>
      <c r="AI170" s="162">
        <f t="shared" si="87"/>
        <v>3.2059138558200853</v>
      </c>
      <c r="AJ170" s="224">
        <f t="shared" si="126"/>
        <v>-761.4666666666667</v>
      </c>
      <c r="AK170" s="225">
        <f t="shared" si="88"/>
        <v>28</v>
      </c>
      <c r="AL170" s="170">
        <f t="shared" si="89"/>
        <v>36</v>
      </c>
      <c r="AM170" s="170">
        <f t="shared" si="90"/>
        <v>24.868421052631579</v>
      </c>
      <c r="AN170" s="170">
        <f t="shared" si="91"/>
        <v>31.499999999999996</v>
      </c>
      <c r="AO170" s="226">
        <f t="shared" si="92"/>
        <v>21.868421052631579</v>
      </c>
      <c r="AP170" s="227">
        <v>60</v>
      </c>
      <c r="AQ170" s="228">
        <f t="shared" si="93"/>
        <v>57</v>
      </c>
      <c r="AR170" s="228">
        <f t="shared" si="94"/>
        <v>52</v>
      </c>
      <c r="AS170" s="229">
        <f t="shared" si="95"/>
        <v>45748</v>
      </c>
      <c r="AT170" s="982">
        <f t="shared" ca="1" si="96"/>
        <v>207</v>
      </c>
      <c r="AU170" s="50"/>
      <c r="AV170" s="118"/>
      <c r="AW170" s="49"/>
      <c r="AX170" s="49"/>
      <c r="AY170" s="49"/>
      <c r="AZ170" s="300"/>
      <c r="BA170" s="119"/>
      <c r="BB170" s="304"/>
      <c r="BC170" s="231" t="s">
        <v>581</v>
      </c>
      <c r="BD170" s="232" t="s">
        <v>601</v>
      </c>
      <c r="BE170" s="222">
        <f t="shared" si="119"/>
        <v>45703</v>
      </c>
      <c r="BF170" s="233">
        <f t="shared" si="120"/>
        <v>6</v>
      </c>
      <c r="BG170" s="234">
        <v>45688</v>
      </c>
      <c r="BH170" s="235">
        <v>45709</v>
      </c>
      <c r="BI170" s="234">
        <v>45769</v>
      </c>
      <c r="BJ170" s="236" t="s">
        <v>245</v>
      </c>
      <c r="BK170" s="222" t="s">
        <v>247</v>
      </c>
      <c r="BL170" s="222"/>
      <c r="BM170" s="238"/>
      <c r="BN170" s="222"/>
      <c r="BO170" s="222">
        <v>45817</v>
      </c>
      <c r="BP170" s="243" t="s">
        <v>1084</v>
      </c>
      <c r="BQ170" s="244" t="s">
        <v>247</v>
      </c>
      <c r="BR170" s="238"/>
      <c r="BS170" s="67"/>
      <c r="BT170" s="66"/>
      <c r="BU170" s="66"/>
      <c r="BV170" s="66"/>
      <c r="BW170" s="74"/>
      <c r="BX170" s="81"/>
      <c r="BY170" s="66"/>
      <c r="BZ170" s="944" t="s">
        <v>1280</v>
      </c>
      <c r="CA170" s="42" t="str">
        <f t="shared" si="99"/>
        <v>0</v>
      </c>
      <c r="CB170" s="62">
        <f t="shared" si="100"/>
        <v>106.30135416666599</v>
      </c>
      <c r="CC170" s="42">
        <f t="shared" si="101"/>
        <v>0</v>
      </c>
      <c r="CD170" s="62">
        <f t="shared" si="102"/>
        <v>106.30135416666599</v>
      </c>
      <c r="CE170" s="62">
        <f t="shared" si="103"/>
        <v>3.2059138558200853</v>
      </c>
      <c r="CF170" s="145">
        <f t="shared" si="104"/>
        <v>181</v>
      </c>
      <c r="CG170" s="145"/>
      <c r="CH170" s="443">
        <f t="shared" si="105"/>
        <v>8.6646440145502446</v>
      </c>
      <c r="CI170" s="996">
        <f t="shared" si="106"/>
        <v>8.6646440145502446</v>
      </c>
      <c r="CJ170" s="261">
        <f t="shared" si="107"/>
        <v>3.0166666666666666</v>
      </c>
      <c r="CK170" s="458" t="str">
        <f t="shared" si="108"/>
        <v/>
      </c>
      <c r="CL170" t="str">
        <f t="shared" si="109"/>
        <v>NON-REV</v>
      </c>
      <c r="CM170" t="str">
        <f t="shared" si="110"/>
        <v/>
      </c>
      <c r="CN170" s="635"/>
      <c r="CO170" s="631"/>
      <c r="CP170" s="629" t="str">
        <f t="shared" si="121"/>
        <v>FOR ISSUANCE</v>
      </c>
      <c r="CQ170" s="635"/>
      <c r="CR170" s="697"/>
      <c r="CS170" s="633" t="str">
        <f t="shared" ca="1" si="112"/>
        <v>0</v>
      </c>
      <c r="CT170" s="635"/>
      <c r="CU170" s="631"/>
      <c r="CV170" s="638"/>
      <c r="CW170" s="156" t="s">
        <v>1281</v>
      </c>
      <c r="CX170" s="156" t="str">
        <f>VLOOKUP(E170,'[1]List of Work Orders'!$A:$I,9,FALSE)</f>
        <v>ME185284</v>
      </c>
      <c r="CY170" s="156"/>
      <c r="DC170" t="str">
        <f>VLOOKUP(E170,'[2]List of Work Orders'!$A:$F,6,FALSE)</f>
        <v>FCOMP</v>
      </c>
      <c r="DS170" s="156" t="s">
        <v>397</v>
      </c>
    </row>
    <row r="171" spans="1:123" ht="15" customHeight="1" x14ac:dyDescent="0.2">
      <c r="A171" s="242">
        <v>45593</v>
      </c>
      <c r="B171" s="222">
        <v>45588</v>
      </c>
      <c r="C171" s="223"/>
      <c r="D171" s="66" t="s">
        <v>284</v>
      </c>
      <c r="E171" s="404" t="s">
        <v>1282</v>
      </c>
      <c r="F171" s="95" t="s">
        <v>1283</v>
      </c>
      <c r="G171" s="95" t="s">
        <v>1284</v>
      </c>
      <c r="H171" s="95" t="s">
        <v>253</v>
      </c>
      <c r="I171" s="95" t="s">
        <v>254</v>
      </c>
      <c r="J171" s="163"/>
      <c r="K171" s="101" t="s">
        <v>271</v>
      </c>
      <c r="L171" s="101" t="s">
        <v>255</v>
      </c>
      <c r="M171" s="345" t="s">
        <v>272</v>
      </c>
      <c r="N171" s="442" t="s">
        <v>381</v>
      </c>
      <c r="O171" s="165">
        <v>384.3897</v>
      </c>
      <c r="P171" s="933">
        <v>384.39</v>
      </c>
      <c r="Q171" s="157">
        <v>38</v>
      </c>
      <c r="R171" s="109" t="s">
        <v>244</v>
      </c>
      <c r="S171" s="110">
        <v>1792274.22</v>
      </c>
      <c r="T171" s="93">
        <v>309541.14</v>
      </c>
      <c r="U171" s="141"/>
      <c r="V171" s="158">
        <f t="shared" si="85"/>
        <v>0</v>
      </c>
      <c r="W171" s="159">
        <v>45583.615277777775</v>
      </c>
      <c r="X171" s="159">
        <v>45588.427777777775</v>
      </c>
      <c r="Y171" s="160">
        <v>45588</v>
      </c>
      <c r="Z171" s="470"/>
      <c r="AA171" s="470">
        <v>45702</v>
      </c>
      <c r="AB171" s="470"/>
      <c r="AC171" s="161">
        <f t="shared" si="86"/>
        <v>118.38472222222481</v>
      </c>
      <c r="AD171" s="161">
        <f t="shared" si="122"/>
        <v>113.57222222222481</v>
      </c>
      <c r="AE171" s="446">
        <f t="shared" si="114"/>
        <v>-45702</v>
      </c>
      <c r="AF171" s="160">
        <f t="shared" si="123"/>
        <v>45606.086975890983</v>
      </c>
      <c r="AG171" s="160">
        <f t="shared" si="124"/>
        <v>45615.879428721171</v>
      </c>
      <c r="AH171" s="159">
        <f t="shared" si="125"/>
        <v>45633.615277777775</v>
      </c>
      <c r="AI171" s="162">
        <f t="shared" si="87"/>
        <v>3.4857723765432862</v>
      </c>
      <c r="AJ171" s="224">
        <f t="shared" si="126"/>
        <v>-761.7</v>
      </c>
      <c r="AK171" s="225">
        <f t="shared" si="88"/>
        <v>30</v>
      </c>
      <c r="AL171" s="170">
        <f t="shared" si="89"/>
        <v>36</v>
      </c>
      <c r="AM171" s="170">
        <f t="shared" si="90"/>
        <v>25.471698113207545</v>
      </c>
      <c r="AN171" s="170">
        <f t="shared" si="91"/>
        <v>32.264150943396224</v>
      </c>
      <c r="AO171" s="226">
        <f t="shared" si="92"/>
        <v>22.471698113207545</v>
      </c>
      <c r="AP171" s="227">
        <v>60</v>
      </c>
      <c r="AQ171" s="228">
        <f t="shared" si="93"/>
        <v>57</v>
      </c>
      <c r="AR171" s="228">
        <f t="shared" si="94"/>
        <v>52</v>
      </c>
      <c r="AS171" s="229">
        <f t="shared" si="95"/>
        <v>45762</v>
      </c>
      <c r="AT171" s="982">
        <f t="shared" ca="1" si="96"/>
        <v>193</v>
      </c>
      <c r="AU171" s="1077"/>
      <c r="AV171" s="1078"/>
      <c r="AW171" s="1079"/>
      <c r="AX171" s="1079"/>
      <c r="AY171" s="1079"/>
      <c r="AZ171" s="1080"/>
      <c r="BA171" s="1081"/>
      <c r="BB171" s="1091"/>
      <c r="BC171" s="231" t="s">
        <v>13</v>
      </c>
      <c r="BD171" s="232"/>
      <c r="BE171" s="222">
        <f t="shared" si="119"/>
        <v>45717</v>
      </c>
      <c r="BF171" s="233" t="e">
        <f t="shared" si="120"/>
        <v>#VALUE!</v>
      </c>
      <c r="BG171" s="234"/>
      <c r="BH171" s="235"/>
      <c r="BI171" s="234"/>
      <c r="BJ171" s="236"/>
      <c r="BK171" s="222"/>
      <c r="BL171" s="222"/>
      <c r="BM171" s="238"/>
      <c r="BN171" s="222"/>
      <c r="BO171" s="222"/>
      <c r="BP171" s="243"/>
      <c r="BQ171" s="244" t="s">
        <v>247</v>
      </c>
      <c r="BR171" s="238">
        <v>45699</v>
      </c>
      <c r="BS171" s="67"/>
      <c r="BT171" s="66"/>
      <c r="BU171" s="66"/>
      <c r="BV171" s="66"/>
      <c r="BW171" s="74"/>
      <c r="BX171" s="81"/>
      <c r="BY171" s="66">
        <v>45601</v>
      </c>
      <c r="BZ171" s="944" t="s">
        <v>1285</v>
      </c>
      <c r="CA171" s="42" t="str">
        <f t="shared" si="99"/>
        <v>0</v>
      </c>
      <c r="CB171" s="62">
        <f t="shared" si="100"/>
        <v>118.38472222222481</v>
      </c>
      <c r="CC171" s="42">
        <f t="shared" si="101"/>
        <v>0</v>
      </c>
      <c r="CD171" s="62">
        <f t="shared" si="102"/>
        <v>118.38472222222481</v>
      </c>
      <c r="CE171" s="62">
        <f t="shared" si="103"/>
        <v>3.4857723765432862</v>
      </c>
      <c r="CF171" s="1059">
        <f t="shared" si="104"/>
        <v>167</v>
      </c>
      <c r="CH171" s="1082">
        <f t="shared" si="105"/>
        <v>8.4029945987655079</v>
      </c>
      <c r="CI171" s="1083">
        <f t="shared" si="106"/>
        <v>8.4029945987655079</v>
      </c>
      <c r="CJ171" s="1084">
        <f t="shared" si="107"/>
        <v>2.7833333333333332</v>
      </c>
      <c r="CK171" s="1085" t="str">
        <f t="shared" si="108"/>
        <v/>
      </c>
      <c r="CL171" s="1057" t="str">
        <f t="shared" si="109"/>
        <v>REV</v>
      </c>
      <c r="CM171" s="1057" t="str">
        <f t="shared" si="110"/>
        <v/>
      </c>
      <c r="CN171" s="1086"/>
      <c r="CO171" s="1087"/>
      <c r="CP171" s="629" t="str">
        <f t="shared" si="121"/>
        <v>FOR ISSUANCE</v>
      </c>
      <c r="CQ171" s="1086"/>
      <c r="CR171" s="1088"/>
      <c r="CS171" s="1089" t="str">
        <f t="shared" ca="1" si="112"/>
        <v>0</v>
      </c>
      <c r="CT171" s="1086"/>
      <c r="CU171" s="1087"/>
      <c r="CV171" s="1090"/>
      <c r="CW171" s="156" t="s">
        <v>1286</v>
      </c>
      <c r="CX171" s="156" t="str">
        <f>VLOOKUP(E171,'[1]List of Work Orders'!$A:$I,9,FALSE)</f>
        <v>ME185284</v>
      </c>
      <c r="CY171" s="156"/>
      <c r="DC171" s="1057" t="str">
        <f>VLOOKUP(E171,'[2]List of Work Orders'!$A:$F,6,FALSE)</f>
        <v>FCOMP</v>
      </c>
      <c r="DS171" s="156" t="s">
        <v>381</v>
      </c>
    </row>
    <row r="172" spans="1:123" customFormat="1" ht="15" customHeight="1" x14ac:dyDescent="0.25">
      <c r="A172" s="242">
        <v>45593</v>
      </c>
      <c r="B172" s="222">
        <v>45589</v>
      </c>
      <c r="C172" s="223"/>
      <c r="D172" s="66" t="s">
        <v>234</v>
      </c>
      <c r="E172" s="404" t="s">
        <v>1287</v>
      </c>
      <c r="F172" s="95" t="s">
        <v>614</v>
      </c>
      <c r="G172" s="95" t="s">
        <v>1288</v>
      </c>
      <c r="H172" s="95" t="s">
        <v>253</v>
      </c>
      <c r="I172" s="95" t="s">
        <v>254</v>
      </c>
      <c r="J172" s="163" t="s">
        <v>1289</v>
      </c>
      <c r="K172" s="101" t="s">
        <v>299</v>
      </c>
      <c r="L172" s="101" t="s">
        <v>263</v>
      </c>
      <c r="M172" s="345" t="s">
        <v>272</v>
      </c>
      <c r="N172" s="442" t="s">
        <v>467</v>
      </c>
      <c r="O172" s="165">
        <v>100.9782</v>
      </c>
      <c r="P172" s="933">
        <v>102.03</v>
      </c>
      <c r="Q172" s="157">
        <v>20</v>
      </c>
      <c r="R172" s="109" t="s">
        <v>244</v>
      </c>
      <c r="S172" s="110">
        <v>353455.45</v>
      </c>
      <c r="T172" s="93">
        <v>81315.740000000005</v>
      </c>
      <c r="U172" s="141"/>
      <c r="V172" s="158">
        <f t="shared" si="85"/>
        <v>0</v>
      </c>
      <c r="W172" s="159">
        <v>45583.647222222222</v>
      </c>
      <c r="X172" s="159">
        <v>45588.430555555555</v>
      </c>
      <c r="Y172" s="160">
        <v>45589</v>
      </c>
      <c r="Z172" s="470"/>
      <c r="AA172" s="470">
        <v>45740</v>
      </c>
      <c r="AB172" s="470"/>
      <c r="AC172" s="161">
        <f t="shared" si="86"/>
        <v>156.3527777777781</v>
      </c>
      <c r="AD172" s="161">
        <f t="shared" si="122"/>
        <v>151.56944444444525</v>
      </c>
      <c r="AE172" s="446">
        <f t="shared" si="114"/>
        <v>-45740</v>
      </c>
      <c r="AF172" s="160">
        <f t="shared" si="123"/>
        <v>45604.854118773947</v>
      </c>
      <c r="AG172" s="160">
        <f t="shared" si="124"/>
        <v>45614.309291187739</v>
      </c>
      <c r="AH172" s="159">
        <f t="shared" si="125"/>
        <v>45633.647222222222</v>
      </c>
      <c r="AI172" s="162">
        <f t="shared" si="87"/>
        <v>4.8442634140550904</v>
      </c>
      <c r="AJ172" s="224">
        <f t="shared" si="126"/>
        <v>-762.33333333333337</v>
      </c>
      <c r="AK172" s="225">
        <f t="shared" si="88"/>
        <v>26</v>
      </c>
      <c r="AL172" s="170">
        <f t="shared" si="89"/>
        <v>36</v>
      </c>
      <c r="AM172" s="170">
        <f t="shared" si="90"/>
        <v>24.206896551724139</v>
      </c>
      <c r="AN172" s="170">
        <f t="shared" si="91"/>
        <v>30.662068965517239</v>
      </c>
      <c r="AO172" s="226">
        <f t="shared" si="92"/>
        <v>21.206896551724139</v>
      </c>
      <c r="AP172" s="227">
        <v>60</v>
      </c>
      <c r="AQ172" s="228">
        <f t="shared" si="93"/>
        <v>57</v>
      </c>
      <c r="AR172" s="228">
        <f t="shared" si="94"/>
        <v>52</v>
      </c>
      <c r="AS172" s="229">
        <f t="shared" si="95"/>
        <v>45800</v>
      </c>
      <c r="AT172" s="982">
        <f t="shared" ca="1" si="96"/>
        <v>155</v>
      </c>
      <c r="AU172" s="50"/>
      <c r="AV172" s="118"/>
      <c r="AW172" s="49"/>
      <c r="AX172" s="49"/>
      <c r="AY172" s="49"/>
      <c r="AZ172" s="300"/>
      <c r="BA172" s="119"/>
      <c r="BB172" s="304"/>
      <c r="BC172" s="231" t="s">
        <v>13</v>
      </c>
      <c r="BD172" s="232" t="s">
        <v>1290</v>
      </c>
      <c r="BE172" s="222">
        <f t="shared" si="119"/>
        <v>45755</v>
      </c>
      <c r="BF172" s="233" t="e">
        <f t="shared" si="120"/>
        <v>#VALUE!</v>
      </c>
      <c r="BG172" s="234"/>
      <c r="BH172" s="235"/>
      <c r="BI172" s="234">
        <v>45831</v>
      </c>
      <c r="BJ172" s="236" t="s">
        <v>1119</v>
      </c>
      <c r="BK172" s="222"/>
      <c r="BL172" s="222"/>
      <c r="BM172" s="238"/>
      <c r="BN172" s="222"/>
      <c r="BO172" s="222"/>
      <c r="BP172" s="243"/>
      <c r="BQ172" s="244" t="s">
        <v>247</v>
      </c>
      <c r="BR172" s="238"/>
      <c r="BS172" s="67"/>
      <c r="BT172" s="66"/>
      <c r="BU172" s="66"/>
      <c r="BV172" s="66"/>
      <c r="BW172" s="74"/>
      <c r="BX172" s="81"/>
      <c r="BY172" s="66">
        <v>45594</v>
      </c>
      <c r="BZ172" s="944" t="s">
        <v>1291</v>
      </c>
      <c r="CA172" s="42" t="str">
        <f t="shared" si="99"/>
        <v>0</v>
      </c>
      <c r="CB172" s="62">
        <f t="shared" si="100"/>
        <v>156.3527777777781</v>
      </c>
      <c r="CC172" s="42">
        <f t="shared" si="101"/>
        <v>0</v>
      </c>
      <c r="CD172" s="62">
        <f t="shared" si="102"/>
        <v>156.3527777777781</v>
      </c>
      <c r="CE172" s="62">
        <f t="shared" si="103"/>
        <v>4.8442634140550904</v>
      </c>
      <c r="CF172" s="145">
        <f t="shared" si="104"/>
        <v>129</v>
      </c>
      <c r="CG172" s="145"/>
      <c r="CH172" s="443">
        <f t="shared" si="105"/>
        <v>8.8410582858499627</v>
      </c>
      <c r="CI172" s="996">
        <f t="shared" si="106"/>
        <v>8.8410582858499627</v>
      </c>
      <c r="CJ172" s="261">
        <f t="shared" si="107"/>
        <v>2.15</v>
      </c>
      <c r="CK172" s="458" t="str">
        <f t="shared" si="108"/>
        <v/>
      </c>
      <c r="CL172" t="str">
        <f t="shared" si="109"/>
        <v>REV</v>
      </c>
      <c r="CM172" t="str">
        <f t="shared" si="110"/>
        <v/>
      </c>
      <c r="CN172" s="635"/>
      <c r="CO172" s="631"/>
      <c r="CP172" s="629" t="str">
        <f t="shared" si="121"/>
        <v>FOR ISSUANCE</v>
      </c>
      <c r="CQ172" s="635"/>
      <c r="CR172" s="697"/>
      <c r="CS172" s="633" t="str">
        <f t="shared" ca="1" si="112"/>
        <v>0</v>
      </c>
      <c r="CT172" s="635"/>
      <c r="CU172" s="631"/>
      <c r="CV172" s="638"/>
      <c r="CW172" s="156" t="s">
        <v>1292</v>
      </c>
      <c r="CX172" s="156" t="str">
        <f>VLOOKUP(E172,'[1]List of Work Orders'!$A:$I,9,FALSE)</f>
        <v>ME155242</v>
      </c>
      <c r="CY172" s="156"/>
      <c r="DC172" t="str">
        <f>VLOOKUP(E172,'[2]List of Work Orders'!$A:$F,6,FALSE)</f>
        <v>FCOMP</v>
      </c>
      <c r="DS172" s="156" t="s">
        <v>381</v>
      </c>
    </row>
    <row r="173" spans="1:123" customFormat="1" ht="15" customHeight="1" x14ac:dyDescent="0.25">
      <c r="A173" s="242">
        <v>45603</v>
      </c>
      <c r="B173" s="222">
        <v>45594</v>
      </c>
      <c r="C173" s="223"/>
      <c r="D173" s="66" t="s">
        <v>234</v>
      </c>
      <c r="E173" s="404" t="s">
        <v>1293</v>
      </c>
      <c r="F173" s="95" t="s">
        <v>926</v>
      </c>
      <c r="G173" s="95" t="s">
        <v>1294</v>
      </c>
      <c r="H173" s="95" t="s">
        <v>378</v>
      </c>
      <c r="I173" s="95" t="s">
        <v>239</v>
      </c>
      <c r="J173" s="168" t="s">
        <v>1295</v>
      </c>
      <c r="K173" s="101" t="s">
        <v>271</v>
      </c>
      <c r="L173" s="101" t="s">
        <v>288</v>
      </c>
      <c r="M173" s="345" t="s">
        <v>272</v>
      </c>
      <c r="N173" s="442" t="s">
        <v>381</v>
      </c>
      <c r="O173" s="165">
        <v>133.7749</v>
      </c>
      <c r="P173" s="933">
        <v>1550.97</v>
      </c>
      <c r="Q173" s="157">
        <v>22</v>
      </c>
      <c r="R173" s="109" t="s">
        <v>244</v>
      </c>
      <c r="S173" s="110">
        <v>1544526.93</v>
      </c>
      <c r="T173" s="93">
        <v>107725.88</v>
      </c>
      <c r="U173" s="141">
        <v>39828.800000000003</v>
      </c>
      <c r="V173" s="158">
        <f t="shared" si="85"/>
        <v>0.3697235984519226</v>
      </c>
      <c r="W173" s="159">
        <v>45586.589583333334</v>
      </c>
      <c r="X173" s="159">
        <v>45593.617361111108</v>
      </c>
      <c r="Y173" s="160">
        <v>45594</v>
      </c>
      <c r="Z173" s="470">
        <v>45739</v>
      </c>
      <c r="AA173" s="470">
        <v>45739</v>
      </c>
      <c r="AB173" s="470"/>
      <c r="AC173" s="161">
        <f t="shared" si="86"/>
        <v>152.4104166666657</v>
      </c>
      <c r="AD173" s="161">
        <f t="shared" si="122"/>
        <v>145.38263888889196</v>
      </c>
      <c r="AE173" s="446">
        <f t="shared" si="114"/>
        <v>-45739</v>
      </c>
      <c r="AF173" s="160">
        <f t="shared" si="123"/>
        <v>45613.065565866083</v>
      </c>
      <c r="AG173" s="160">
        <f t="shared" si="124"/>
        <v>45623.925827874817</v>
      </c>
      <c r="AH173" s="159">
        <f t="shared" si="125"/>
        <v>45636.589583333334</v>
      </c>
      <c r="AI173" s="162">
        <f t="shared" si="87"/>
        <v>3.8779983796296045</v>
      </c>
      <c r="AJ173" s="224">
        <f t="shared" si="126"/>
        <v>-762.31666666666672</v>
      </c>
      <c r="AK173" s="225">
        <f t="shared" si="88"/>
        <v>50</v>
      </c>
      <c r="AL173" s="170">
        <f t="shared" si="89"/>
        <v>36</v>
      </c>
      <c r="AM173" s="170">
        <f t="shared" si="90"/>
        <v>29.475982532751093</v>
      </c>
      <c r="AN173" s="170">
        <f t="shared" si="91"/>
        <v>37.336244541484717</v>
      </c>
      <c r="AO173" s="226">
        <f t="shared" si="92"/>
        <v>26.475982532751093</v>
      </c>
      <c r="AP173" s="227">
        <v>60</v>
      </c>
      <c r="AQ173" s="228">
        <f t="shared" si="93"/>
        <v>57</v>
      </c>
      <c r="AR173" s="228">
        <f t="shared" si="94"/>
        <v>52</v>
      </c>
      <c r="AS173" s="229">
        <f t="shared" si="95"/>
        <v>45799</v>
      </c>
      <c r="AT173" s="982">
        <f t="shared" ca="1" si="96"/>
        <v>156</v>
      </c>
      <c r="AU173" s="50"/>
      <c r="AV173" s="118"/>
      <c r="AW173" s="49"/>
      <c r="AX173" s="49"/>
      <c r="AY173" s="49"/>
      <c r="AZ173" s="300"/>
      <c r="BA173" s="119"/>
      <c r="BB173" s="304"/>
      <c r="BC173" s="231" t="s">
        <v>12</v>
      </c>
      <c r="BD173" s="232"/>
      <c r="BE173" s="222">
        <f t="shared" si="119"/>
        <v>45754</v>
      </c>
      <c r="BF173" s="233">
        <f t="shared" si="120"/>
        <v>112</v>
      </c>
      <c r="BG173" s="234">
        <v>45739</v>
      </c>
      <c r="BH173" s="235">
        <v>45866</v>
      </c>
      <c r="BI173" s="234"/>
      <c r="BJ173" s="236"/>
      <c r="BK173" s="222"/>
      <c r="BL173" s="222"/>
      <c r="BM173" s="238"/>
      <c r="BN173" s="222"/>
      <c r="BO173" s="222"/>
      <c r="BP173" s="243"/>
      <c r="BQ173" s="244" t="s">
        <v>247</v>
      </c>
      <c r="BR173" s="238">
        <v>45735</v>
      </c>
      <c r="BS173" s="67"/>
      <c r="BT173" s="66"/>
      <c r="BU173" s="66"/>
      <c r="BV173" s="66"/>
      <c r="BW173" s="74"/>
      <c r="BX173" s="81"/>
      <c r="BY173" s="66">
        <v>45605</v>
      </c>
      <c r="BZ173" s="944" t="s">
        <v>1296</v>
      </c>
      <c r="CA173" s="42" t="str">
        <f t="shared" si="99"/>
        <v>0</v>
      </c>
      <c r="CB173" s="62">
        <f t="shared" si="100"/>
        <v>152.4104166666657</v>
      </c>
      <c r="CC173" s="42">
        <f t="shared" si="101"/>
        <v>0</v>
      </c>
      <c r="CD173" s="62">
        <f t="shared" si="102"/>
        <v>152.4104166666657</v>
      </c>
      <c r="CE173" s="62">
        <f t="shared" si="103"/>
        <v>3.8779983796296045</v>
      </c>
      <c r="CF173" s="145">
        <f t="shared" si="104"/>
        <v>130</v>
      </c>
      <c r="CG173" s="145"/>
      <c r="CH173" s="443">
        <f t="shared" si="105"/>
        <v>7.185776157407382</v>
      </c>
      <c r="CI173" s="996">
        <f t="shared" si="106"/>
        <v>7.185776157407382</v>
      </c>
      <c r="CJ173" s="261">
        <f t="shared" si="107"/>
        <v>2.1666666666666665</v>
      </c>
      <c r="CK173" s="458" t="str">
        <f t="shared" si="108"/>
        <v/>
      </c>
      <c r="CL173" t="str">
        <f t="shared" si="109"/>
        <v>REV</v>
      </c>
      <c r="CM173" t="str">
        <f t="shared" si="110"/>
        <v/>
      </c>
      <c r="CN173" s="635"/>
      <c r="CO173" s="631"/>
      <c r="CP173" s="629" t="str">
        <f t="shared" si="121"/>
        <v>FOR ISSUANCE</v>
      </c>
      <c r="CQ173" s="635"/>
      <c r="CR173" s="697"/>
      <c r="CS173" s="633" t="str">
        <f t="shared" ca="1" si="112"/>
        <v>0</v>
      </c>
      <c r="CT173" s="635"/>
      <c r="CU173" s="631"/>
      <c r="CV173" s="638"/>
      <c r="CW173" s="156" t="s">
        <v>1297</v>
      </c>
      <c r="CX173" s="156" t="str">
        <f>VLOOKUP(E173,'[1]List of Work Orders'!$A:$I,9,FALSE)</f>
        <v>ME185284</v>
      </c>
      <c r="CY173" s="156"/>
      <c r="DC173" t="str">
        <f>VLOOKUP(E173,'[2]List of Work Orders'!$A:$F,6,FALSE)</f>
        <v>FCOMP</v>
      </c>
      <c r="DS173" s="156" t="s">
        <v>397</v>
      </c>
    </row>
    <row r="174" spans="1:123" customFormat="1" ht="15" customHeight="1" x14ac:dyDescent="0.25">
      <c r="A174" s="242">
        <v>45600</v>
      </c>
      <c r="B174" s="222">
        <v>45594</v>
      </c>
      <c r="C174" s="223"/>
      <c r="D174" s="66" t="s">
        <v>320</v>
      </c>
      <c r="E174" s="404" t="s">
        <v>1298</v>
      </c>
      <c r="F174" s="95" t="s">
        <v>1299</v>
      </c>
      <c r="G174" s="95" t="s">
        <v>1300</v>
      </c>
      <c r="H174" s="95" t="s">
        <v>238</v>
      </c>
      <c r="I174" s="95" t="s">
        <v>239</v>
      </c>
      <c r="J174" s="163"/>
      <c r="K174" s="101"/>
      <c r="L174" s="101" t="s">
        <v>242</v>
      </c>
      <c r="M174" s="345" t="s">
        <v>272</v>
      </c>
      <c r="N174" s="442" t="s">
        <v>467</v>
      </c>
      <c r="O174" s="165">
        <v>107.8165</v>
      </c>
      <c r="P174" s="933">
        <v>186.1</v>
      </c>
      <c r="Q174" s="157">
        <v>80</v>
      </c>
      <c r="R174" s="109" t="s">
        <v>548</v>
      </c>
      <c r="S174" s="110">
        <v>494977.65</v>
      </c>
      <c r="T174" s="93">
        <v>86091.88</v>
      </c>
      <c r="U174" s="141"/>
      <c r="V174" s="158">
        <f t="shared" si="85"/>
        <v>0</v>
      </c>
      <c r="W174" s="159">
        <v>45586.661805555559</v>
      </c>
      <c r="X174" s="159">
        <v>45593.618750000001</v>
      </c>
      <c r="Y174" s="160">
        <v>45594</v>
      </c>
      <c r="Z174" s="470"/>
      <c r="AA174" s="470">
        <v>45808</v>
      </c>
      <c r="AB174" s="470"/>
      <c r="AC174" s="161">
        <f t="shared" si="86"/>
        <v>221.33819444444089</v>
      </c>
      <c r="AD174" s="161">
        <f t="shared" si="122"/>
        <v>214.38124999999854</v>
      </c>
      <c r="AE174" s="446">
        <f t="shared" si="114"/>
        <v>-45808</v>
      </c>
      <c r="AF174" s="160">
        <f t="shared" si="123"/>
        <v>45607.006875978092</v>
      </c>
      <c r="AG174" s="160">
        <f t="shared" si="124"/>
        <v>45616.232228090768</v>
      </c>
      <c r="AH174" s="159">
        <f t="shared" si="125"/>
        <v>45636.661805555559</v>
      </c>
      <c r="AI174" s="162">
        <f t="shared" si="87"/>
        <v>7.110865070387014</v>
      </c>
      <c r="AJ174" s="224">
        <f t="shared" si="126"/>
        <v>-763.4666666666667</v>
      </c>
      <c r="AK174" s="225">
        <f t="shared" si="88"/>
        <v>26</v>
      </c>
      <c r="AL174" s="170">
        <f t="shared" si="89"/>
        <v>34</v>
      </c>
      <c r="AM174" s="170">
        <f t="shared" si="90"/>
        <v>23.345070422535212</v>
      </c>
      <c r="AN174" s="170">
        <f t="shared" si="91"/>
        <v>29.570422535211268</v>
      </c>
      <c r="AO174" s="226">
        <f t="shared" si="92"/>
        <v>20.345070422535212</v>
      </c>
      <c r="AP174" s="227">
        <v>60</v>
      </c>
      <c r="AQ174" s="228">
        <f t="shared" si="93"/>
        <v>57</v>
      </c>
      <c r="AR174" s="228">
        <f t="shared" si="94"/>
        <v>52</v>
      </c>
      <c r="AS174" s="229">
        <f t="shared" si="95"/>
        <v>45868</v>
      </c>
      <c r="AT174" s="982">
        <f t="shared" ca="1" si="96"/>
        <v>87</v>
      </c>
      <c r="AU174" s="50"/>
      <c r="AV174" s="118"/>
      <c r="AW174" s="49"/>
      <c r="AX174" s="49"/>
      <c r="AY174" s="49"/>
      <c r="AZ174" s="300"/>
      <c r="BA174" s="119"/>
      <c r="BB174" s="304"/>
      <c r="BC174" s="231" t="s">
        <v>12</v>
      </c>
      <c r="BD174" s="232"/>
      <c r="BE174" s="222">
        <f t="shared" si="119"/>
        <v>45823</v>
      </c>
      <c r="BF174" s="233">
        <f t="shared" si="120"/>
        <v>-8</v>
      </c>
      <c r="BG174" s="234">
        <v>45832</v>
      </c>
      <c r="BH174" s="235">
        <v>45815</v>
      </c>
      <c r="BI174" s="234"/>
      <c r="BJ174" s="236" t="s">
        <v>1301</v>
      </c>
      <c r="BK174" s="222"/>
      <c r="BL174" s="222"/>
      <c r="BM174" s="238"/>
      <c r="BN174" s="222"/>
      <c r="BO174" s="222"/>
      <c r="BP174" s="243"/>
      <c r="BQ174" s="244" t="s">
        <v>247</v>
      </c>
      <c r="BR174" s="238"/>
      <c r="BS174" s="67"/>
      <c r="BT174" s="66"/>
      <c r="BU174" s="66"/>
      <c r="BV174" s="66"/>
      <c r="BW174" s="74"/>
      <c r="BX174" s="81"/>
      <c r="BY174" s="66">
        <v>45601</v>
      </c>
      <c r="BZ174" s="944" t="s">
        <v>1302</v>
      </c>
      <c r="CA174" s="42" t="str">
        <f t="shared" si="99"/>
        <v>0</v>
      </c>
      <c r="CB174" s="62">
        <f t="shared" si="100"/>
        <v>221.33819444444089</v>
      </c>
      <c r="CC174" s="42">
        <f t="shared" si="101"/>
        <v>0</v>
      </c>
      <c r="CD174" s="62">
        <f t="shared" si="102"/>
        <v>221.33819444444089</v>
      </c>
      <c r="CE174" s="62">
        <f t="shared" si="103"/>
        <v>7.110865070387014</v>
      </c>
      <c r="CF174" s="145">
        <f t="shared" si="104"/>
        <v>61</v>
      </c>
      <c r="CG174" s="145"/>
      <c r="CH174" s="443">
        <f t="shared" si="105"/>
        <v>9.0705935771743444</v>
      </c>
      <c r="CI174" s="996">
        <f t="shared" si="106"/>
        <v>9.0705935771743444</v>
      </c>
      <c r="CJ174" s="261">
        <f t="shared" si="107"/>
        <v>1.0166666666666666</v>
      </c>
      <c r="CK174" s="458" t="str">
        <f t="shared" si="108"/>
        <v/>
      </c>
      <c r="CL174" t="str">
        <f t="shared" si="109"/>
        <v>NON-REV</v>
      </c>
      <c r="CM174" t="str">
        <f t="shared" si="110"/>
        <v/>
      </c>
      <c r="CN174" s="635"/>
      <c r="CO174" s="631"/>
      <c r="CP174" s="629" t="str">
        <f t="shared" si="121"/>
        <v>FOR ISSUANCE</v>
      </c>
      <c r="CQ174" s="635"/>
      <c r="CR174" s="697"/>
      <c r="CS174" s="633" t="str">
        <f t="shared" ca="1" si="112"/>
        <v>0</v>
      </c>
      <c r="CT174" s="635"/>
      <c r="CU174" s="631"/>
      <c r="CV174" s="638"/>
      <c r="CW174" s="156" t="s">
        <v>1303</v>
      </c>
      <c r="CX174" s="156" t="str">
        <f>VLOOKUP(E174,'[1]List of Work Orders'!$A:$I,9,FALSE)</f>
        <v>ME155242</v>
      </c>
      <c r="CY174" s="156"/>
      <c r="CZ174" s="63"/>
      <c r="DC174" t="str">
        <f>VLOOKUP(E174,'[2]List of Work Orders'!$A:$F,6,FALSE)</f>
        <v>SCHED</v>
      </c>
      <c r="DS174" s="156" t="s">
        <v>397</v>
      </c>
    </row>
    <row r="175" spans="1:123" customFormat="1" ht="15" customHeight="1" x14ac:dyDescent="0.25">
      <c r="A175" s="242">
        <v>45602</v>
      </c>
      <c r="B175" s="222">
        <v>45594</v>
      </c>
      <c r="C175" s="223"/>
      <c r="D175" s="66" t="s">
        <v>320</v>
      </c>
      <c r="E175" s="404" t="s">
        <v>1304</v>
      </c>
      <c r="F175" s="95" t="s">
        <v>1305</v>
      </c>
      <c r="G175" s="95" t="s">
        <v>1306</v>
      </c>
      <c r="H175" s="95" t="s">
        <v>238</v>
      </c>
      <c r="I175" s="95" t="s">
        <v>239</v>
      </c>
      <c r="J175" s="163"/>
      <c r="K175" s="101"/>
      <c r="L175" s="101" t="s">
        <v>242</v>
      </c>
      <c r="M175" s="345" t="s">
        <v>331</v>
      </c>
      <c r="N175" s="442" t="s">
        <v>467</v>
      </c>
      <c r="O175" s="165">
        <v>53.195999999999998</v>
      </c>
      <c r="P175" s="165">
        <v>131.47999999999999</v>
      </c>
      <c r="Q175" s="157">
        <v>40</v>
      </c>
      <c r="R175" s="109" t="s">
        <v>548</v>
      </c>
      <c r="S175" s="110">
        <v>308653.92</v>
      </c>
      <c r="T175" s="93">
        <v>42837.37</v>
      </c>
      <c r="U175" s="141"/>
      <c r="V175" s="158">
        <f t="shared" si="85"/>
        <v>0</v>
      </c>
      <c r="W175" s="159">
        <v>45586.663194444445</v>
      </c>
      <c r="X175" s="159">
        <v>45593.62222222222</v>
      </c>
      <c r="Y175" s="160">
        <v>45594</v>
      </c>
      <c r="Z175" s="470"/>
      <c r="AA175" s="470"/>
      <c r="AB175" s="470"/>
      <c r="AC175" s="161">
        <f t="shared" si="86"/>
        <v>-45586.663194444445</v>
      </c>
      <c r="AD175" s="161">
        <f t="shared" si="122"/>
        <v>-45593.62222222222</v>
      </c>
      <c r="AE175" s="446">
        <f t="shared" si="114"/>
        <v>0</v>
      </c>
      <c r="AF175" s="160">
        <f t="shared" si="123"/>
        <v>45607.87009099617</v>
      </c>
      <c r="AG175" s="160">
        <f t="shared" si="124"/>
        <v>45617.325263409963</v>
      </c>
      <c r="AH175" s="159">
        <f t="shared" si="125"/>
        <v>45636.663194444445</v>
      </c>
      <c r="AI175" s="162">
        <f t="shared" si="87"/>
        <v>-1412.4072998278725</v>
      </c>
      <c r="AJ175" s="224">
        <f t="shared" si="126"/>
        <v>0</v>
      </c>
      <c r="AK175" s="225">
        <f t="shared" si="88"/>
        <v>26</v>
      </c>
      <c r="AL175" s="170">
        <f t="shared" si="89"/>
        <v>36</v>
      </c>
      <c r="AM175" s="170">
        <f t="shared" si="90"/>
        <v>24.206896551724139</v>
      </c>
      <c r="AN175" s="170">
        <f t="shared" si="91"/>
        <v>30.662068965517239</v>
      </c>
      <c r="AO175" s="226">
        <f t="shared" si="92"/>
        <v>21.206896551724139</v>
      </c>
      <c r="AP175" s="227">
        <v>60</v>
      </c>
      <c r="AQ175" s="228">
        <f t="shared" si="93"/>
        <v>57</v>
      </c>
      <c r="AR175" s="228">
        <f t="shared" si="94"/>
        <v>52</v>
      </c>
      <c r="AS175" s="229">
        <f t="shared" si="95"/>
        <v>60</v>
      </c>
      <c r="AT175" s="982">
        <f t="shared" ca="1" si="96"/>
        <v>45895</v>
      </c>
      <c r="AU175" s="50"/>
      <c r="AV175" s="118"/>
      <c r="AW175" s="49"/>
      <c r="AX175" s="49"/>
      <c r="AY175" s="49"/>
      <c r="AZ175" s="300"/>
      <c r="BA175" s="119"/>
      <c r="BB175" s="304"/>
      <c r="BC175" s="231"/>
      <c r="BD175" s="232"/>
      <c r="BE175" s="222">
        <f t="shared" si="119"/>
        <v>15</v>
      </c>
      <c r="BF175" s="233">
        <f t="shared" si="120"/>
        <v>0</v>
      </c>
      <c r="BG175" s="234"/>
      <c r="BH175" s="235"/>
      <c r="BI175" s="234"/>
      <c r="BJ175" s="236"/>
      <c r="BK175" s="222"/>
      <c r="BL175" s="222"/>
      <c r="BM175" s="238"/>
      <c r="BN175" s="222"/>
      <c r="BO175" s="222"/>
      <c r="BP175" s="243"/>
      <c r="BQ175" s="244" t="s">
        <v>247</v>
      </c>
      <c r="BR175" s="238"/>
      <c r="BS175" s="67"/>
      <c r="BT175" s="66"/>
      <c r="BU175" s="66"/>
      <c r="BV175" s="66"/>
      <c r="BW175" s="74"/>
      <c r="BX175" s="81"/>
      <c r="BY175" s="66">
        <v>45602</v>
      </c>
      <c r="BZ175" s="944" t="s">
        <v>1307</v>
      </c>
      <c r="CA175" s="42" t="str">
        <f t="shared" si="99"/>
        <v>0</v>
      </c>
      <c r="CB175" s="62">
        <f t="shared" si="100"/>
        <v>-45586.663194444445</v>
      </c>
      <c r="CC175" s="42">
        <f t="shared" si="101"/>
        <v>0</v>
      </c>
      <c r="CD175" s="62">
        <f t="shared" si="102"/>
        <v>-45586.663194444445</v>
      </c>
      <c r="CE175" s="62">
        <f t="shared" si="103"/>
        <v>-1412.4072998278725</v>
      </c>
      <c r="CF175" s="145" t="str">
        <f t="shared" si="104"/>
        <v>0</v>
      </c>
      <c r="CG175" s="145"/>
      <c r="CH175" s="443">
        <f t="shared" si="105"/>
        <v>8.7476147020417603</v>
      </c>
      <c r="CI175" s="996">
        <f t="shared" si="106"/>
        <v>8.7476147020417603</v>
      </c>
      <c r="CJ175" s="261">
        <f t="shared" si="107"/>
        <v>0</v>
      </c>
      <c r="CK175" s="458">
        <f t="shared" si="108"/>
        <v>269.33680555555475</v>
      </c>
      <c r="CL175" t="str">
        <f t="shared" si="109"/>
        <v>NON-REV</v>
      </c>
      <c r="CM175" t="str">
        <f t="shared" si="110"/>
        <v>7-9 MONTHS</v>
      </c>
      <c r="CN175" s="635"/>
      <c r="CO175" s="631"/>
      <c r="CP175" s="629" t="str">
        <f t="shared" si="121"/>
        <v>FOR ISSUANCE</v>
      </c>
      <c r="CQ175" s="635"/>
      <c r="CR175" s="697"/>
      <c r="CS175" s="633" t="str">
        <f t="shared" ca="1" si="112"/>
        <v>0</v>
      </c>
      <c r="CT175" s="635"/>
      <c r="CU175" s="631"/>
      <c r="CV175" s="638"/>
      <c r="CW175" s="156" t="s">
        <v>1308</v>
      </c>
      <c r="CX175" s="156" t="str">
        <f>VLOOKUP(E175,'[1]List of Work Orders'!$A:$I,9,FALSE)</f>
        <v>ME155242</v>
      </c>
      <c r="CY175" s="156"/>
      <c r="CZ175" s="63"/>
      <c r="DC175" t="str">
        <f>VLOOKUP(E175,'[2]List of Work Orders'!$A:$F,6,FALSE)</f>
        <v>SCHED</v>
      </c>
      <c r="DS175" s="156" t="s">
        <v>397</v>
      </c>
    </row>
    <row r="176" spans="1:123" customFormat="1" ht="15" customHeight="1" x14ac:dyDescent="0.25">
      <c r="A176" s="242">
        <v>45602</v>
      </c>
      <c r="B176" s="222">
        <v>45594</v>
      </c>
      <c r="C176" s="223"/>
      <c r="D176" s="66" t="s">
        <v>320</v>
      </c>
      <c r="E176" s="404" t="s">
        <v>1309</v>
      </c>
      <c r="F176" s="95" t="s">
        <v>1310</v>
      </c>
      <c r="G176" s="95" t="s">
        <v>1311</v>
      </c>
      <c r="H176" s="95" t="s">
        <v>238</v>
      </c>
      <c r="I176" s="95" t="s">
        <v>239</v>
      </c>
      <c r="J176" s="163"/>
      <c r="K176" s="101"/>
      <c r="L176" s="101" t="s">
        <v>242</v>
      </c>
      <c r="M176" s="345" t="s">
        <v>331</v>
      </c>
      <c r="N176" s="442" t="s">
        <v>467</v>
      </c>
      <c r="O176" s="165">
        <v>147.12569999999999</v>
      </c>
      <c r="P176" s="165">
        <v>147.13</v>
      </c>
      <c r="Q176" s="157">
        <v>42</v>
      </c>
      <c r="R176" s="109" t="s">
        <v>548</v>
      </c>
      <c r="S176" s="110">
        <v>357616.2</v>
      </c>
      <c r="T176" s="93">
        <v>86985.66</v>
      </c>
      <c r="U176" s="141"/>
      <c r="V176" s="158">
        <f t="shared" si="85"/>
        <v>0</v>
      </c>
      <c r="W176" s="159">
        <v>45586.665277777778</v>
      </c>
      <c r="X176" s="159">
        <v>45602.396527777775</v>
      </c>
      <c r="Y176" s="160">
        <v>45594</v>
      </c>
      <c r="Z176" s="470"/>
      <c r="AA176" s="470"/>
      <c r="AB176" s="470"/>
      <c r="AC176" s="161">
        <f t="shared" si="86"/>
        <v>-45586.665277777778</v>
      </c>
      <c r="AD176" s="161">
        <f t="shared" si="122"/>
        <v>-45602.396527777775</v>
      </c>
      <c r="AE176" s="446">
        <f t="shared" si="114"/>
        <v>0</v>
      </c>
      <c r="AF176" s="160">
        <f t="shared" si="123"/>
        <v>45607.872174329503</v>
      </c>
      <c r="AG176" s="160">
        <f t="shared" si="124"/>
        <v>45617.327346743295</v>
      </c>
      <c r="AH176" s="159">
        <f t="shared" si="125"/>
        <v>45636.665277777778</v>
      </c>
      <c r="AI176" s="162">
        <f t="shared" si="87"/>
        <v>-1412.4073643755935</v>
      </c>
      <c r="AJ176" s="224">
        <f t="shared" si="126"/>
        <v>0</v>
      </c>
      <c r="AK176" s="225">
        <f t="shared" si="88"/>
        <v>26</v>
      </c>
      <c r="AL176" s="170">
        <f t="shared" si="89"/>
        <v>36</v>
      </c>
      <c r="AM176" s="170">
        <f t="shared" si="90"/>
        <v>24.206896551724139</v>
      </c>
      <c r="AN176" s="170">
        <f t="shared" si="91"/>
        <v>30.662068965517239</v>
      </c>
      <c r="AO176" s="226">
        <f t="shared" si="92"/>
        <v>21.206896551724139</v>
      </c>
      <c r="AP176" s="227">
        <v>60</v>
      </c>
      <c r="AQ176" s="228">
        <f t="shared" si="93"/>
        <v>57</v>
      </c>
      <c r="AR176" s="228">
        <f t="shared" si="94"/>
        <v>52</v>
      </c>
      <c r="AS176" s="229">
        <f t="shared" si="95"/>
        <v>60</v>
      </c>
      <c r="AT176" s="982">
        <f t="shared" ca="1" si="96"/>
        <v>45895</v>
      </c>
      <c r="AU176" s="50"/>
      <c r="AV176" s="118"/>
      <c r="AW176" s="49"/>
      <c r="AX176" s="49"/>
      <c r="AY176" s="49"/>
      <c r="AZ176" s="300"/>
      <c r="BA176" s="119"/>
      <c r="BB176" s="304"/>
      <c r="BC176" s="231"/>
      <c r="BD176" s="232"/>
      <c r="BE176" s="222">
        <f t="shared" si="119"/>
        <v>15</v>
      </c>
      <c r="BF176" s="233">
        <f t="shared" si="120"/>
        <v>0</v>
      </c>
      <c r="BG176" s="234"/>
      <c r="BH176" s="235"/>
      <c r="BI176" s="234"/>
      <c r="BJ176" s="236"/>
      <c r="BK176" s="222"/>
      <c r="BL176" s="222"/>
      <c r="BM176" s="238"/>
      <c r="BN176" s="222"/>
      <c r="BO176" s="222"/>
      <c r="BP176" s="243"/>
      <c r="BQ176" s="244" t="s">
        <v>247</v>
      </c>
      <c r="BR176" s="238"/>
      <c r="BS176" s="67"/>
      <c r="BT176" s="66"/>
      <c r="BU176" s="66"/>
      <c r="BV176" s="66"/>
      <c r="BW176" s="74"/>
      <c r="BX176" s="81"/>
      <c r="BY176" s="66">
        <v>45602</v>
      </c>
      <c r="BZ176" s="944" t="s">
        <v>1312</v>
      </c>
      <c r="CA176" s="42" t="str">
        <f t="shared" si="99"/>
        <v>0</v>
      </c>
      <c r="CB176" s="62">
        <f t="shared" si="100"/>
        <v>-45586.665277777778</v>
      </c>
      <c r="CC176" s="42">
        <f t="shared" si="101"/>
        <v>0</v>
      </c>
      <c r="CD176" s="62">
        <f t="shared" si="102"/>
        <v>-45586.665277777778</v>
      </c>
      <c r="CE176" s="62">
        <f t="shared" si="103"/>
        <v>-1412.4073643755935</v>
      </c>
      <c r="CF176" s="145" t="str">
        <f t="shared" si="104"/>
        <v>0</v>
      </c>
      <c r="CG176" s="145"/>
      <c r="CH176" s="443">
        <f t="shared" si="105"/>
        <v>8.7475501543209777</v>
      </c>
      <c r="CI176" s="996">
        <f t="shared" si="106"/>
        <v>8.7475501543209777</v>
      </c>
      <c r="CJ176" s="261">
        <f t="shared" si="107"/>
        <v>0</v>
      </c>
      <c r="CK176" s="458">
        <f t="shared" si="108"/>
        <v>269.3347222222219</v>
      </c>
      <c r="CL176" t="str">
        <f t="shared" si="109"/>
        <v>NON-REV</v>
      </c>
      <c r="CM176" t="str">
        <f t="shared" si="110"/>
        <v>7-9 MONTHS</v>
      </c>
      <c r="CN176" s="635"/>
      <c r="CO176" s="631"/>
      <c r="CP176" s="629" t="str">
        <f t="shared" si="121"/>
        <v>FOR ISSUANCE</v>
      </c>
      <c r="CQ176" s="635"/>
      <c r="CR176" s="697"/>
      <c r="CS176" s="633" t="str">
        <f t="shared" ca="1" si="112"/>
        <v>0</v>
      </c>
      <c r="CT176" s="635"/>
      <c r="CU176" s="631"/>
      <c r="CV176" s="638"/>
      <c r="CW176" s="156" t="s">
        <v>1313</v>
      </c>
      <c r="CX176" s="156" t="str">
        <f>VLOOKUP(E176,'[1]List of Work Orders'!$A:$I,9,FALSE)</f>
        <v>ME155242</v>
      </c>
      <c r="CY176" s="156"/>
      <c r="CZ176" s="63"/>
      <c r="DC176" t="str">
        <f>VLOOKUP(E176,'[2]List of Work Orders'!$A:$F,6,FALSE)</f>
        <v>SCHED</v>
      </c>
      <c r="DS176" s="156" t="s">
        <v>381</v>
      </c>
    </row>
    <row r="177" spans="1:123" ht="15" customHeight="1" x14ac:dyDescent="0.2">
      <c r="A177" s="242">
        <v>45602</v>
      </c>
      <c r="B177" s="222">
        <v>45594</v>
      </c>
      <c r="C177" s="223" t="s">
        <v>247</v>
      </c>
      <c r="D177" s="66" t="s">
        <v>320</v>
      </c>
      <c r="E177" s="404" t="s">
        <v>1314</v>
      </c>
      <c r="F177" s="95" t="s">
        <v>1315</v>
      </c>
      <c r="G177" s="95" t="s">
        <v>1316</v>
      </c>
      <c r="H177" s="95" t="s">
        <v>238</v>
      </c>
      <c r="I177" s="95" t="s">
        <v>239</v>
      </c>
      <c r="J177" s="163" t="s">
        <v>1317</v>
      </c>
      <c r="K177" s="101"/>
      <c r="L177" s="101" t="s">
        <v>255</v>
      </c>
      <c r="M177" s="345" t="s">
        <v>272</v>
      </c>
      <c r="N177" s="442" t="s">
        <v>381</v>
      </c>
      <c r="O177" s="165">
        <v>47.435499999999998</v>
      </c>
      <c r="P177" s="933">
        <v>47.44</v>
      </c>
      <c r="Q177" s="157">
        <v>80</v>
      </c>
      <c r="R177" s="109" t="s">
        <v>548</v>
      </c>
      <c r="S177" s="110">
        <v>392547.56</v>
      </c>
      <c r="T177" s="93">
        <v>38222.75</v>
      </c>
      <c r="U177" s="141"/>
      <c r="V177" s="158">
        <f t="shared" si="85"/>
        <v>0</v>
      </c>
      <c r="W177" s="159">
        <v>45587.710416666669</v>
      </c>
      <c r="X177" s="159">
        <v>45593.629166666666</v>
      </c>
      <c r="Y177" s="160">
        <v>45593</v>
      </c>
      <c r="Z177" s="470"/>
      <c r="AA177" s="470">
        <v>45668</v>
      </c>
      <c r="AB177" s="470"/>
      <c r="AC177" s="161">
        <f t="shared" si="86"/>
        <v>80.289583333331393</v>
      </c>
      <c r="AD177" s="161">
        <f t="shared" si="122"/>
        <v>74.370833333334303</v>
      </c>
      <c r="AE177" s="446">
        <f t="shared" si="114"/>
        <v>-45668</v>
      </c>
      <c r="AF177" s="160">
        <f t="shared" si="123"/>
        <v>45605.784796831955</v>
      </c>
      <c r="AG177" s="160">
        <f t="shared" si="124"/>
        <v>45614.404631542704</v>
      </c>
      <c r="AH177" s="159">
        <f t="shared" si="125"/>
        <v>45637.710416666669</v>
      </c>
      <c r="AI177" s="162">
        <f t="shared" si="87"/>
        <v>2.8573645833332644</v>
      </c>
      <c r="AJ177" s="224">
        <f t="shared" si="126"/>
        <v>-761.13333333333333</v>
      </c>
      <c r="AK177" s="225">
        <f t="shared" si="88"/>
        <v>20</v>
      </c>
      <c r="AL177" s="170">
        <f t="shared" si="89"/>
        <v>34</v>
      </c>
      <c r="AM177" s="170">
        <f t="shared" si="90"/>
        <v>21.074380165289259</v>
      </c>
      <c r="AN177" s="170">
        <f t="shared" si="91"/>
        <v>26.694214876033058</v>
      </c>
      <c r="AO177" s="226">
        <f t="shared" si="92"/>
        <v>18.074380165289259</v>
      </c>
      <c r="AP177" s="227">
        <v>60</v>
      </c>
      <c r="AQ177" s="228">
        <f t="shared" si="93"/>
        <v>57</v>
      </c>
      <c r="AR177" s="228">
        <f t="shared" si="94"/>
        <v>52</v>
      </c>
      <c r="AS177" s="229">
        <f t="shared" si="95"/>
        <v>45728</v>
      </c>
      <c r="AT177" s="982">
        <f t="shared" ca="1" si="96"/>
        <v>227</v>
      </c>
      <c r="AU177" s="1077"/>
      <c r="AV177" s="1078"/>
      <c r="AW177" s="1079"/>
      <c r="AX177" s="1079"/>
      <c r="AY177" s="1079"/>
      <c r="AZ177" s="1080"/>
      <c r="BA177" s="1081"/>
      <c r="BB177" s="1091"/>
      <c r="BC177" s="231" t="s">
        <v>13</v>
      </c>
      <c r="BD177" s="232"/>
      <c r="BE177" s="222">
        <f t="shared" si="119"/>
        <v>45683</v>
      </c>
      <c r="BF177" s="233" t="e">
        <f t="shared" si="120"/>
        <v>#VALUE!</v>
      </c>
      <c r="BG177" s="234"/>
      <c r="BH177" s="235"/>
      <c r="BI177" s="234"/>
      <c r="BJ177" s="236"/>
      <c r="BK177" s="222"/>
      <c r="BL177" s="222"/>
      <c r="BM177" s="238"/>
      <c r="BN177" s="222"/>
      <c r="BO177" s="222"/>
      <c r="BP177" s="243"/>
      <c r="BQ177" s="244" t="s">
        <v>247</v>
      </c>
      <c r="BR177" s="238">
        <v>45671</v>
      </c>
      <c r="BS177" s="67"/>
      <c r="BT177" s="66"/>
      <c r="BU177" s="66"/>
      <c r="BV177" s="66"/>
      <c r="BW177" s="74"/>
      <c r="BX177" s="81"/>
      <c r="BY177" s="66">
        <v>45603</v>
      </c>
      <c r="BZ177" s="944" t="s">
        <v>1318</v>
      </c>
      <c r="CA177" s="42" t="str">
        <f t="shared" si="99"/>
        <v>0</v>
      </c>
      <c r="CB177" s="62">
        <f t="shared" si="100"/>
        <v>80.289583333331393</v>
      </c>
      <c r="CC177" s="42">
        <f t="shared" si="101"/>
        <v>0</v>
      </c>
      <c r="CD177" s="62">
        <f t="shared" si="102"/>
        <v>80.289583333331393</v>
      </c>
      <c r="CE177" s="62">
        <f t="shared" si="103"/>
        <v>2.8573645833332644</v>
      </c>
      <c r="CF177" s="1059">
        <f t="shared" si="104"/>
        <v>201</v>
      </c>
      <c r="CH177" s="1082">
        <f t="shared" si="105"/>
        <v>10.010599877450911</v>
      </c>
      <c r="CI177" s="1083">
        <f t="shared" si="106"/>
        <v>10.010599877450911</v>
      </c>
      <c r="CJ177" s="1084">
        <f t="shared" si="107"/>
        <v>3.35</v>
      </c>
      <c r="CK177" s="1085" t="str">
        <f t="shared" si="108"/>
        <v/>
      </c>
      <c r="CL177" s="1057" t="str">
        <f t="shared" si="109"/>
        <v>NON-REV</v>
      </c>
      <c r="CM177" s="1057" t="str">
        <f t="shared" si="110"/>
        <v/>
      </c>
      <c r="CN177" s="1086"/>
      <c r="CO177" s="1087"/>
      <c r="CP177" s="629" t="str">
        <f t="shared" si="121"/>
        <v>FOR ISSUANCE</v>
      </c>
      <c r="CQ177" s="1086"/>
      <c r="CR177" s="1088"/>
      <c r="CS177" s="1089" t="str">
        <f t="shared" ca="1" si="112"/>
        <v>0</v>
      </c>
      <c r="CT177" s="1086"/>
      <c r="CU177" s="1087"/>
      <c r="CV177" s="1090"/>
      <c r="CW177" s="156" t="s">
        <v>1319</v>
      </c>
      <c r="CX177" s="156" t="str">
        <f>VLOOKUP(E177,'[1]List of Work Orders'!$A:$I,9,FALSE)</f>
        <v>ME185284</v>
      </c>
      <c r="CY177" s="156"/>
      <c r="DC177" s="1057" t="str">
        <f>VLOOKUP(E177,'[2]List of Work Orders'!$A:$F,6,FALSE)</f>
        <v>FCOMP</v>
      </c>
      <c r="DS177" s="156" t="s">
        <v>381</v>
      </c>
    </row>
    <row r="178" spans="1:123" ht="15" customHeight="1" x14ac:dyDescent="0.2">
      <c r="A178" s="242">
        <v>45609</v>
      </c>
      <c r="B178" s="222">
        <v>45594</v>
      </c>
      <c r="C178" s="223"/>
      <c r="D178" s="66" t="s">
        <v>284</v>
      </c>
      <c r="E178" s="404" t="s">
        <v>1320</v>
      </c>
      <c r="F178" s="95" t="s">
        <v>1321</v>
      </c>
      <c r="G178" s="95" t="s">
        <v>1322</v>
      </c>
      <c r="H178" s="95" t="s">
        <v>253</v>
      </c>
      <c r="I178" s="95" t="s">
        <v>254</v>
      </c>
      <c r="J178" s="163"/>
      <c r="K178" s="101" t="s">
        <v>271</v>
      </c>
      <c r="L178" s="101" t="s">
        <v>255</v>
      </c>
      <c r="M178" s="345" t="s">
        <v>272</v>
      </c>
      <c r="N178" s="442" t="s">
        <v>381</v>
      </c>
      <c r="O178" s="165">
        <v>48.755000000000003</v>
      </c>
      <c r="P178" s="933">
        <v>48.76</v>
      </c>
      <c r="Q178" s="157">
        <v>52</v>
      </c>
      <c r="R178" s="109" t="s">
        <v>244</v>
      </c>
      <c r="S178" s="110">
        <v>392158.12</v>
      </c>
      <c r="T178" s="93">
        <v>39261.15</v>
      </c>
      <c r="U178" s="141"/>
      <c r="V178" s="158">
        <f t="shared" si="85"/>
        <v>0</v>
      </c>
      <c r="W178" s="159">
        <v>45587.714583333334</v>
      </c>
      <c r="X178" s="159">
        <v>45593.627083333333</v>
      </c>
      <c r="Y178" s="160">
        <v>45593</v>
      </c>
      <c r="Z178" s="470"/>
      <c r="AA178" s="470">
        <v>45706</v>
      </c>
      <c r="AB178" s="470"/>
      <c r="AC178" s="161">
        <f t="shared" si="86"/>
        <v>118.2854166666657</v>
      </c>
      <c r="AD178" s="161">
        <f t="shared" si="122"/>
        <v>112.37291666666715</v>
      </c>
      <c r="AE178" s="446">
        <f t="shared" si="114"/>
        <v>-45706</v>
      </c>
      <c r="AF178" s="160">
        <f t="shared" si="123"/>
        <v>45605.78896349862</v>
      </c>
      <c r="AG178" s="160">
        <f t="shared" si="124"/>
        <v>45614.40879820937</v>
      </c>
      <c r="AH178" s="159">
        <f t="shared" si="125"/>
        <v>45637.714583333334</v>
      </c>
      <c r="AI178" s="162">
        <f t="shared" si="87"/>
        <v>4.2095692401960436</v>
      </c>
      <c r="AJ178" s="224">
        <f t="shared" si="126"/>
        <v>-761.76666666666665</v>
      </c>
      <c r="AK178" s="225">
        <f t="shared" si="88"/>
        <v>20</v>
      </c>
      <c r="AL178" s="170">
        <f t="shared" si="89"/>
        <v>34</v>
      </c>
      <c r="AM178" s="170">
        <f t="shared" si="90"/>
        <v>21.074380165289259</v>
      </c>
      <c r="AN178" s="170">
        <f t="shared" si="91"/>
        <v>26.694214876033058</v>
      </c>
      <c r="AO178" s="226">
        <f t="shared" si="92"/>
        <v>18.074380165289259</v>
      </c>
      <c r="AP178" s="227">
        <v>60</v>
      </c>
      <c r="AQ178" s="228">
        <f t="shared" si="93"/>
        <v>57</v>
      </c>
      <c r="AR178" s="228">
        <f t="shared" si="94"/>
        <v>52</v>
      </c>
      <c r="AS178" s="229">
        <f t="shared" si="95"/>
        <v>45766</v>
      </c>
      <c r="AT178" s="982">
        <f t="shared" ca="1" si="96"/>
        <v>189</v>
      </c>
      <c r="AU178" s="1077"/>
      <c r="AV178" s="1078"/>
      <c r="AW178" s="1079"/>
      <c r="AX178" s="1079"/>
      <c r="AY178" s="1079"/>
      <c r="AZ178" s="1080"/>
      <c r="BA178" s="1081"/>
      <c r="BB178" s="1091"/>
      <c r="BC178" s="231" t="s">
        <v>12</v>
      </c>
      <c r="BD178" s="232"/>
      <c r="BE178" s="222">
        <f t="shared" si="119"/>
        <v>45721</v>
      </c>
      <c r="BF178" s="233">
        <f t="shared" si="120"/>
        <v>114</v>
      </c>
      <c r="BG178" s="234">
        <v>45701</v>
      </c>
      <c r="BH178" s="235">
        <v>45835</v>
      </c>
      <c r="BI178" s="234"/>
      <c r="BJ178" s="236"/>
      <c r="BK178" s="222"/>
      <c r="BL178" s="222"/>
      <c r="BM178" s="238"/>
      <c r="BN178" s="222"/>
      <c r="BO178" s="222"/>
      <c r="BP178" s="243"/>
      <c r="BQ178" s="244" t="s">
        <v>247</v>
      </c>
      <c r="BR178" s="238"/>
      <c r="BS178" s="67"/>
      <c r="BT178" s="66"/>
      <c r="BU178" s="66"/>
      <c r="BV178" s="66"/>
      <c r="BW178" s="74"/>
      <c r="BX178" s="81"/>
      <c r="BY178" s="66">
        <v>45611</v>
      </c>
      <c r="BZ178" s="944" t="s">
        <v>1323</v>
      </c>
      <c r="CA178" s="42" t="str">
        <f t="shared" si="99"/>
        <v>0</v>
      </c>
      <c r="CB178" s="62">
        <f t="shared" si="100"/>
        <v>118.2854166666657</v>
      </c>
      <c r="CC178" s="42">
        <f t="shared" si="101"/>
        <v>0</v>
      </c>
      <c r="CD178" s="62">
        <f t="shared" si="102"/>
        <v>118.2854166666657</v>
      </c>
      <c r="CE178" s="62">
        <f t="shared" si="103"/>
        <v>4.2095692401960436</v>
      </c>
      <c r="CF178" s="1059">
        <f t="shared" si="104"/>
        <v>163</v>
      </c>
      <c r="CH178" s="1082">
        <f t="shared" si="105"/>
        <v>10.010451593137221</v>
      </c>
      <c r="CI178" s="1083">
        <f t="shared" si="106"/>
        <v>10.010451593137221</v>
      </c>
      <c r="CJ178" s="1084">
        <f t="shared" si="107"/>
        <v>2.7166666666666668</v>
      </c>
      <c r="CK178" s="1085" t="str">
        <f t="shared" si="108"/>
        <v/>
      </c>
      <c r="CL178" s="1057" t="str">
        <f t="shared" si="109"/>
        <v>REV</v>
      </c>
      <c r="CM178" s="1057" t="str">
        <f t="shared" si="110"/>
        <v/>
      </c>
      <c r="CN178" s="1086"/>
      <c r="CO178" s="1087"/>
      <c r="CP178" s="629" t="str">
        <f t="shared" si="121"/>
        <v>FOR ISSUANCE</v>
      </c>
      <c r="CQ178" s="1086"/>
      <c r="CR178" s="1088"/>
      <c r="CS178" s="1089" t="str">
        <f t="shared" ca="1" si="112"/>
        <v>0</v>
      </c>
      <c r="CT178" s="1086"/>
      <c r="CU178" s="1087"/>
      <c r="CV178" s="1090"/>
      <c r="CW178" s="156" t="s">
        <v>1324</v>
      </c>
      <c r="CX178" s="156" t="str">
        <f>VLOOKUP(E178,'[1]List of Work Orders'!$A:$I,9,FALSE)</f>
        <v>ME185284</v>
      </c>
      <c r="CY178" s="156"/>
      <c r="DC178" s="1057" t="str">
        <f>VLOOKUP(E178,'[2]List of Work Orders'!$A:$F,6,FALSE)</f>
        <v>FCOMP</v>
      </c>
      <c r="DS178" s="156" t="s">
        <v>381</v>
      </c>
    </row>
    <row r="179" spans="1:123" customFormat="1" ht="15" customHeight="1" x14ac:dyDescent="0.25">
      <c r="A179" s="242">
        <v>45603</v>
      </c>
      <c r="B179" s="222">
        <v>45594</v>
      </c>
      <c r="C179" s="223"/>
      <c r="D179" s="66" t="s">
        <v>284</v>
      </c>
      <c r="E179" s="404" t="s">
        <v>1325</v>
      </c>
      <c r="F179" s="95" t="s">
        <v>1326</v>
      </c>
      <c r="G179" s="95" t="s">
        <v>1327</v>
      </c>
      <c r="H179" s="95" t="s">
        <v>378</v>
      </c>
      <c r="I179" s="95" t="s">
        <v>239</v>
      </c>
      <c r="J179" s="163" t="s">
        <v>1328</v>
      </c>
      <c r="K179" s="101" t="s">
        <v>271</v>
      </c>
      <c r="L179" s="101" t="s">
        <v>288</v>
      </c>
      <c r="M179" s="345" t="s">
        <v>256</v>
      </c>
      <c r="N179" s="442" t="s">
        <v>381</v>
      </c>
      <c r="O179" s="165">
        <v>183.2653</v>
      </c>
      <c r="P179" s="933">
        <v>183.47</v>
      </c>
      <c r="Q179" s="157">
        <v>220</v>
      </c>
      <c r="R179" s="109" t="s">
        <v>548</v>
      </c>
      <c r="S179" s="110">
        <v>980297.45</v>
      </c>
      <c r="T179" s="93">
        <v>147707.78</v>
      </c>
      <c r="U179" s="141">
        <v>147879.63</v>
      </c>
      <c r="V179" s="158">
        <f t="shared" si="85"/>
        <v>1.0011634458252638</v>
      </c>
      <c r="W179" s="159">
        <v>45587.718055555553</v>
      </c>
      <c r="X179" s="159">
        <v>45593.631249999999</v>
      </c>
      <c r="Y179" s="160">
        <v>45594</v>
      </c>
      <c r="Z179" s="470">
        <v>45606</v>
      </c>
      <c r="AA179" s="470">
        <v>45710</v>
      </c>
      <c r="AB179" s="470">
        <v>45807.333333333336</v>
      </c>
      <c r="AC179" s="161">
        <f t="shared" si="86"/>
        <v>122.28194444444671</v>
      </c>
      <c r="AD179" s="161">
        <f t="shared" si="122"/>
        <v>116.36875000000146</v>
      </c>
      <c r="AE179" s="446">
        <f t="shared" si="114"/>
        <v>97.333333333335759</v>
      </c>
      <c r="AF179" s="160">
        <f t="shared" si="123"/>
        <v>45606.225408496728</v>
      </c>
      <c r="AG179" s="160">
        <f t="shared" si="124"/>
        <v>45614.960702614379</v>
      </c>
      <c r="AH179" s="159">
        <f t="shared" si="125"/>
        <v>45637.718055555553</v>
      </c>
      <c r="AI179" s="162">
        <f t="shared" si="87"/>
        <v>4.2641908831909614</v>
      </c>
      <c r="AJ179" s="224">
        <f t="shared" si="126"/>
        <v>1.6222222222222626</v>
      </c>
      <c r="AK179" s="225">
        <f t="shared" si="88"/>
        <v>26</v>
      </c>
      <c r="AL179" s="170">
        <f t="shared" si="89"/>
        <v>30</v>
      </c>
      <c r="AM179" s="170">
        <f t="shared" si="90"/>
        <v>21.507352941176471</v>
      </c>
      <c r="AN179" s="170">
        <f t="shared" si="91"/>
        <v>27.242647058823529</v>
      </c>
      <c r="AO179" s="226">
        <f t="shared" si="92"/>
        <v>18.507352941176471</v>
      </c>
      <c r="AP179" s="227">
        <v>60</v>
      </c>
      <c r="AQ179" s="228">
        <f t="shared" si="93"/>
        <v>57</v>
      </c>
      <c r="AR179" s="228">
        <f t="shared" si="94"/>
        <v>52</v>
      </c>
      <c r="AS179" s="229">
        <f t="shared" si="95"/>
        <v>45770</v>
      </c>
      <c r="AT179" s="982">
        <f t="shared" ca="1" si="96"/>
        <v>185</v>
      </c>
      <c r="AU179" s="50"/>
      <c r="AV179" s="118"/>
      <c r="AW179" s="49"/>
      <c r="AX179" s="49"/>
      <c r="AY179" s="49"/>
      <c r="AZ179" s="300"/>
      <c r="BA179" s="119"/>
      <c r="BB179" s="304"/>
      <c r="BC179" s="231" t="s">
        <v>14</v>
      </c>
      <c r="BD179" s="232" t="s">
        <v>265</v>
      </c>
      <c r="BE179" s="222">
        <f t="shared" si="119"/>
        <v>45725</v>
      </c>
      <c r="BF179" s="233">
        <f>IF(ISBLANK(AA179),0,IF(ISBLANK(BH179),(#REF!-BE179),(BH179-BE179)))</f>
        <v>-6</v>
      </c>
      <c r="BG179" s="234">
        <v>45710</v>
      </c>
      <c r="BH179" s="235">
        <v>45719</v>
      </c>
      <c r="BI179" s="234">
        <v>45748</v>
      </c>
      <c r="BJ179" s="236" t="s">
        <v>1119</v>
      </c>
      <c r="BK179" s="222" t="s">
        <v>247</v>
      </c>
      <c r="BL179" s="222" t="s">
        <v>247</v>
      </c>
      <c r="BM179" s="238"/>
      <c r="BN179" s="222"/>
      <c r="BO179" s="222">
        <v>45749</v>
      </c>
      <c r="BP179" s="243" t="s">
        <v>1084</v>
      </c>
      <c r="BQ179" s="244" t="s">
        <v>247</v>
      </c>
      <c r="BR179" s="238">
        <v>45604</v>
      </c>
      <c r="BS179" s="67"/>
      <c r="BT179" s="66"/>
      <c r="BU179" s="66"/>
      <c r="BV179" s="66"/>
      <c r="BW179" s="74"/>
      <c r="BX179" s="81"/>
      <c r="BY179" s="66">
        <v>45605</v>
      </c>
      <c r="BZ179" s="944" t="s">
        <v>1329</v>
      </c>
      <c r="CA179" s="42" t="str">
        <f t="shared" si="99"/>
        <v>0</v>
      </c>
      <c r="CB179" s="62">
        <f t="shared" si="100"/>
        <v>122.28194444444671</v>
      </c>
      <c r="CC179" s="42">
        <f t="shared" si="101"/>
        <v>0</v>
      </c>
      <c r="CD179" s="62">
        <f t="shared" si="102"/>
        <v>122.28194444444671</v>
      </c>
      <c r="CE179" s="62">
        <f t="shared" si="103"/>
        <v>4.2641908831909614</v>
      </c>
      <c r="CF179" s="145">
        <f t="shared" si="104"/>
        <v>159</v>
      </c>
      <c r="CG179" s="145"/>
      <c r="CH179" s="443">
        <f t="shared" si="105"/>
        <v>9.8088062678063466</v>
      </c>
      <c r="CI179" s="996">
        <f t="shared" si="106"/>
        <v>9.8088062678063466</v>
      </c>
      <c r="CJ179" s="261">
        <f t="shared" si="107"/>
        <v>2.65</v>
      </c>
      <c r="CK179" s="458" t="str">
        <f t="shared" si="108"/>
        <v/>
      </c>
      <c r="CL179" t="str">
        <f t="shared" si="109"/>
        <v>NON-REV</v>
      </c>
      <c r="CM179" t="str">
        <f t="shared" si="110"/>
        <v/>
      </c>
      <c r="CN179" s="635"/>
      <c r="CO179" s="631"/>
      <c r="CP179" s="629" t="s">
        <v>1330</v>
      </c>
      <c r="CQ179" s="635"/>
      <c r="CR179" s="697"/>
      <c r="CS179" s="633" t="str">
        <f t="shared" ca="1" si="112"/>
        <v>0</v>
      </c>
      <c r="CT179" s="635"/>
      <c r="CU179" s="631"/>
      <c r="CV179" s="638"/>
      <c r="CW179" s="156" t="s">
        <v>1331</v>
      </c>
      <c r="CX179" s="156" t="str">
        <f>VLOOKUP(E179,'[1]List of Work Orders'!$A:$I,9,FALSE)</f>
        <v>ME185284</v>
      </c>
      <c r="CY179" s="156"/>
      <c r="DC179" t="str">
        <f>VLOOKUP(E179,'[2]List of Work Orders'!$A:$F,6,FALSE)</f>
        <v>FCOMP</v>
      </c>
      <c r="DS179" s="156" t="s">
        <v>381</v>
      </c>
    </row>
    <row r="180" spans="1:123" customFormat="1" ht="15" customHeight="1" x14ac:dyDescent="0.25">
      <c r="A180" s="242">
        <v>45607</v>
      </c>
      <c r="B180" s="222">
        <v>45594</v>
      </c>
      <c r="C180" s="223"/>
      <c r="D180" s="66" t="s">
        <v>284</v>
      </c>
      <c r="E180" s="404" t="s">
        <v>1332</v>
      </c>
      <c r="F180" s="95" t="s">
        <v>1134</v>
      </c>
      <c r="G180" s="95" t="s">
        <v>1333</v>
      </c>
      <c r="H180" s="95" t="s">
        <v>378</v>
      </c>
      <c r="I180" s="95" t="s">
        <v>239</v>
      </c>
      <c r="J180" s="163" t="s">
        <v>1334</v>
      </c>
      <c r="K180" s="101" t="s">
        <v>271</v>
      </c>
      <c r="L180" s="101" t="s">
        <v>288</v>
      </c>
      <c r="M180" s="345" t="s">
        <v>243</v>
      </c>
      <c r="N180" s="442" t="s">
        <v>381</v>
      </c>
      <c r="O180" s="165">
        <v>36.277000000000001</v>
      </c>
      <c r="P180" s="933">
        <v>114.56</v>
      </c>
      <c r="Q180" s="157">
        <v>19</v>
      </c>
      <c r="R180" s="109" t="s">
        <v>244</v>
      </c>
      <c r="S180" s="110">
        <v>279802.61</v>
      </c>
      <c r="T180" s="93">
        <v>29212.9</v>
      </c>
      <c r="U180" s="141"/>
      <c r="V180" s="158">
        <f t="shared" si="85"/>
        <v>0</v>
      </c>
      <c r="W180" s="159">
        <v>45587.724305555559</v>
      </c>
      <c r="X180" s="159">
        <v>45593.630555555559</v>
      </c>
      <c r="Y180" s="160">
        <v>45594</v>
      </c>
      <c r="Z180" s="470">
        <v>45739</v>
      </c>
      <c r="AA180" s="470">
        <v>45739</v>
      </c>
      <c r="AB180" s="470">
        <v>45888</v>
      </c>
      <c r="AC180" s="161">
        <f t="shared" si="86"/>
        <v>151.27569444444089</v>
      </c>
      <c r="AD180" s="161">
        <f t="shared" si="122"/>
        <v>145.36944444444089</v>
      </c>
      <c r="AE180" s="446">
        <f t="shared" si="114"/>
        <v>149</v>
      </c>
      <c r="AF180" s="160">
        <f t="shared" si="123"/>
        <v>45608.931202107284</v>
      </c>
      <c r="AG180" s="160">
        <f t="shared" si="124"/>
        <v>45618.386374521077</v>
      </c>
      <c r="AH180" s="159">
        <f t="shared" si="125"/>
        <v>45637.724305555559</v>
      </c>
      <c r="AI180" s="162">
        <f t="shared" si="87"/>
        <v>4.6869606184709252</v>
      </c>
      <c r="AJ180" s="224">
        <f t="shared" si="126"/>
        <v>2.4833333333333334</v>
      </c>
      <c r="AK180" s="225">
        <f t="shared" si="88"/>
        <v>26</v>
      </c>
      <c r="AL180" s="170">
        <f t="shared" si="89"/>
        <v>36</v>
      </c>
      <c r="AM180" s="170">
        <f t="shared" si="90"/>
        <v>24.206896551724139</v>
      </c>
      <c r="AN180" s="170">
        <f t="shared" si="91"/>
        <v>30.662068965517239</v>
      </c>
      <c r="AO180" s="226">
        <f t="shared" si="92"/>
        <v>21.206896551724139</v>
      </c>
      <c r="AP180" s="227">
        <v>60</v>
      </c>
      <c r="AQ180" s="228">
        <f t="shared" si="93"/>
        <v>57</v>
      </c>
      <c r="AR180" s="228">
        <f t="shared" si="94"/>
        <v>52</v>
      </c>
      <c r="AS180" s="229">
        <f t="shared" si="95"/>
        <v>45799</v>
      </c>
      <c r="AT180" s="982">
        <f t="shared" ca="1" si="96"/>
        <v>156</v>
      </c>
      <c r="AU180" s="50"/>
      <c r="AV180" s="118"/>
      <c r="AW180" s="49"/>
      <c r="AX180" s="49"/>
      <c r="AY180" s="49"/>
      <c r="AZ180" s="300"/>
      <c r="BA180" s="119"/>
      <c r="BB180" s="304"/>
      <c r="BC180" s="231" t="s">
        <v>14</v>
      </c>
      <c r="BD180" s="232"/>
      <c r="BE180" s="222">
        <f t="shared" si="119"/>
        <v>45754</v>
      </c>
      <c r="BF180" s="233">
        <f t="shared" ref="BF180:BF243" si="127">IF(ISBLANK(AA180),0,IF(ISBLANK(BH180),(BE180-$L$1),(BH180-BE180)))</f>
        <v>23</v>
      </c>
      <c r="BG180" s="234">
        <v>45800</v>
      </c>
      <c r="BH180" s="235">
        <v>45777</v>
      </c>
      <c r="BI180" s="234"/>
      <c r="BJ180" s="236"/>
      <c r="BK180" s="222"/>
      <c r="BL180" s="222"/>
      <c r="BM180" s="238"/>
      <c r="BN180" s="222"/>
      <c r="BO180" s="222">
        <v>45881</v>
      </c>
      <c r="BP180" s="243" t="s">
        <v>1084</v>
      </c>
      <c r="BQ180" s="244" t="s">
        <v>247</v>
      </c>
      <c r="BR180" s="238">
        <v>45735</v>
      </c>
      <c r="BS180" s="67"/>
      <c r="BT180" s="66"/>
      <c r="BU180" s="66"/>
      <c r="BV180" s="66"/>
      <c r="BW180" s="74"/>
      <c r="BX180" s="81"/>
      <c r="BY180" s="66">
        <v>45608</v>
      </c>
      <c r="BZ180" s="944" t="s">
        <v>1335</v>
      </c>
      <c r="CA180" s="42" t="str">
        <f t="shared" si="99"/>
        <v>0</v>
      </c>
      <c r="CB180" s="62">
        <f t="shared" si="100"/>
        <v>151.27569444444089</v>
      </c>
      <c r="CC180" s="42">
        <f t="shared" si="101"/>
        <v>0</v>
      </c>
      <c r="CD180" s="62">
        <f t="shared" si="102"/>
        <v>151.27569444444089</v>
      </c>
      <c r="CE180" s="62">
        <f t="shared" si="103"/>
        <v>4.6869606184709252</v>
      </c>
      <c r="CF180" s="145">
        <f t="shared" si="104"/>
        <v>130</v>
      </c>
      <c r="CG180" s="145"/>
      <c r="CH180" s="443">
        <f t="shared" si="105"/>
        <v>8.7147383962487019</v>
      </c>
      <c r="CI180" s="996">
        <f t="shared" si="106"/>
        <v>8.7147383962487019</v>
      </c>
      <c r="CJ180" s="261">
        <f t="shared" si="107"/>
        <v>2.1666666666666665</v>
      </c>
      <c r="CK180" s="458" t="str">
        <f t="shared" si="108"/>
        <v/>
      </c>
      <c r="CL180" t="str">
        <f t="shared" si="109"/>
        <v>REV</v>
      </c>
      <c r="CM180" t="str">
        <f t="shared" si="110"/>
        <v/>
      </c>
      <c r="CN180" s="635">
        <v>45881</v>
      </c>
      <c r="CO180" s="631">
        <v>2166.6</v>
      </c>
      <c r="CP180" s="629" t="str">
        <f t="shared" ref="CP180:CP221" si="128">IF(CQ180,"NTC ISSUED","FOR ISSUANCE")</f>
        <v>NTC ISSUED</v>
      </c>
      <c r="CQ180" s="635">
        <v>45884</v>
      </c>
      <c r="CR180" s="697"/>
      <c r="CS180" s="633">
        <f t="shared" ca="1" si="112"/>
        <v>11</v>
      </c>
      <c r="CT180" s="635"/>
      <c r="CU180" s="631"/>
      <c r="CV180" s="638"/>
      <c r="CW180" s="156" t="s">
        <v>1336</v>
      </c>
      <c r="CX180" s="156" t="str">
        <f>VLOOKUP(E180,'[1]List of Work Orders'!$A:$I,9,FALSE)</f>
        <v>ME185284</v>
      </c>
      <c r="CY180" s="156"/>
      <c r="DC180" t="str">
        <f>VLOOKUP(E180,'[2]List of Work Orders'!$A:$F,6,FALSE)</f>
        <v>FCOMP</v>
      </c>
      <c r="DS180" s="156" t="s">
        <v>397</v>
      </c>
    </row>
    <row r="181" spans="1:123" customFormat="1" ht="15" customHeight="1" x14ac:dyDescent="0.25">
      <c r="A181" s="242">
        <v>45604</v>
      </c>
      <c r="B181" s="222">
        <v>45594</v>
      </c>
      <c r="C181" s="223"/>
      <c r="D181" s="66" t="s">
        <v>320</v>
      </c>
      <c r="E181" s="404" t="s">
        <v>1337</v>
      </c>
      <c r="F181" s="95" t="s">
        <v>1338</v>
      </c>
      <c r="G181" s="95" t="s">
        <v>1339</v>
      </c>
      <c r="H181" s="95" t="s">
        <v>318</v>
      </c>
      <c r="I181" s="95" t="s">
        <v>239</v>
      </c>
      <c r="J181" s="163"/>
      <c r="K181" s="101"/>
      <c r="L181" s="101" t="s">
        <v>263</v>
      </c>
      <c r="M181" s="345" t="s">
        <v>272</v>
      </c>
      <c r="N181" s="442" t="s">
        <v>467</v>
      </c>
      <c r="O181" s="165">
        <v>95.946200000000005</v>
      </c>
      <c r="P181" s="933">
        <v>174.23</v>
      </c>
      <c r="Q181" s="157">
        <v>126</v>
      </c>
      <c r="R181" s="109" t="s">
        <v>548</v>
      </c>
      <c r="S181" s="110">
        <v>476184.66</v>
      </c>
      <c r="T181" s="93">
        <v>76910.28</v>
      </c>
      <c r="U181" s="141"/>
      <c r="V181" s="158">
        <f t="shared" si="85"/>
        <v>0</v>
      </c>
      <c r="W181" s="159">
        <v>45588.622916666667</v>
      </c>
      <c r="X181" s="159">
        <v>45595.620833333334</v>
      </c>
      <c r="Y181" s="160">
        <v>45594</v>
      </c>
      <c r="Z181" s="470"/>
      <c r="AA181" s="470">
        <v>45815</v>
      </c>
      <c r="AB181" s="470"/>
      <c r="AC181" s="161">
        <f t="shared" si="86"/>
        <v>226.37708333333285</v>
      </c>
      <c r="AD181" s="161">
        <f t="shared" si="122"/>
        <v>219.3791666666657</v>
      </c>
      <c r="AE181" s="446">
        <f t="shared" si="114"/>
        <v>-45815</v>
      </c>
      <c r="AF181" s="160">
        <f t="shared" si="123"/>
        <v>45608.068959832133</v>
      </c>
      <c r="AG181" s="160">
        <f t="shared" si="124"/>
        <v>45617.054571342924</v>
      </c>
      <c r="AH181" s="159">
        <f t="shared" si="125"/>
        <v>45638.622916666667</v>
      </c>
      <c r="AI181" s="162">
        <f t="shared" si="87"/>
        <v>7.5640419671474195</v>
      </c>
      <c r="AJ181" s="224">
        <f t="shared" si="126"/>
        <v>-763.58333333333337</v>
      </c>
      <c r="AK181" s="225">
        <f t="shared" si="88"/>
        <v>26</v>
      </c>
      <c r="AL181" s="170">
        <f t="shared" si="89"/>
        <v>32</v>
      </c>
      <c r="AM181" s="170">
        <f t="shared" si="90"/>
        <v>22.446043165467625</v>
      </c>
      <c r="AN181" s="170">
        <f t="shared" si="91"/>
        <v>28.431654676258994</v>
      </c>
      <c r="AO181" s="226">
        <f t="shared" si="92"/>
        <v>19.446043165467625</v>
      </c>
      <c r="AP181" s="227">
        <v>60</v>
      </c>
      <c r="AQ181" s="228">
        <f t="shared" si="93"/>
        <v>57</v>
      </c>
      <c r="AR181" s="228">
        <f t="shared" si="94"/>
        <v>52</v>
      </c>
      <c r="AS181" s="229">
        <f t="shared" si="95"/>
        <v>45875</v>
      </c>
      <c r="AT181" s="982">
        <f t="shared" ca="1" si="96"/>
        <v>80</v>
      </c>
      <c r="AU181" s="50"/>
      <c r="AV181" s="118"/>
      <c r="AW181" s="49"/>
      <c r="AX181" s="49"/>
      <c r="AY181" s="49"/>
      <c r="AZ181" s="300"/>
      <c r="BA181" s="119"/>
      <c r="BB181" s="304"/>
      <c r="BC181" s="231" t="s">
        <v>13</v>
      </c>
      <c r="BD181" s="232"/>
      <c r="BE181" s="222">
        <f t="shared" si="119"/>
        <v>45830</v>
      </c>
      <c r="BF181" s="233" t="e">
        <f t="shared" si="127"/>
        <v>#VALUE!</v>
      </c>
      <c r="BG181" s="234"/>
      <c r="BH181" s="235"/>
      <c r="BI181" s="234"/>
      <c r="BJ181" s="236"/>
      <c r="BK181" s="222"/>
      <c r="BL181" s="222"/>
      <c r="BM181" s="238"/>
      <c r="BN181" s="222"/>
      <c r="BO181" s="222"/>
      <c r="BP181" s="243"/>
      <c r="BQ181" s="244" t="s">
        <v>247</v>
      </c>
      <c r="BR181" s="238">
        <v>45812</v>
      </c>
      <c r="BS181" s="67"/>
      <c r="BT181" s="66"/>
      <c r="BU181" s="66"/>
      <c r="BV181" s="66"/>
      <c r="BW181" s="74"/>
      <c r="BX181" s="81"/>
      <c r="BY181" s="66">
        <v>45605</v>
      </c>
      <c r="BZ181" s="944" t="s">
        <v>1340</v>
      </c>
      <c r="CA181" s="42" t="str">
        <f t="shared" si="99"/>
        <v>0</v>
      </c>
      <c r="CB181" s="62">
        <f t="shared" si="100"/>
        <v>226.37708333333285</v>
      </c>
      <c r="CC181" s="42">
        <f t="shared" si="101"/>
        <v>0</v>
      </c>
      <c r="CD181" s="62">
        <f t="shared" si="102"/>
        <v>226.37708333333285</v>
      </c>
      <c r="CE181" s="62">
        <f t="shared" si="103"/>
        <v>7.5640419671474195</v>
      </c>
      <c r="CF181" s="145">
        <f t="shared" si="104"/>
        <v>54</v>
      </c>
      <c r="CG181" s="145"/>
      <c r="CH181" s="443">
        <f t="shared" si="105"/>
        <v>9.3683688902243425</v>
      </c>
      <c r="CI181" s="996">
        <f t="shared" si="106"/>
        <v>9.3683688902243425</v>
      </c>
      <c r="CJ181" s="261">
        <f t="shared" si="107"/>
        <v>0.9</v>
      </c>
      <c r="CK181" s="458" t="str">
        <f t="shared" si="108"/>
        <v/>
      </c>
      <c r="CL181" t="str">
        <f t="shared" si="109"/>
        <v>NON-REV</v>
      </c>
      <c r="CM181" t="str">
        <f t="shared" si="110"/>
        <v/>
      </c>
      <c r="CN181" s="635"/>
      <c r="CO181" s="631"/>
      <c r="CP181" s="629" t="str">
        <f t="shared" si="128"/>
        <v>FOR ISSUANCE</v>
      </c>
      <c r="CQ181" s="635"/>
      <c r="CR181" s="697"/>
      <c r="CS181" s="633" t="str">
        <f t="shared" ca="1" si="112"/>
        <v>0</v>
      </c>
      <c r="CT181" s="635"/>
      <c r="CU181" s="631"/>
      <c r="CV181" s="638"/>
      <c r="CW181" s="156" t="s">
        <v>1341</v>
      </c>
      <c r="CX181" s="156" t="str">
        <f>VLOOKUP(E181,'[1]List of Work Orders'!$A:$I,9,FALSE)</f>
        <v>ME155242</v>
      </c>
      <c r="CY181" s="156"/>
      <c r="DC181" t="str">
        <f>VLOOKUP(E181,'[2]List of Work Orders'!$A:$F,6,FALSE)</f>
        <v>SCHED</v>
      </c>
      <c r="DS181" s="156" t="s">
        <v>381</v>
      </c>
    </row>
    <row r="182" spans="1:123" ht="15" customHeight="1" x14ac:dyDescent="0.2">
      <c r="A182" s="242">
        <v>45715</v>
      </c>
      <c r="B182" s="222"/>
      <c r="C182" s="223"/>
      <c r="D182" s="66" t="s">
        <v>320</v>
      </c>
      <c r="E182" s="404" t="s">
        <v>1342</v>
      </c>
      <c r="F182" s="95" t="s">
        <v>1343</v>
      </c>
      <c r="G182" s="95" t="s">
        <v>1258</v>
      </c>
      <c r="H182" s="95" t="s">
        <v>318</v>
      </c>
      <c r="I182" s="95" t="s">
        <v>239</v>
      </c>
      <c r="J182" s="163"/>
      <c r="K182" s="101"/>
      <c r="L182" s="101" t="s">
        <v>255</v>
      </c>
      <c r="M182" s="345" t="s">
        <v>272</v>
      </c>
      <c r="N182" s="442" t="s">
        <v>381</v>
      </c>
      <c r="O182" s="165">
        <v>47.976999999999997</v>
      </c>
      <c r="P182" s="933">
        <v>47.98</v>
      </c>
      <c r="Q182" s="157">
        <v>80</v>
      </c>
      <c r="R182" s="109" t="s">
        <v>548</v>
      </c>
      <c r="S182" s="110">
        <v>330669.53999999998</v>
      </c>
      <c r="T182" s="93">
        <v>38658.800000000003</v>
      </c>
      <c r="U182" s="141"/>
      <c r="V182" s="158">
        <f t="shared" si="85"/>
        <v>0</v>
      </c>
      <c r="W182" s="159">
        <v>45593.584374999999</v>
      </c>
      <c r="X182" s="159">
        <v>45601.606249999997</v>
      </c>
      <c r="Y182" s="160">
        <v>45601</v>
      </c>
      <c r="Z182" s="470"/>
      <c r="AA182" s="470">
        <v>45777</v>
      </c>
      <c r="AB182" s="470"/>
      <c r="AC182" s="161">
        <f t="shared" si="86"/>
        <v>183.41562500000146</v>
      </c>
      <c r="AD182" s="161">
        <f t="shared" si="122"/>
        <v>175.39375000000291</v>
      </c>
      <c r="AE182" s="446">
        <f t="shared" si="114"/>
        <v>-45777</v>
      </c>
      <c r="AF182" s="160">
        <f t="shared" si="123"/>
        <v>45611.658755165285</v>
      </c>
      <c r="AG182" s="160">
        <f t="shared" si="124"/>
        <v>45620.278589876034</v>
      </c>
      <c r="AH182" s="159">
        <f t="shared" si="125"/>
        <v>45643.584374999999</v>
      </c>
      <c r="AI182" s="162">
        <f t="shared" si="87"/>
        <v>6.527438419117698</v>
      </c>
      <c r="AJ182" s="224">
        <f t="shared" si="126"/>
        <v>-762.95</v>
      </c>
      <c r="AK182" s="225">
        <f t="shared" si="88"/>
        <v>20</v>
      </c>
      <c r="AL182" s="170">
        <f t="shared" si="89"/>
        <v>34</v>
      </c>
      <c r="AM182" s="170">
        <f t="shared" si="90"/>
        <v>21.074380165289259</v>
      </c>
      <c r="AN182" s="170">
        <f t="shared" si="91"/>
        <v>26.694214876033058</v>
      </c>
      <c r="AO182" s="226">
        <f t="shared" si="92"/>
        <v>18.074380165289259</v>
      </c>
      <c r="AP182" s="227">
        <v>60</v>
      </c>
      <c r="AQ182" s="228">
        <f t="shared" si="93"/>
        <v>57</v>
      </c>
      <c r="AR182" s="228">
        <f t="shared" si="94"/>
        <v>52</v>
      </c>
      <c r="AS182" s="229">
        <f t="shared" si="95"/>
        <v>45837</v>
      </c>
      <c r="AT182" s="982">
        <f t="shared" ca="1" si="96"/>
        <v>118</v>
      </c>
      <c r="AU182" s="1077"/>
      <c r="AV182" s="1078"/>
      <c r="AW182" s="1079"/>
      <c r="AX182" s="1079"/>
      <c r="AY182" s="1079"/>
      <c r="AZ182" s="1080"/>
      <c r="BA182" s="1081"/>
      <c r="BB182" s="1091"/>
      <c r="BC182" s="231" t="s">
        <v>13</v>
      </c>
      <c r="BD182" s="232"/>
      <c r="BE182" s="222">
        <f t="shared" si="119"/>
        <v>45792</v>
      </c>
      <c r="BF182" s="233" t="e">
        <f t="shared" si="127"/>
        <v>#VALUE!</v>
      </c>
      <c r="BG182" s="234"/>
      <c r="BH182" s="235"/>
      <c r="BI182" s="234"/>
      <c r="BJ182" s="236"/>
      <c r="BK182" s="222"/>
      <c r="BL182" s="222"/>
      <c r="BM182" s="238"/>
      <c r="BN182" s="222"/>
      <c r="BO182" s="222"/>
      <c r="BP182" s="243"/>
      <c r="BQ182" s="244" t="s">
        <v>247</v>
      </c>
      <c r="BR182" s="238">
        <v>45769</v>
      </c>
      <c r="BS182" s="67"/>
      <c r="BT182" s="66"/>
      <c r="BU182" s="66"/>
      <c r="BV182" s="66"/>
      <c r="BW182" s="74"/>
      <c r="BX182" s="81"/>
      <c r="BY182" s="66">
        <v>45715</v>
      </c>
      <c r="BZ182" s="944" t="s">
        <v>1344</v>
      </c>
      <c r="CA182" s="42" t="str">
        <f t="shared" si="99"/>
        <v>0</v>
      </c>
      <c r="CB182" s="62">
        <f t="shared" si="100"/>
        <v>183.41562500000146</v>
      </c>
      <c r="CC182" s="42">
        <f t="shared" si="101"/>
        <v>0</v>
      </c>
      <c r="CD182" s="62">
        <f t="shared" si="102"/>
        <v>183.41562500000146</v>
      </c>
      <c r="CE182" s="62">
        <f t="shared" si="103"/>
        <v>6.527438419117698</v>
      </c>
      <c r="CF182" s="1059">
        <f t="shared" si="104"/>
        <v>92</v>
      </c>
      <c r="CH182" s="1082">
        <f t="shared" si="105"/>
        <v>9.8015560661765235</v>
      </c>
      <c r="CI182" s="1083">
        <f t="shared" si="106"/>
        <v>9.8015560661765235</v>
      </c>
      <c r="CJ182" s="1084">
        <f t="shared" si="107"/>
        <v>1.5333333333333334</v>
      </c>
      <c r="CK182" s="1085" t="str">
        <f t="shared" si="108"/>
        <v/>
      </c>
      <c r="CL182" s="1057" t="str">
        <f t="shared" si="109"/>
        <v>NON-REV</v>
      </c>
      <c r="CM182" s="1057" t="str">
        <f t="shared" si="110"/>
        <v/>
      </c>
      <c r="CN182" s="1086"/>
      <c r="CO182" s="1087"/>
      <c r="CP182" s="629" t="str">
        <f t="shared" si="128"/>
        <v>FOR ISSUANCE</v>
      </c>
      <c r="CQ182" s="1086"/>
      <c r="CR182" s="1088"/>
      <c r="CS182" s="1089" t="str">
        <f t="shared" ca="1" si="112"/>
        <v>0</v>
      </c>
      <c r="CT182" s="1086"/>
      <c r="CU182" s="1087"/>
      <c r="CV182" s="1090"/>
      <c r="CW182" s="156" t="s">
        <v>1345</v>
      </c>
      <c r="CX182" s="156" t="str">
        <f>VLOOKUP(E182,'[1]List of Work Orders'!$A:$I,9,FALSE)</f>
        <v>ME185284</v>
      </c>
      <c r="CY182" s="156"/>
      <c r="DC182" s="1057" t="str">
        <f>VLOOKUP(E182,'[2]List of Work Orders'!$A:$F,6,FALSE)</f>
        <v>SCHED</v>
      </c>
      <c r="DS182" s="156" t="s">
        <v>397</v>
      </c>
    </row>
    <row r="183" spans="1:123" customFormat="1" ht="15" customHeight="1" x14ac:dyDescent="0.25">
      <c r="A183" s="242">
        <v>45601</v>
      </c>
      <c r="B183" s="222"/>
      <c r="C183" s="223"/>
      <c r="D183" s="66" t="s">
        <v>284</v>
      </c>
      <c r="E183" s="404" t="s">
        <v>1346</v>
      </c>
      <c r="F183" s="95" t="s">
        <v>1347</v>
      </c>
      <c r="G183" s="95" t="s">
        <v>276</v>
      </c>
      <c r="H183" s="95" t="s">
        <v>238</v>
      </c>
      <c r="I183" s="95" t="s">
        <v>239</v>
      </c>
      <c r="J183" s="163"/>
      <c r="K183" s="101"/>
      <c r="L183" s="101" t="s">
        <v>288</v>
      </c>
      <c r="M183" s="345" t="s">
        <v>272</v>
      </c>
      <c r="N183" s="442" t="s">
        <v>381</v>
      </c>
      <c r="O183" s="165">
        <v>35.543399999999998</v>
      </c>
      <c r="P183" s="933">
        <v>19.38</v>
      </c>
      <c r="Q183" s="157">
        <v>0</v>
      </c>
      <c r="R183" s="109" t="s">
        <v>319</v>
      </c>
      <c r="S183" s="110">
        <v>44003.21</v>
      </c>
      <c r="T183" s="93">
        <v>28630.27</v>
      </c>
      <c r="U183" s="141"/>
      <c r="V183" s="158">
        <f t="shared" si="85"/>
        <v>0</v>
      </c>
      <c r="W183" s="159">
        <v>45593.671435185184</v>
      </c>
      <c r="X183" s="159">
        <v>45601.51666666667</v>
      </c>
      <c r="Y183" s="160">
        <v>45601</v>
      </c>
      <c r="Z183" s="470">
        <v>45689</v>
      </c>
      <c r="AA183" s="470">
        <v>45689</v>
      </c>
      <c r="AB183" s="470"/>
      <c r="AC183" s="161">
        <f t="shared" si="86"/>
        <v>95.328564814815763</v>
      </c>
      <c r="AD183" s="161">
        <f t="shared" si="122"/>
        <v>87.483333333329938</v>
      </c>
      <c r="AE183" s="446">
        <f t="shared" si="114"/>
        <v>-45689</v>
      </c>
      <c r="AF183" s="160">
        <f t="shared" si="123"/>
        <v>45612.445628733571</v>
      </c>
      <c r="AG183" s="160">
        <f t="shared" si="124"/>
        <v>45621.252080346472</v>
      </c>
      <c r="AH183" s="159">
        <f t="shared" si="125"/>
        <v>45643.671435185184</v>
      </c>
      <c r="AI183" s="162">
        <f t="shared" si="87"/>
        <v>3.2835394547325429</v>
      </c>
      <c r="AJ183" s="224">
        <f t="shared" si="126"/>
        <v>-761.48333333333335</v>
      </c>
      <c r="AK183" s="225">
        <f t="shared" si="88"/>
        <v>20</v>
      </c>
      <c r="AL183" s="170">
        <f t="shared" si="89"/>
        <v>36</v>
      </c>
      <c r="AM183" s="170">
        <f t="shared" si="90"/>
        <v>21.774193548387096</v>
      </c>
      <c r="AN183" s="170">
        <f t="shared" si="91"/>
        <v>27.58064516129032</v>
      </c>
      <c r="AO183" s="226">
        <f t="shared" si="92"/>
        <v>18.774193548387096</v>
      </c>
      <c r="AP183" s="227">
        <v>60</v>
      </c>
      <c r="AQ183" s="228">
        <f t="shared" si="93"/>
        <v>57</v>
      </c>
      <c r="AR183" s="228">
        <f t="shared" si="94"/>
        <v>52</v>
      </c>
      <c r="AS183" s="229">
        <f t="shared" si="95"/>
        <v>45749</v>
      </c>
      <c r="AT183" s="982">
        <f t="shared" ca="1" si="96"/>
        <v>206</v>
      </c>
      <c r="AU183" s="50"/>
      <c r="AV183" s="118"/>
      <c r="AW183" s="49"/>
      <c r="AX183" s="49"/>
      <c r="AY183" s="49"/>
      <c r="AZ183" s="300"/>
      <c r="BA183" s="119"/>
      <c r="BB183" s="304"/>
      <c r="BC183" s="231" t="s">
        <v>12</v>
      </c>
      <c r="BD183" s="232"/>
      <c r="BE183" s="222">
        <f t="shared" si="119"/>
        <v>45704</v>
      </c>
      <c r="BF183" s="233">
        <f t="shared" si="127"/>
        <v>152</v>
      </c>
      <c r="BG183" s="234">
        <v>45689</v>
      </c>
      <c r="BH183" s="235">
        <v>45856</v>
      </c>
      <c r="BI183" s="234"/>
      <c r="BJ183" s="236"/>
      <c r="BK183" s="222"/>
      <c r="BL183" s="222"/>
      <c r="BM183" s="238"/>
      <c r="BN183" s="222"/>
      <c r="BO183" s="222"/>
      <c r="BP183" s="243"/>
      <c r="BQ183" s="244" t="s">
        <v>247</v>
      </c>
      <c r="BR183" s="238"/>
      <c r="BS183" s="67"/>
      <c r="BT183" s="66"/>
      <c r="BU183" s="66"/>
      <c r="BV183" s="66"/>
      <c r="BW183" s="74"/>
      <c r="BX183" s="81"/>
      <c r="BY183" s="66" t="s">
        <v>308</v>
      </c>
      <c r="BZ183" s="944" t="s">
        <v>1348</v>
      </c>
      <c r="CA183" s="42" t="str">
        <f t="shared" si="99"/>
        <v>0</v>
      </c>
      <c r="CB183" s="62">
        <f t="shared" si="100"/>
        <v>95.328564814815763</v>
      </c>
      <c r="CC183" s="42">
        <f t="shared" si="101"/>
        <v>0</v>
      </c>
      <c r="CD183" s="62">
        <f t="shared" si="102"/>
        <v>95.328564814815763</v>
      </c>
      <c r="CE183" s="62">
        <f t="shared" si="103"/>
        <v>3.2835394547325429</v>
      </c>
      <c r="CF183" s="145">
        <f t="shared" si="104"/>
        <v>180</v>
      </c>
      <c r="CG183" s="145"/>
      <c r="CH183" s="443">
        <f t="shared" si="105"/>
        <v>9.4835394547325436</v>
      </c>
      <c r="CI183" s="996">
        <f t="shared" si="106"/>
        <v>9.4835394547325436</v>
      </c>
      <c r="CJ183" s="261">
        <f t="shared" si="107"/>
        <v>3</v>
      </c>
      <c r="CK183" s="458" t="str">
        <f t="shared" si="108"/>
        <v/>
      </c>
      <c r="CL183" t="str">
        <f t="shared" si="109"/>
        <v>NON-REV</v>
      </c>
      <c r="CM183" t="str">
        <f t="shared" si="110"/>
        <v/>
      </c>
      <c r="CN183" s="635"/>
      <c r="CO183" s="631"/>
      <c r="CP183" s="629" t="str">
        <f t="shared" si="128"/>
        <v>FOR ISSUANCE</v>
      </c>
      <c r="CQ183" s="635"/>
      <c r="CR183" s="697"/>
      <c r="CS183" s="633" t="str">
        <f t="shared" ca="1" si="112"/>
        <v>0</v>
      </c>
      <c r="CT183" s="635"/>
      <c r="CU183" s="631"/>
      <c r="CV183" s="638"/>
      <c r="CW183" s="156" t="s">
        <v>1349</v>
      </c>
      <c r="CX183" s="156" t="str">
        <f>VLOOKUP(E183,'[1]List of Work Orders'!$A:$I,9,FALSE)</f>
        <v>ME185284</v>
      </c>
      <c r="CY183" s="156"/>
      <c r="DC183" t="str">
        <f>VLOOKUP(E183,'[2]List of Work Orders'!$A:$F,6,FALSE)</f>
        <v>FCOMP</v>
      </c>
      <c r="DS183" s="156" t="s">
        <v>381</v>
      </c>
    </row>
    <row r="184" spans="1:123" customFormat="1" ht="15" customHeight="1" x14ac:dyDescent="0.25">
      <c r="A184" s="242">
        <v>45601</v>
      </c>
      <c r="B184" s="222"/>
      <c r="C184" s="223"/>
      <c r="D184" s="66" t="s">
        <v>284</v>
      </c>
      <c r="E184" s="404" t="s">
        <v>1350</v>
      </c>
      <c r="F184" s="95" t="s">
        <v>1347</v>
      </c>
      <c r="G184" s="95" t="s">
        <v>282</v>
      </c>
      <c r="H184" s="95" t="s">
        <v>238</v>
      </c>
      <c r="I184" s="95" t="s">
        <v>239</v>
      </c>
      <c r="J184" s="163"/>
      <c r="K184" s="101"/>
      <c r="L184" s="101" t="s">
        <v>242</v>
      </c>
      <c r="M184" s="345" t="s">
        <v>331</v>
      </c>
      <c r="N184" s="442" t="s">
        <v>467</v>
      </c>
      <c r="O184" s="165">
        <v>18.05</v>
      </c>
      <c r="P184" s="165">
        <v>18.05</v>
      </c>
      <c r="Q184" s="157">
        <v>0</v>
      </c>
      <c r="R184" s="109" t="s">
        <v>319</v>
      </c>
      <c r="S184" s="110">
        <v>23857.72</v>
      </c>
      <c r="T184" s="93">
        <v>14543.28</v>
      </c>
      <c r="U184" s="141"/>
      <c r="V184" s="158">
        <f t="shared" si="85"/>
        <v>0</v>
      </c>
      <c r="W184" s="159">
        <v>45593.67150462963</v>
      </c>
      <c r="X184" s="159">
        <v>45601.515972222223</v>
      </c>
      <c r="Y184" s="160">
        <v>45601</v>
      </c>
      <c r="Z184" s="470"/>
      <c r="AA184" s="470"/>
      <c r="AB184" s="470"/>
      <c r="AC184" s="161">
        <f t="shared" si="86"/>
        <v>-45593.67150462963</v>
      </c>
      <c r="AD184" s="161">
        <f t="shared" si="122"/>
        <v>-45601.515972222223</v>
      </c>
      <c r="AE184" s="446">
        <f t="shared" si="114"/>
        <v>0</v>
      </c>
      <c r="AF184" s="160">
        <f t="shared" si="123"/>
        <v>45612.445698178017</v>
      </c>
      <c r="AG184" s="160">
        <f t="shared" si="124"/>
        <v>45621.252149790918</v>
      </c>
      <c r="AH184" s="159">
        <f t="shared" si="125"/>
        <v>45643.67150462963</v>
      </c>
      <c r="AI184" s="162">
        <f t="shared" si="87"/>
        <v>-1570.4486851594652</v>
      </c>
      <c r="AJ184" s="224">
        <f t="shared" si="126"/>
        <v>0</v>
      </c>
      <c r="AK184" s="225">
        <f t="shared" si="88"/>
        <v>20</v>
      </c>
      <c r="AL184" s="170">
        <f t="shared" si="89"/>
        <v>36</v>
      </c>
      <c r="AM184" s="170">
        <f t="shared" si="90"/>
        <v>21.774193548387096</v>
      </c>
      <c r="AN184" s="170">
        <f t="shared" si="91"/>
        <v>27.58064516129032</v>
      </c>
      <c r="AO184" s="226">
        <f t="shared" si="92"/>
        <v>18.774193548387096</v>
      </c>
      <c r="AP184" s="227">
        <v>60</v>
      </c>
      <c r="AQ184" s="228">
        <f t="shared" si="93"/>
        <v>57</v>
      </c>
      <c r="AR184" s="228">
        <f t="shared" si="94"/>
        <v>52</v>
      </c>
      <c r="AS184" s="229">
        <f t="shared" si="95"/>
        <v>60</v>
      </c>
      <c r="AT184" s="982">
        <f t="shared" ca="1" si="96"/>
        <v>45895</v>
      </c>
      <c r="AU184" s="50"/>
      <c r="AV184" s="118"/>
      <c r="AW184" s="49"/>
      <c r="AX184" s="49"/>
      <c r="AY184" s="49"/>
      <c r="AZ184" s="300"/>
      <c r="BA184" s="119"/>
      <c r="BB184" s="304"/>
      <c r="BC184" s="231"/>
      <c r="BD184" s="232"/>
      <c r="BE184" s="222">
        <f t="shared" si="119"/>
        <v>15</v>
      </c>
      <c r="BF184" s="233">
        <f t="shared" si="127"/>
        <v>0</v>
      </c>
      <c r="BG184" s="234"/>
      <c r="BH184" s="235"/>
      <c r="BI184" s="234"/>
      <c r="BJ184" s="236"/>
      <c r="BK184" s="222"/>
      <c r="BL184" s="222"/>
      <c r="BM184" s="238"/>
      <c r="BN184" s="222"/>
      <c r="BO184" s="222"/>
      <c r="BP184" s="243"/>
      <c r="BQ184" s="244" t="s">
        <v>247</v>
      </c>
      <c r="BR184" s="238"/>
      <c r="BS184" s="67"/>
      <c r="BT184" s="66"/>
      <c r="BU184" s="66"/>
      <c r="BV184" s="66"/>
      <c r="BW184" s="74"/>
      <c r="BX184" s="81"/>
      <c r="BY184" s="66" t="s">
        <v>308</v>
      </c>
      <c r="BZ184" s="944" t="s">
        <v>1351</v>
      </c>
      <c r="CA184" s="42" t="str">
        <f t="shared" si="99"/>
        <v>0</v>
      </c>
      <c r="CB184" s="62">
        <f t="shared" si="100"/>
        <v>-45593.67150462963</v>
      </c>
      <c r="CC184" s="42">
        <f t="shared" si="101"/>
        <v>0</v>
      </c>
      <c r="CD184" s="62">
        <f t="shared" si="102"/>
        <v>-45593.67150462963</v>
      </c>
      <c r="CE184" s="62">
        <f t="shared" si="103"/>
        <v>-1570.4486851594652</v>
      </c>
      <c r="CF184" s="145" t="str">
        <f t="shared" si="104"/>
        <v>0</v>
      </c>
      <c r="CG184" s="145"/>
      <c r="CH184" s="443">
        <f t="shared" si="105"/>
        <v>9.4835370627571756</v>
      </c>
      <c r="CI184" s="996">
        <f t="shared" si="106"/>
        <v>9.4835370627571756</v>
      </c>
      <c r="CJ184" s="261">
        <f t="shared" si="107"/>
        <v>0</v>
      </c>
      <c r="CK184" s="458">
        <f t="shared" si="108"/>
        <v>262.32849537036964</v>
      </c>
      <c r="CL184" t="str">
        <f t="shared" si="109"/>
        <v>NON-REV</v>
      </c>
      <c r="CM184" t="str">
        <f t="shared" si="110"/>
        <v>7-9 MONTHS</v>
      </c>
      <c r="CN184" s="635"/>
      <c r="CO184" s="631"/>
      <c r="CP184" s="629" t="str">
        <f t="shared" si="128"/>
        <v>FOR ISSUANCE</v>
      </c>
      <c r="CQ184" s="635"/>
      <c r="CR184" s="697"/>
      <c r="CS184" s="633" t="str">
        <f t="shared" ca="1" si="112"/>
        <v>0</v>
      </c>
      <c r="CT184" s="635"/>
      <c r="CU184" s="631"/>
      <c r="CV184" s="638"/>
      <c r="CW184" s="156" t="s">
        <v>1352</v>
      </c>
      <c r="CX184" s="156" t="str">
        <f>VLOOKUP(E184,'[1]List of Work Orders'!$A:$I,9,FALSE)</f>
        <v>ME155242</v>
      </c>
      <c r="CY184" s="156"/>
      <c r="CZ184" s="63"/>
      <c r="DC184" t="str">
        <f>VLOOKUP(E184,'[2]List of Work Orders'!$A:$F,6,FALSE)</f>
        <v>SCHED</v>
      </c>
      <c r="DS184" s="156" t="s">
        <v>381</v>
      </c>
    </row>
    <row r="185" spans="1:123" ht="15" customHeight="1" x14ac:dyDescent="0.2">
      <c r="A185" s="242">
        <v>45604</v>
      </c>
      <c r="B185" s="222"/>
      <c r="C185" s="223"/>
      <c r="D185" s="66" t="s">
        <v>234</v>
      </c>
      <c r="E185" s="404" t="s">
        <v>1353</v>
      </c>
      <c r="F185" s="95" t="s">
        <v>614</v>
      </c>
      <c r="G185" s="95" t="s">
        <v>1354</v>
      </c>
      <c r="H185" s="95" t="s">
        <v>318</v>
      </c>
      <c r="I185" s="95" t="s">
        <v>239</v>
      </c>
      <c r="J185" s="163" t="s">
        <v>1355</v>
      </c>
      <c r="K185" s="101" t="s">
        <v>271</v>
      </c>
      <c r="L185" s="101" t="s">
        <v>255</v>
      </c>
      <c r="M185" s="345" t="s">
        <v>272</v>
      </c>
      <c r="N185" s="442" t="s">
        <v>381</v>
      </c>
      <c r="O185" s="165">
        <v>90.897499999999994</v>
      </c>
      <c r="P185" s="933">
        <v>90.9</v>
      </c>
      <c r="Q185" s="157">
        <v>23</v>
      </c>
      <c r="R185" s="109" t="s">
        <v>244</v>
      </c>
      <c r="S185" s="110">
        <v>356034.6</v>
      </c>
      <c r="T185" s="93">
        <v>72820.36</v>
      </c>
      <c r="U185" s="141"/>
      <c r="V185" s="158">
        <f t="shared" si="85"/>
        <v>0</v>
      </c>
      <c r="W185" s="159">
        <v>45594.43787037037</v>
      </c>
      <c r="X185" s="159">
        <v>45601.522222222222</v>
      </c>
      <c r="Y185" s="160">
        <v>45601</v>
      </c>
      <c r="Z185" s="470"/>
      <c r="AA185" s="470">
        <v>45688</v>
      </c>
      <c r="AB185" s="470"/>
      <c r="AC185" s="161">
        <f t="shared" si="86"/>
        <v>93.562129629630363</v>
      </c>
      <c r="AD185" s="161">
        <f t="shared" si="122"/>
        <v>86.477777777778101</v>
      </c>
      <c r="AE185" s="446">
        <f t="shared" si="114"/>
        <v>-45688</v>
      </c>
      <c r="AF185" s="160">
        <f t="shared" si="123"/>
        <v>45614.523372229109</v>
      </c>
      <c r="AG185" s="160">
        <f t="shared" si="124"/>
        <v>45623.679506058099</v>
      </c>
      <c r="AH185" s="159">
        <f t="shared" si="125"/>
        <v>45644.43787037037</v>
      </c>
      <c r="AI185" s="162">
        <f t="shared" si="87"/>
        <v>3.0396392355520012</v>
      </c>
      <c r="AJ185" s="224">
        <f t="shared" si="126"/>
        <v>-761.4666666666667</v>
      </c>
      <c r="AK185" s="225">
        <f t="shared" si="88"/>
        <v>23</v>
      </c>
      <c r="AL185" s="170">
        <f t="shared" si="89"/>
        <v>36</v>
      </c>
      <c r="AM185" s="170">
        <f t="shared" si="90"/>
        <v>23.085501858736059</v>
      </c>
      <c r="AN185" s="170">
        <f t="shared" si="91"/>
        <v>29.241635687732341</v>
      </c>
      <c r="AO185" s="226">
        <f t="shared" si="92"/>
        <v>20.085501858736059</v>
      </c>
      <c r="AP185" s="227">
        <v>60</v>
      </c>
      <c r="AQ185" s="228">
        <f t="shared" si="93"/>
        <v>57</v>
      </c>
      <c r="AR185" s="228">
        <f t="shared" si="94"/>
        <v>52</v>
      </c>
      <c r="AS185" s="229">
        <f t="shared" si="95"/>
        <v>45748</v>
      </c>
      <c r="AT185" s="982">
        <f t="shared" ca="1" si="96"/>
        <v>207</v>
      </c>
      <c r="AU185" s="1077"/>
      <c r="AV185" s="1078"/>
      <c r="AW185" s="1079"/>
      <c r="AX185" s="1079"/>
      <c r="AY185" s="1079"/>
      <c r="AZ185" s="1080"/>
      <c r="BA185" s="1081"/>
      <c r="BB185" s="1091"/>
      <c r="BC185" s="231" t="s">
        <v>13</v>
      </c>
      <c r="BD185" s="232"/>
      <c r="BE185" s="222">
        <f t="shared" si="119"/>
        <v>45703</v>
      </c>
      <c r="BF185" s="233" t="e">
        <f t="shared" si="127"/>
        <v>#VALUE!</v>
      </c>
      <c r="BG185" s="248"/>
      <c r="BH185" s="235"/>
      <c r="BI185" s="234"/>
      <c r="BJ185" s="236"/>
      <c r="BK185" s="222"/>
      <c r="BL185" s="222"/>
      <c r="BM185" s="238"/>
      <c r="BN185" s="222"/>
      <c r="BO185" s="222"/>
      <c r="BP185" s="243"/>
      <c r="BQ185" s="244" t="s">
        <v>247</v>
      </c>
      <c r="BR185" s="238">
        <v>45688</v>
      </c>
      <c r="BS185" s="67"/>
      <c r="BT185" s="66"/>
      <c r="BU185" s="66"/>
      <c r="BV185" s="66"/>
      <c r="BW185" s="74"/>
      <c r="BX185" s="81"/>
      <c r="BY185" s="66">
        <v>45605</v>
      </c>
      <c r="BZ185" s="944" t="s">
        <v>1356</v>
      </c>
      <c r="CA185" s="42" t="str">
        <f t="shared" si="99"/>
        <v>0</v>
      </c>
      <c r="CB185" s="62">
        <f t="shared" si="100"/>
        <v>93.562129629630363</v>
      </c>
      <c r="CC185" s="42">
        <f t="shared" si="101"/>
        <v>0</v>
      </c>
      <c r="CD185" s="62">
        <f t="shared" si="102"/>
        <v>93.562129629630363</v>
      </c>
      <c r="CE185" s="62">
        <f t="shared" si="103"/>
        <v>3.0396392355520012</v>
      </c>
      <c r="CF185" s="1059">
        <f t="shared" si="104"/>
        <v>181</v>
      </c>
      <c r="CH185" s="1082">
        <f t="shared" si="105"/>
        <v>8.9199532452138364</v>
      </c>
      <c r="CI185" s="1083">
        <f t="shared" si="106"/>
        <v>8.9199532452138364</v>
      </c>
      <c r="CJ185" s="1084">
        <f t="shared" si="107"/>
        <v>3.0166666666666666</v>
      </c>
      <c r="CK185" s="1085" t="str">
        <f t="shared" si="108"/>
        <v/>
      </c>
      <c r="CL185" s="1057" t="str">
        <f t="shared" si="109"/>
        <v>REV</v>
      </c>
      <c r="CM185" s="1057" t="str">
        <f t="shared" si="110"/>
        <v/>
      </c>
      <c r="CN185" s="1086"/>
      <c r="CO185" s="1087"/>
      <c r="CP185" s="629" t="str">
        <f t="shared" si="128"/>
        <v>FOR ISSUANCE</v>
      </c>
      <c r="CQ185" s="1086"/>
      <c r="CR185" s="1088"/>
      <c r="CS185" s="1089" t="str">
        <f t="shared" ca="1" si="112"/>
        <v>0</v>
      </c>
      <c r="CT185" s="1086"/>
      <c r="CU185" s="1087"/>
      <c r="CV185" s="1090"/>
      <c r="CW185" s="156" t="s">
        <v>1357</v>
      </c>
      <c r="CX185" s="156" t="str">
        <f>VLOOKUP(E185,'[1]List of Work Orders'!$A:$I,9,FALSE)</f>
        <v>ME185284</v>
      </c>
      <c r="CY185" s="156"/>
      <c r="DC185" s="1057" t="str">
        <f>VLOOKUP(E185,'[2]List of Work Orders'!$A:$F,6,FALSE)</f>
        <v>FCOMP</v>
      </c>
      <c r="DS185" s="156" t="s">
        <v>397</v>
      </c>
    </row>
    <row r="186" spans="1:123" customFormat="1" ht="15" customHeight="1" x14ac:dyDescent="0.25">
      <c r="A186" s="242">
        <v>45601</v>
      </c>
      <c r="B186" s="222"/>
      <c r="C186" s="223"/>
      <c r="D186" s="66" t="s">
        <v>234</v>
      </c>
      <c r="E186" s="404" t="s">
        <v>1358</v>
      </c>
      <c r="F186" s="95" t="s">
        <v>1359</v>
      </c>
      <c r="G186" s="95" t="s">
        <v>304</v>
      </c>
      <c r="H186" s="95" t="s">
        <v>238</v>
      </c>
      <c r="I186" s="95" t="s">
        <v>239</v>
      </c>
      <c r="J186" s="163" t="s">
        <v>1360</v>
      </c>
      <c r="K186" s="101"/>
      <c r="L186" s="101" t="s">
        <v>288</v>
      </c>
      <c r="M186" s="345" t="s">
        <v>331</v>
      </c>
      <c r="N186" s="442" t="s">
        <v>381</v>
      </c>
      <c r="O186" s="165">
        <v>32.880299999999998</v>
      </c>
      <c r="P186" s="165">
        <v>32.880000000000003</v>
      </c>
      <c r="Q186" s="157">
        <v>28</v>
      </c>
      <c r="R186" s="109" t="s">
        <v>548</v>
      </c>
      <c r="S186" s="110">
        <v>212227.5</v>
      </c>
      <c r="T186" s="93">
        <v>26100.1</v>
      </c>
      <c r="U186" s="141"/>
      <c r="V186" s="158">
        <f t="shared" si="85"/>
        <v>0</v>
      </c>
      <c r="W186" s="159">
        <v>45596.65347222222</v>
      </c>
      <c r="X186" s="159">
        <v>45601.518750000003</v>
      </c>
      <c r="Y186" s="160">
        <v>45601</v>
      </c>
      <c r="Z186" s="470"/>
      <c r="AA186" s="470"/>
      <c r="AB186" s="470"/>
      <c r="AC186" s="161">
        <f t="shared" si="86"/>
        <v>-45596.65347222222</v>
      </c>
      <c r="AD186" s="161">
        <f t="shared" si="122"/>
        <v>-45601.518750000003</v>
      </c>
      <c r="AE186" s="446">
        <f t="shared" si="114"/>
        <v>0</v>
      </c>
      <c r="AF186" s="160">
        <f t="shared" si="123"/>
        <v>45615.427665770607</v>
      </c>
      <c r="AG186" s="160">
        <f t="shared" si="124"/>
        <v>45624.234117383508</v>
      </c>
      <c r="AH186" s="159">
        <f t="shared" si="125"/>
        <v>45646.65347222222</v>
      </c>
      <c r="AI186" s="162">
        <f t="shared" si="87"/>
        <v>-1570.551397376543</v>
      </c>
      <c r="AJ186" s="224">
        <f t="shared" si="126"/>
        <v>0</v>
      </c>
      <c r="AK186" s="225">
        <f t="shared" si="88"/>
        <v>20</v>
      </c>
      <c r="AL186" s="170">
        <f t="shared" si="89"/>
        <v>36</v>
      </c>
      <c r="AM186" s="170">
        <f t="shared" si="90"/>
        <v>21.774193548387096</v>
      </c>
      <c r="AN186" s="170">
        <f t="shared" si="91"/>
        <v>27.58064516129032</v>
      </c>
      <c r="AO186" s="226">
        <f t="shared" si="92"/>
        <v>18.774193548387096</v>
      </c>
      <c r="AP186" s="227">
        <v>60</v>
      </c>
      <c r="AQ186" s="228">
        <f t="shared" si="93"/>
        <v>57</v>
      </c>
      <c r="AR186" s="228">
        <f t="shared" si="94"/>
        <v>52</v>
      </c>
      <c r="AS186" s="229">
        <f t="shared" si="95"/>
        <v>60</v>
      </c>
      <c r="AT186" s="982">
        <f t="shared" ca="1" si="96"/>
        <v>45895</v>
      </c>
      <c r="AU186" s="50"/>
      <c r="AV186" s="118"/>
      <c r="AW186" s="49"/>
      <c r="AX186" s="49"/>
      <c r="AY186" s="49"/>
      <c r="AZ186" s="300"/>
      <c r="BA186" s="119"/>
      <c r="BB186" s="304"/>
      <c r="BC186" s="231"/>
      <c r="BD186" s="232"/>
      <c r="BE186" s="222">
        <f t="shared" si="119"/>
        <v>15</v>
      </c>
      <c r="BF186" s="233">
        <f t="shared" si="127"/>
        <v>0</v>
      </c>
      <c r="BG186" s="248"/>
      <c r="BH186" s="235"/>
      <c r="BI186" s="234"/>
      <c r="BJ186" s="236"/>
      <c r="BK186" s="222"/>
      <c r="BL186" s="222"/>
      <c r="BM186" s="238"/>
      <c r="BN186" s="222"/>
      <c r="BO186" s="222"/>
      <c r="BP186" s="243"/>
      <c r="BQ186" s="244" t="s">
        <v>247</v>
      </c>
      <c r="BR186" s="238">
        <v>45819</v>
      </c>
      <c r="BS186" s="67"/>
      <c r="BT186" s="66"/>
      <c r="BU186" s="66"/>
      <c r="BV186" s="66"/>
      <c r="BW186" s="74"/>
      <c r="BX186" s="81"/>
      <c r="BY186" s="66" t="s">
        <v>308</v>
      </c>
      <c r="BZ186" s="944" t="s">
        <v>1361</v>
      </c>
      <c r="CA186" s="42" t="str">
        <f t="shared" si="99"/>
        <v>0</v>
      </c>
      <c r="CB186" s="62">
        <f t="shared" si="100"/>
        <v>-45596.65347222222</v>
      </c>
      <c r="CC186" s="42">
        <f t="shared" si="101"/>
        <v>0</v>
      </c>
      <c r="CD186" s="62">
        <f t="shared" si="102"/>
        <v>-45596.65347222222</v>
      </c>
      <c r="CE186" s="62">
        <f t="shared" si="103"/>
        <v>-1570.551397376543</v>
      </c>
      <c r="CF186" s="145" t="str">
        <f t="shared" si="104"/>
        <v>0</v>
      </c>
      <c r="CG186" s="145"/>
      <c r="CH186" s="443">
        <f t="shared" si="105"/>
        <v>9.3808248456790722</v>
      </c>
      <c r="CI186" s="996">
        <f t="shared" si="106"/>
        <v>9.3808248456790722</v>
      </c>
      <c r="CJ186" s="261">
        <f t="shared" si="107"/>
        <v>0</v>
      </c>
      <c r="CK186" s="458">
        <f t="shared" si="108"/>
        <v>259.34652777777956</v>
      </c>
      <c r="CL186" t="str">
        <f t="shared" si="109"/>
        <v>NON-REV</v>
      </c>
      <c r="CM186" t="str">
        <f t="shared" si="110"/>
        <v>7-9 MONTHS</v>
      </c>
      <c r="CN186" s="635"/>
      <c r="CO186" s="631"/>
      <c r="CP186" s="629" t="str">
        <f t="shared" si="128"/>
        <v>FOR ISSUANCE</v>
      </c>
      <c r="CQ186" s="635"/>
      <c r="CR186" s="697"/>
      <c r="CS186" s="633" t="str">
        <f t="shared" ca="1" si="112"/>
        <v>0</v>
      </c>
      <c r="CT186" s="635"/>
      <c r="CU186" s="631"/>
      <c r="CV186" s="638"/>
      <c r="CW186" s="156" t="s">
        <v>1362</v>
      </c>
      <c r="CX186" s="156" t="str">
        <f>VLOOKUP(E186,'[1]List of Work Orders'!$A:$I,9,FALSE)</f>
        <v>ME185284</v>
      </c>
      <c r="CY186" s="156"/>
      <c r="DC186" t="str">
        <f>VLOOKUP(E186,'[2]List of Work Orders'!$A:$F,6,FALSE)</f>
        <v>SCHED</v>
      </c>
      <c r="DS186" s="156" t="s">
        <v>381</v>
      </c>
    </row>
    <row r="187" spans="1:123" ht="15" customHeight="1" x14ac:dyDescent="0.2">
      <c r="A187" s="242">
        <v>45637</v>
      </c>
      <c r="B187" s="222"/>
      <c r="C187" s="223"/>
      <c r="D187" s="66" t="s">
        <v>320</v>
      </c>
      <c r="E187" s="404" t="s">
        <v>1363</v>
      </c>
      <c r="F187" s="95" t="s">
        <v>1364</v>
      </c>
      <c r="G187" s="95" t="s">
        <v>1365</v>
      </c>
      <c r="H187" s="95" t="s">
        <v>238</v>
      </c>
      <c r="I187" s="95" t="s">
        <v>239</v>
      </c>
      <c r="J187" s="163"/>
      <c r="K187" s="101"/>
      <c r="L187" s="101" t="s">
        <v>255</v>
      </c>
      <c r="M187" s="345" t="s">
        <v>272</v>
      </c>
      <c r="N187" s="442" t="s">
        <v>381</v>
      </c>
      <c r="O187" s="165">
        <v>21.55</v>
      </c>
      <c r="P187" s="933">
        <v>21.55</v>
      </c>
      <c r="Q187" s="157">
        <v>48</v>
      </c>
      <c r="R187" s="109" t="s">
        <v>548</v>
      </c>
      <c r="S187" s="110">
        <v>61552.23</v>
      </c>
      <c r="T187" s="93">
        <v>17353.63</v>
      </c>
      <c r="U187" s="141"/>
      <c r="V187" s="158">
        <f t="shared" si="85"/>
        <v>0</v>
      </c>
      <c r="W187" s="159">
        <v>45596.678472222222</v>
      </c>
      <c r="X187" s="159">
        <v>45601.548611111109</v>
      </c>
      <c r="Y187" s="160">
        <v>45601</v>
      </c>
      <c r="Z187" s="470"/>
      <c r="AA187" s="470">
        <v>45734</v>
      </c>
      <c r="AB187" s="470"/>
      <c r="AC187" s="161">
        <f t="shared" si="86"/>
        <v>137.3215277777781</v>
      </c>
      <c r="AD187" s="161">
        <f t="shared" si="122"/>
        <v>132.45138888889051</v>
      </c>
      <c r="AE187" s="446">
        <f t="shared" si="114"/>
        <v>-45734</v>
      </c>
      <c r="AF187" s="160">
        <f t="shared" si="123"/>
        <v>45615.452665770608</v>
      </c>
      <c r="AG187" s="160">
        <f t="shared" si="124"/>
        <v>45624.25911738351</v>
      </c>
      <c r="AH187" s="159">
        <f t="shared" si="125"/>
        <v>45646.678472222222</v>
      </c>
      <c r="AI187" s="162">
        <f t="shared" si="87"/>
        <v>4.729963734567912</v>
      </c>
      <c r="AJ187" s="224">
        <f t="shared" si="126"/>
        <v>-762.23333333333335</v>
      </c>
      <c r="AK187" s="225">
        <f t="shared" si="88"/>
        <v>20</v>
      </c>
      <c r="AL187" s="170">
        <f t="shared" si="89"/>
        <v>36</v>
      </c>
      <c r="AM187" s="170">
        <f t="shared" si="90"/>
        <v>21.774193548387096</v>
      </c>
      <c r="AN187" s="170">
        <f t="shared" si="91"/>
        <v>27.58064516129032</v>
      </c>
      <c r="AO187" s="226">
        <f t="shared" si="92"/>
        <v>18.774193548387096</v>
      </c>
      <c r="AP187" s="227">
        <v>60</v>
      </c>
      <c r="AQ187" s="228">
        <f t="shared" si="93"/>
        <v>57</v>
      </c>
      <c r="AR187" s="228">
        <f t="shared" si="94"/>
        <v>52</v>
      </c>
      <c r="AS187" s="229">
        <f t="shared" si="95"/>
        <v>45794</v>
      </c>
      <c r="AT187" s="982">
        <f t="shared" ca="1" si="96"/>
        <v>161</v>
      </c>
      <c r="AU187" s="1077"/>
      <c r="AV187" s="1078"/>
      <c r="AW187" s="1079"/>
      <c r="AX187" s="1079"/>
      <c r="AY187" s="1079"/>
      <c r="AZ187" s="1080"/>
      <c r="BA187" s="1081"/>
      <c r="BB187" s="1091"/>
      <c r="BC187" s="231" t="s">
        <v>12</v>
      </c>
      <c r="BD187" s="232"/>
      <c r="BE187" s="222">
        <f t="shared" si="119"/>
        <v>45749</v>
      </c>
      <c r="BF187" s="233">
        <f t="shared" si="127"/>
        <v>-12</v>
      </c>
      <c r="BG187" s="248" t="s">
        <v>1366</v>
      </c>
      <c r="BH187" s="235">
        <v>45737</v>
      </c>
      <c r="BI187" s="234"/>
      <c r="BJ187" s="236"/>
      <c r="BK187" s="222"/>
      <c r="BL187" s="222"/>
      <c r="BM187" s="238"/>
      <c r="BN187" s="222"/>
      <c r="BO187" s="222"/>
      <c r="BP187" s="243"/>
      <c r="BQ187" s="244" t="s">
        <v>247</v>
      </c>
      <c r="BR187" s="238"/>
      <c r="BS187" s="67"/>
      <c r="BT187" s="66"/>
      <c r="BU187" s="66"/>
      <c r="BV187" s="66"/>
      <c r="BW187" s="74"/>
      <c r="BX187" s="81"/>
      <c r="BY187" s="66" t="s">
        <v>308</v>
      </c>
      <c r="BZ187" s="944"/>
      <c r="CA187" s="42" t="str">
        <f t="shared" si="99"/>
        <v>0</v>
      </c>
      <c r="CB187" s="62">
        <f t="shared" si="100"/>
        <v>137.3215277777781</v>
      </c>
      <c r="CC187" s="42">
        <f t="shared" si="101"/>
        <v>0</v>
      </c>
      <c r="CD187" s="62">
        <f t="shared" si="102"/>
        <v>137.3215277777781</v>
      </c>
      <c r="CE187" s="62">
        <f t="shared" si="103"/>
        <v>4.729963734567912</v>
      </c>
      <c r="CF187" s="1059">
        <f t="shared" si="104"/>
        <v>135</v>
      </c>
      <c r="CH187" s="1082">
        <f t="shared" si="105"/>
        <v>9.3799637345679123</v>
      </c>
      <c r="CI187" s="1083">
        <f t="shared" si="106"/>
        <v>9.3799637345679123</v>
      </c>
      <c r="CJ187" s="1084">
        <f t="shared" si="107"/>
        <v>2.25</v>
      </c>
      <c r="CK187" s="1085" t="str">
        <f t="shared" si="108"/>
        <v/>
      </c>
      <c r="CL187" s="1057" t="str">
        <f t="shared" si="109"/>
        <v>NON-REV</v>
      </c>
      <c r="CM187" s="1057" t="str">
        <f t="shared" si="110"/>
        <v/>
      </c>
      <c r="CN187" s="1086"/>
      <c r="CO187" s="1087"/>
      <c r="CP187" s="629" t="str">
        <f t="shared" si="128"/>
        <v>FOR ISSUANCE</v>
      </c>
      <c r="CQ187" s="1086"/>
      <c r="CR187" s="1088"/>
      <c r="CS187" s="1089" t="str">
        <f t="shared" ca="1" si="112"/>
        <v>0</v>
      </c>
      <c r="CT187" s="1086"/>
      <c r="CU187" s="1087"/>
      <c r="CV187" s="1090"/>
      <c r="CW187" s="156" t="s">
        <v>1367</v>
      </c>
      <c r="CX187" s="156" t="str">
        <f>VLOOKUP(E187,'[1]List of Work Orders'!$A:$I,9,FALSE)</f>
        <v>ME185284</v>
      </c>
      <c r="CY187" s="156"/>
      <c r="DC187" s="1057" t="str">
        <f>VLOOKUP(E187,'[2]List of Work Orders'!$A:$F,6,FALSE)</f>
        <v>FCOMP</v>
      </c>
      <c r="DS187" s="156" t="s">
        <v>381</v>
      </c>
    </row>
    <row r="188" spans="1:123" customFormat="1" ht="15" customHeight="1" x14ac:dyDescent="0.25">
      <c r="A188" s="242">
        <v>45637</v>
      </c>
      <c r="B188" s="222"/>
      <c r="C188" s="223"/>
      <c r="D188" s="66" t="s">
        <v>320</v>
      </c>
      <c r="E188" s="404" t="s">
        <v>1368</v>
      </c>
      <c r="F188" s="95" t="s">
        <v>1369</v>
      </c>
      <c r="G188" s="95" t="s">
        <v>1370</v>
      </c>
      <c r="H188" s="95" t="s">
        <v>238</v>
      </c>
      <c r="I188" s="95" t="s">
        <v>239</v>
      </c>
      <c r="J188" s="163" t="s">
        <v>1371</v>
      </c>
      <c r="K188" s="101" t="s">
        <v>299</v>
      </c>
      <c r="L188" s="101" t="s">
        <v>242</v>
      </c>
      <c r="M188" s="345" t="s">
        <v>272</v>
      </c>
      <c r="N188" s="442" t="s">
        <v>467</v>
      </c>
      <c r="O188" s="165">
        <v>109.02404</v>
      </c>
      <c r="P188" s="933">
        <v>111.67</v>
      </c>
      <c r="Q188" s="157">
        <v>44</v>
      </c>
      <c r="R188" s="109" t="s">
        <v>244</v>
      </c>
      <c r="S188" s="110">
        <v>364950.15</v>
      </c>
      <c r="T188" s="93">
        <v>87791.66</v>
      </c>
      <c r="U188" s="141">
        <v>41380.28</v>
      </c>
      <c r="V188" s="158">
        <f t="shared" si="85"/>
        <v>0.47134636706949151</v>
      </c>
      <c r="W188" s="159">
        <v>45596.679861111108</v>
      </c>
      <c r="X188" s="159">
        <v>45601.55</v>
      </c>
      <c r="Y188" s="160">
        <v>45601</v>
      </c>
      <c r="Z188" s="470"/>
      <c r="AA188" s="470">
        <v>45665</v>
      </c>
      <c r="AB188" s="470"/>
      <c r="AC188" s="161">
        <f t="shared" si="86"/>
        <v>68.320138888891961</v>
      </c>
      <c r="AD188" s="161">
        <f t="shared" si="122"/>
        <v>63.44999999999709</v>
      </c>
      <c r="AE188" s="446">
        <f t="shared" si="114"/>
        <v>-45665</v>
      </c>
      <c r="AF188" s="160">
        <f t="shared" si="123"/>
        <v>45617.886757662833</v>
      </c>
      <c r="AG188" s="160">
        <f t="shared" si="124"/>
        <v>45627.341930076625</v>
      </c>
      <c r="AH188" s="159">
        <f t="shared" si="125"/>
        <v>45646.679861111108</v>
      </c>
      <c r="AI188" s="162">
        <f t="shared" si="87"/>
        <v>2.1167564399336181</v>
      </c>
      <c r="AJ188" s="224">
        <f t="shared" si="126"/>
        <v>-761.08333333333337</v>
      </c>
      <c r="AK188" s="225">
        <f t="shared" si="88"/>
        <v>26</v>
      </c>
      <c r="AL188" s="170">
        <f t="shared" si="89"/>
        <v>36</v>
      </c>
      <c r="AM188" s="170">
        <f t="shared" si="90"/>
        <v>24.206896551724139</v>
      </c>
      <c r="AN188" s="170">
        <f t="shared" si="91"/>
        <v>30.662068965517239</v>
      </c>
      <c r="AO188" s="226">
        <f t="shared" si="92"/>
        <v>21.206896551724139</v>
      </c>
      <c r="AP188" s="227">
        <v>60</v>
      </c>
      <c r="AQ188" s="228">
        <f t="shared" si="93"/>
        <v>57</v>
      </c>
      <c r="AR188" s="228">
        <f t="shared" si="94"/>
        <v>52</v>
      </c>
      <c r="AS188" s="229">
        <f t="shared" si="95"/>
        <v>45725</v>
      </c>
      <c r="AT188" s="982">
        <f t="shared" ca="1" si="96"/>
        <v>230</v>
      </c>
      <c r="AU188" s="50"/>
      <c r="AV188" s="118"/>
      <c r="AW188" s="49"/>
      <c r="AX188" s="49"/>
      <c r="AY188" s="49"/>
      <c r="AZ188" s="300"/>
      <c r="BA188" s="119"/>
      <c r="BB188" s="304"/>
      <c r="BC188" s="231" t="s">
        <v>146</v>
      </c>
      <c r="BD188" s="232" t="s">
        <v>601</v>
      </c>
      <c r="BE188" s="222">
        <f t="shared" si="119"/>
        <v>45680</v>
      </c>
      <c r="BF188" s="233">
        <f t="shared" si="127"/>
        <v>-12</v>
      </c>
      <c r="BG188" s="248">
        <v>45645</v>
      </c>
      <c r="BH188" s="235">
        <v>45668</v>
      </c>
      <c r="BI188" s="234">
        <v>45705</v>
      </c>
      <c r="BJ188" s="236" t="s">
        <v>245</v>
      </c>
      <c r="BK188" s="222" t="s">
        <v>247</v>
      </c>
      <c r="BL188" s="222"/>
      <c r="BM188" s="238"/>
      <c r="BN188" s="222"/>
      <c r="BO188" s="222">
        <v>45758</v>
      </c>
      <c r="BP188" s="243" t="s">
        <v>1084</v>
      </c>
      <c r="BQ188" s="244"/>
      <c r="BR188" s="238"/>
      <c r="BS188" s="67"/>
      <c r="BT188" s="66"/>
      <c r="BU188" s="66"/>
      <c r="BV188" s="66"/>
      <c r="BW188" s="74"/>
      <c r="BX188" s="81"/>
      <c r="BY188" s="66">
        <v>45645</v>
      </c>
      <c r="BZ188" s="944" t="s">
        <v>1372</v>
      </c>
      <c r="CA188" s="42" t="str">
        <f t="shared" si="99"/>
        <v>0</v>
      </c>
      <c r="CB188" s="62">
        <f t="shared" si="100"/>
        <v>68.320138888891961</v>
      </c>
      <c r="CC188" s="42">
        <f t="shared" si="101"/>
        <v>0</v>
      </c>
      <c r="CD188" s="62">
        <f t="shared" si="102"/>
        <v>68.320138888891961</v>
      </c>
      <c r="CE188" s="62">
        <f t="shared" si="103"/>
        <v>2.1167564399336181</v>
      </c>
      <c r="CF188" s="145">
        <f t="shared" si="104"/>
        <v>204</v>
      </c>
      <c r="CG188" s="145"/>
      <c r="CH188" s="443">
        <f t="shared" si="105"/>
        <v>8.4372692604464383</v>
      </c>
      <c r="CI188" s="996">
        <f t="shared" si="106"/>
        <v>8.4372692604464383</v>
      </c>
      <c r="CJ188" s="261">
        <f t="shared" si="107"/>
        <v>3.4</v>
      </c>
      <c r="CK188" s="458" t="str">
        <f t="shared" si="108"/>
        <v/>
      </c>
      <c r="CL188" t="str">
        <f t="shared" si="109"/>
        <v>REV</v>
      </c>
      <c r="CM188" t="str">
        <f t="shared" si="110"/>
        <v/>
      </c>
      <c r="CN188" s="635"/>
      <c r="CO188" s="631"/>
      <c r="CP188" s="629" t="str">
        <f t="shared" si="128"/>
        <v>FOR ISSUANCE</v>
      </c>
      <c r="CQ188" s="635"/>
      <c r="CR188" s="697"/>
      <c r="CS188" s="633" t="str">
        <f t="shared" ca="1" si="112"/>
        <v>0</v>
      </c>
      <c r="CT188" s="635"/>
      <c r="CU188" s="631"/>
      <c r="CV188" s="638"/>
      <c r="CW188" s="156" t="s">
        <v>1373</v>
      </c>
      <c r="CX188" s="156" t="str">
        <f>VLOOKUP(E188,'[1]List of Work Orders'!$A:$I,9,FALSE)</f>
        <v>ME155242</v>
      </c>
      <c r="CY188" s="156"/>
      <c r="CZ188" s="63"/>
      <c r="DC188" t="str">
        <f>VLOOKUP(E188,'[2]List of Work Orders'!$A:$F,6,FALSE)</f>
        <v>FCOMP</v>
      </c>
      <c r="DS188" s="156" t="s">
        <v>381</v>
      </c>
    </row>
    <row r="189" spans="1:123" customFormat="1" ht="15" customHeight="1" x14ac:dyDescent="0.25">
      <c r="A189" s="242">
        <v>45601</v>
      </c>
      <c r="B189" s="222"/>
      <c r="C189" s="223"/>
      <c r="D189" s="66" t="s">
        <v>234</v>
      </c>
      <c r="E189" s="404" t="s">
        <v>1374</v>
      </c>
      <c r="F189" s="95" t="s">
        <v>1359</v>
      </c>
      <c r="G189" s="95" t="s">
        <v>1375</v>
      </c>
      <c r="H189" s="95" t="s">
        <v>238</v>
      </c>
      <c r="I189" s="95" t="s">
        <v>239</v>
      </c>
      <c r="J189" s="163"/>
      <c r="K189" s="101"/>
      <c r="L189" s="101" t="s">
        <v>288</v>
      </c>
      <c r="M189" s="345" t="s">
        <v>272</v>
      </c>
      <c r="N189" s="442" t="s">
        <v>381</v>
      </c>
      <c r="O189" s="165">
        <v>70.017300000000006</v>
      </c>
      <c r="P189" s="933">
        <v>70.02</v>
      </c>
      <c r="Q189" s="157">
        <v>17</v>
      </c>
      <c r="R189" s="109" t="s">
        <v>548</v>
      </c>
      <c r="S189" s="110">
        <v>464521.19</v>
      </c>
      <c r="T189" s="93">
        <v>56399.27</v>
      </c>
      <c r="U189" s="141"/>
      <c r="V189" s="158">
        <f t="shared" si="85"/>
        <v>0</v>
      </c>
      <c r="W189" s="159">
        <v>45596.679861111108</v>
      </c>
      <c r="X189" s="159">
        <v>45601.518055555556</v>
      </c>
      <c r="Y189" s="160">
        <v>45601</v>
      </c>
      <c r="Z189" s="470">
        <v>45822</v>
      </c>
      <c r="AA189" s="470">
        <v>45822.336805555555</v>
      </c>
      <c r="AB189" s="470"/>
      <c r="AC189" s="161">
        <f t="shared" si="86"/>
        <v>225.65694444444671</v>
      </c>
      <c r="AD189" s="161">
        <f t="shared" si="122"/>
        <v>220.81874999999854</v>
      </c>
      <c r="AE189" s="446">
        <f t="shared" si="114"/>
        <v>-45822.336805555555</v>
      </c>
      <c r="AF189" s="160">
        <f t="shared" si="123"/>
        <v>45616.765362969847</v>
      </c>
      <c r="AG189" s="160">
        <f t="shared" si="124"/>
        <v>45625.921496798837</v>
      </c>
      <c r="AH189" s="159">
        <f t="shared" si="125"/>
        <v>45646.679861111108</v>
      </c>
      <c r="AI189" s="162">
        <f t="shared" si="87"/>
        <v>7.3311253690285216</v>
      </c>
      <c r="AJ189" s="224">
        <f t="shared" si="126"/>
        <v>-763.70561342592589</v>
      </c>
      <c r="AK189" s="225">
        <f t="shared" si="88"/>
        <v>23</v>
      </c>
      <c r="AL189" s="170">
        <f t="shared" si="89"/>
        <v>36</v>
      </c>
      <c r="AM189" s="170">
        <f t="shared" si="90"/>
        <v>23.085501858736059</v>
      </c>
      <c r="AN189" s="170">
        <f t="shared" si="91"/>
        <v>29.241635687732341</v>
      </c>
      <c r="AO189" s="226">
        <f t="shared" si="92"/>
        <v>20.085501858736059</v>
      </c>
      <c r="AP189" s="227">
        <v>60</v>
      </c>
      <c r="AQ189" s="228">
        <f t="shared" si="93"/>
        <v>57</v>
      </c>
      <c r="AR189" s="228">
        <f t="shared" si="94"/>
        <v>52</v>
      </c>
      <c r="AS189" s="229">
        <f t="shared" si="95"/>
        <v>45882.336805555555</v>
      </c>
      <c r="AT189" s="982">
        <f t="shared" ca="1" si="96"/>
        <v>72.663194444445253</v>
      </c>
      <c r="AU189" s="50"/>
      <c r="AV189" s="118"/>
      <c r="AW189" s="49"/>
      <c r="AX189" s="49"/>
      <c r="AY189" s="49"/>
      <c r="AZ189" s="300"/>
      <c r="BA189" s="119"/>
      <c r="BB189" s="304"/>
      <c r="BC189" s="231" t="s">
        <v>12</v>
      </c>
      <c r="BD189" s="232"/>
      <c r="BE189" s="222">
        <f t="shared" si="119"/>
        <v>45837.336805555555</v>
      </c>
      <c r="BF189" s="233">
        <f t="shared" si="127"/>
        <v>38.663194444445253</v>
      </c>
      <c r="BG189" s="234">
        <v>45822</v>
      </c>
      <c r="BH189" s="235">
        <v>45876</v>
      </c>
      <c r="BI189" s="234"/>
      <c r="BJ189" s="236"/>
      <c r="BK189" s="222"/>
      <c r="BL189" s="222"/>
      <c r="BM189" s="238"/>
      <c r="BN189" s="222"/>
      <c r="BO189" s="222"/>
      <c r="BP189" s="243"/>
      <c r="BQ189" s="244" t="s">
        <v>247</v>
      </c>
      <c r="BR189" s="238">
        <v>45819</v>
      </c>
      <c r="BS189" s="67"/>
      <c r="BT189" s="66"/>
      <c r="BU189" s="66"/>
      <c r="BV189" s="66"/>
      <c r="BW189" s="74"/>
      <c r="BX189" s="81"/>
      <c r="BY189" s="66" t="s">
        <v>308</v>
      </c>
      <c r="BZ189" s="944" t="s">
        <v>1376</v>
      </c>
      <c r="CA189" s="42" t="str">
        <f t="shared" si="99"/>
        <v>0</v>
      </c>
      <c r="CB189" s="62">
        <f t="shared" si="100"/>
        <v>225.65694444444671</v>
      </c>
      <c r="CC189" s="42">
        <f t="shared" si="101"/>
        <v>0</v>
      </c>
      <c r="CD189" s="62">
        <f t="shared" si="102"/>
        <v>225.65694444444671</v>
      </c>
      <c r="CE189" s="62">
        <f t="shared" si="103"/>
        <v>7.3311253690285216</v>
      </c>
      <c r="CF189" s="145">
        <f t="shared" si="104"/>
        <v>46.663194444445253</v>
      </c>
      <c r="CG189" s="145"/>
      <c r="CH189" s="443">
        <f t="shared" si="105"/>
        <v>8.8471156233226971</v>
      </c>
      <c r="CI189" s="996">
        <f t="shared" si="106"/>
        <v>8.8471156233226971</v>
      </c>
      <c r="CJ189" s="261">
        <f t="shared" si="107"/>
        <v>0.77771990740742092</v>
      </c>
      <c r="CK189" s="458" t="str">
        <f t="shared" si="108"/>
        <v/>
      </c>
      <c r="CL189" t="str">
        <f t="shared" si="109"/>
        <v>NON-REV</v>
      </c>
      <c r="CM189" t="str">
        <f t="shared" si="110"/>
        <v/>
      </c>
      <c r="CN189" s="635"/>
      <c r="CO189" s="631"/>
      <c r="CP189" s="629" t="str">
        <f t="shared" si="128"/>
        <v>FOR ISSUANCE</v>
      </c>
      <c r="CQ189" s="635"/>
      <c r="CR189" s="697"/>
      <c r="CS189" s="633" t="str">
        <f t="shared" ca="1" si="112"/>
        <v>0</v>
      </c>
      <c r="CT189" s="635"/>
      <c r="CU189" s="631"/>
      <c r="CV189" s="638"/>
      <c r="CW189" s="156" t="s">
        <v>1377</v>
      </c>
      <c r="CX189" s="156" t="str">
        <f>VLOOKUP(E189,'[1]List of Work Orders'!$A:$I,9,FALSE)</f>
        <v>ME185284</v>
      </c>
      <c r="CY189" s="156"/>
      <c r="DC189" t="s">
        <v>243</v>
      </c>
      <c r="DS189" s="156" t="s">
        <v>381</v>
      </c>
    </row>
    <row r="190" spans="1:123" customFormat="1" ht="15" customHeight="1" x14ac:dyDescent="0.25">
      <c r="A190" s="242">
        <v>45612</v>
      </c>
      <c r="B190" s="222"/>
      <c r="C190" s="223" t="s">
        <v>247</v>
      </c>
      <c r="D190" s="66" t="s">
        <v>320</v>
      </c>
      <c r="E190" s="404" t="s">
        <v>1378</v>
      </c>
      <c r="F190" s="95" t="s">
        <v>1379</v>
      </c>
      <c r="G190" s="95" t="s">
        <v>1380</v>
      </c>
      <c r="H190" s="95" t="s">
        <v>269</v>
      </c>
      <c r="I190" s="95" t="s">
        <v>239</v>
      </c>
      <c r="J190" s="163" t="s">
        <v>1381</v>
      </c>
      <c r="K190" s="101"/>
      <c r="L190" s="101" t="s">
        <v>263</v>
      </c>
      <c r="M190" s="345" t="s">
        <v>272</v>
      </c>
      <c r="N190" s="442" t="s">
        <v>467</v>
      </c>
      <c r="O190" s="165">
        <v>196.56030000000001</v>
      </c>
      <c r="P190" s="933">
        <v>431.23</v>
      </c>
      <c r="Q190" s="157">
        <v>42.36</v>
      </c>
      <c r="R190" s="109" t="s">
        <v>548</v>
      </c>
      <c r="S190" s="110">
        <v>807326.91</v>
      </c>
      <c r="T190" s="93">
        <v>158286.09</v>
      </c>
      <c r="U190" s="141"/>
      <c r="V190" s="158">
        <f t="shared" si="85"/>
        <v>0</v>
      </c>
      <c r="W190" s="159">
        <v>45600.63958333333</v>
      </c>
      <c r="X190" s="159">
        <v>45607.62222222222</v>
      </c>
      <c r="Y190" s="160">
        <v>45602</v>
      </c>
      <c r="Z190" s="470">
        <v>45719</v>
      </c>
      <c r="AA190" s="470">
        <v>45721</v>
      </c>
      <c r="AB190" s="470"/>
      <c r="AC190" s="161">
        <f t="shared" si="86"/>
        <v>120.36041666667006</v>
      </c>
      <c r="AD190" s="161">
        <f t="shared" si="122"/>
        <v>113.37777777777956</v>
      </c>
      <c r="AE190" s="446">
        <f t="shared" si="114"/>
        <v>-45721</v>
      </c>
      <c r="AF190" s="160">
        <f t="shared" si="123"/>
        <v>45623.663679718869</v>
      </c>
      <c r="AG190" s="160">
        <f t="shared" si="124"/>
        <v>45633.603438755017</v>
      </c>
      <c r="AH190" s="159">
        <f t="shared" si="125"/>
        <v>45650.63958333333</v>
      </c>
      <c r="AI190" s="162">
        <f t="shared" si="87"/>
        <v>3.468720341435283</v>
      </c>
      <c r="AJ190" s="224">
        <f t="shared" si="126"/>
        <v>-762.01666666666665</v>
      </c>
      <c r="AK190" s="225">
        <f t="shared" si="88"/>
        <v>32</v>
      </c>
      <c r="AL190" s="170">
        <f t="shared" si="89"/>
        <v>36</v>
      </c>
      <c r="AM190" s="170">
        <f t="shared" si="90"/>
        <v>26.024096385542165</v>
      </c>
      <c r="AN190" s="170">
        <f t="shared" si="91"/>
        <v>32.963855421686745</v>
      </c>
      <c r="AO190" s="226">
        <f t="shared" si="92"/>
        <v>23.024096385542165</v>
      </c>
      <c r="AP190" s="227">
        <v>60</v>
      </c>
      <c r="AQ190" s="228">
        <f t="shared" si="93"/>
        <v>57</v>
      </c>
      <c r="AR190" s="228">
        <f t="shared" si="94"/>
        <v>52</v>
      </c>
      <c r="AS190" s="229">
        <f t="shared" si="95"/>
        <v>45781</v>
      </c>
      <c r="AT190" s="982">
        <f t="shared" ca="1" si="96"/>
        <v>174</v>
      </c>
      <c r="AU190" s="50"/>
      <c r="AV190" s="118"/>
      <c r="AW190" s="49"/>
      <c r="AX190" s="49"/>
      <c r="AY190" s="49"/>
      <c r="AZ190" s="300"/>
      <c r="BA190" s="119"/>
      <c r="BB190" s="304"/>
      <c r="BC190" s="231" t="s">
        <v>13</v>
      </c>
      <c r="BD190" s="232"/>
      <c r="BE190" s="222">
        <f t="shared" si="119"/>
        <v>45736</v>
      </c>
      <c r="BF190" s="233" t="e">
        <f t="shared" si="127"/>
        <v>#VALUE!</v>
      </c>
      <c r="BG190" s="234"/>
      <c r="BH190" s="235"/>
      <c r="BI190" s="234"/>
      <c r="BJ190" s="236"/>
      <c r="BK190" s="222"/>
      <c r="BL190" s="222"/>
      <c r="BM190" s="238"/>
      <c r="BN190" s="222"/>
      <c r="BO190" s="222"/>
      <c r="BP190" s="243"/>
      <c r="BQ190" s="244" t="s">
        <v>247</v>
      </c>
      <c r="BR190" s="238"/>
      <c r="BS190" s="67"/>
      <c r="BT190" s="66"/>
      <c r="BU190" s="66"/>
      <c r="BV190" s="66"/>
      <c r="BW190" s="74"/>
      <c r="BX190" s="81"/>
      <c r="BY190" s="66">
        <v>45616</v>
      </c>
      <c r="BZ190" s="944" t="s">
        <v>1382</v>
      </c>
      <c r="CA190" s="42" t="str">
        <f t="shared" si="99"/>
        <v>0</v>
      </c>
      <c r="CB190" s="62">
        <f t="shared" si="100"/>
        <v>120.36041666667006</v>
      </c>
      <c r="CC190" s="42">
        <f t="shared" si="101"/>
        <v>0</v>
      </c>
      <c r="CD190" s="62">
        <f t="shared" si="102"/>
        <v>120.36041666667006</v>
      </c>
      <c r="CE190" s="62">
        <f t="shared" si="103"/>
        <v>3.468720341435283</v>
      </c>
      <c r="CF190" s="145">
        <f t="shared" si="104"/>
        <v>148</v>
      </c>
      <c r="CG190" s="145"/>
      <c r="CH190" s="443">
        <f t="shared" si="105"/>
        <v>7.7339981192130605</v>
      </c>
      <c r="CI190" s="996">
        <f t="shared" si="106"/>
        <v>7.7339981192130605</v>
      </c>
      <c r="CJ190" s="261">
        <f t="shared" si="107"/>
        <v>2.4666666666666668</v>
      </c>
      <c r="CK190" s="458" t="str">
        <f t="shared" si="108"/>
        <v/>
      </c>
      <c r="CL190" t="str">
        <f t="shared" si="109"/>
        <v>NON-REV</v>
      </c>
      <c r="CM190" t="str">
        <f t="shared" si="110"/>
        <v/>
      </c>
      <c r="CN190" s="635"/>
      <c r="CO190" s="631"/>
      <c r="CP190" s="629" t="str">
        <f t="shared" si="128"/>
        <v>FOR ISSUANCE</v>
      </c>
      <c r="CQ190" s="635"/>
      <c r="CR190" s="697"/>
      <c r="CS190" s="633" t="str">
        <f t="shared" ca="1" si="112"/>
        <v>0</v>
      </c>
      <c r="CT190" s="635"/>
      <c r="CU190" s="631"/>
      <c r="CV190" s="638"/>
      <c r="CW190" s="156" t="s">
        <v>1383</v>
      </c>
      <c r="CX190" s="156" t="str">
        <f>VLOOKUP(E190,'[1]List of Work Orders'!$A:$I,9,FALSE)</f>
        <v>ME155242</v>
      </c>
      <c r="CY190" s="156"/>
      <c r="DC190" t="str">
        <f>VLOOKUP(E190,'[2]List of Work Orders'!$A:$F,6,FALSE)</f>
        <v>FCOMP</v>
      </c>
      <c r="DS190" s="156" t="s">
        <v>1165</v>
      </c>
    </row>
    <row r="191" spans="1:123" customFormat="1" ht="15" customHeight="1" x14ac:dyDescent="0.25">
      <c r="A191" s="242">
        <v>45617</v>
      </c>
      <c r="B191" s="222"/>
      <c r="C191" s="223"/>
      <c r="D191" s="66" t="s">
        <v>284</v>
      </c>
      <c r="E191" s="404" t="s">
        <v>1384</v>
      </c>
      <c r="F191" s="95" t="s">
        <v>1385</v>
      </c>
      <c r="G191" s="95" t="s">
        <v>1007</v>
      </c>
      <c r="H191" s="95" t="s">
        <v>238</v>
      </c>
      <c r="I191" s="95" t="s">
        <v>239</v>
      </c>
      <c r="J191" s="163" t="s">
        <v>1386</v>
      </c>
      <c r="K191" s="101"/>
      <c r="L191" s="101" t="s">
        <v>288</v>
      </c>
      <c r="M191" s="345" t="s">
        <v>256</v>
      </c>
      <c r="N191" s="442" t="s">
        <v>381</v>
      </c>
      <c r="O191" s="165">
        <v>176.77010000000001</v>
      </c>
      <c r="P191" s="933">
        <v>206.73</v>
      </c>
      <c r="Q191" s="157">
        <v>0</v>
      </c>
      <c r="R191" s="109" t="s">
        <v>319</v>
      </c>
      <c r="S191" s="110">
        <v>140893</v>
      </c>
      <c r="T191" s="93">
        <v>142356.57</v>
      </c>
      <c r="U191" s="141"/>
      <c r="V191" s="158">
        <f t="shared" si="85"/>
        <v>0</v>
      </c>
      <c r="W191" s="159">
        <v>45601.711111111108</v>
      </c>
      <c r="X191" s="159">
        <v>45607.600694444445</v>
      </c>
      <c r="Y191" s="160">
        <v>45602</v>
      </c>
      <c r="Z191" s="470">
        <v>45688</v>
      </c>
      <c r="AA191" s="470">
        <v>45688</v>
      </c>
      <c r="AB191" s="470">
        <v>45789.589583333334</v>
      </c>
      <c r="AC191" s="161">
        <f t="shared" si="86"/>
        <v>86.288888888891961</v>
      </c>
      <c r="AD191" s="161">
        <f t="shared" si="122"/>
        <v>80.399305555554747</v>
      </c>
      <c r="AE191" s="446">
        <f t="shared" si="114"/>
        <v>101.5895833333343</v>
      </c>
      <c r="AF191" s="160">
        <f t="shared" si="123"/>
        <v>45623.579532163742</v>
      </c>
      <c r="AG191" s="160">
        <f t="shared" si="124"/>
        <v>45633.211111111108</v>
      </c>
      <c r="AH191" s="159">
        <f t="shared" si="125"/>
        <v>45651.711111111108</v>
      </c>
      <c r="AI191" s="162">
        <f t="shared" si="87"/>
        <v>2.6023633156967416</v>
      </c>
      <c r="AJ191" s="224">
        <f t="shared" si="126"/>
        <v>1.6931597222222383</v>
      </c>
      <c r="AK191" s="225">
        <f t="shared" si="88"/>
        <v>28</v>
      </c>
      <c r="AL191" s="170">
        <f t="shared" si="89"/>
        <v>36</v>
      </c>
      <c r="AM191" s="170">
        <f t="shared" si="90"/>
        <v>24.868421052631579</v>
      </c>
      <c r="AN191" s="170">
        <f t="shared" si="91"/>
        <v>31.499999999999996</v>
      </c>
      <c r="AO191" s="226">
        <f t="shared" si="92"/>
        <v>21.868421052631579</v>
      </c>
      <c r="AP191" s="227">
        <v>60</v>
      </c>
      <c r="AQ191" s="228">
        <f t="shared" si="93"/>
        <v>57</v>
      </c>
      <c r="AR191" s="228">
        <f t="shared" si="94"/>
        <v>52</v>
      </c>
      <c r="AS191" s="229">
        <f t="shared" si="95"/>
        <v>45748</v>
      </c>
      <c r="AT191" s="982">
        <f t="shared" ca="1" si="96"/>
        <v>207</v>
      </c>
      <c r="AU191" s="50"/>
      <c r="AV191" s="118"/>
      <c r="AW191" s="49"/>
      <c r="AX191" s="49"/>
      <c r="AY191" s="49"/>
      <c r="AZ191" s="300"/>
      <c r="BA191" s="119"/>
      <c r="BB191" s="304"/>
      <c r="BC191" s="231" t="s">
        <v>14</v>
      </c>
      <c r="BD191" s="232"/>
      <c r="BE191" s="222">
        <f t="shared" si="119"/>
        <v>45703</v>
      </c>
      <c r="BF191" s="233">
        <f t="shared" si="127"/>
        <v>6</v>
      </c>
      <c r="BG191" s="234">
        <v>45688</v>
      </c>
      <c r="BH191" s="235">
        <v>45709</v>
      </c>
      <c r="BI191" s="234">
        <v>45755</v>
      </c>
      <c r="BJ191" s="236" t="s">
        <v>1119</v>
      </c>
      <c r="BK191" s="222" t="s">
        <v>246</v>
      </c>
      <c r="BL191" s="222"/>
      <c r="BM191" s="238"/>
      <c r="BN191" s="222"/>
      <c r="BO191" s="222">
        <v>45763</v>
      </c>
      <c r="BP191" s="243" t="s">
        <v>1084</v>
      </c>
      <c r="BQ191" s="244" t="s">
        <v>247</v>
      </c>
      <c r="BR191" s="238"/>
      <c r="BS191" s="67"/>
      <c r="BT191" s="66"/>
      <c r="BU191" s="66"/>
      <c r="BV191" s="66"/>
      <c r="BW191" s="74"/>
      <c r="BX191" s="81"/>
      <c r="BY191" s="66" t="s">
        <v>308</v>
      </c>
      <c r="BZ191" s="944" t="s">
        <v>1387</v>
      </c>
      <c r="CA191" s="42" t="str">
        <f t="shared" si="99"/>
        <v>0</v>
      </c>
      <c r="CB191" s="62">
        <f t="shared" si="100"/>
        <v>86.288888888891961</v>
      </c>
      <c r="CC191" s="42">
        <f t="shared" si="101"/>
        <v>0</v>
      </c>
      <c r="CD191" s="62">
        <f t="shared" si="102"/>
        <v>86.288888888891961</v>
      </c>
      <c r="CE191" s="62">
        <f t="shared" si="103"/>
        <v>2.6023633156967416</v>
      </c>
      <c r="CF191" s="145">
        <f t="shared" si="104"/>
        <v>181</v>
      </c>
      <c r="CG191" s="145"/>
      <c r="CH191" s="443">
        <f t="shared" si="105"/>
        <v>8.0610934744269009</v>
      </c>
      <c r="CI191" s="996">
        <f t="shared" si="106"/>
        <v>8.0610934744269009</v>
      </c>
      <c r="CJ191" s="261">
        <f t="shared" si="107"/>
        <v>3.0166666666666666</v>
      </c>
      <c r="CK191" s="458" t="str">
        <f t="shared" si="108"/>
        <v/>
      </c>
      <c r="CL191" t="str">
        <f t="shared" si="109"/>
        <v>NON-REV</v>
      </c>
      <c r="CM191" t="str">
        <f t="shared" si="110"/>
        <v/>
      </c>
      <c r="CN191" s="635"/>
      <c r="CO191" s="631"/>
      <c r="CP191" s="629" t="str">
        <f t="shared" si="128"/>
        <v>FOR ISSUANCE</v>
      </c>
      <c r="CQ191" s="635"/>
      <c r="CR191" s="697"/>
      <c r="CS191" s="633" t="str">
        <f t="shared" ca="1" si="112"/>
        <v>0</v>
      </c>
      <c r="CT191" s="635"/>
      <c r="CU191" s="631"/>
      <c r="CV191" s="638"/>
      <c r="CW191" s="156" t="s">
        <v>1388</v>
      </c>
      <c r="CX191" s="156" t="str">
        <f>VLOOKUP(E191,'[1]List of Work Orders'!$A:$I,9,FALSE)</f>
        <v>ME185284</v>
      </c>
      <c r="CY191" s="156"/>
      <c r="DC191" t="str">
        <f>VLOOKUP(E191,'[2]List of Work Orders'!$A:$F,6,FALSE)</f>
        <v>FCOMP</v>
      </c>
      <c r="DS191" s="156" t="s">
        <v>397</v>
      </c>
    </row>
    <row r="192" spans="1:123" customFormat="1" ht="15" customHeight="1" x14ac:dyDescent="0.25">
      <c r="A192" s="242">
        <v>45615</v>
      </c>
      <c r="B192" s="222"/>
      <c r="C192" s="223"/>
      <c r="D192" s="66" t="s">
        <v>320</v>
      </c>
      <c r="E192" s="404" t="s">
        <v>1389</v>
      </c>
      <c r="F192" s="95" t="s">
        <v>1390</v>
      </c>
      <c r="G192" s="95" t="s">
        <v>1391</v>
      </c>
      <c r="H192" s="95" t="s">
        <v>378</v>
      </c>
      <c r="I192" s="95" t="s">
        <v>239</v>
      </c>
      <c r="J192" s="163" t="s">
        <v>1392</v>
      </c>
      <c r="K192" s="101" t="s">
        <v>271</v>
      </c>
      <c r="L192" s="101" t="s">
        <v>242</v>
      </c>
      <c r="M192" s="345" t="s">
        <v>331</v>
      </c>
      <c r="N192" s="442" t="s">
        <v>467</v>
      </c>
      <c r="O192" s="165">
        <v>525.73869999999999</v>
      </c>
      <c r="P192" s="165">
        <v>1689.85</v>
      </c>
      <c r="Q192" s="157">
        <v>75</v>
      </c>
      <c r="R192" s="109" t="s">
        <v>244</v>
      </c>
      <c r="S192" s="110">
        <v>2473616.36</v>
      </c>
      <c r="T192" s="93">
        <v>423365.47</v>
      </c>
      <c r="U192" s="141"/>
      <c r="V192" s="158">
        <f t="shared" si="85"/>
        <v>0</v>
      </c>
      <c r="W192" s="159">
        <v>45602.308333333334</v>
      </c>
      <c r="X192" s="159">
        <v>45607.614583333336</v>
      </c>
      <c r="Y192" s="160">
        <v>45602</v>
      </c>
      <c r="Z192" s="470"/>
      <c r="AA192" s="470"/>
      <c r="AB192" s="470"/>
      <c r="AC192" s="161">
        <f t="shared" si="86"/>
        <v>-45602.308333333334</v>
      </c>
      <c r="AD192" s="161">
        <f t="shared" si="122"/>
        <v>-45607.614583333336</v>
      </c>
      <c r="AE192" s="446">
        <f t="shared" si="114"/>
        <v>0</v>
      </c>
      <c r="AF192" s="160">
        <f t="shared" si="123"/>
        <v>45627.516297935101</v>
      </c>
      <c r="AG192" s="160">
        <f t="shared" si="124"/>
        <v>45638.038421828911</v>
      </c>
      <c r="AH192" s="159">
        <f t="shared" si="125"/>
        <v>45652.308333333334</v>
      </c>
      <c r="AI192" s="162">
        <f t="shared" si="87"/>
        <v>-1212.4849039215685</v>
      </c>
      <c r="AJ192" s="224">
        <f t="shared" si="126"/>
        <v>0</v>
      </c>
      <c r="AK192" s="225">
        <f t="shared" si="88"/>
        <v>50</v>
      </c>
      <c r="AL192" s="170">
        <f t="shared" si="89"/>
        <v>34</v>
      </c>
      <c r="AM192" s="170">
        <f t="shared" si="90"/>
        <v>28.207964601769909</v>
      </c>
      <c r="AN192" s="170">
        <f t="shared" si="91"/>
        <v>35.730088495575217</v>
      </c>
      <c r="AO192" s="226">
        <f t="shared" si="92"/>
        <v>25.207964601769909</v>
      </c>
      <c r="AP192" s="227">
        <v>60</v>
      </c>
      <c r="AQ192" s="228">
        <f t="shared" si="93"/>
        <v>57</v>
      </c>
      <c r="AR192" s="228">
        <f t="shared" si="94"/>
        <v>52</v>
      </c>
      <c r="AS192" s="229">
        <f t="shared" si="95"/>
        <v>60</v>
      </c>
      <c r="AT192" s="982">
        <f t="shared" ca="1" si="96"/>
        <v>45895</v>
      </c>
      <c r="AU192" s="50"/>
      <c r="AV192" s="118"/>
      <c r="AW192" s="49"/>
      <c r="AX192" s="49"/>
      <c r="AY192" s="49"/>
      <c r="AZ192" s="300"/>
      <c r="BA192" s="119"/>
      <c r="BB192" s="304"/>
      <c r="BC192" s="231"/>
      <c r="BD192" s="232"/>
      <c r="BE192" s="222">
        <f t="shared" si="119"/>
        <v>15</v>
      </c>
      <c r="BF192" s="233">
        <f t="shared" si="127"/>
        <v>0</v>
      </c>
      <c r="BG192" s="234"/>
      <c r="BH192" s="235"/>
      <c r="BI192" s="234"/>
      <c r="BJ192" s="236"/>
      <c r="BK192" s="222"/>
      <c r="BL192" s="222"/>
      <c r="BM192" s="238"/>
      <c r="BN192" s="222"/>
      <c r="BO192" s="222"/>
      <c r="BP192" s="243"/>
      <c r="BQ192" s="244" t="s">
        <v>247</v>
      </c>
      <c r="BR192" s="238"/>
      <c r="BS192" s="67"/>
      <c r="BT192" s="66"/>
      <c r="BU192" s="66"/>
      <c r="BV192" s="66"/>
      <c r="BW192" s="74"/>
      <c r="BX192" s="81"/>
      <c r="BY192" s="66">
        <v>45616</v>
      </c>
      <c r="BZ192" s="944" t="s">
        <v>1393</v>
      </c>
      <c r="CA192" s="42" t="str">
        <f t="shared" si="99"/>
        <v>0</v>
      </c>
      <c r="CB192" s="62">
        <f t="shared" si="100"/>
        <v>-45602.308333333334</v>
      </c>
      <c r="CC192" s="42">
        <f t="shared" si="101"/>
        <v>0</v>
      </c>
      <c r="CD192" s="62">
        <f t="shared" si="102"/>
        <v>-45602.308333333334</v>
      </c>
      <c r="CE192" s="62">
        <f t="shared" si="103"/>
        <v>-1212.4849039215685</v>
      </c>
      <c r="CF192" s="145" t="str">
        <f t="shared" si="104"/>
        <v>0</v>
      </c>
      <c r="CG192" s="145"/>
      <c r="CH192" s="443">
        <f t="shared" si="105"/>
        <v>7.0908607843136995</v>
      </c>
      <c r="CI192" s="996">
        <f t="shared" si="106"/>
        <v>7.0908607843136995</v>
      </c>
      <c r="CJ192" s="261">
        <f t="shared" si="107"/>
        <v>0</v>
      </c>
      <c r="CK192" s="458">
        <f t="shared" si="108"/>
        <v>253.6916666666657</v>
      </c>
      <c r="CL192" t="str">
        <f t="shared" si="109"/>
        <v>REV</v>
      </c>
      <c r="CM192" t="str">
        <f t="shared" si="110"/>
        <v>7-9 MONTHS</v>
      </c>
      <c r="CN192" s="635"/>
      <c r="CO192" s="631"/>
      <c r="CP192" s="629" t="str">
        <f t="shared" si="128"/>
        <v>FOR ISSUANCE</v>
      </c>
      <c r="CQ192" s="635"/>
      <c r="CR192" s="697"/>
      <c r="CS192" s="633" t="str">
        <f t="shared" ca="1" si="112"/>
        <v>0</v>
      </c>
      <c r="CT192" s="635"/>
      <c r="CU192" s="631"/>
      <c r="CV192" s="638"/>
      <c r="CW192" s="156" t="s">
        <v>1394</v>
      </c>
      <c r="CX192" s="156" t="str">
        <f>VLOOKUP(E192,'[1]List of Work Orders'!$A:$I,9,FALSE)</f>
        <v>ME155242</v>
      </c>
      <c r="CY192" s="156"/>
      <c r="CZ192" s="63"/>
      <c r="DC192" t="str">
        <f>VLOOKUP(E192,'[2]List of Work Orders'!$A:$F,6,FALSE)</f>
        <v>SCHED</v>
      </c>
      <c r="DS192" s="156" t="s">
        <v>397</v>
      </c>
    </row>
    <row r="193" spans="1:123" customFormat="1" ht="15" customHeight="1" x14ac:dyDescent="0.25">
      <c r="A193" s="242">
        <v>45614</v>
      </c>
      <c r="B193" s="222" t="s">
        <v>308</v>
      </c>
      <c r="C193" s="223"/>
      <c r="D193" s="66" t="s">
        <v>320</v>
      </c>
      <c r="E193" s="404" t="s">
        <v>1395</v>
      </c>
      <c r="F193" s="95" t="s">
        <v>949</v>
      </c>
      <c r="G193" s="95" t="s">
        <v>1396</v>
      </c>
      <c r="H193" s="95" t="s">
        <v>378</v>
      </c>
      <c r="I193" s="95" t="s">
        <v>239</v>
      </c>
      <c r="J193" s="163" t="s">
        <v>1397</v>
      </c>
      <c r="K193" s="101" t="s">
        <v>271</v>
      </c>
      <c r="L193" s="101" t="s">
        <v>288</v>
      </c>
      <c r="M193" s="345" t="s">
        <v>331</v>
      </c>
      <c r="N193" s="442" t="s">
        <v>1178</v>
      </c>
      <c r="O193" s="165">
        <v>130.09209999999999</v>
      </c>
      <c r="P193" s="165">
        <v>260.49</v>
      </c>
      <c r="Q193" s="157">
        <v>27</v>
      </c>
      <c r="R193" s="109" t="s">
        <v>244</v>
      </c>
      <c r="S193" s="110">
        <v>584047.02</v>
      </c>
      <c r="T193" s="93">
        <v>104760.12</v>
      </c>
      <c r="U193" s="141"/>
      <c r="V193" s="158">
        <f t="shared" si="85"/>
        <v>0</v>
      </c>
      <c r="W193" s="159">
        <v>45602.350694444445</v>
      </c>
      <c r="X193" s="159">
        <v>45607.606944444444</v>
      </c>
      <c r="Y193" s="160">
        <v>45602</v>
      </c>
      <c r="Z193" s="470"/>
      <c r="AA193" s="470"/>
      <c r="AB193" s="470"/>
      <c r="AC193" s="161">
        <f t="shared" si="86"/>
        <v>-45602.350694444445</v>
      </c>
      <c r="AD193" s="161">
        <f t="shared" si="122"/>
        <v>-45607.606944444444</v>
      </c>
      <c r="AE193" s="446">
        <f t="shared" si="114"/>
        <v>0</v>
      </c>
      <c r="AF193" s="160">
        <f t="shared" si="123"/>
        <v>45624.219115497079</v>
      </c>
      <c r="AG193" s="160">
        <f t="shared" si="124"/>
        <v>45633.850694444445</v>
      </c>
      <c r="AH193" s="159">
        <f t="shared" si="125"/>
        <v>45652.350694444445</v>
      </c>
      <c r="AI193" s="162">
        <f t="shared" si="87"/>
        <v>-1375.308989197531</v>
      </c>
      <c r="AJ193" s="224">
        <f t="shared" si="126"/>
        <v>0</v>
      </c>
      <c r="AK193" s="225">
        <f t="shared" si="88"/>
        <v>28</v>
      </c>
      <c r="AL193" s="170">
        <f t="shared" si="89"/>
        <v>36</v>
      </c>
      <c r="AM193" s="170">
        <f t="shared" si="90"/>
        <v>24.868421052631579</v>
      </c>
      <c r="AN193" s="170">
        <f t="shared" si="91"/>
        <v>31.499999999999996</v>
      </c>
      <c r="AO193" s="226">
        <f t="shared" si="92"/>
        <v>21.868421052631579</v>
      </c>
      <c r="AP193" s="227">
        <v>60</v>
      </c>
      <c r="AQ193" s="228">
        <f t="shared" si="93"/>
        <v>57</v>
      </c>
      <c r="AR193" s="228">
        <f t="shared" si="94"/>
        <v>52</v>
      </c>
      <c r="AS193" s="229">
        <f t="shared" si="95"/>
        <v>60</v>
      </c>
      <c r="AT193" s="982">
        <f t="shared" ca="1" si="96"/>
        <v>45895</v>
      </c>
      <c r="AU193" s="50"/>
      <c r="AV193" s="118"/>
      <c r="AW193" s="49"/>
      <c r="AX193" s="49"/>
      <c r="AY193" s="49"/>
      <c r="AZ193" s="300"/>
      <c r="BA193" s="119"/>
      <c r="BB193" s="304"/>
      <c r="BC193" s="231" t="s">
        <v>1398</v>
      </c>
      <c r="BD193" s="232"/>
      <c r="BE193" s="222">
        <f t="shared" si="119"/>
        <v>15</v>
      </c>
      <c r="BF193" s="233">
        <f t="shared" si="127"/>
        <v>0</v>
      </c>
      <c r="BG193" s="248"/>
      <c r="BH193" s="235"/>
      <c r="BI193" s="234"/>
      <c r="BJ193" s="236"/>
      <c r="BK193" s="222"/>
      <c r="BL193" s="222"/>
      <c r="BM193" s="238"/>
      <c r="BN193" s="222"/>
      <c r="BO193" s="222"/>
      <c r="BP193" s="243"/>
      <c r="BQ193" s="244" t="s">
        <v>247</v>
      </c>
      <c r="BR193" s="238"/>
      <c r="BS193" s="67"/>
      <c r="BT193" s="66"/>
      <c r="BU193" s="66"/>
      <c r="BV193" s="66"/>
      <c r="BW193" s="74"/>
      <c r="BX193" s="81"/>
      <c r="BY193" s="66">
        <v>45616</v>
      </c>
      <c r="BZ193" s="944" t="s">
        <v>1399</v>
      </c>
      <c r="CA193" s="42" t="str">
        <f t="shared" si="99"/>
        <v>0</v>
      </c>
      <c r="CB193" s="62">
        <f t="shared" si="100"/>
        <v>-45602.350694444445</v>
      </c>
      <c r="CC193" s="42">
        <f t="shared" si="101"/>
        <v>0</v>
      </c>
      <c r="CD193" s="62">
        <f t="shared" si="102"/>
        <v>-45602.350694444445</v>
      </c>
      <c r="CE193" s="62">
        <f t="shared" si="103"/>
        <v>-1375.308989197531</v>
      </c>
      <c r="CF193" s="145" t="str">
        <f t="shared" si="104"/>
        <v>0</v>
      </c>
      <c r="CG193" s="145"/>
      <c r="CH193" s="443">
        <f t="shared" si="105"/>
        <v>8.0418044532627615</v>
      </c>
      <c r="CI193" s="996">
        <f t="shared" si="106"/>
        <v>8.0418044532627615</v>
      </c>
      <c r="CJ193" s="261">
        <f t="shared" si="107"/>
        <v>0</v>
      </c>
      <c r="CK193" s="458">
        <f t="shared" si="108"/>
        <v>253.64930555555475</v>
      </c>
      <c r="CL193" t="str">
        <f t="shared" si="109"/>
        <v>REV</v>
      </c>
      <c r="CM193" t="str">
        <f t="shared" si="110"/>
        <v>7-9 MONTHS</v>
      </c>
      <c r="CN193" s="635"/>
      <c r="CO193" s="631"/>
      <c r="CP193" s="629" t="str">
        <f t="shared" si="128"/>
        <v>FOR ISSUANCE</v>
      </c>
      <c r="CQ193" s="635"/>
      <c r="CR193" s="697"/>
      <c r="CS193" s="633" t="str">
        <f t="shared" ca="1" si="112"/>
        <v>0</v>
      </c>
      <c r="CT193" s="635"/>
      <c r="CU193" s="631"/>
      <c r="CV193" s="638"/>
      <c r="CW193" s="156" t="s">
        <v>1400</v>
      </c>
      <c r="CX193" s="156" t="str">
        <f>VLOOKUP(E193,'[1]List of Work Orders'!$A:$I,9,FALSE)</f>
        <v>ME184184</v>
      </c>
      <c r="CY193" s="156"/>
      <c r="DC193" t="str">
        <f>VLOOKUP(E193,'[2]List of Work Orders'!$A:$F,6,FALSE)</f>
        <v>SCHED</v>
      </c>
      <c r="DS193" s="156" t="s">
        <v>381</v>
      </c>
    </row>
    <row r="194" spans="1:123" ht="15" customHeight="1" x14ac:dyDescent="0.2">
      <c r="A194" s="242">
        <v>45610</v>
      </c>
      <c r="B194" s="222"/>
      <c r="C194" s="223"/>
      <c r="D194" s="66" t="s">
        <v>284</v>
      </c>
      <c r="E194" s="404" t="s">
        <v>1401</v>
      </c>
      <c r="F194" s="95" t="s">
        <v>1402</v>
      </c>
      <c r="G194" s="95" t="s">
        <v>1403</v>
      </c>
      <c r="H194" s="95" t="s">
        <v>253</v>
      </c>
      <c r="I194" s="95" t="s">
        <v>254</v>
      </c>
      <c r="J194" s="163"/>
      <c r="K194" s="101" t="s">
        <v>271</v>
      </c>
      <c r="L194" s="101" t="s">
        <v>255</v>
      </c>
      <c r="M194" s="345" t="s">
        <v>272</v>
      </c>
      <c r="N194" s="442" t="s">
        <v>381</v>
      </c>
      <c r="O194" s="165">
        <v>91.2898</v>
      </c>
      <c r="P194" s="933">
        <v>91.29</v>
      </c>
      <c r="Q194" s="157">
        <v>28</v>
      </c>
      <c r="R194" s="109" t="s">
        <v>244</v>
      </c>
      <c r="S194" s="110">
        <v>428865.23</v>
      </c>
      <c r="T194" s="93">
        <v>73513.490000000005</v>
      </c>
      <c r="U194" s="141"/>
      <c r="V194" s="158">
        <f t="shared" si="85"/>
        <v>0</v>
      </c>
      <c r="W194" s="159">
        <v>45603.59747685185</v>
      </c>
      <c r="X194" s="159">
        <v>45609.614583333336</v>
      </c>
      <c r="Y194" s="160">
        <v>45608</v>
      </c>
      <c r="Z194" s="470"/>
      <c r="AA194" s="470">
        <v>45695</v>
      </c>
      <c r="AB194" s="470"/>
      <c r="AC194" s="161">
        <f t="shared" si="86"/>
        <v>91.402523148150067</v>
      </c>
      <c r="AD194" s="161">
        <f t="shared" si="122"/>
        <v>85.385416666664241</v>
      </c>
      <c r="AE194" s="446">
        <f t="shared" si="114"/>
        <v>-45695</v>
      </c>
      <c r="AF194" s="160">
        <f t="shared" si="123"/>
        <v>45623.682978710589</v>
      </c>
      <c r="AG194" s="160">
        <f t="shared" si="124"/>
        <v>45632.839112539579</v>
      </c>
      <c r="AH194" s="159">
        <f t="shared" si="125"/>
        <v>45653.59747685185</v>
      </c>
      <c r="AI194" s="162">
        <f t="shared" si="87"/>
        <v>2.9694781071077738</v>
      </c>
      <c r="AJ194" s="224">
        <f t="shared" si="126"/>
        <v>-761.58333333333337</v>
      </c>
      <c r="AK194" s="225">
        <f t="shared" si="88"/>
        <v>23</v>
      </c>
      <c r="AL194" s="170">
        <f t="shared" si="89"/>
        <v>36</v>
      </c>
      <c r="AM194" s="170">
        <f t="shared" si="90"/>
        <v>23.085501858736059</v>
      </c>
      <c r="AN194" s="170">
        <f t="shared" si="91"/>
        <v>29.241635687732341</v>
      </c>
      <c r="AO194" s="226">
        <f t="shared" si="92"/>
        <v>20.085501858736059</v>
      </c>
      <c r="AP194" s="227">
        <v>60</v>
      </c>
      <c r="AQ194" s="228">
        <f t="shared" si="93"/>
        <v>57</v>
      </c>
      <c r="AR194" s="228">
        <f t="shared" si="94"/>
        <v>52</v>
      </c>
      <c r="AS194" s="229">
        <f t="shared" si="95"/>
        <v>45755</v>
      </c>
      <c r="AT194" s="982">
        <f t="shared" ca="1" si="96"/>
        <v>200</v>
      </c>
      <c r="AU194" s="1077"/>
      <c r="AV194" s="1078"/>
      <c r="AW194" s="1079"/>
      <c r="AX194" s="1079"/>
      <c r="AY194" s="1079"/>
      <c r="AZ194" s="1080"/>
      <c r="BA194" s="1081"/>
      <c r="BB194" s="1091"/>
      <c r="BC194" s="231" t="s">
        <v>13</v>
      </c>
      <c r="BD194" s="232"/>
      <c r="BE194" s="222">
        <f t="shared" si="119"/>
        <v>45710</v>
      </c>
      <c r="BF194" s="233" t="e">
        <f t="shared" si="127"/>
        <v>#VALUE!</v>
      </c>
      <c r="BG194" s="248"/>
      <c r="BH194" s="235"/>
      <c r="BI194" s="234"/>
      <c r="BJ194" s="236"/>
      <c r="BK194" s="222"/>
      <c r="BL194" s="222"/>
      <c r="BM194" s="238"/>
      <c r="BN194" s="222"/>
      <c r="BO194" s="222"/>
      <c r="BP194" s="243"/>
      <c r="BQ194" s="244" t="s">
        <v>247</v>
      </c>
      <c r="BR194" s="238">
        <v>45694</v>
      </c>
      <c r="BS194" s="67"/>
      <c r="BT194" s="66"/>
      <c r="BU194" s="66"/>
      <c r="BV194" s="66"/>
      <c r="BW194" s="74"/>
      <c r="BX194" s="81"/>
      <c r="BY194" s="66">
        <v>45611</v>
      </c>
      <c r="BZ194" s="944" t="s">
        <v>1404</v>
      </c>
      <c r="CA194" s="42" t="str">
        <f t="shared" si="99"/>
        <v>0</v>
      </c>
      <c r="CB194" s="62">
        <f t="shared" si="100"/>
        <v>91.402523148150067</v>
      </c>
      <c r="CC194" s="42">
        <f t="shared" si="101"/>
        <v>0</v>
      </c>
      <c r="CD194" s="62">
        <f t="shared" si="102"/>
        <v>91.402523148150067</v>
      </c>
      <c r="CE194" s="62">
        <f t="shared" si="103"/>
        <v>2.9694781071077738</v>
      </c>
      <c r="CF194" s="1059">
        <f t="shared" si="104"/>
        <v>174</v>
      </c>
      <c r="CH194" s="1082">
        <f t="shared" si="105"/>
        <v>8.6223766578324117</v>
      </c>
      <c r="CI194" s="1083">
        <f t="shared" si="106"/>
        <v>8.6223766578324117</v>
      </c>
      <c r="CJ194" s="1084">
        <f t="shared" si="107"/>
        <v>2.9</v>
      </c>
      <c r="CK194" s="1085" t="str">
        <f t="shared" si="108"/>
        <v/>
      </c>
      <c r="CL194" s="1057" t="str">
        <f t="shared" si="109"/>
        <v>REV</v>
      </c>
      <c r="CM194" s="1057" t="str">
        <f t="shared" si="110"/>
        <v/>
      </c>
      <c r="CN194" s="1086"/>
      <c r="CO194" s="1087"/>
      <c r="CP194" s="629" t="str">
        <f t="shared" si="128"/>
        <v>FOR ISSUANCE</v>
      </c>
      <c r="CQ194" s="1086"/>
      <c r="CR194" s="1088"/>
      <c r="CS194" s="1089" t="str">
        <f t="shared" ca="1" si="112"/>
        <v>0</v>
      </c>
      <c r="CT194" s="1086"/>
      <c r="CU194" s="1087"/>
      <c r="CV194" s="1090"/>
      <c r="CW194" s="156" t="s">
        <v>1405</v>
      </c>
      <c r="CX194" s="156" t="str">
        <f>VLOOKUP(E194,'[1]List of Work Orders'!$A:$I,9,FALSE)</f>
        <v>ME185284</v>
      </c>
      <c r="CY194" s="156"/>
      <c r="DC194" s="1057" t="str">
        <f>VLOOKUP(E194,'[2]List of Work Orders'!$A:$F,6,FALSE)</f>
        <v>FCOMP</v>
      </c>
      <c r="DS194" s="156" t="s">
        <v>381</v>
      </c>
    </row>
    <row r="195" spans="1:123" ht="15" customHeight="1" x14ac:dyDescent="0.2">
      <c r="A195" s="242">
        <v>45610</v>
      </c>
      <c r="B195" s="222"/>
      <c r="C195" s="223"/>
      <c r="D195" s="66" t="s">
        <v>234</v>
      </c>
      <c r="E195" s="404" t="s">
        <v>1406</v>
      </c>
      <c r="F195" s="95" t="s">
        <v>926</v>
      </c>
      <c r="G195" s="95" t="s">
        <v>1407</v>
      </c>
      <c r="H195" s="95" t="s">
        <v>238</v>
      </c>
      <c r="I195" s="95" t="s">
        <v>239</v>
      </c>
      <c r="J195" s="168" t="s">
        <v>1408</v>
      </c>
      <c r="K195" s="101" t="s">
        <v>271</v>
      </c>
      <c r="L195" s="101" t="s">
        <v>255</v>
      </c>
      <c r="M195" s="345" t="s">
        <v>272</v>
      </c>
      <c r="N195" s="442" t="s">
        <v>381</v>
      </c>
      <c r="O195" s="165">
        <v>57.028300000000002</v>
      </c>
      <c r="P195" s="933">
        <v>57.03</v>
      </c>
      <c r="Q195" s="157">
        <v>31</v>
      </c>
      <c r="R195" s="109" t="s">
        <v>244</v>
      </c>
      <c r="S195" s="110">
        <v>1048692.28</v>
      </c>
      <c r="T195" s="93">
        <v>45923.59</v>
      </c>
      <c r="U195" s="141"/>
      <c r="V195" s="158">
        <f t="shared" ref="V195:V258" si="129">U195/T195</f>
        <v>0</v>
      </c>
      <c r="W195" s="159">
        <v>45604.516064814816</v>
      </c>
      <c r="X195" s="159">
        <v>45609.618055555555</v>
      </c>
      <c r="Y195" s="160">
        <v>45608</v>
      </c>
      <c r="Z195" s="470"/>
      <c r="AA195" s="470">
        <v>45812</v>
      </c>
      <c r="AB195" s="470"/>
      <c r="AC195" s="161">
        <f t="shared" ref="AC195:AC258" si="130">AA195-W195</f>
        <v>207.48393518518424</v>
      </c>
      <c r="AD195" s="161">
        <f t="shared" si="122"/>
        <v>202.38194444444525</v>
      </c>
      <c r="AE195" s="446">
        <f t="shared" si="114"/>
        <v>-45812</v>
      </c>
      <c r="AF195" s="160">
        <f t="shared" si="123"/>
        <v>45624.601566673555</v>
      </c>
      <c r="AG195" s="160">
        <f t="shared" si="124"/>
        <v>45633.757700502545</v>
      </c>
      <c r="AH195" s="159">
        <f t="shared" si="125"/>
        <v>45654.516064814816</v>
      </c>
      <c r="AI195" s="162">
        <f t="shared" ref="AI195:AI258" si="131" xml:space="preserve"> (0.3)*(AC195/AK195)+(0.7)*(AC195/AL195)</f>
        <v>6.7407220488906479</v>
      </c>
      <c r="AJ195" s="224">
        <f t="shared" si="126"/>
        <v>-763.5333333333333</v>
      </c>
      <c r="AK195" s="225">
        <f t="shared" ref="AK195:AK258" si="132">IF(P195&lt;51,20,(IF(P195&lt;101,23,(IF(P195&lt;201,26,IF(P195&lt;301,28,IF(P195&lt;401,30,(IF(P195&lt;501,32,(IF(P195&lt;1001,40,50)))))))))))</f>
        <v>23</v>
      </c>
      <c r="AL195" s="170">
        <f t="shared" ref="AL195:AL258" si="133">IF(Q195&lt;51,36,(IF(Q195&lt;101,34,(IF(Q195&lt;201,32,IF(Q195&lt;301,30,IF(Q195&lt;401,28,(IF(Q195&lt;501,26,(IF(Q195&lt;1001,23,20)))))))))))</f>
        <v>36</v>
      </c>
      <c r="AM195" s="170">
        <f t="shared" ref="AM195:AM258" si="134">(0.75)/((0.3/AK195)+(0.7/AL195))</f>
        <v>23.085501858736059</v>
      </c>
      <c r="AN195" s="170">
        <f t="shared" ref="AN195:AN258" si="135">(0.95)/((0.3/AK195)+(0.7/AL195))</f>
        <v>29.241635687732341</v>
      </c>
      <c r="AO195" s="226">
        <f t="shared" ref="AO195:AO258" si="136">AM195-3</f>
        <v>20.085501858736059</v>
      </c>
      <c r="AP195" s="227">
        <v>60</v>
      </c>
      <c r="AQ195" s="228">
        <f t="shared" ref="AQ195:AQ258" si="137">0.95*AP195</f>
        <v>57</v>
      </c>
      <c r="AR195" s="228">
        <f t="shared" ref="AR195:AR209" si="138">AQ195-5</f>
        <v>52</v>
      </c>
      <c r="AS195" s="229">
        <f t="shared" ref="AS195:AS258" si="139">AA195+AP195</f>
        <v>45872</v>
      </c>
      <c r="AT195" s="982">
        <f t="shared" ref="AT195:AT258" ca="1" si="140">IFERROR(TODAY()-AA195,"")</f>
        <v>83</v>
      </c>
      <c r="AU195" s="1077"/>
      <c r="AV195" s="1078"/>
      <c r="AW195" s="1079"/>
      <c r="AX195" s="1079"/>
      <c r="AY195" s="1079"/>
      <c r="AZ195" s="1080"/>
      <c r="BA195" s="1081"/>
      <c r="BB195" s="1091"/>
      <c r="BC195" s="231" t="s">
        <v>13</v>
      </c>
      <c r="BD195" s="232"/>
      <c r="BE195" s="222">
        <f t="shared" si="119"/>
        <v>45827</v>
      </c>
      <c r="BF195" s="233" t="e">
        <f t="shared" si="127"/>
        <v>#VALUE!</v>
      </c>
      <c r="BG195" s="248"/>
      <c r="BH195" s="235"/>
      <c r="BI195" s="234"/>
      <c r="BJ195" s="236"/>
      <c r="BK195" s="222"/>
      <c r="BL195" s="222"/>
      <c r="BM195" s="238"/>
      <c r="BN195" s="222"/>
      <c r="BO195" s="222"/>
      <c r="BP195" s="243"/>
      <c r="BQ195" s="244" t="s">
        <v>247</v>
      </c>
      <c r="BR195" s="238"/>
      <c r="BS195" s="67"/>
      <c r="BT195" s="66"/>
      <c r="BU195" s="66"/>
      <c r="BV195" s="66"/>
      <c r="BW195" s="74"/>
      <c r="BX195" s="81"/>
      <c r="BY195" s="66">
        <v>45611</v>
      </c>
      <c r="BZ195" s="944" t="s">
        <v>1409</v>
      </c>
      <c r="CA195" s="42" t="str">
        <f t="shared" ref="CA195:CA258" si="141">IF(AY195="Y",BA195,"0")</f>
        <v>0</v>
      </c>
      <c r="CB195" s="62">
        <f t="shared" ref="CB195:CB258" si="142">AC195-CA195</f>
        <v>207.48393518518424</v>
      </c>
      <c r="CC195" s="42">
        <f t="shared" ref="CC195:CC258" si="143">BA195</f>
        <v>0</v>
      </c>
      <c r="CD195" s="62">
        <f t="shared" ref="CD195:CD258" si="144">AC195-BA195</f>
        <v>207.48393518518424</v>
      </c>
      <c r="CE195" s="62">
        <f t="shared" ref="CE195:CE258" si="145" xml:space="preserve"> (0.3)*(CD195/AK195)+(0.7)*(CD195/AL195)</f>
        <v>6.7407220488906479</v>
      </c>
      <c r="CF195" s="1059">
        <f t="shared" ref="CF195:CF258" si="146">IF(AA195="","0",$CF$1-AA195)</f>
        <v>57</v>
      </c>
      <c r="CH195" s="1082">
        <f t="shared" ref="CH195:CH258" si="147" xml:space="preserve"> (0.3)*(($CF$1-W195)/AK195)+(0.7)*(($CF$1-W195)/AL195)</f>
        <v>8.5925336430935459</v>
      </c>
      <c r="CI195" s="1083">
        <f t="shared" ref="CI195:CI258" si="148">CH195-CG195</f>
        <v>8.5925336430935459</v>
      </c>
      <c r="CJ195" s="1084">
        <f t="shared" ref="CJ195:CJ258" si="149">CF195/AP195</f>
        <v>0.95</v>
      </c>
      <c r="CK195" s="1085" t="str">
        <f t="shared" ref="CK195:CK258" si="150">IF(AA195&gt;0,"",$CK$1-W195)</f>
        <v/>
      </c>
      <c r="CL195" s="1057" t="str">
        <f t="shared" ref="CL195:CL258" si="151">IF(R195="NEW","REV","NON-REV")</f>
        <v>REV</v>
      </c>
      <c r="CM195" s="1057" t="str">
        <f t="shared" ref="CM195:CM258" si="152">IF(CK195="","",IF(CK195&lt;91,"0-3 MONTHS",(IF(CK195&lt;181,"4-6 MONTHS",(IF(CK195&lt;271,"7-9 MONTHS",IF(CK195&gt;270,"10 MONTHS AND ABOVE",)))))))</f>
        <v/>
      </c>
      <c r="CN195" s="1086"/>
      <c r="CO195" s="1087"/>
      <c r="CP195" s="629" t="str">
        <f t="shared" si="128"/>
        <v>FOR ISSUANCE</v>
      </c>
      <c r="CQ195" s="1086"/>
      <c r="CR195" s="1088"/>
      <c r="CS195" s="1089" t="str">
        <f t="shared" ref="CS195:CS258" ca="1" si="153">IF(AND(CQ195=0,CR195=0), "0",IF(CR195,(CR195-CQ195),TODAY()-CQ195))</f>
        <v>0</v>
      </c>
      <c r="CT195" s="1086"/>
      <c r="CU195" s="1087"/>
      <c r="CV195" s="1090"/>
      <c r="CW195" s="156" t="s">
        <v>1410</v>
      </c>
      <c r="CX195" s="156" t="str">
        <f>VLOOKUP(E195,'[1]List of Work Orders'!$A:$I,9,FALSE)</f>
        <v>ME185284</v>
      </c>
      <c r="CY195" s="156"/>
      <c r="DC195" s="1057" t="str">
        <f>VLOOKUP(E195,'[2]List of Work Orders'!$A:$F,6,FALSE)</f>
        <v>SCHED</v>
      </c>
      <c r="DS195" s="156" t="s">
        <v>381</v>
      </c>
    </row>
    <row r="196" spans="1:123" customFormat="1" ht="15" customHeight="1" x14ac:dyDescent="0.25">
      <c r="A196" s="242">
        <v>45612</v>
      </c>
      <c r="B196" s="222"/>
      <c r="C196" s="223"/>
      <c r="D196" s="66" t="s">
        <v>320</v>
      </c>
      <c r="E196" s="404" t="s">
        <v>1411</v>
      </c>
      <c r="F196" s="95" t="s">
        <v>1412</v>
      </c>
      <c r="G196" s="95" t="s">
        <v>1413</v>
      </c>
      <c r="H196" s="95" t="s">
        <v>318</v>
      </c>
      <c r="I196" s="95" t="s">
        <v>239</v>
      </c>
      <c r="J196" s="163" t="s">
        <v>982</v>
      </c>
      <c r="K196" s="101" t="s">
        <v>271</v>
      </c>
      <c r="L196" s="101" t="s">
        <v>5</v>
      </c>
      <c r="M196" s="345" t="s">
        <v>272</v>
      </c>
      <c r="N196" s="442" t="s">
        <v>403</v>
      </c>
      <c r="O196" s="165">
        <v>43.890300000000003</v>
      </c>
      <c r="P196" s="933">
        <v>43.89</v>
      </c>
      <c r="Q196" s="157">
        <v>90</v>
      </c>
      <c r="R196" s="109" t="s">
        <v>548</v>
      </c>
      <c r="S196" s="141">
        <v>272805.40999999997</v>
      </c>
      <c r="T196" s="110">
        <v>35367.83</v>
      </c>
      <c r="U196" s="141"/>
      <c r="V196" s="158">
        <f t="shared" si="129"/>
        <v>0</v>
      </c>
      <c r="W196" s="159">
        <v>45604.517511574071</v>
      </c>
      <c r="X196" s="159">
        <v>45609.624305555553</v>
      </c>
      <c r="Y196" s="160">
        <v>45609</v>
      </c>
      <c r="Z196" s="470"/>
      <c r="AA196" s="470">
        <v>45743.356249999997</v>
      </c>
      <c r="AB196" s="470"/>
      <c r="AC196" s="161">
        <f t="shared" si="130"/>
        <v>138.83873842592584</v>
      </c>
      <c r="AD196" s="161">
        <f t="shared" si="122"/>
        <v>133.7319444444438</v>
      </c>
      <c r="AE196" s="446">
        <f t="shared" si="114"/>
        <v>-45743.356249999997</v>
      </c>
      <c r="AF196" s="160">
        <f t="shared" si="123"/>
        <v>45622.591891739357</v>
      </c>
      <c r="AG196" s="160">
        <f t="shared" si="124"/>
        <v>45631.211726450107</v>
      </c>
      <c r="AH196" s="159">
        <f t="shared" si="125"/>
        <v>45654.517511574071</v>
      </c>
      <c r="AI196" s="162">
        <f t="shared" si="131"/>
        <v>4.9410256910403021</v>
      </c>
      <c r="AJ196" s="224">
        <f t="shared" si="126"/>
        <v>-762.38927083333328</v>
      </c>
      <c r="AK196" s="225">
        <f t="shared" si="132"/>
        <v>20</v>
      </c>
      <c r="AL196" s="170">
        <f t="shared" si="133"/>
        <v>34</v>
      </c>
      <c r="AM196" s="170">
        <f t="shared" si="134"/>
        <v>21.074380165289259</v>
      </c>
      <c r="AN196" s="170">
        <f t="shared" si="135"/>
        <v>26.694214876033058</v>
      </c>
      <c r="AO196" s="226">
        <f t="shared" si="136"/>
        <v>18.074380165289259</v>
      </c>
      <c r="AP196" s="227">
        <v>60</v>
      </c>
      <c r="AQ196" s="228">
        <f t="shared" si="137"/>
        <v>57</v>
      </c>
      <c r="AR196" s="228">
        <f t="shared" si="138"/>
        <v>52</v>
      </c>
      <c r="AS196" s="229">
        <f t="shared" si="139"/>
        <v>45803.356249999997</v>
      </c>
      <c r="AT196" s="982">
        <f t="shared" ca="1" si="140"/>
        <v>151.64375000000291</v>
      </c>
      <c r="AU196" s="50"/>
      <c r="AV196" s="118"/>
      <c r="AW196" s="49"/>
      <c r="AX196" s="49"/>
      <c r="AY196" s="49"/>
      <c r="AZ196" s="300"/>
      <c r="BA196" s="119"/>
      <c r="BB196" s="304"/>
      <c r="BC196" s="231" t="s">
        <v>12</v>
      </c>
      <c r="BD196" s="232"/>
      <c r="BE196" s="222">
        <f t="shared" si="119"/>
        <v>45758.356249999997</v>
      </c>
      <c r="BF196" s="233">
        <f t="shared" si="127"/>
        <v>2.6437500000029104</v>
      </c>
      <c r="BG196" s="248">
        <v>45743</v>
      </c>
      <c r="BH196" s="235">
        <v>45761</v>
      </c>
      <c r="BI196" s="234"/>
      <c r="BJ196" s="236"/>
      <c r="BK196" s="222"/>
      <c r="BL196" s="222"/>
      <c r="BM196" s="238"/>
      <c r="BN196" s="222"/>
      <c r="BO196" s="222"/>
      <c r="BP196" s="243"/>
      <c r="BQ196" s="244" t="s">
        <v>247</v>
      </c>
      <c r="BR196" s="238">
        <v>45741</v>
      </c>
      <c r="BS196" s="67"/>
      <c r="BT196" s="66"/>
      <c r="BU196" s="66"/>
      <c r="BV196" s="66"/>
      <c r="BW196" s="74"/>
      <c r="BX196" s="81"/>
      <c r="BY196" s="66" t="s">
        <v>308</v>
      </c>
      <c r="BZ196" s="944" t="s">
        <v>1414</v>
      </c>
      <c r="CA196" s="42" t="str">
        <f t="shared" si="141"/>
        <v>0</v>
      </c>
      <c r="CB196" s="62">
        <f t="shared" si="142"/>
        <v>138.83873842592584</v>
      </c>
      <c r="CC196" s="42">
        <f t="shared" si="143"/>
        <v>0</v>
      </c>
      <c r="CD196" s="62">
        <f t="shared" si="144"/>
        <v>138.83873842592584</v>
      </c>
      <c r="CE196" s="62">
        <f t="shared" si="145"/>
        <v>4.9410256910403021</v>
      </c>
      <c r="CF196" s="145">
        <f t="shared" si="146"/>
        <v>125.64375000000291</v>
      </c>
      <c r="CG196" s="145"/>
      <c r="CH196" s="443">
        <f t="shared" si="147"/>
        <v>9.4124650292756993</v>
      </c>
      <c r="CI196" s="996">
        <f t="shared" si="148"/>
        <v>9.4124650292756993</v>
      </c>
      <c r="CJ196" s="261">
        <f t="shared" si="149"/>
        <v>2.0940625000000486</v>
      </c>
      <c r="CK196" s="458" t="str">
        <f t="shared" si="150"/>
        <v/>
      </c>
      <c r="CL196" t="str">
        <f t="shared" si="151"/>
        <v>NON-REV</v>
      </c>
      <c r="CM196" t="str">
        <f t="shared" si="152"/>
        <v/>
      </c>
      <c r="CN196" s="635"/>
      <c r="CO196" s="631"/>
      <c r="CP196" s="629" t="str">
        <f t="shared" si="128"/>
        <v>FOR ISSUANCE</v>
      </c>
      <c r="CQ196" s="635"/>
      <c r="CR196" s="697"/>
      <c r="CS196" s="633" t="str">
        <f t="shared" ca="1" si="153"/>
        <v>0</v>
      </c>
      <c r="CT196" s="635"/>
      <c r="CU196" s="631"/>
      <c r="CV196" s="638"/>
      <c r="CW196" s="156" t="s">
        <v>1415</v>
      </c>
      <c r="CX196" s="156" t="str">
        <f>VLOOKUP(E196,'[1]List of Work Orders'!$A:$I,9,FALSE)</f>
        <v>ME166067</v>
      </c>
      <c r="CY196" s="156"/>
      <c r="DC196" t="str">
        <f>VLOOKUP(E196,'[2]List of Work Orders'!$A:$F,6,FALSE)</f>
        <v>FCOMP</v>
      </c>
      <c r="DS196" s="156" t="s">
        <v>397</v>
      </c>
    </row>
    <row r="197" spans="1:123" customFormat="1" ht="15" customHeight="1" x14ac:dyDescent="0.25">
      <c r="A197" s="242">
        <v>45610</v>
      </c>
      <c r="B197" s="222"/>
      <c r="C197" s="223" t="s">
        <v>247</v>
      </c>
      <c r="D197" s="66" t="s">
        <v>320</v>
      </c>
      <c r="E197" s="404" t="s">
        <v>1416</v>
      </c>
      <c r="F197" s="95" t="s">
        <v>1417</v>
      </c>
      <c r="G197" s="95" t="s">
        <v>1418</v>
      </c>
      <c r="H197" s="95" t="s">
        <v>238</v>
      </c>
      <c r="I197" s="95" t="s">
        <v>239</v>
      </c>
      <c r="J197" s="163" t="s">
        <v>1157</v>
      </c>
      <c r="K197" s="101" t="s">
        <v>271</v>
      </c>
      <c r="L197" s="101" t="s">
        <v>288</v>
      </c>
      <c r="M197" s="345" t="s">
        <v>272</v>
      </c>
      <c r="N197" s="442" t="s">
        <v>381</v>
      </c>
      <c r="O197" s="165">
        <v>81.7376</v>
      </c>
      <c r="P197" s="933">
        <v>160.02000000000001</v>
      </c>
      <c r="Q197" s="157">
        <v>80</v>
      </c>
      <c r="R197" s="109" t="s">
        <v>244</v>
      </c>
      <c r="S197" s="110">
        <v>454689.41</v>
      </c>
      <c r="T197" s="93">
        <v>65090.91</v>
      </c>
      <c r="U197" s="141"/>
      <c r="V197" s="158">
        <f t="shared" si="129"/>
        <v>0</v>
      </c>
      <c r="W197" s="159">
        <v>45604.67597222222</v>
      </c>
      <c r="X197" s="159">
        <v>45609.621527777781</v>
      </c>
      <c r="Y197" s="160">
        <v>45608</v>
      </c>
      <c r="Z197" s="470"/>
      <c r="AA197" s="470">
        <v>45671</v>
      </c>
      <c r="AB197" s="470"/>
      <c r="AC197" s="161">
        <f t="shared" si="130"/>
        <v>66.324027777780429</v>
      </c>
      <c r="AD197" s="161">
        <f t="shared" si="122"/>
        <v>61.378472222218988</v>
      </c>
      <c r="AE197" s="446">
        <f t="shared" si="114"/>
        <v>-45671</v>
      </c>
      <c r="AF197" s="160">
        <f t="shared" si="123"/>
        <v>45625.021042644752</v>
      </c>
      <c r="AG197" s="160">
        <f t="shared" si="124"/>
        <v>45634.246394757429</v>
      </c>
      <c r="AH197" s="159">
        <f t="shared" si="125"/>
        <v>45654.67597222222</v>
      </c>
      <c r="AI197" s="162">
        <f t="shared" si="131"/>
        <v>2.1307719331323125</v>
      </c>
      <c r="AJ197" s="224">
        <f t="shared" si="126"/>
        <v>-761.18333333333328</v>
      </c>
      <c r="AK197" s="225">
        <f t="shared" si="132"/>
        <v>26</v>
      </c>
      <c r="AL197" s="170">
        <f t="shared" si="133"/>
        <v>34</v>
      </c>
      <c r="AM197" s="170">
        <f t="shared" si="134"/>
        <v>23.345070422535212</v>
      </c>
      <c r="AN197" s="170">
        <f t="shared" si="135"/>
        <v>29.570422535211268</v>
      </c>
      <c r="AO197" s="226">
        <f t="shared" si="136"/>
        <v>20.345070422535212</v>
      </c>
      <c r="AP197" s="227">
        <v>60</v>
      </c>
      <c r="AQ197" s="228">
        <f t="shared" si="137"/>
        <v>57</v>
      </c>
      <c r="AR197" s="228">
        <f t="shared" si="138"/>
        <v>52</v>
      </c>
      <c r="AS197" s="229">
        <f t="shared" si="139"/>
        <v>45731</v>
      </c>
      <c r="AT197" s="982">
        <f t="shared" ca="1" si="140"/>
        <v>224</v>
      </c>
      <c r="AU197" s="50"/>
      <c r="AV197" s="118"/>
      <c r="AW197" s="49"/>
      <c r="AX197" s="49"/>
      <c r="AY197" s="49"/>
      <c r="AZ197" s="300"/>
      <c r="BA197" s="119"/>
      <c r="BB197" s="304"/>
      <c r="BC197" s="231" t="s">
        <v>13</v>
      </c>
      <c r="BD197" s="232"/>
      <c r="BE197" s="222">
        <f t="shared" si="119"/>
        <v>45686</v>
      </c>
      <c r="BF197" s="233" t="e">
        <f t="shared" si="127"/>
        <v>#VALUE!</v>
      </c>
      <c r="BG197" s="248"/>
      <c r="BH197" s="235"/>
      <c r="BI197" s="234"/>
      <c r="BJ197" s="236"/>
      <c r="BK197" s="222"/>
      <c r="BL197" s="222"/>
      <c r="BM197" s="238"/>
      <c r="BN197" s="222"/>
      <c r="BO197" s="222"/>
      <c r="BP197" s="243"/>
      <c r="BQ197" s="244" t="s">
        <v>247</v>
      </c>
      <c r="BR197" s="238"/>
      <c r="BS197" s="67"/>
      <c r="BT197" s="66"/>
      <c r="BU197" s="66"/>
      <c r="BV197" s="66"/>
      <c r="BW197" s="74"/>
      <c r="BX197" s="81"/>
      <c r="BY197" s="66">
        <v>45611</v>
      </c>
      <c r="BZ197" s="944" t="s">
        <v>1419</v>
      </c>
      <c r="CA197" s="42" t="str">
        <f t="shared" si="141"/>
        <v>0</v>
      </c>
      <c r="CB197" s="62">
        <f t="shared" si="142"/>
        <v>66.324027777780429</v>
      </c>
      <c r="CC197" s="42">
        <f t="shared" si="143"/>
        <v>0</v>
      </c>
      <c r="CD197" s="62">
        <f t="shared" si="144"/>
        <v>66.324027777780429</v>
      </c>
      <c r="CE197" s="62">
        <f t="shared" si="145"/>
        <v>2.1307719331323125</v>
      </c>
      <c r="CF197" s="145">
        <f t="shared" si="146"/>
        <v>198</v>
      </c>
      <c r="CG197" s="145"/>
      <c r="CH197" s="443">
        <f t="shared" si="147"/>
        <v>8.4918579059829895</v>
      </c>
      <c r="CI197" s="996">
        <f t="shared" si="148"/>
        <v>8.4918579059829895</v>
      </c>
      <c r="CJ197" s="261">
        <f t="shared" si="149"/>
        <v>3.3</v>
      </c>
      <c r="CK197" s="458" t="str">
        <f t="shared" si="150"/>
        <v/>
      </c>
      <c r="CL197" t="str">
        <f t="shared" si="151"/>
        <v>REV</v>
      </c>
      <c r="CM197" t="str">
        <f t="shared" si="152"/>
        <v/>
      </c>
      <c r="CN197" s="635"/>
      <c r="CO197" s="631"/>
      <c r="CP197" s="629" t="str">
        <f t="shared" si="128"/>
        <v>FOR ISSUANCE</v>
      </c>
      <c r="CQ197" s="635"/>
      <c r="CR197" s="697"/>
      <c r="CS197" s="633" t="str">
        <f t="shared" ca="1" si="153"/>
        <v>0</v>
      </c>
      <c r="CT197" s="635"/>
      <c r="CU197" s="631"/>
      <c r="CV197" s="638"/>
      <c r="CW197" s="156" t="s">
        <v>1420</v>
      </c>
      <c r="CX197" s="156" t="str">
        <f>VLOOKUP(E197,'[1]List of Work Orders'!$A:$I,9,FALSE)</f>
        <v>ME185284</v>
      </c>
      <c r="CY197" s="156"/>
      <c r="DC197" t="str">
        <f>VLOOKUP(E197,'[2]List of Work Orders'!$A:$F,6,FALSE)</f>
        <v>FCOMP</v>
      </c>
      <c r="DS197" s="156" t="s">
        <v>397</v>
      </c>
    </row>
    <row r="198" spans="1:123" customFormat="1" ht="15" customHeight="1" x14ac:dyDescent="0.25">
      <c r="A198" s="242">
        <v>45612</v>
      </c>
      <c r="B198" s="222"/>
      <c r="C198" s="223" t="s">
        <v>247</v>
      </c>
      <c r="D198" s="66" t="s">
        <v>320</v>
      </c>
      <c r="E198" s="404" t="s">
        <v>1421</v>
      </c>
      <c r="F198" s="95" t="s">
        <v>1422</v>
      </c>
      <c r="G198" s="95" t="s">
        <v>1423</v>
      </c>
      <c r="H198" s="95" t="s">
        <v>238</v>
      </c>
      <c r="I198" s="95" t="s">
        <v>239</v>
      </c>
      <c r="J198" s="163" t="s">
        <v>1424</v>
      </c>
      <c r="K198" s="101" t="s">
        <v>1425</v>
      </c>
      <c r="L198" s="101" t="s">
        <v>242</v>
      </c>
      <c r="M198" s="345" t="s">
        <v>272</v>
      </c>
      <c r="N198" s="442" t="s">
        <v>467</v>
      </c>
      <c r="O198" s="165">
        <v>119.9787</v>
      </c>
      <c r="P198" s="933">
        <v>120.71</v>
      </c>
      <c r="Q198" s="157">
        <v>86</v>
      </c>
      <c r="R198" s="109" t="s">
        <v>548</v>
      </c>
      <c r="S198" s="110">
        <v>588535.37</v>
      </c>
      <c r="T198" s="93">
        <v>96616.31</v>
      </c>
      <c r="U198" s="141">
        <v>26531.14</v>
      </c>
      <c r="V198" s="158">
        <f t="shared" si="129"/>
        <v>0.27460311825198042</v>
      </c>
      <c r="W198" s="159">
        <v>45604.676342592589</v>
      </c>
      <c r="X198" s="159">
        <v>45609.620138888888</v>
      </c>
      <c r="Y198" s="160">
        <v>45617</v>
      </c>
      <c r="Z198" s="470">
        <v>45667</v>
      </c>
      <c r="AA198" s="470">
        <v>45668</v>
      </c>
      <c r="AB198" s="470"/>
      <c r="AC198" s="161">
        <f t="shared" si="130"/>
        <v>63.323657407410792</v>
      </c>
      <c r="AD198" s="161">
        <f t="shared" si="122"/>
        <v>58.379861111112405</v>
      </c>
      <c r="AE198" s="446">
        <f t="shared" si="114"/>
        <v>-45668</v>
      </c>
      <c r="AF198" s="160">
        <f t="shared" si="123"/>
        <v>45625.021413015122</v>
      </c>
      <c r="AG198" s="160">
        <f t="shared" si="124"/>
        <v>45634.246765127798</v>
      </c>
      <c r="AH198" s="159">
        <f t="shared" si="125"/>
        <v>45654.676342592589</v>
      </c>
      <c r="AI198" s="162">
        <f t="shared" si="131"/>
        <v>2.0343799438579939</v>
      </c>
      <c r="AJ198" s="224">
        <f t="shared" si="126"/>
        <v>-761.13333333333333</v>
      </c>
      <c r="AK198" s="225">
        <f t="shared" si="132"/>
        <v>26</v>
      </c>
      <c r="AL198" s="170">
        <f t="shared" si="133"/>
        <v>34</v>
      </c>
      <c r="AM198" s="170">
        <f t="shared" si="134"/>
        <v>23.345070422535212</v>
      </c>
      <c r="AN198" s="170">
        <f t="shared" si="135"/>
        <v>29.570422535211268</v>
      </c>
      <c r="AO198" s="226">
        <f t="shared" si="136"/>
        <v>20.345070422535212</v>
      </c>
      <c r="AP198" s="227">
        <v>60</v>
      </c>
      <c r="AQ198" s="228">
        <f t="shared" si="137"/>
        <v>57</v>
      </c>
      <c r="AR198" s="228">
        <f t="shared" si="138"/>
        <v>52</v>
      </c>
      <c r="AS198" s="229">
        <f t="shared" si="139"/>
        <v>45728</v>
      </c>
      <c r="AT198" s="982">
        <f t="shared" ca="1" si="140"/>
        <v>227</v>
      </c>
      <c r="AU198" s="50"/>
      <c r="AV198" s="118"/>
      <c r="AW198" s="49"/>
      <c r="AX198" s="49"/>
      <c r="AY198" s="49"/>
      <c r="AZ198" s="300"/>
      <c r="BA198" s="119"/>
      <c r="BB198" s="304"/>
      <c r="BC198" s="231" t="s">
        <v>146</v>
      </c>
      <c r="BD198" s="232" t="s">
        <v>601</v>
      </c>
      <c r="BE198" s="222">
        <f t="shared" si="119"/>
        <v>45683</v>
      </c>
      <c r="BF198" s="233">
        <f t="shared" si="127"/>
        <v>-4</v>
      </c>
      <c r="BG198" s="248">
        <v>45667</v>
      </c>
      <c r="BH198" s="235">
        <v>45679</v>
      </c>
      <c r="BI198" s="234">
        <v>45694</v>
      </c>
      <c r="BJ198" s="236" t="s">
        <v>245</v>
      </c>
      <c r="BK198" s="222" t="s">
        <v>247</v>
      </c>
      <c r="BL198" s="222"/>
      <c r="BM198" s="238"/>
      <c r="BN198" s="222"/>
      <c r="BO198" s="222">
        <v>45695</v>
      </c>
      <c r="BP198" s="243" t="s">
        <v>1084</v>
      </c>
      <c r="BQ198" s="244" t="s">
        <v>247</v>
      </c>
      <c r="BR198" s="238">
        <v>45666</v>
      </c>
      <c r="BS198" s="67"/>
      <c r="BT198" s="66"/>
      <c r="BU198" s="66"/>
      <c r="BV198" s="66"/>
      <c r="BW198" s="74"/>
      <c r="BX198" s="81"/>
      <c r="BY198" s="66">
        <v>45616</v>
      </c>
      <c r="BZ198" s="944" t="s">
        <v>1426</v>
      </c>
      <c r="CA198" s="42" t="str">
        <f t="shared" si="141"/>
        <v>0</v>
      </c>
      <c r="CB198" s="62">
        <f t="shared" si="142"/>
        <v>63.323657407410792</v>
      </c>
      <c r="CC198" s="42">
        <f t="shared" si="143"/>
        <v>0</v>
      </c>
      <c r="CD198" s="62">
        <f t="shared" si="144"/>
        <v>63.323657407410792</v>
      </c>
      <c r="CE198" s="62">
        <f t="shared" si="145"/>
        <v>2.0343799438579939</v>
      </c>
      <c r="CF198" s="145">
        <f t="shared" si="146"/>
        <v>201</v>
      </c>
      <c r="CG198" s="145"/>
      <c r="CH198" s="443">
        <f t="shared" si="147"/>
        <v>8.4918460072064086</v>
      </c>
      <c r="CI198" s="996">
        <f t="shared" si="148"/>
        <v>8.4918460072064086</v>
      </c>
      <c r="CJ198" s="261">
        <f t="shared" si="149"/>
        <v>3.35</v>
      </c>
      <c r="CK198" s="458" t="str">
        <f t="shared" si="150"/>
        <v/>
      </c>
      <c r="CL198" t="str">
        <f t="shared" si="151"/>
        <v>NON-REV</v>
      </c>
      <c r="CM198" t="str">
        <f t="shared" si="152"/>
        <v/>
      </c>
      <c r="CN198" s="635"/>
      <c r="CO198" s="631"/>
      <c r="CP198" s="629" t="str">
        <f t="shared" si="128"/>
        <v>FOR ISSUANCE</v>
      </c>
      <c r="CQ198" s="635"/>
      <c r="CR198" s="697"/>
      <c r="CS198" s="633" t="str">
        <f t="shared" ca="1" si="153"/>
        <v>0</v>
      </c>
      <c r="CT198" s="635"/>
      <c r="CU198" s="631"/>
      <c r="CV198" s="638"/>
      <c r="CW198" s="156" t="s">
        <v>1427</v>
      </c>
      <c r="CX198" s="156" t="str">
        <f>VLOOKUP(E198,'[1]List of Work Orders'!$A:$I,9,FALSE)</f>
        <v>ME155242</v>
      </c>
      <c r="CY198" s="156"/>
      <c r="CZ198" s="63"/>
      <c r="DC198" t="str">
        <f>VLOOKUP(E198,'[2]List of Work Orders'!$A:$F,6,FALSE)</f>
        <v>FCOMP</v>
      </c>
      <c r="DS198" s="156" t="s">
        <v>381</v>
      </c>
    </row>
    <row r="199" spans="1:123" customFormat="1" ht="15" customHeight="1" x14ac:dyDescent="0.25">
      <c r="A199" s="242">
        <v>45610</v>
      </c>
      <c r="B199" s="222"/>
      <c r="C199" s="223"/>
      <c r="D199" s="66" t="s">
        <v>284</v>
      </c>
      <c r="E199" s="404" t="s">
        <v>1428</v>
      </c>
      <c r="F199" s="95" t="s">
        <v>1429</v>
      </c>
      <c r="G199" s="95" t="s">
        <v>1430</v>
      </c>
      <c r="H199" s="95" t="s">
        <v>238</v>
      </c>
      <c r="I199" s="95" t="s">
        <v>239</v>
      </c>
      <c r="J199" s="163"/>
      <c r="K199" s="101"/>
      <c r="L199" s="101" t="s">
        <v>242</v>
      </c>
      <c r="M199" s="345" t="s">
        <v>256</v>
      </c>
      <c r="N199" s="442" t="s">
        <v>467</v>
      </c>
      <c r="O199" s="165">
        <v>144.97669999999999</v>
      </c>
      <c r="P199" s="933">
        <v>144.97999999999999</v>
      </c>
      <c r="Q199" s="157">
        <v>0</v>
      </c>
      <c r="R199" s="109" t="s">
        <v>319</v>
      </c>
      <c r="S199" s="110">
        <v>118408.73</v>
      </c>
      <c r="T199" s="93">
        <v>116746.06</v>
      </c>
      <c r="U199" s="141">
        <v>93645.38</v>
      </c>
      <c r="V199" s="158">
        <f t="shared" si="129"/>
        <v>0.80212882558948895</v>
      </c>
      <c r="W199" s="159">
        <v>45604.681458333333</v>
      </c>
      <c r="X199" s="159">
        <v>45609.618750000001</v>
      </c>
      <c r="Y199" s="160">
        <v>45617</v>
      </c>
      <c r="Z199" s="470"/>
      <c r="AA199" s="470">
        <v>45677</v>
      </c>
      <c r="AB199" s="470">
        <v>45820.613194444442</v>
      </c>
      <c r="AC199" s="161">
        <f t="shared" si="130"/>
        <v>72.318541666667443</v>
      </c>
      <c r="AD199" s="161">
        <f t="shared" si="122"/>
        <v>67.381249999998545</v>
      </c>
      <c r="AE199" s="446">
        <f t="shared" si="114"/>
        <v>143.61319444444234</v>
      </c>
      <c r="AF199" s="160">
        <f t="shared" si="123"/>
        <v>45625.888354885057</v>
      </c>
      <c r="AG199" s="160">
        <f t="shared" si="124"/>
        <v>45635.34352729885</v>
      </c>
      <c r="AH199" s="159">
        <f t="shared" si="125"/>
        <v>45654.681458333333</v>
      </c>
      <c r="AI199" s="162">
        <f t="shared" si="131"/>
        <v>2.2406385772792263</v>
      </c>
      <c r="AJ199" s="224">
        <f t="shared" si="126"/>
        <v>2.3935532407407059</v>
      </c>
      <c r="AK199" s="225">
        <f t="shared" si="132"/>
        <v>26</v>
      </c>
      <c r="AL199" s="170">
        <f t="shared" si="133"/>
        <v>36</v>
      </c>
      <c r="AM199" s="170">
        <f t="shared" si="134"/>
        <v>24.206896551724139</v>
      </c>
      <c r="AN199" s="170">
        <f t="shared" si="135"/>
        <v>30.662068965517239</v>
      </c>
      <c r="AO199" s="226">
        <f t="shared" si="136"/>
        <v>21.206896551724139</v>
      </c>
      <c r="AP199" s="227">
        <v>60</v>
      </c>
      <c r="AQ199" s="228">
        <f t="shared" si="137"/>
        <v>57</v>
      </c>
      <c r="AR199" s="228">
        <f t="shared" si="138"/>
        <v>52</v>
      </c>
      <c r="AS199" s="229">
        <f t="shared" si="139"/>
        <v>45737</v>
      </c>
      <c r="AT199" s="982">
        <f t="shared" ca="1" si="140"/>
        <v>218</v>
      </c>
      <c r="AU199" s="50"/>
      <c r="AV199" s="118"/>
      <c r="AW199" s="49"/>
      <c r="AX199" s="49"/>
      <c r="AY199" s="49"/>
      <c r="AZ199" s="300"/>
      <c r="BA199" s="119"/>
      <c r="BB199" s="304"/>
      <c r="BC199" s="231" t="s">
        <v>14</v>
      </c>
      <c r="BD199" s="232"/>
      <c r="BE199" s="222">
        <f t="shared" si="119"/>
        <v>45692</v>
      </c>
      <c r="BF199" s="233" t="e">
        <f t="shared" si="127"/>
        <v>#VALUE!</v>
      </c>
      <c r="BG199" s="248"/>
      <c r="BH199" s="235"/>
      <c r="BI199" s="234">
        <v>45789</v>
      </c>
      <c r="BJ199" s="236" t="s">
        <v>245</v>
      </c>
      <c r="BK199" s="222" t="s">
        <v>246</v>
      </c>
      <c r="BL199" s="222"/>
      <c r="BM199" s="238"/>
      <c r="BN199" s="222"/>
      <c r="BO199" s="222">
        <v>45819</v>
      </c>
      <c r="BP199" s="243" t="s">
        <v>1084</v>
      </c>
      <c r="BQ199" s="244" t="s">
        <v>247</v>
      </c>
      <c r="BR199" s="238"/>
      <c r="BS199" s="67"/>
      <c r="BT199" s="66"/>
      <c r="BU199" s="66"/>
      <c r="BV199" s="66"/>
      <c r="BW199" s="74"/>
      <c r="BX199" s="81"/>
      <c r="BY199" s="66" t="s">
        <v>308</v>
      </c>
      <c r="BZ199" s="944"/>
      <c r="CA199" s="42" t="str">
        <f t="shared" si="141"/>
        <v>0</v>
      </c>
      <c r="CB199" s="62">
        <f t="shared" si="142"/>
        <v>72.318541666667443</v>
      </c>
      <c r="CC199" s="42">
        <f t="shared" si="143"/>
        <v>0</v>
      </c>
      <c r="CD199" s="62">
        <f t="shared" si="144"/>
        <v>72.318541666667443</v>
      </c>
      <c r="CE199" s="62">
        <f t="shared" si="145"/>
        <v>2.2406385772792263</v>
      </c>
      <c r="CF199" s="145">
        <f t="shared" si="146"/>
        <v>192</v>
      </c>
      <c r="CG199" s="145"/>
      <c r="CH199" s="443">
        <f t="shared" si="147"/>
        <v>8.1893565259971748</v>
      </c>
      <c r="CI199" s="996">
        <f t="shared" si="148"/>
        <v>8.1893565259971748</v>
      </c>
      <c r="CJ199" s="261">
        <f t="shared" si="149"/>
        <v>3.2</v>
      </c>
      <c r="CK199" s="458" t="str">
        <f t="shared" si="150"/>
        <v/>
      </c>
      <c r="CL199" t="str">
        <f t="shared" si="151"/>
        <v>NON-REV</v>
      </c>
      <c r="CM199" t="str">
        <f t="shared" si="152"/>
        <v/>
      </c>
      <c r="CN199" s="635"/>
      <c r="CO199" s="631"/>
      <c r="CP199" s="629" t="str">
        <f t="shared" si="128"/>
        <v>FOR ISSUANCE</v>
      </c>
      <c r="CQ199" s="635"/>
      <c r="CR199" s="697"/>
      <c r="CS199" s="633" t="str">
        <f t="shared" ca="1" si="153"/>
        <v>0</v>
      </c>
      <c r="CT199" s="635"/>
      <c r="CU199" s="631"/>
      <c r="CV199" s="638"/>
      <c r="CW199" s="156" t="s">
        <v>1431</v>
      </c>
      <c r="CX199" s="156" t="str">
        <f>VLOOKUP(E199,'[1]List of Work Orders'!$A:$I,9,FALSE)</f>
        <v>ME155242</v>
      </c>
      <c r="CY199" s="156"/>
      <c r="CZ199" s="63"/>
      <c r="DC199" t="str">
        <f>VLOOKUP(E199,'[2]List of Work Orders'!$A:$F,6,FALSE)</f>
        <v>FCOMP</v>
      </c>
      <c r="DS199" s="156" t="s">
        <v>403</v>
      </c>
    </row>
    <row r="200" spans="1:123" ht="15" customHeight="1" x14ac:dyDescent="0.2">
      <c r="A200" s="242">
        <v>45618</v>
      </c>
      <c r="B200" s="222"/>
      <c r="C200" s="223"/>
      <c r="D200" s="66" t="s">
        <v>284</v>
      </c>
      <c r="E200" s="404" t="s">
        <v>1432</v>
      </c>
      <c r="F200" s="95" t="s">
        <v>1433</v>
      </c>
      <c r="G200" s="95" t="s">
        <v>293</v>
      </c>
      <c r="H200" s="95" t="s">
        <v>269</v>
      </c>
      <c r="I200" s="95" t="s">
        <v>239</v>
      </c>
      <c r="J200" s="163"/>
      <c r="K200" s="101"/>
      <c r="L200" s="101" t="s">
        <v>255</v>
      </c>
      <c r="M200" s="345" t="s">
        <v>272</v>
      </c>
      <c r="N200" s="442" t="s">
        <v>381</v>
      </c>
      <c r="O200" s="165">
        <v>48.0167</v>
      </c>
      <c r="P200" s="933">
        <v>48.02</v>
      </c>
      <c r="Q200" s="157">
        <v>0</v>
      </c>
      <c r="R200" s="109" t="s">
        <v>319</v>
      </c>
      <c r="S200" s="110">
        <v>58204.17</v>
      </c>
      <c r="T200" s="93">
        <v>38674.730000000003</v>
      </c>
      <c r="U200" s="141"/>
      <c r="V200" s="158">
        <f t="shared" si="129"/>
        <v>0</v>
      </c>
      <c r="W200" s="159">
        <v>45604.702222222222</v>
      </c>
      <c r="X200" s="159">
        <v>45609.613194444442</v>
      </c>
      <c r="Y200" s="160">
        <v>45608</v>
      </c>
      <c r="Z200" s="470"/>
      <c r="AA200" s="470">
        <v>45769</v>
      </c>
      <c r="AB200" s="470"/>
      <c r="AC200" s="161">
        <f t="shared" si="130"/>
        <v>164.29777777777781</v>
      </c>
      <c r="AD200" s="161">
        <f t="shared" si="122"/>
        <v>159.38680555555766</v>
      </c>
      <c r="AE200" s="446">
        <f t="shared" si="114"/>
        <v>-45769</v>
      </c>
      <c r="AF200" s="160">
        <f t="shared" si="123"/>
        <v>45623.476415770609</v>
      </c>
      <c r="AG200" s="160">
        <f t="shared" si="124"/>
        <v>45632.28286738351</v>
      </c>
      <c r="AH200" s="159">
        <f t="shared" si="125"/>
        <v>45654.702222222222</v>
      </c>
      <c r="AI200" s="162">
        <f t="shared" si="131"/>
        <v>5.6591456790123464</v>
      </c>
      <c r="AJ200" s="224">
        <f t="shared" si="126"/>
        <v>-762.81666666666672</v>
      </c>
      <c r="AK200" s="225">
        <f t="shared" si="132"/>
        <v>20</v>
      </c>
      <c r="AL200" s="170">
        <f t="shared" si="133"/>
        <v>36</v>
      </c>
      <c r="AM200" s="170">
        <f t="shared" si="134"/>
        <v>21.774193548387096</v>
      </c>
      <c r="AN200" s="170">
        <f t="shared" si="135"/>
        <v>27.58064516129032</v>
      </c>
      <c r="AO200" s="226">
        <f t="shared" si="136"/>
        <v>18.774193548387096</v>
      </c>
      <c r="AP200" s="227">
        <v>60</v>
      </c>
      <c r="AQ200" s="228">
        <f t="shared" si="137"/>
        <v>57</v>
      </c>
      <c r="AR200" s="228">
        <f t="shared" si="138"/>
        <v>52</v>
      </c>
      <c r="AS200" s="229">
        <f t="shared" si="139"/>
        <v>45829</v>
      </c>
      <c r="AT200" s="982">
        <f t="shared" ca="1" si="140"/>
        <v>126</v>
      </c>
      <c r="AU200" s="1077"/>
      <c r="AV200" s="1078"/>
      <c r="AW200" s="1079"/>
      <c r="AX200" s="1079"/>
      <c r="AY200" s="1079"/>
      <c r="AZ200" s="1080"/>
      <c r="BA200" s="1081"/>
      <c r="BB200" s="1091"/>
      <c r="BC200" s="231" t="s">
        <v>13</v>
      </c>
      <c r="BD200" s="232"/>
      <c r="BE200" s="222">
        <f t="shared" si="119"/>
        <v>45784</v>
      </c>
      <c r="BF200" s="233" t="e">
        <f t="shared" si="127"/>
        <v>#VALUE!</v>
      </c>
      <c r="BG200" s="248"/>
      <c r="BH200" s="235"/>
      <c r="BI200" s="234"/>
      <c r="BJ200" s="236"/>
      <c r="BK200" s="222"/>
      <c r="BL200" s="222"/>
      <c r="BM200" s="238"/>
      <c r="BN200" s="222"/>
      <c r="BO200" s="222"/>
      <c r="BP200" s="243"/>
      <c r="BQ200" s="244" t="s">
        <v>247</v>
      </c>
      <c r="BR200" s="238"/>
      <c r="BS200" s="67"/>
      <c r="BT200" s="66"/>
      <c r="BU200" s="66"/>
      <c r="BV200" s="66"/>
      <c r="BW200" s="74"/>
      <c r="BX200" s="81"/>
      <c r="BY200" s="66" t="s">
        <v>308</v>
      </c>
      <c r="BZ200" s="944" t="s">
        <v>1434</v>
      </c>
      <c r="CA200" s="42" t="str">
        <f t="shared" si="141"/>
        <v>0</v>
      </c>
      <c r="CB200" s="62">
        <f t="shared" si="142"/>
        <v>164.29777777777781</v>
      </c>
      <c r="CC200" s="42">
        <f t="shared" si="143"/>
        <v>0</v>
      </c>
      <c r="CD200" s="62">
        <f t="shared" si="144"/>
        <v>164.29777777777781</v>
      </c>
      <c r="CE200" s="62">
        <f t="shared" si="145"/>
        <v>5.6591456790123464</v>
      </c>
      <c r="CF200" s="1059">
        <f t="shared" si="146"/>
        <v>100</v>
      </c>
      <c r="CH200" s="1082">
        <f t="shared" si="147"/>
        <v>9.1035901234567902</v>
      </c>
      <c r="CI200" s="1083">
        <f t="shared" si="148"/>
        <v>9.1035901234567902</v>
      </c>
      <c r="CJ200" s="1084">
        <f t="shared" si="149"/>
        <v>1.6666666666666667</v>
      </c>
      <c r="CK200" s="1085" t="str">
        <f t="shared" si="150"/>
        <v/>
      </c>
      <c r="CL200" s="1057" t="str">
        <f t="shared" si="151"/>
        <v>NON-REV</v>
      </c>
      <c r="CM200" s="1057" t="str">
        <f t="shared" si="152"/>
        <v/>
      </c>
      <c r="CN200" s="1086"/>
      <c r="CO200" s="1087"/>
      <c r="CP200" s="629" t="str">
        <f t="shared" si="128"/>
        <v>FOR ISSUANCE</v>
      </c>
      <c r="CQ200" s="1086"/>
      <c r="CR200" s="1088"/>
      <c r="CS200" s="1089" t="str">
        <f t="shared" ca="1" si="153"/>
        <v>0</v>
      </c>
      <c r="CT200" s="1086"/>
      <c r="CU200" s="1087"/>
      <c r="CV200" s="1090"/>
      <c r="CW200" s="156" t="s">
        <v>1435</v>
      </c>
      <c r="CX200" s="156" t="str">
        <f>VLOOKUP(E200,'[1]List of Work Orders'!$A:$I,9,FALSE)</f>
        <v>ME185284</v>
      </c>
      <c r="CY200" s="156"/>
      <c r="DC200" s="1057" t="str">
        <f>VLOOKUP(E200,'[2]List of Work Orders'!$A:$F,6,FALSE)</f>
        <v>FCOMP</v>
      </c>
      <c r="DS200" s="156" t="s">
        <v>397</v>
      </c>
    </row>
    <row r="201" spans="1:123" customFormat="1" ht="15" customHeight="1" x14ac:dyDescent="0.25">
      <c r="A201" s="242">
        <v>45614</v>
      </c>
      <c r="B201" s="222"/>
      <c r="C201" s="223"/>
      <c r="D201" s="66" t="s">
        <v>234</v>
      </c>
      <c r="E201" s="404" t="s">
        <v>1436</v>
      </c>
      <c r="F201" s="95" t="s">
        <v>926</v>
      </c>
      <c r="G201" s="95" t="s">
        <v>1437</v>
      </c>
      <c r="H201" s="95" t="s">
        <v>378</v>
      </c>
      <c r="I201" s="95" t="s">
        <v>239</v>
      </c>
      <c r="J201" s="168"/>
      <c r="K201" s="101" t="s">
        <v>271</v>
      </c>
      <c r="L201" s="101" t="s">
        <v>5</v>
      </c>
      <c r="M201" s="345" t="s">
        <v>272</v>
      </c>
      <c r="N201" s="442" t="s">
        <v>403</v>
      </c>
      <c r="O201" s="165">
        <v>96.658500000000004</v>
      </c>
      <c r="P201" s="933">
        <v>93.66</v>
      </c>
      <c r="Q201" s="157">
        <v>22</v>
      </c>
      <c r="R201" s="109" t="s">
        <v>244</v>
      </c>
      <c r="S201" s="141">
        <v>1090877.69</v>
      </c>
      <c r="T201" s="110">
        <v>77836.89</v>
      </c>
      <c r="U201" s="141"/>
      <c r="V201" s="158">
        <f t="shared" si="129"/>
        <v>0</v>
      </c>
      <c r="W201" s="159">
        <v>45607.632638888892</v>
      </c>
      <c r="X201" s="159">
        <v>45613.759722222225</v>
      </c>
      <c r="Y201" s="160">
        <v>45611</v>
      </c>
      <c r="Z201" s="470">
        <v>45783</v>
      </c>
      <c r="AA201" s="470">
        <v>45783.604861111111</v>
      </c>
      <c r="AB201" s="470"/>
      <c r="AC201" s="161">
        <f t="shared" si="130"/>
        <v>175.97222222221899</v>
      </c>
      <c r="AD201" s="161">
        <f t="shared" ref="AD201:AD209" si="154">AA201-X201</f>
        <v>169.84513888888614</v>
      </c>
      <c r="AE201" s="446">
        <f t="shared" ref="AE201:AE264" si="155">AB201-AA201</f>
        <v>-45783.604861111111</v>
      </c>
      <c r="AF201" s="160">
        <f t="shared" ref="AF201:AF209" si="156">W201+AO201</f>
        <v>45627.718140747631</v>
      </c>
      <c r="AG201" s="160">
        <f t="shared" ref="AG201:AG209" si="157">W201+AN201</f>
        <v>45636.874274576621</v>
      </c>
      <c r="AH201" s="159">
        <f t="shared" ref="AH201:AH209" si="158">W201+50</f>
        <v>45657.632638888892</v>
      </c>
      <c r="AI201" s="162">
        <f t="shared" si="131"/>
        <v>5.7169719538377901</v>
      </c>
      <c r="AJ201" s="224">
        <f t="shared" ref="AJ201:AJ209" si="159">AE201/AP201</f>
        <v>-763.06008101851853</v>
      </c>
      <c r="AK201" s="225">
        <f t="shared" si="132"/>
        <v>23</v>
      </c>
      <c r="AL201" s="170">
        <f t="shared" si="133"/>
        <v>36</v>
      </c>
      <c r="AM201" s="170">
        <f t="shared" si="134"/>
        <v>23.085501858736059</v>
      </c>
      <c r="AN201" s="170">
        <f t="shared" si="135"/>
        <v>29.241635687732341</v>
      </c>
      <c r="AO201" s="226">
        <f t="shared" si="136"/>
        <v>20.085501858736059</v>
      </c>
      <c r="AP201" s="227">
        <v>60</v>
      </c>
      <c r="AQ201" s="228">
        <f t="shared" si="137"/>
        <v>57</v>
      </c>
      <c r="AR201" s="228">
        <f t="shared" si="138"/>
        <v>52</v>
      </c>
      <c r="AS201" s="229">
        <f t="shared" si="139"/>
        <v>45843.604861111111</v>
      </c>
      <c r="AT201" s="982">
        <f t="shared" ca="1" si="140"/>
        <v>111.39513888888905</v>
      </c>
      <c r="AU201" s="50"/>
      <c r="AV201" s="118"/>
      <c r="AW201" s="49"/>
      <c r="AX201" s="49"/>
      <c r="AY201" s="49"/>
      <c r="AZ201" s="300"/>
      <c r="BA201" s="119"/>
      <c r="BB201" s="304"/>
      <c r="BC201" s="231" t="s">
        <v>12</v>
      </c>
      <c r="BD201" s="232"/>
      <c r="BE201" s="222">
        <f t="shared" si="119"/>
        <v>45798.604861111111</v>
      </c>
      <c r="BF201" s="233">
        <f t="shared" si="127"/>
        <v>51.395138888889051</v>
      </c>
      <c r="BG201" s="248">
        <v>45783</v>
      </c>
      <c r="BH201" s="235">
        <v>45850</v>
      </c>
      <c r="BI201" s="234"/>
      <c r="BJ201" s="236"/>
      <c r="BK201" s="222"/>
      <c r="BL201" s="222"/>
      <c r="BM201" s="238"/>
      <c r="BN201" s="222"/>
      <c r="BO201" s="222"/>
      <c r="BP201" s="243"/>
      <c r="BQ201" s="244" t="s">
        <v>247</v>
      </c>
      <c r="BR201" s="238">
        <v>45782</v>
      </c>
      <c r="BS201" s="67"/>
      <c r="BT201" s="66"/>
      <c r="BU201" s="66"/>
      <c r="BV201" s="66"/>
      <c r="BW201" s="74"/>
      <c r="BX201" s="81"/>
      <c r="BY201" s="66">
        <v>45616</v>
      </c>
      <c r="BZ201" s="944" t="s">
        <v>1438</v>
      </c>
      <c r="CA201" s="42" t="str">
        <f t="shared" si="141"/>
        <v>0</v>
      </c>
      <c r="CB201" s="62">
        <f t="shared" si="142"/>
        <v>175.97222222221899</v>
      </c>
      <c r="CC201" s="42">
        <f t="shared" si="143"/>
        <v>0</v>
      </c>
      <c r="CD201" s="62">
        <f t="shared" si="144"/>
        <v>175.97222222221899</v>
      </c>
      <c r="CE201" s="62">
        <f t="shared" si="145"/>
        <v>5.7169719538377901</v>
      </c>
      <c r="CF201" s="145">
        <f t="shared" si="146"/>
        <v>85.395138888889051</v>
      </c>
      <c r="CG201" s="145"/>
      <c r="CH201" s="443">
        <f t="shared" si="147"/>
        <v>8.491282625469573</v>
      </c>
      <c r="CI201" s="996">
        <f t="shared" si="148"/>
        <v>8.491282625469573</v>
      </c>
      <c r="CJ201" s="261">
        <f t="shared" si="149"/>
        <v>1.4232523148148175</v>
      </c>
      <c r="CK201" s="458" t="str">
        <f t="shared" si="150"/>
        <v/>
      </c>
      <c r="CL201" t="str">
        <f t="shared" si="151"/>
        <v>REV</v>
      </c>
      <c r="CM201" t="str">
        <f t="shared" si="152"/>
        <v/>
      </c>
      <c r="CN201" s="635"/>
      <c r="CO201" s="631"/>
      <c r="CP201" s="629" t="str">
        <f t="shared" si="128"/>
        <v>FOR ISSUANCE</v>
      </c>
      <c r="CQ201" s="635"/>
      <c r="CR201" s="697"/>
      <c r="CS201" s="633" t="str">
        <f t="shared" ca="1" si="153"/>
        <v>0</v>
      </c>
      <c r="CT201" s="635"/>
      <c r="CU201" s="631"/>
      <c r="CV201" s="638"/>
      <c r="CW201" s="156" t="s">
        <v>1439</v>
      </c>
      <c r="CX201" s="156" t="str">
        <f>VLOOKUP(E201,'[1]List of Work Orders'!$A:$I,9,FALSE)</f>
        <v>ME166067</v>
      </c>
      <c r="CY201" s="156"/>
      <c r="DC201" t="str">
        <f>VLOOKUP(E201,'[2]List of Work Orders'!$A:$F,6,FALSE)</f>
        <v>SCHED</v>
      </c>
      <c r="DS201" s="156" t="s">
        <v>1165</v>
      </c>
    </row>
    <row r="202" spans="1:123" customFormat="1" ht="15" customHeight="1" x14ac:dyDescent="0.25">
      <c r="A202" s="242">
        <v>45614</v>
      </c>
      <c r="B202" s="222"/>
      <c r="C202" s="223"/>
      <c r="D202" s="66" t="s">
        <v>234</v>
      </c>
      <c r="E202" s="404" t="s">
        <v>1440</v>
      </c>
      <c r="F202" s="95" t="s">
        <v>926</v>
      </c>
      <c r="G202" s="95" t="s">
        <v>1441</v>
      </c>
      <c r="H202" s="95" t="s">
        <v>378</v>
      </c>
      <c r="I202" s="95" t="s">
        <v>239</v>
      </c>
      <c r="J202" s="168" t="s">
        <v>1442</v>
      </c>
      <c r="K202" s="101" t="s">
        <v>299</v>
      </c>
      <c r="L202" s="101" t="s">
        <v>5</v>
      </c>
      <c r="M202" s="345" t="s">
        <v>331</v>
      </c>
      <c r="N202" s="442" t="s">
        <v>403</v>
      </c>
      <c r="O202" s="165">
        <v>338.404</v>
      </c>
      <c r="P202" s="165">
        <v>1933.01</v>
      </c>
      <c r="Q202" s="157">
        <v>31</v>
      </c>
      <c r="R202" s="109" t="s">
        <v>244</v>
      </c>
      <c r="S202" s="141">
        <v>2161081.48</v>
      </c>
      <c r="T202" s="110">
        <v>272131.34999999998</v>
      </c>
      <c r="U202" s="141"/>
      <c r="V202" s="158">
        <f t="shared" si="129"/>
        <v>0</v>
      </c>
      <c r="W202" s="159">
        <v>45607.637499999997</v>
      </c>
      <c r="X202" s="159">
        <v>45613.762499999997</v>
      </c>
      <c r="Y202" s="160">
        <v>45680</v>
      </c>
      <c r="Z202" s="470"/>
      <c r="AA202" s="470"/>
      <c r="AB202" s="470"/>
      <c r="AC202" s="161">
        <f t="shared" si="130"/>
        <v>-45607.637499999997</v>
      </c>
      <c r="AD202" s="161">
        <f t="shared" si="154"/>
        <v>-45613.762499999997</v>
      </c>
      <c r="AE202" s="446">
        <f t="shared" si="155"/>
        <v>0</v>
      </c>
      <c r="AF202" s="160">
        <f t="shared" si="156"/>
        <v>45634.113482532746</v>
      </c>
      <c r="AG202" s="160">
        <f t="shared" si="157"/>
        <v>45644.973744541479</v>
      </c>
      <c r="AH202" s="159">
        <f t="shared" si="158"/>
        <v>45657.637499999997</v>
      </c>
      <c r="AI202" s="162">
        <f t="shared" si="131"/>
        <v>-1160.4609986111111</v>
      </c>
      <c r="AJ202" s="224">
        <f t="shared" si="159"/>
        <v>0</v>
      </c>
      <c r="AK202" s="225">
        <f t="shared" si="132"/>
        <v>50</v>
      </c>
      <c r="AL202" s="170">
        <f t="shared" si="133"/>
        <v>36</v>
      </c>
      <c r="AM202" s="170">
        <f t="shared" si="134"/>
        <v>29.475982532751093</v>
      </c>
      <c r="AN202" s="170">
        <f t="shared" si="135"/>
        <v>37.336244541484717</v>
      </c>
      <c r="AO202" s="226">
        <f t="shared" si="136"/>
        <v>26.475982532751093</v>
      </c>
      <c r="AP202" s="227">
        <v>60</v>
      </c>
      <c r="AQ202" s="228">
        <f t="shared" si="137"/>
        <v>57</v>
      </c>
      <c r="AR202" s="228">
        <f t="shared" si="138"/>
        <v>52</v>
      </c>
      <c r="AS202" s="229">
        <f t="shared" si="139"/>
        <v>60</v>
      </c>
      <c r="AT202" s="982">
        <f t="shared" ca="1" si="140"/>
        <v>45895</v>
      </c>
      <c r="AU202" s="50"/>
      <c r="AV202" s="118"/>
      <c r="AW202" s="49"/>
      <c r="AX202" s="49"/>
      <c r="AY202" s="49"/>
      <c r="AZ202" s="300"/>
      <c r="BA202" s="119"/>
      <c r="BB202" s="304"/>
      <c r="BC202" s="231"/>
      <c r="BD202" s="232"/>
      <c r="BE202" s="222">
        <f t="shared" si="119"/>
        <v>15</v>
      </c>
      <c r="BF202" s="233">
        <f t="shared" si="127"/>
        <v>0</v>
      </c>
      <c r="BG202" s="248"/>
      <c r="BH202" s="235"/>
      <c r="BI202" s="234"/>
      <c r="BJ202" s="236"/>
      <c r="BK202" s="222"/>
      <c r="BL202" s="222"/>
      <c r="BM202" s="238"/>
      <c r="BN202" s="222"/>
      <c r="BO202" s="222"/>
      <c r="BP202" s="243"/>
      <c r="BQ202" s="244" t="s">
        <v>247</v>
      </c>
      <c r="BR202" s="238"/>
      <c r="BS202" s="67"/>
      <c r="BT202" s="66"/>
      <c r="BU202" s="66"/>
      <c r="BV202" s="66"/>
      <c r="BW202" s="74"/>
      <c r="BX202" s="81"/>
      <c r="BY202" s="66">
        <v>45616</v>
      </c>
      <c r="BZ202" s="944" t="s">
        <v>1443</v>
      </c>
      <c r="CA202" s="42" t="str">
        <f t="shared" si="141"/>
        <v>0</v>
      </c>
      <c r="CB202" s="62">
        <f t="shared" si="142"/>
        <v>-45607.637499999997</v>
      </c>
      <c r="CC202" s="42">
        <f t="shared" si="143"/>
        <v>0</v>
      </c>
      <c r="CD202" s="62">
        <f t="shared" si="144"/>
        <v>-45607.637499999997</v>
      </c>
      <c r="CE202" s="62">
        <f t="shared" si="145"/>
        <v>-1160.4609986111111</v>
      </c>
      <c r="CF202" s="145" t="str">
        <f t="shared" si="146"/>
        <v>0</v>
      </c>
      <c r="CG202" s="145"/>
      <c r="CH202" s="443">
        <f t="shared" si="147"/>
        <v>6.6502236111111852</v>
      </c>
      <c r="CI202" s="996">
        <f t="shared" si="148"/>
        <v>6.6502236111111852</v>
      </c>
      <c r="CJ202" s="261">
        <f t="shared" si="149"/>
        <v>0</v>
      </c>
      <c r="CK202" s="458">
        <f t="shared" si="150"/>
        <v>248.36250000000291</v>
      </c>
      <c r="CL202" t="str">
        <f t="shared" si="151"/>
        <v>REV</v>
      </c>
      <c r="CM202" t="str">
        <f t="shared" si="152"/>
        <v>7-9 MONTHS</v>
      </c>
      <c r="CN202" s="635"/>
      <c r="CO202" s="631"/>
      <c r="CP202" s="629" t="str">
        <f t="shared" si="128"/>
        <v>FOR ISSUANCE</v>
      </c>
      <c r="CQ202" s="635"/>
      <c r="CR202" s="697"/>
      <c r="CS202" s="633" t="str">
        <f t="shared" ca="1" si="153"/>
        <v>0</v>
      </c>
      <c r="CT202" s="635"/>
      <c r="CU202" s="631"/>
      <c r="CV202" s="638"/>
      <c r="CW202" s="156" t="s">
        <v>1444</v>
      </c>
      <c r="CX202" s="156" t="str">
        <f>VLOOKUP(E202,'[1]List of Work Orders'!$A:$I,9,FALSE)</f>
        <v>ME166067</v>
      </c>
      <c r="CY202" s="156"/>
      <c r="DC202" t="str">
        <f>VLOOKUP(E202,'[2]List of Work Orders'!$A:$F,6,FALSE)</f>
        <v>SCHED</v>
      </c>
      <c r="DS202" s="156" t="s">
        <v>403</v>
      </c>
    </row>
    <row r="203" spans="1:123" customFormat="1" ht="15" customHeight="1" x14ac:dyDescent="0.25">
      <c r="A203" s="242">
        <v>45617</v>
      </c>
      <c r="B203" s="222"/>
      <c r="C203" s="223"/>
      <c r="D203" s="66" t="s">
        <v>320</v>
      </c>
      <c r="E203" s="404" t="s">
        <v>1445</v>
      </c>
      <c r="F203" s="95" t="s">
        <v>1446</v>
      </c>
      <c r="G203" s="95" t="s">
        <v>1447</v>
      </c>
      <c r="H203" s="95" t="s">
        <v>253</v>
      </c>
      <c r="I203" s="95" t="s">
        <v>254</v>
      </c>
      <c r="J203" s="163"/>
      <c r="K203" s="101" t="s">
        <v>271</v>
      </c>
      <c r="L203" s="101" t="s">
        <v>312</v>
      </c>
      <c r="M203" s="345" t="s">
        <v>272</v>
      </c>
      <c r="N203" s="442" t="s">
        <v>1178</v>
      </c>
      <c r="O203" s="165">
        <v>269.6164</v>
      </c>
      <c r="P203" s="933">
        <v>269.62</v>
      </c>
      <c r="Q203" s="157">
        <v>32</v>
      </c>
      <c r="R203" s="109" t="s">
        <v>244</v>
      </c>
      <c r="S203" s="141">
        <v>1088892.82</v>
      </c>
      <c r="T203" s="110">
        <v>217116.56</v>
      </c>
      <c r="U203" s="141"/>
      <c r="V203" s="158">
        <f t="shared" si="129"/>
        <v>0</v>
      </c>
      <c r="W203" s="159">
        <v>45607.669444444444</v>
      </c>
      <c r="X203" s="159">
        <v>45613.757638888892</v>
      </c>
      <c r="Y203" s="160">
        <v>45610</v>
      </c>
      <c r="Z203" s="470"/>
      <c r="AA203" s="470">
        <v>45808</v>
      </c>
      <c r="AB203" s="470"/>
      <c r="AC203" s="161">
        <f t="shared" si="130"/>
        <v>200.3305555555562</v>
      </c>
      <c r="AD203" s="161">
        <f t="shared" si="154"/>
        <v>194.24236111110804</v>
      </c>
      <c r="AE203" s="446">
        <f t="shared" si="155"/>
        <v>-45808</v>
      </c>
      <c r="AF203" s="160">
        <f t="shared" si="156"/>
        <v>45629.537865497077</v>
      </c>
      <c r="AG203" s="160">
        <f t="shared" si="157"/>
        <v>45639.169444444444</v>
      </c>
      <c r="AH203" s="159">
        <f t="shared" si="158"/>
        <v>45657.669444444444</v>
      </c>
      <c r="AI203" s="162">
        <f t="shared" si="131"/>
        <v>6.0417151675485199</v>
      </c>
      <c r="AJ203" s="224">
        <f t="shared" si="159"/>
        <v>-763.4666666666667</v>
      </c>
      <c r="AK203" s="225">
        <f t="shared" si="132"/>
        <v>28</v>
      </c>
      <c r="AL203" s="170">
        <f t="shared" si="133"/>
        <v>36</v>
      </c>
      <c r="AM203" s="170">
        <f t="shared" si="134"/>
        <v>24.868421052631579</v>
      </c>
      <c r="AN203" s="170">
        <f t="shared" si="135"/>
        <v>31.499999999999996</v>
      </c>
      <c r="AO203" s="226">
        <f t="shared" si="136"/>
        <v>21.868421052631579</v>
      </c>
      <c r="AP203" s="227">
        <v>60</v>
      </c>
      <c r="AQ203" s="228">
        <f t="shared" si="137"/>
        <v>57</v>
      </c>
      <c r="AR203" s="228">
        <f t="shared" si="138"/>
        <v>52</v>
      </c>
      <c r="AS203" s="229">
        <f t="shared" si="139"/>
        <v>45868</v>
      </c>
      <c r="AT203" s="982">
        <f t="shared" ca="1" si="140"/>
        <v>87</v>
      </c>
      <c r="AU203" s="50"/>
      <c r="AV203" s="118"/>
      <c r="AW203" s="49"/>
      <c r="AX203" s="49"/>
      <c r="AY203" s="49"/>
      <c r="AZ203" s="300"/>
      <c r="BA203" s="119"/>
      <c r="BB203" s="304"/>
      <c r="BC203" s="231" t="s">
        <v>1448</v>
      </c>
      <c r="BD203" s="232"/>
      <c r="BE203" s="222">
        <f t="shared" si="119"/>
        <v>45823</v>
      </c>
      <c r="BF203" s="233" t="e">
        <f t="shared" si="127"/>
        <v>#VALUE!</v>
      </c>
      <c r="BG203" s="248"/>
      <c r="BH203" s="235"/>
      <c r="BI203" s="234"/>
      <c r="BJ203" s="236"/>
      <c r="BK203" s="222"/>
      <c r="BL203" s="222"/>
      <c r="BM203" s="238"/>
      <c r="BN203" s="222"/>
      <c r="BO203" s="222"/>
      <c r="BP203" s="243"/>
      <c r="BQ203" s="244" t="s">
        <v>247</v>
      </c>
      <c r="BR203" s="238"/>
      <c r="BS203" s="67"/>
      <c r="BT203" s="66"/>
      <c r="BU203" s="66"/>
      <c r="BV203" s="66"/>
      <c r="BW203" s="74"/>
      <c r="BX203" s="81"/>
      <c r="BY203" s="66">
        <v>45623</v>
      </c>
      <c r="BZ203" s="944" t="s">
        <v>1449</v>
      </c>
      <c r="CA203" s="42" t="str">
        <f t="shared" si="141"/>
        <v>0</v>
      </c>
      <c r="CB203" s="62">
        <f t="shared" si="142"/>
        <v>200.3305555555562</v>
      </c>
      <c r="CC203" s="42">
        <f t="shared" si="143"/>
        <v>0</v>
      </c>
      <c r="CD203" s="62">
        <f t="shared" si="144"/>
        <v>200.3305555555562</v>
      </c>
      <c r="CE203" s="62">
        <f t="shared" si="145"/>
        <v>6.0417151675485199</v>
      </c>
      <c r="CF203" s="145">
        <f t="shared" si="146"/>
        <v>61</v>
      </c>
      <c r="CG203" s="145"/>
      <c r="CH203" s="443">
        <f t="shared" si="147"/>
        <v>7.8813977072310593</v>
      </c>
      <c r="CI203" s="996">
        <f t="shared" si="148"/>
        <v>7.8813977072310593</v>
      </c>
      <c r="CJ203" s="261">
        <f t="shared" si="149"/>
        <v>1.0166666666666666</v>
      </c>
      <c r="CK203" s="458" t="str">
        <f t="shared" si="150"/>
        <v/>
      </c>
      <c r="CL203" t="str">
        <f t="shared" si="151"/>
        <v>REV</v>
      </c>
      <c r="CM203" t="str">
        <f t="shared" si="152"/>
        <v/>
      </c>
      <c r="CN203" s="635"/>
      <c r="CO203" s="631"/>
      <c r="CP203" s="629" t="str">
        <f t="shared" si="128"/>
        <v>FOR ISSUANCE</v>
      </c>
      <c r="CQ203" s="635"/>
      <c r="CR203" s="697"/>
      <c r="CS203" s="633" t="str">
        <f t="shared" ca="1" si="153"/>
        <v>0</v>
      </c>
      <c r="CT203" s="635"/>
      <c r="CU203" s="631"/>
      <c r="CV203" s="638"/>
      <c r="CW203" s="156" t="s">
        <v>1450</v>
      </c>
      <c r="CX203" s="156" t="str">
        <f>VLOOKUP(E203,'[1]List of Work Orders'!$A:$I,9,FALSE)</f>
        <v>ME184184</v>
      </c>
      <c r="CY203" s="156"/>
      <c r="DC203" t="str">
        <f>VLOOKUP(E203,'[2]List of Work Orders'!$A:$F,6,FALSE)</f>
        <v>SCHED</v>
      </c>
      <c r="DS203" s="156" t="s">
        <v>381</v>
      </c>
    </row>
    <row r="204" spans="1:123" customFormat="1" ht="15" customHeight="1" x14ac:dyDescent="0.25">
      <c r="A204" s="242">
        <v>45615</v>
      </c>
      <c r="B204" s="222"/>
      <c r="C204" s="223"/>
      <c r="D204" s="66" t="s">
        <v>234</v>
      </c>
      <c r="E204" s="404" t="s">
        <v>1451</v>
      </c>
      <c r="F204" s="95" t="s">
        <v>1452</v>
      </c>
      <c r="G204" s="95" t="s">
        <v>1453</v>
      </c>
      <c r="H204" s="95" t="s">
        <v>378</v>
      </c>
      <c r="I204" s="95" t="s">
        <v>239</v>
      </c>
      <c r="J204" s="163"/>
      <c r="K204" s="101"/>
      <c r="L204" s="101" t="s">
        <v>288</v>
      </c>
      <c r="M204" s="345" t="s">
        <v>272</v>
      </c>
      <c r="N204" s="442" t="s">
        <v>381</v>
      </c>
      <c r="O204" s="165">
        <v>165.60740000000001</v>
      </c>
      <c r="P204" s="933">
        <v>141.68</v>
      </c>
      <c r="Q204" s="157">
        <v>0</v>
      </c>
      <c r="R204" s="109" t="s">
        <v>319</v>
      </c>
      <c r="S204" s="141">
        <v>135321.43</v>
      </c>
      <c r="T204" s="110">
        <v>133359.74</v>
      </c>
      <c r="U204" s="141"/>
      <c r="V204" s="158">
        <f t="shared" si="129"/>
        <v>0</v>
      </c>
      <c r="W204" s="159">
        <v>45607.675000000003</v>
      </c>
      <c r="X204" s="159">
        <v>45613.761111111111</v>
      </c>
      <c r="Y204" s="160">
        <v>45611</v>
      </c>
      <c r="Z204" s="470"/>
      <c r="AA204" s="470">
        <v>45688</v>
      </c>
      <c r="AB204" s="470"/>
      <c r="AC204" s="161">
        <f t="shared" si="130"/>
        <v>80.32499999999709</v>
      </c>
      <c r="AD204" s="161">
        <f t="shared" si="154"/>
        <v>74.238888888889051</v>
      </c>
      <c r="AE204" s="446">
        <f t="shared" si="155"/>
        <v>-45688</v>
      </c>
      <c r="AF204" s="160">
        <f t="shared" si="156"/>
        <v>45628.881896551728</v>
      </c>
      <c r="AG204" s="160">
        <f t="shared" si="157"/>
        <v>45638.33706896552</v>
      </c>
      <c r="AH204" s="159">
        <f t="shared" si="158"/>
        <v>45657.675000000003</v>
      </c>
      <c r="AI204" s="162">
        <f t="shared" si="131"/>
        <v>2.488701923076833</v>
      </c>
      <c r="AJ204" s="224">
        <f t="shared" si="159"/>
        <v>-761.4666666666667</v>
      </c>
      <c r="AK204" s="225">
        <f t="shared" si="132"/>
        <v>26</v>
      </c>
      <c r="AL204" s="170">
        <f t="shared" si="133"/>
        <v>36</v>
      </c>
      <c r="AM204" s="170">
        <f t="shared" si="134"/>
        <v>24.206896551724139</v>
      </c>
      <c r="AN204" s="170">
        <f t="shared" si="135"/>
        <v>30.662068965517239</v>
      </c>
      <c r="AO204" s="226">
        <f t="shared" si="136"/>
        <v>21.206896551724139</v>
      </c>
      <c r="AP204" s="227">
        <v>60</v>
      </c>
      <c r="AQ204" s="228">
        <f t="shared" si="137"/>
        <v>57</v>
      </c>
      <c r="AR204" s="228">
        <f t="shared" si="138"/>
        <v>52</v>
      </c>
      <c r="AS204" s="229">
        <f t="shared" si="139"/>
        <v>45748</v>
      </c>
      <c r="AT204" s="982">
        <f t="shared" ca="1" si="140"/>
        <v>207</v>
      </c>
      <c r="AU204" s="50"/>
      <c r="AV204" s="118"/>
      <c r="AW204" s="49"/>
      <c r="AX204" s="49"/>
      <c r="AY204" s="49"/>
      <c r="AZ204" s="300"/>
      <c r="BA204" s="119"/>
      <c r="BB204" s="304"/>
      <c r="BC204" s="231" t="s">
        <v>581</v>
      </c>
      <c r="BD204" s="232"/>
      <c r="BE204" s="222">
        <f t="shared" si="119"/>
        <v>45703</v>
      </c>
      <c r="BF204" s="233">
        <f t="shared" si="127"/>
        <v>6</v>
      </c>
      <c r="BG204" s="248">
        <v>45617</v>
      </c>
      <c r="BH204" s="235">
        <v>45709</v>
      </c>
      <c r="BI204" s="234">
        <v>45770</v>
      </c>
      <c r="BJ204" s="236" t="s">
        <v>245</v>
      </c>
      <c r="BK204" s="222" t="s">
        <v>246</v>
      </c>
      <c r="BL204" s="222"/>
      <c r="BM204" s="238"/>
      <c r="BN204" s="222"/>
      <c r="BO204" s="222">
        <v>45817</v>
      </c>
      <c r="BP204" s="243" t="s">
        <v>1084</v>
      </c>
      <c r="BQ204" s="244" t="s">
        <v>247</v>
      </c>
      <c r="BR204" s="238">
        <v>45616</v>
      </c>
      <c r="BS204" s="67"/>
      <c r="BT204" s="66"/>
      <c r="BU204" s="66"/>
      <c r="BV204" s="66"/>
      <c r="BW204" s="74"/>
      <c r="BX204" s="81"/>
      <c r="BY204" s="66" t="s">
        <v>308</v>
      </c>
      <c r="BZ204" s="944" t="s">
        <v>1454</v>
      </c>
      <c r="CA204" s="42" t="str">
        <f t="shared" si="141"/>
        <v>0</v>
      </c>
      <c r="CB204" s="62">
        <f t="shared" si="142"/>
        <v>80.32499999999709</v>
      </c>
      <c r="CC204" s="42">
        <f t="shared" si="143"/>
        <v>0</v>
      </c>
      <c r="CD204" s="62">
        <f t="shared" si="144"/>
        <v>80.32499999999709</v>
      </c>
      <c r="CE204" s="62">
        <f t="shared" si="145"/>
        <v>2.488701923076833</v>
      </c>
      <c r="CF204" s="145">
        <f t="shared" si="146"/>
        <v>181</v>
      </c>
      <c r="CG204" s="145"/>
      <c r="CH204" s="443">
        <f t="shared" si="147"/>
        <v>8.0966079059828147</v>
      </c>
      <c r="CI204" s="996">
        <f t="shared" si="148"/>
        <v>8.0966079059828147</v>
      </c>
      <c r="CJ204" s="261">
        <f t="shared" si="149"/>
        <v>3.0166666666666666</v>
      </c>
      <c r="CK204" s="458" t="str">
        <f t="shared" si="150"/>
        <v/>
      </c>
      <c r="CL204" t="str">
        <f t="shared" si="151"/>
        <v>NON-REV</v>
      </c>
      <c r="CM204" t="str">
        <f t="shared" si="152"/>
        <v/>
      </c>
      <c r="CN204" s="635"/>
      <c r="CO204" s="631"/>
      <c r="CP204" s="629" t="str">
        <f t="shared" si="128"/>
        <v>FOR ISSUANCE</v>
      </c>
      <c r="CQ204" s="635"/>
      <c r="CR204" s="697"/>
      <c r="CS204" s="633" t="str">
        <f t="shared" ca="1" si="153"/>
        <v>0</v>
      </c>
      <c r="CT204" s="635"/>
      <c r="CU204" s="631"/>
      <c r="CV204" s="638"/>
      <c r="CW204" s="156" t="s">
        <v>1455</v>
      </c>
      <c r="CX204" s="156" t="str">
        <f>VLOOKUP(E204,'[1]List of Work Orders'!$A:$I,9,FALSE)</f>
        <v>ME185284</v>
      </c>
      <c r="CY204" s="156"/>
      <c r="DC204" t="str">
        <f>VLOOKUP(E204,'[2]List of Work Orders'!$A:$F,6,FALSE)</f>
        <v>FCOMP</v>
      </c>
      <c r="DS204" s="156" t="s">
        <v>403</v>
      </c>
    </row>
    <row r="205" spans="1:123" customFormat="1" ht="15" customHeight="1" x14ac:dyDescent="0.25">
      <c r="A205" s="242">
        <v>45618</v>
      </c>
      <c r="B205" s="222"/>
      <c r="C205" s="223"/>
      <c r="D205" s="66" t="s">
        <v>234</v>
      </c>
      <c r="E205" s="404" t="s">
        <v>1456</v>
      </c>
      <c r="F205" s="95" t="s">
        <v>1457</v>
      </c>
      <c r="G205" s="95" t="s">
        <v>1458</v>
      </c>
      <c r="H205" s="95" t="s">
        <v>238</v>
      </c>
      <c r="I205" s="95" t="s">
        <v>239</v>
      </c>
      <c r="J205" s="163" t="s">
        <v>1459</v>
      </c>
      <c r="K205" s="101" t="s">
        <v>299</v>
      </c>
      <c r="L205" s="101" t="s">
        <v>263</v>
      </c>
      <c r="M205" s="345" t="s">
        <v>256</v>
      </c>
      <c r="N205" s="442" t="s">
        <v>467</v>
      </c>
      <c r="O205" s="165">
        <v>264.79059999999998</v>
      </c>
      <c r="P205" s="933">
        <v>465.25</v>
      </c>
      <c r="Q205" s="157">
        <v>97</v>
      </c>
      <c r="R205" s="109" t="s">
        <v>244</v>
      </c>
      <c r="S205" s="141">
        <v>2640728.35</v>
      </c>
      <c r="T205" s="110">
        <v>213253.55</v>
      </c>
      <c r="U205" s="141"/>
      <c r="V205" s="158">
        <f t="shared" si="129"/>
        <v>0</v>
      </c>
      <c r="W205" s="159">
        <v>45608.601388888892</v>
      </c>
      <c r="X205" s="159">
        <v>45616.393750000003</v>
      </c>
      <c r="Y205" s="160">
        <v>45610</v>
      </c>
      <c r="Z205" s="470"/>
      <c r="AA205" s="470">
        <v>45688</v>
      </c>
      <c r="AB205" s="470">
        <v>45832</v>
      </c>
      <c r="AC205" s="161">
        <f t="shared" si="130"/>
        <v>79.398611111108039</v>
      </c>
      <c r="AD205" s="161">
        <f t="shared" si="154"/>
        <v>71.60624999999709</v>
      </c>
      <c r="AE205" s="446">
        <f t="shared" si="155"/>
        <v>144</v>
      </c>
      <c r="AF205" s="160">
        <f t="shared" si="156"/>
        <v>45630.632063735517</v>
      </c>
      <c r="AG205" s="160">
        <f t="shared" si="157"/>
        <v>45640.306910361287</v>
      </c>
      <c r="AH205" s="159">
        <f t="shared" si="158"/>
        <v>45658.601388888892</v>
      </c>
      <c r="AI205" s="162">
        <f t="shared" si="131"/>
        <v>2.3790392667482738</v>
      </c>
      <c r="AJ205" s="224">
        <f t="shared" si="159"/>
        <v>2.4</v>
      </c>
      <c r="AK205" s="225">
        <f t="shared" si="132"/>
        <v>32</v>
      </c>
      <c r="AL205" s="170">
        <f t="shared" si="133"/>
        <v>34</v>
      </c>
      <c r="AM205" s="170">
        <f t="shared" si="134"/>
        <v>25.030674846625768</v>
      </c>
      <c r="AN205" s="170">
        <f t="shared" si="135"/>
        <v>31.70552147239264</v>
      </c>
      <c r="AO205" s="226">
        <f t="shared" si="136"/>
        <v>22.030674846625768</v>
      </c>
      <c r="AP205" s="227">
        <v>60</v>
      </c>
      <c r="AQ205" s="228">
        <f t="shared" si="137"/>
        <v>57</v>
      </c>
      <c r="AR205" s="228">
        <f t="shared" si="138"/>
        <v>52</v>
      </c>
      <c r="AS205" s="229">
        <f t="shared" si="139"/>
        <v>45748</v>
      </c>
      <c r="AT205" s="982">
        <f t="shared" ca="1" si="140"/>
        <v>207</v>
      </c>
      <c r="AU205" s="50"/>
      <c r="AV205" s="1043"/>
      <c r="AW205" s="49"/>
      <c r="AX205" s="49"/>
      <c r="AY205" s="49"/>
      <c r="AZ205" s="300"/>
      <c r="BA205" s="119"/>
      <c r="BB205" s="304">
        <v>45688</v>
      </c>
      <c r="BC205" s="231" t="s">
        <v>14</v>
      </c>
      <c r="BD205" s="232"/>
      <c r="BE205" s="222">
        <f t="shared" si="119"/>
        <v>45703</v>
      </c>
      <c r="BF205" s="233">
        <f t="shared" si="127"/>
        <v>-15</v>
      </c>
      <c r="BG205" s="248">
        <v>45783</v>
      </c>
      <c r="BH205" s="235">
        <v>45688</v>
      </c>
      <c r="BI205" s="234">
        <v>45824</v>
      </c>
      <c r="BJ205" s="236" t="s">
        <v>245</v>
      </c>
      <c r="BK205" s="222" t="s">
        <v>247</v>
      </c>
      <c r="BL205" s="222"/>
      <c r="BM205" s="238">
        <v>45825</v>
      </c>
      <c r="BN205" s="222">
        <v>45825</v>
      </c>
      <c r="BO205" s="222">
        <v>45828</v>
      </c>
      <c r="BP205" s="243" t="s">
        <v>1084</v>
      </c>
      <c r="BQ205" s="244" t="s">
        <v>247</v>
      </c>
      <c r="BR205" s="238"/>
      <c r="BS205" s="67"/>
      <c r="BT205" s="66"/>
      <c r="BU205" s="66"/>
      <c r="BV205" s="66"/>
      <c r="BW205" s="74"/>
      <c r="BX205" s="81"/>
      <c r="BY205" s="66">
        <v>45623</v>
      </c>
      <c r="BZ205" s="944" t="s">
        <v>1460</v>
      </c>
      <c r="CA205" s="42" t="str">
        <f t="shared" si="141"/>
        <v>0</v>
      </c>
      <c r="CB205" s="62">
        <f t="shared" si="142"/>
        <v>79.398611111108039</v>
      </c>
      <c r="CC205" s="42">
        <f t="shared" si="143"/>
        <v>0</v>
      </c>
      <c r="CD205" s="62">
        <f t="shared" si="144"/>
        <v>79.398611111108039</v>
      </c>
      <c r="CE205" s="62">
        <f t="shared" si="145"/>
        <v>2.3790392667482738</v>
      </c>
      <c r="CF205" s="145">
        <f t="shared" si="146"/>
        <v>181</v>
      </c>
      <c r="CG205" s="145"/>
      <c r="CH205" s="443">
        <f t="shared" si="147"/>
        <v>7.8023848549835684</v>
      </c>
      <c r="CI205" s="996">
        <f t="shared" si="148"/>
        <v>7.8023848549835684</v>
      </c>
      <c r="CJ205" s="261">
        <f t="shared" si="149"/>
        <v>3.0166666666666666</v>
      </c>
      <c r="CK205" s="458" t="str">
        <f t="shared" si="150"/>
        <v/>
      </c>
      <c r="CL205" t="str">
        <f t="shared" si="151"/>
        <v>REV</v>
      </c>
      <c r="CM205" t="str">
        <f t="shared" si="152"/>
        <v/>
      </c>
      <c r="CN205" s="635"/>
      <c r="CO205" s="631"/>
      <c r="CP205" s="629" t="str">
        <f t="shared" si="128"/>
        <v>FOR ISSUANCE</v>
      </c>
      <c r="CQ205" s="635"/>
      <c r="CR205" s="697"/>
      <c r="CS205" s="633" t="str">
        <f t="shared" ca="1" si="153"/>
        <v>0</v>
      </c>
      <c r="CT205" s="635"/>
      <c r="CU205" s="631"/>
      <c r="CV205" s="638"/>
      <c r="CW205" s="156" t="s">
        <v>1461</v>
      </c>
      <c r="CX205" s="156" t="str">
        <f>VLOOKUP(E205,'[1]List of Work Orders'!$A:$I,9,FALSE)</f>
        <v>ME155242</v>
      </c>
      <c r="CY205" s="156"/>
      <c r="DC205" t="str">
        <f>VLOOKUP(E205,'[2]List of Work Orders'!$A:$F,6,FALSE)</f>
        <v>FCOMP</v>
      </c>
      <c r="DS205" s="156" t="s">
        <v>397</v>
      </c>
    </row>
    <row r="206" spans="1:123" customFormat="1" ht="15" customHeight="1" x14ac:dyDescent="0.25">
      <c r="A206" s="242">
        <v>45618</v>
      </c>
      <c r="B206" s="222"/>
      <c r="C206" s="223"/>
      <c r="D206" s="66" t="s">
        <v>320</v>
      </c>
      <c r="E206" s="404" t="s">
        <v>1462</v>
      </c>
      <c r="F206" s="95" t="s">
        <v>1463</v>
      </c>
      <c r="G206" s="95" t="s">
        <v>1464</v>
      </c>
      <c r="H206" s="95" t="s">
        <v>269</v>
      </c>
      <c r="I206" s="95" t="s">
        <v>239</v>
      </c>
      <c r="J206" s="163"/>
      <c r="K206" s="101"/>
      <c r="L206" s="101" t="s">
        <v>242</v>
      </c>
      <c r="M206" s="345" t="s">
        <v>534</v>
      </c>
      <c r="N206" s="442" t="s">
        <v>467</v>
      </c>
      <c r="O206" s="165">
        <v>144.1848</v>
      </c>
      <c r="P206" s="165" t="e">
        <v>#N/A</v>
      </c>
      <c r="Q206" s="157">
        <v>0</v>
      </c>
      <c r="R206" s="109" t="s">
        <v>327</v>
      </c>
      <c r="S206" s="141">
        <v>345112.37</v>
      </c>
      <c r="T206" s="110">
        <v>116117.1</v>
      </c>
      <c r="U206" s="141"/>
      <c r="V206" s="158">
        <f t="shared" si="129"/>
        <v>0</v>
      </c>
      <c r="W206" s="159">
        <v>45608.688888888886</v>
      </c>
      <c r="X206" s="159">
        <v>45616.396527777775</v>
      </c>
      <c r="Y206" s="160">
        <v>45617</v>
      </c>
      <c r="Z206" s="470"/>
      <c r="AA206" s="470" t="s">
        <v>534</v>
      </c>
      <c r="AB206" s="470"/>
      <c r="AC206" s="161" t="e">
        <f t="shared" si="130"/>
        <v>#VALUE!</v>
      </c>
      <c r="AD206" s="161" t="e">
        <f t="shared" si="154"/>
        <v>#VALUE!</v>
      </c>
      <c r="AE206" s="446" t="e">
        <f t="shared" si="155"/>
        <v>#VALUE!</v>
      </c>
      <c r="AF206" s="160" t="e">
        <f t="shared" si="156"/>
        <v>#N/A</v>
      </c>
      <c r="AG206" s="160" t="e">
        <f t="shared" si="157"/>
        <v>#N/A</v>
      </c>
      <c r="AH206" s="159">
        <f t="shared" si="158"/>
        <v>45658.688888888886</v>
      </c>
      <c r="AI206" s="162" t="e">
        <f t="shared" si="131"/>
        <v>#VALUE!</v>
      </c>
      <c r="AJ206" s="224" t="e">
        <f t="shared" si="159"/>
        <v>#VALUE!</v>
      </c>
      <c r="AK206" s="225" t="e">
        <f t="shared" si="132"/>
        <v>#N/A</v>
      </c>
      <c r="AL206" s="170">
        <f t="shared" si="133"/>
        <v>36</v>
      </c>
      <c r="AM206" s="170" t="e">
        <f t="shared" si="134"/>
        <v>#N/A</v>
      </c>
      <c r="AN206" s="170" t="e">
        <f t="shared" si="135"/>
        <v>#N/A</v>
      </c>
      <c r="AO206" s="226" t="e">
        <f t="shared" si="136"/>
        <v>#N/A</v>
      </c>
      <c r="AP206" s="227">
        <v>60</v>
      </c>
      <c r="AQ206" s="228">
        <f t="shared" si="137"/>
        <v>57</v>
      </c>
      <c r="AR206" s="228">
        <f t="shared" si="138"/>
        <v>52</v>
      </c>
      <c r="AS206" s="229" t="e">
        <f t="shared" si="139"/>
        <v>#VALUE!</v>
      </c>
      <c r="AT206" s="982" t="str">
        <f t="shared" ca="1" si="140"/>
        <v/>
      </c>
      <c r="AU206" s="50"/>
      <c r="AV206" s="118"/>
      <c r="AW206" s="49"/>
      <c r="AX206" s="49"/>
      <c r="AY206" s="49"/>
      <c r="AZ206" s="300"/>
      <c r="BA206" s="119"/>
      <c r="BB206" s="304"/>
      <c r="BC206" s="231"/>
      <c r="BD206" s="232"/>
      <c r="BE206" s="222" t="e">
        <f t="shared" si="119"/>
        <v>#VALUE!</v>
      </c>
      <c r="BF206" s="233" t="e">
        <f t="shared" si="127"/>
        <v>#VALUE!</v>
      </c>
      <c r="BG206" s="248"/>
      <c r="BH206" s="235"/>
      <c r="BI206" s="234"/>
      <c r="BJ206" s="236"/>
      <c r="BK206" s="222"/>
      <c r="BL206" s="222"/>
      <c r="BM206" s="238"/>
      <c r="BN206" s="222"/>
      <c r="BO206" s="222"/>
      <c r="BP206" s="243"/>
      <c r="BQ206" s="244" t="s">
        <v>247</v>
      </c>
      <c r="BR206" s="238"/>
      <c r="BS206" s="67"/>
      <c r="BT206" s="66"/>
      <c r="BU206" s="66"/>
      <c r="BV206" s="66"/>
      <c r="BW206" s="74"/>
      <c r="BX206" s="81"/>
      <c r="BY206" s="66">
        <v>45623</v>
      </c>
      <c r="BZ206" s="944" t="s">
        <v>1465</v>
      </c>
      <c r="CA206" s="42" t="str">
        <f t="shared" si="141"/>
        <v>0</v>
      </c>
      <c r="CB206" s="62" t="e">
        <f t="shared" si="142"/>
        <v>#VALUE!</v>
      </c>
      <c r="CC206" s="42">
        <f t="shared" si="143"/>
        <v>0</v>
      </c>
      <c r="CD206" s="62" t="e">
        <f t="shared" si="144"/>
        <v>#VALUE!</v>
      </c>
      <c r="CE206" s="62" t="e">
        <f t="shared" si="145"/>
        <v>#VALUE!</v>
      </c>
      <c r="CF206" s="145" t="e">
        <f t="shared" si="146"/>
        <v>#VALUE!</v>
      </c>
      <c r="CG206" s="145"/>
      <c r="CH206" s="443" t="e">
        <f t="shared" si="147"/>
        <v>#N/A</v>
      </c>
      <c r="CI206" s="996" t="e">
        <f t="shared" si="148"/>
        <v>#N/A</v>
      </c>
      <c r="CJ206" s="261" t="e">
        <f t="shared" si="149"/>
        <v>#VALUE!</v>
      </c>
      <c r="CK206" s="458" t="str">
        <f t="shared" si="150"/>
        <v/>
      </c>
      <c r="CL206" t="str">
        <f t="shared" si="151"/>
        <v>NON-REV</v>
      </c>
      <c r="CM206" t="str">
        <f t="shared" si="152"/>
        <v/>
      </c>
      <c r="CN206" s="635"/>
      <c r="CO206" s="631"/>
      <c r="CP206" s="629" t="str">
        <f t="shared" si="128"/>
        <v>FOR ISSUANCE</v>
      </c>
      <c r="CQ206" s="635"/>
      <c r="CR206" s="697"/>
      <c r="CS206" s="633" t="str">
        <f t="shared" ca="1" si="153"/>
        <v>0</v>
      </c>
      <c r="CT206" s="635"/>
      <c r="CU206" s="631"/>
      <c r="CV206" s="638"/>
      <c r="CW206" s="156" t="s">
        <v>1466</v>
      </c>
      <c r="CX206" s="156" t="str">
        <f>VLOOKUP(E206,'[1]List of Work Orders'!$A:$I,9,FALSE)</f>
        <v>ME155242</v>
      </c>
      <c r="CY206" s="156"/>
      <c r="CZ206" s="63"/>
      <c r="DC206" t="str">
        <f>VLOOKUP(E206,'[2]List of Work Orders'!$A:$F,6,FALSE)</f>
        <v>SCHED</v>
      </c>
      <c r="DS206" s="156" t="s">
        <v>381</v>
      </c>
    </row>
    <row r="207" spans="1:123" ht="15" customHeight="1" x14ac:dyDescent="0.2">
      <c r="A207" s="242">
        <v>45637</v>
      </c>
      <c r="B207" s="222"/>
      <c r="C207" s="223"/>
      <c r="D207" s="66" t="s">
        <v>234</v>
      </c>
      <c r="E207" s="404" t="s">
        <v>1467</v>
      </c>
      <c r="F207" s="95" t="s">
        <v>1468</v>
      </c>
      <c r="G207" s="95" t="s">
        <v>1469</v>
      </c>
      <c r="H207" s="95" t="s">
        <v>318</v>
      </c>
      <c r="I207" s="95" t="s">
        <v>239</v>
      </c>
      <c r="J207" s="1134" t="s">
        <v>410</v>
      </c>
      <c r="K207" s="101"/>
      <c r="L207" s="101" t="s">
        <v>255</v>
      </c>
      <c r="M207" s="345" t="s">
        <v>331</v>
      </c>
      <c r="N207" s="442" t="s">
        <v>403</v>
      </c>
      <c r="O207" s="165">
        <v>123.4648</v>
      </c>
      <c r="P207" s="165">
        <v>123.46</v>
      </c>
      <c r="Q207" s="157">
        <v>0</v>
      </c>
      <c r="R207" s="109" t="s">
        <v>327</v>
      </c>
      <c r="S207" s="141">
        <v>248190.54</v>
      </c>
      <c r="T207" s="110">
        <v>99425.59</v>
      </c>
      <c r="U207" s="141"/>
      <c r="V207" s="158">
        <f t="shared" si="129"/>
        <v>0</v>
      </c>
      <c r="W207" s="159">
        <v>45608.713888888888</v>
      </c>
      <c r="X207" s="159">
        <v>45616.414583333331</v>
      </c>
      <c r="Y207" s="160">
        <v>45611</v>
      </c>
      <c r="Z207" s="470"/>
      <c r="AA207" s="470"/>
      <c r="AB207" s="470"/>
      <c r="AC207" s="161">
        <f t="shared" si="130"/>
        <v>-45608.713888888888</v>
      </c>
      <c r="AD207" s="161">
        <f t="shared" si="154"/>
        <v>-45616.414583333331</v>
      </c>
      <c r="AE207" s="446">
        <f t="shared" si="155"/>
        <v>0</v>
      </c>
      <c r="AF207" s="160">
        <f t="shared" si="156"/>
        <v>45629.920785440612</v>
      </c>
      <c r="AG207" s="160">
        <f t="shared" si="157"/>
        <v>45639.375957854405</v>
      </c>
      <c r="AH207" s="159">
        <f t="shared" si="158"/>
        <v>45658.713888888888</v>
      </c>
      <c r="AI207" s="162">
        <f t="shared" si="131"/>
        <v>-1413.0904944207027</v>
      </c>
      <c r="AJ207" s="224">
        <f t="shared" si="159"/>
        <v>0</v>
      </c>
      <c r="AK207" s="225">
        <f t="shared" si="132"/>
        <v>26</v>
      </c>
      <c r="AL207" s="170">
        <f t="shared" si="133"/>
        <v>36</v>
      </c>
      <c r="AM207" s="170">
        <f t="shared" si="134"/>
        <v>24.206896551724139</v>
      </c>
      <c r="AN207" s="170">
        <f t="shared" si="135"/>
        <v>30.662068965517239</v>
      </c>
      <c r="AO207" s="226">
        <f t="shared" si="136"/>
        <v>21.206896551724139</v>
      </c>
      <c r="AP207" s="227">
        <v>60</v>
      </c>
      <c r="AQ207" s="228">
        <f t="shared" si="137"/>
        <v>57</v>
      </c>
      <c r="AR207" s="228">
        <f t="shared" si="138"/>
        <v>52</v>
      </c>
      <c r="AS207" s="229">
        <f t="shared" si="139"/>
        <v>60</v>
      </c>
      <c r="AT207" s="982">
        <f t="shared" ca="1" si="140"/>
        <v>45895</v>
      </c>
      <c r="AU207" s="1077"/>
      <c r="AV207" s="1078"/>
      <c r="AW207" s="1079"/>
      <c r="AX207" s="1079"/>
      <c r="AY207" s="1079"/>
      <c r="AZ207" s="1080"/>
      <c r="BA207" s="1081"/>
      <c r="BB207" s="1091"/>
      <c r="BC207" s="231"/>
      <c r="BD207" s="232"/>
      <c r="BE207" s="222">
        <f t="shared" si="119"/>
        <v>15</v>
      </c>
      <c r="BF207" s="233">
        <f t="shared" si="127"/>
        <v>0</v>
      </c>
      <c r="BG207" s="248"/>
      <c r="BH207" s="235"/>
      <c r="BI207" s="234"/>
      <c r="BJ207" s="236"/>
      <c r="BK207" s="222"/>
      <c r="BL207" s="222"/>
      <c r="BM207" s="238"/>
      <c r="BN207" s="222"/>
      <c r="BO207" s="222"/>
      <c r="BP207" s="243"/>
      <c r="BQ207" s="244"/>
      <c r="BR207" s="238"/>
      <c r="BS207" s="67"/>
      <c r="BT207" s="66"/>
      <c r="BU207" s="66"/>
      <c r="BV207" s="66"/>
      <c r="BW207" s="74"/>
      <c r="BX207" s="81"/>
      <c r="BY207" s="66" t="s">
        <v>308</v>
      </c>
      <c r="BZ207" s="944" t="s">
        <v>1470</v>
      </c>
      <c r="CA207" s="42" t="str">
        <f t="shared" si="141"/>
        <v>0</v>
      </c>
      <c r="CB207" s="62">
        <f t="shared" si="142"/>
        <v>-45608.713888888888</v>
      </c>
      <c r="CC207" s="42">
        <f t="shared" si="143"/>
        <v>0</v>
      </c>
      <c r="CD207" s="62">
        <f t="shared" si="144"/>
        <v>-45608.713888888888</v>
      </c>
      <c r="CE207" s="62">
        <f t="shared" si="145"/>
        <v>-1413.0904944207027</v>
      </c>
      <c r="CF207" s="1059" t="str">
        <f t="shared" si="146"/>
        <v>0</v>
      </c>
      <c r="CH207" s="1082">
        <f t="shared" si="147"/>
        <v>8.0644201092118148</v>
      </c>
      <c r="CI207" s="1083">
        <f t="shared" si="148"/>
        <v>8.0644201092118148</v>
      </c>
      <c r="CJ207" s="1084">
        <f t="shared" si="149"/>
        <v>0</v>
      </c>
      <c r="CK207" s="1085">
        <f t="shared" si="150"/>
        <v>247.2861111111124</v>
      </c>
      <c r="CL207" s="1057" t="str">
        <f t="shared" si="151"/>
        <v>NON-REV</v>
      </c>
      <c r="CM207" s="1057" t="str">
        <f t="shared" si="152"/>
        <v>7-9 MONTHS</v>
      </c>
      <c r="CN207" s="1086"/>
      <c r="CO207" s="1087"/>
      <c r="CP207" s="629" t="str">
        <f t="shared" si="128"/>
        <v>FOR ISSUANCE</v>
      </c>
      <c r="CQ207" s="1086"/>
      <c r="CR207" s="1088"/>
      <c r="CS207" s="1089" t="str">
        <f t="shared" ca="1" si="153"/>
        <v>0</v>
      </c>
      <c r="CT207" s="1086"/>
      <c r="CU207" s="1087"/>
      <c r="CV207" s="1090"/>
      <c r="CW207" s="156" t="s">
        <v>1471</v>
      </c>
      <c r="CX207" s="156" t="str">
        <f>VLOOKUP(E207,'[1]List of Work Orders'!$A:$I,9,FALSE)</f>
        <v>ME185284</v>
      </c>
      <c r="CY207" s="156"/>
      <c r="DC207" s="1057" t="str">
        <f>VLOOKUP(E207,'[2]List of Work Orders'!$A:$F,6,FALSE)</f>
        <v>SCHED</v>
      </c>
      <c r="DS207" s="156" t="s">
        <v>397</v>
      </c>
    </row>
    <row r="208" spans="1:123" customFormat="1" ht="15" customHeight="1" x14ac:dyDescent="0.25">
      <c r="A208" s="242">
        <v>45618</v>
      </c>
      <c r="B208" s="222"/>
      <c r="C208" s="223"/>
      <c r="D208" s="66" t="s">
        <v>234</v>
      </c>
      <c r="E208" s="404" t="s">
        <v>1472</v>
      </c>
      <c r="F208" s="95" t="s">
        <v>926</v>
      </c>
      <c r="G208" s="95" t="s">
        <v>1473</v>
      </c>
      <c r="H208" s="95" t="s">
        <v>378</v>
      </c>
      <c r="I208" s="95" t="s">
        <v>239</v>
      </c>
      <c r="J208" s="168" t="s">
        <v>1474</v>
      </c>
      <c r="K208" s="101" t="s">
        <v>271</v>
      </c>
      <c r="L208" s="101" t="s">
        <v>288</v>
      </c>
      <c r="M208" s="345" t="s">
        <v>1475</v>
      </c>
      <c r="N208" s="442" t="s">
        <v>381</v>
      </c>
      <c r="O208" s="165">
        <v>143.62180000000001</v>
      </c>
      <c r="P208" s="165" t="e">
        <v>#N/A</v>
      </c>
      <c r="Q208" s="157">
        <v>31</v>
      </c>
      <c r="R208" s="109" t="s">
        <v>244</v>
      </c>
      <c r="S208" s="141">
        <v>754908.68</v>
      </c>
      <c r="T208" s="110">
        <v>115655.3</v>
      </c>
      <c r="U208" s="141"/>
      <c r="V208" s="158">
        <f t="shared" si="129"/>
        <v>0</v>
      </c>
      <c r="W208" s="159">
        <v>45610.610011574077</v>
      </c>
      <c r="X208" s="159">
        <v>45616.28402777778</v>
      </c>
      <c r="Y208" s="160">
        <v>45617</v>
      </c>
      <c r="Z208" s="470"/>
      <c r="AA208" s="470"/>
      <c r="AB208" s="470"/>
      <c r="AC208" s="161">
        <f t="shared" si="130"/>
        <v>-45610.610011574077</v>
      </c>
      <c r="AD208" s="161">
        <f t="shared" si="154"/>
        <v>-45616.28402777778</v>
      </c>
      <c r="AE208" s="446">
        <f t="shared" si="155"/>
        <v>0</v>
      </c>
      <c r="AF208" s="160" t="e">
        <f t="shared" si="156"/>
        <v>#N/A</v>
      </c>
      <c r="AG208" s="160" t="e">
        <f t="shared" si="157"/>
        <v>#N/A</v>
      </c>
      <c r="AH208" s="159">
        <f t="shared" si="158"/>
        <v>45660.610011574077</v>
      </c>
      <c r="AI208" s="162" t="e">
        <f t="shared" si="131"/>
        <v>#N/A</v>
      </c>
      <c r="AJ208" s="224">
        <f t="shared" si="159"/>
        <v>0</v>
      </c>
      <c r="AK208" s="225" t="e">
        <f t="shared" si="132"/>
        <v>#N/A</v>
      </c>
      <c r="AL208" s="170">
        <f t="shared" si="133"/>
        <v>36</v>
      </c>
      <c r="AM208" s="170" t="e">
        <f t="shared" si="134"/>
        <v>#N/A</v>
      </c>
      <c r="AN208" s="170" t="e">
        <f t="shared" si="135"/>
        <v>#N/A</v>
      </c>
      <c r="AO208" s="226" t="e">
        <f t="shared" si="136"/>
        <v>#N/A</v>
      </c>
      <c r="AP208" s="227">
        <v>60</v>
      </c>
      <c r="AQ208" s="228">
        <f t="shared" si="137"/>
        <v>57</v>
      </c>
      <c r="AR208" s="228">
        <f t="shared" si="138"/>
        <v>52</v>
      </c>
      <c r="AS208" s="229">
        <f t="shared" si="139"/>
        <v>60</v>
      </c>
      <c r="AT208" s="982">
        <f t="shared" ca="1" si="140"/>
        <v>45895</v>
      </c>
      <c r="AU208" s="50"/>
      <c r="AV208" s="118"/>
      <c r="AW208" s="49"/>
      <c r="AX208" s="49"/>
      <c r="AY208" s="49"/>
      <c r="AZ208" s="300"/>
      <c r="BA208" s="119"/>
      <c r="BB208" s="304"/>
      <c r="BC208" s="231"/>
      <c r="BD208" s="232"/>
      <c r="BE208" s="222">
        <f t="shared" si="119"/>
        <v>15</v>
      </c>
      <c r="BF208" s="233">
        <f t="shared" si="127"/>
        <v>0</v>
      </c>
      <c r="BG208" s="248"/>
      <c r="BH208" s="235"/>
      <c r="BI208" s="234"/>
      <c r="BJ208" s="236"/>
      <c r="BK208" s="222"/>
      <c r="BL208" s="222"/>
      <c r="BM208" s="238"/>
      <c r="BN208" s="222"/>
      <c r="BO208" s="222"/>
      <c r="BP208" s="243"/>
      <c r="BQ208" s="244" t="s">
        <v>247</v>
      </c>
      <c r="BR208" s="238"/>
      <c r="BS208" s="67"/>
      <c r="BT208" s="66"/>
      <c r="BU208" s="66"/>
      <c r="BV208" s="66"/>
      <c r="BW208" s="74"/>
      <c r="BX208" s="81"/>
      <c r="BY208" s="66">
        <v>45623</v>
      </c>
      <c r="BZ208" s="944" t="s">
        <v>1476</v>
      </c>
      <c r="CA208" s="42" t="str">
        <f t="shared" si="141"/>
        <v>0</v>
      </c>
      <c r="CB208" s="62">
        <f t="shared" si="142"/>
        <v>-45610.610011574077</v>
      </c>
      <c r="CC208" s="42">
        <f t="shared" si="143"/>
        <v>0</v>
      </c>
      <c r="CD208" s="62">
        <f t="shared" si="144"/>
        <v>-45610.610011574077</v>
      </c>
      <c r="CE208" s="62" t="e">
        <f t="shared" si="145"/>
        <v>#N/A</v>
      </c>
      <c r="CF208" s="145" t="str">
        <f t="shared" si="146"/>
        <v>0</v>
      </c>
      <c r="CG208" s="145"/>
      <c r="CH208" s="443" t="e">
        <f t="shared" si="147"/>
        <v>#N/A</v>
      </c>
      <c r="CI208" s="996" t="e">
        <f t="shared" si="148"/>
        <v>#N/A</v>
      </c>
      <c r="CJ208" s="261">
        <f t="shared" si="149"/>
        <v>0</v>
      </c>
      <c r="CK208" s="458">
        <f t="shared" si="150"/>
        <v>245.38998842592264</v>
      </c>
      <c r="CL208" t="str">
        <f t="shared" si="151"/>
        <v>REV</v>
      </c>
      <c r="CM208" t="str">
        <f t="shared" si="152"/>
        <v>7-9 MONTHS</v>
      </c>
      <c r="CN208" s="635"/>
      <c r="CO208" s="631"/>
      <c r="CP208" s="629" t="str">
        <f t="shared" si="128"/>
        <v>FOR ISSUANCE</v>
      </c>
      <c r="CQ208" s="635"/>
      <c r="CR208" s="697"/>
      <c r="CS208" s="633" t="str">
        <f t="shared" ca="1" si="153"/>
        <v>0</v>
      </c>
      <c r="CT208" s="635"/>
      <c r="CU208" s="631"/>
      <c r="CV208" s="638"/>
      <c r="CW208" s="156" t="s">
        <v>1477</v>
      </c>
      <c r="CX208" s="156" t="str">
        <f>VLOOKUP(E208,'[1]List of Work Orders'!$A:$I,9,FALSE)</f>
        <v>ME185284</v>
      </c>
      <c r="CY208" s="156"/>
      <c r="DC208" t="str">
        <f>VLOOKUP(E208,'[2]List of Work Orders'!$A:$F,6,FALSE)</f>
        <v>DCOMP</v>
      </c>
      <c r="DS208" s="156" t="s">
        <v>381</v>
      </c>
    </row>
    <row r="209" spans="1:123" ht="15" customHeight="1" x14ac:dyDescent="0.2">
      <c r="A209" s="242">
        <v>45618</v>
      </c>
      <c r="B209" s="222"/>
      <c r="C209" s="223" t="s">
        <v>247</v>
      </c>
      <c r="D209" s="66" t="s">
        <v>320</v>
      </c>
      <c r="E209" s="404" t="s">
        <v>1478</v>
      </c>
      <c r="F209" s="95" t="s">
        <v>1479</v>
      </c>
      <c r="G209" s="95" t="s">
        <v>1480</v>
      </c>
      <c r="H209" s="95" t="s">
        <v>269</v>
      </c>
      <c r="I209" s="95" t="s">
        <v>239</v>
      </c>
      <c r="J209" s="1134" t="s">
        <v>1481</v>
      </c>
      <c r="K209" s="101"/>
      <c r="L209" s="101" t="s">
        <v>255</v>
      </c>
      <c r="M209" s="345" t="s">
        <v>331</v>
      </c>
      <c r="N209" s="442" t="s">
        <v>403</v>
      </c>
      <c r="O209" s="165">
        <v>80.494100000000003</v>
      </c>
      <c r="P209" s="165">
        <v>158.78</v>
      </c>
      <c r="Q209" s="157">
        <v>0</v>
      </c>
      <c r="R209" s="109" t="s">
        <v>327</v>
      </c>
      <c r="S209" s="141">
        <v>246953.97</v>
      </c>
      <c r="T209" s="110">
        <v>64820.26</v>
      </c>
      <c r="U209" s="141"/>
      <c r="V209" s="158">
        <f t="shared" si="129"/>
        <v>0</v>
      </c>
      <c r="W209" s="159">
        <v>45610.673437500001</v>
      </c>
      <c r="X209" s="159">
        <v>45616.418055555558</v>
      </c>
      <c r="Y209" s="160">
        <v>45616</v>
      </c>
      <c r="Z209" s="470"/>
      <c r="AA209" s="470"/>
      <c r="AB209" s="470"/>
      <c r="AC209" s="161">
        <f t="shared" si="130"/>
        <v>-45610.673437500001</v>
      </c>
      <c r="AD209" s="161">
        <f t="shared" si="154"/>
        <v>-45616.418055555558</v>
      </c>
      <c r="AE209" s="446">
        <f t="shared" si="155"/>
        <v>0</v>
      </c>
      <c r="AF209" s="160">
        <f t="shared" si="156"/>
        <v>45631.880334051726</v>
      </c>
      <c r="AG209" s="160">
        <f t="shared" si="157"/>
        <v>45641.335506465519</v>
      </c>
      <c r="AH209" s="159">
        <f t="shared" si="158"/>
        <v>45660.673437500001</v>
      </c>
      <c r="AI209" s="162">
        <f t="shared" si="131"/>
        <v>-1413.1512069310897</v>
      </c>
      <c r="AJ209" s="224">
        <f t="shared" si="159"/>
        <v>0</v>
      </c>
      <c r="AK209" s="225">
        <f t="shared" si="132"/>
        <v>26</v>
      </c>
      <c r="AL209" s="170">
        <f t="shared" si="133"/>
        <v>36</v>
      </c>
      <c r="AM209" s="170">
        <f t="shared" si="134"/>
        <v>24.206896551724139</v>
      </c>
      <c r="AN209" s="170">
        <f t="shared" si="135"/>
        <v>30.662068965517239</v>
      </c>
      <c r="AO209" s="226">
        <f t="shared" si="136"/>
        <v>21.206896551724139</v>
      </c>
      <c r="AP209" s="227">
        <v>60</v>
      </c>
      <c r="AQ209" s="228">
        <f t="shared" si="137"/>
        <v>57</v>
      </c>
      <c r="AR209" s="228">
        <f t="shared" si="138"/>
        <v>52</v>
      </c>
      <c r="AS209" s="229">
        <f t="shared" si="139"/>
        <v>60</v>
      </c>
      <c r="AT209" s="982">
        <f t="shared" ca="1" si="140"/>
        <v>45895</v>
      </c>
      <c r="AU209" s="1077"/>
      <c r="AV209" s="1078"/>
      <c r="AW209" s="1079"/>
      <c r="AX209" s="1079"/>
      <c r="AY209" s="1079"/>
      <c r="AZ209" s="1080"/>
      <c r="BA209" s="1081"/>
      <c r="BB209" s="1091"/>
      <c r="BC209" s="231"/>
      <c r="BD209" s="232"/>
      <c r="BE209" s="222">
        <f t="shared" si="119"/>
        <v>15</v>
      </c>
      <c r="BF209" s="233">
        <f t="shared" si="127"/>
        <v>0</v>
      </c>
      <c r="BG209" s="248"/>
      <c r="BH209" s="235"/>
      <c r="BI209" s="234"/>
      <c r="BJ209" s="236"/>
      <c r="BK209" s="222"/>
      <c r="BL209" s="222"/>
      <c r="BM209" s="238"/>
      <c r="BN209" s="222"/>
      <c r="BO209" s="222"/>
      <c r="BP209" s="243"/>
      <c r="BQ209" s="244" t="s">
        <v>247</v>
      </c>
      <c r="BR209" s="238"/>
      <c r="BS209" s="67"/>
      <c r="BT209" s="66"/>
      <c r="BU209" s="66"/>
      <c r="BV209" s="66"/>
      <c r="BW209" s="74"/>
      <c r="BX209" s="81"/>
      <c r="BY209" s="66">
        <v>45623</v>
      </c>
      <c r="BZ209" s="944" t="s">
        <v>1482</v>
      </c>
      <c r="CA209" s="42" t="str">
        <f t="shared" si="141"/>
        <v>0</v>
      </c>
      <c r="CB209" s="62">
        <f t="shared" si="142"/>
        <v>-45610.673437500001</v>
      </c>
      <c r="CC209" s="42">
        <f t="shared" si="143"/>
        <v>0</v>
      </c>
      <c r="CD209" s="62">
        <f t="shared" si="144"/>
        <v>-45610.673437500001</v>
      </c>
      <c r="CE209" s="62">
        <f t="shared" si="145"/>
        <v>-1413.1512069310897</v>
      </c>
      <c r="CF209" s="1059" t="str">
        <f t="shared" si="146"/>
        <v>0</v>
      </c>
      <c r="CH209" s="1082">
        <f t="shared" si="147"/>
        <v>8.0037075988247413</v>
      </c>
      <c r="CI209" s="1083">
        <f t="shared" si="148"/>
        <v>8.0037075988247413</v>
      </c>
      <c r="CJ209" s="1084">
        <f t="shared" si="149"/>
        <v>0</v>
      </c>
      <c r="CK209" s="1085">
        <f t="shared" si="150"/>
        <v>245.32656249999854</v>
      </c>
      <c r="CL209" s="1057" t="str">
        <f t="shared" si="151"/>
        <v>NON-REV</v>
      </c>
      <c r="CM209" s="1057" t="str">
        <f t="shared" si="152"/>
        <v>7-9 MONTHS</v>
      </c>
      <c r="CN209" s="1086"/>
      <c r="CO209" s="1087"/>
      <c r="CP209" s="629" t="str">
        <f t="shared" si="128"/>
        <v>FOR ISSUANCE</v>
      </c>
      <c r="CQ209" s="1086"/>
      <c r="CR209" s="1088"/>
      <c r="CS209" s="1089" t="str">
        <f t="shared" ca="1" si="153"/>
        <v>0</v>
      </c>
      <c r="CT209" s="1086"/>
      <c r="CU209" s="1087"/>
      <c r="CV209" s="1090"/>
      <c r="CW209" s="156" t="s">
        <v>1483</v>
      </c>
      <c r="CX209" s="156" t="str">
        <f>VLOOKUP(E209,'[1]List of Work Orders'!$A:$I,9,FALSE)</f>
        <v>ME185284</v>
      </c>
      <c r="CY209" s="156"/>
      <c r="DC209" s="1057" t="str">
        <f>VLOOKUP(E209,'[2]List of Work Orders'!$A:$F,6,FALSE)</f>
        <v>SCHED</v>
      </c>
      <c r="DS209" s="156" t="s">
        <v>403</v>
      </c>
    </row>
    <row r="210" spans="1:123" customFormat="1" ht="15" customHeight="1" x14ac:dyDescent="0.25">
      <c r="A210" s="1002">
        <v>45623</v>
      </c>
      <c r="B210" s="222"/>
      <c r="C210" s="326" t="s">
        <v>247</v>
      </c>
      <c r="D210" s="312" t="s">
        <v>320</v>
      </c>
      <c r="E210" s="404" t="s">
        <v>1484</v>
      </c>
      <c r="F210" s="313" t="s">
        <v>1485</v>
      </c>
      <c r="G210" s="313" t="s">
        <v>1486</v>
      </c>
      <c r="H210" s="313" t="s">
        <v>318</v>
      </c>
      <c r="I210" s="313" t="s">
        <v>239</v>
      </c>
      <c r="J210" s="327" t="s">
        <v>1487</v>
      </c>
      <c r="K210" s="312" t="s">
        <v>271</v>
      </c>
      <c r="L210" s="101" t="s">
        <v>5</v>
      </c>
      <c r="M210" s="345" t="s">
        <v>272</v>
      </c>
      <c r="N210" s="442" t="s">
        <v>475</v>
      </c>
      <c r="O210" s="472">
        <v>421.59</v>
      </c>
      <c r="P210" s="933">
        <v>813</v>
      </c>
      <c r="Q210" s="329">
        <v>127.5</v>
      </c>
      <c r="R210" s="328" t="s">
        <v>244</v>
      </c>
      <c r="S210" s="324">
        <v>1822047.68</v>
      </c>
      <c r="T210" s="324">
        <v>338008.24</v>
      </c>
      <c r="U210" s="141"/>
      <c r="V210" s="158">
        <f t="shared" si="129"/>
        <v>0</v>
      </c>
      <c r="W210" s="330">
        <v>45611</v>
      </c>
      <c r="X210" s="330">
        <v>45621</v>
      </c>
      <c r="Y210" s="330">
        <v>45631</v>
      </c>
      <c r="Z210" s="470"/>
      <c r="AA210" s="941">
        <v>45659</v>
      </c>
      <c r="AB210" s="470"/>
      <c r="AC210" s="161">
        <f t="shared" si="130"/>
        <v>48</v>
      </c>
      <c r="AD210" s="331">
        <v>38</v>
      </c>
      <c r="AE210" s="446">
        <f t="shared" si="155"/>
        <v>-45659</v>
      </c>
      <c r="AF210" s="330">
        <v>45634</v>
      </c>
      <c r="AG210" s="332">
        <v>45644</v>
      </c>
      <c r="AH210" s="333">
        <v>45661</v>
      </c>
      <c r="AI210" s="162">
        <f t="shared" si="131"/>
        <v>1.4099999999999997</v>
      </c>
      <c r="AJ210" s="334">
        <v>-830.17</v>
      </c>
      <c r="AK210" s="225">
        <f t="shared" si="132"/>
        <v>40</v>
      </c>
      <c r="AL210" s="170">
        <f t="shared" si="133"/>
        <v>32</v>
      </c>
      <c r="AM210" s="170">
        <f t="shared" si="134"/>
        <v>25.531914893617024</v>
      </c>
      <c r="AN210" s="170">
        <f t="shared" si="135"/>
        <v>32.340425531914896</v>
      </c>
      <c r="AO210" s="226">
        <f t="shared" si="136"/>
        <v>22.531914893617024</v>
      </c>
      <c r="AP210" s="227">
        <v>60</v>
      </c>
      <c r="AQ210" s="228">
        <f t="shared" si="137"/>
        <v>57</v>
      </c>
      <c r="AR210" s="335">
        <v>39</v>
      </c>
      <c r="AS210" s="229">
        <f t="shared" si="139"/>
        <v>45719</v>
      </c>
      <c r="AT210" s="982">
        <f t="shared" ca="1" si="140"/>
        <v>236</v>
      </c>
      <c r="AU210" s="50"/>
      <c r="AV210" s="337"/>
      <c r="AW210" s="338"/>
      <c r="AX210" s="338"/>
      <c r="AY210" s="338"/>
      <c r="AZ210" s="338"/>
      <c r="BA210" s="339"/>
      <c r="BB210" s="336"/>
      <c r="BC210" s="231" t="s">
        <v>264</v>
      </c>
      <c r="BD210" s="328"/>
      <c r="BE210" s="222">
        <f t="shared" si="119"/>
        <v>45674</v>
      </c>
      <c r="BF210" s="233">
        <f t="shared" si="127"/>
        <v>28</v>
      </c>
      <c r="BG210" s="248">
        <v>45659</v>
      </c>
      <c r="BH210" s="248">
        <v>45702</v>
      </c>
      <c r="BI210" s="796">
        <v>45789</v>
      </c>
      <c r="BJ210" s="310" t="s">
        <v>1488</v>
      </c>
      <c r="BK210" s="312"/>
      <c r="BL210" s="312"/>
      <c r="BM210" s="341"/>
      <c r="BN210" s="312"/>
      <c r="BO210" s="222">
        <v>45863</v>
      </c>
      <c r="BP210" s="340" t="s">
        <v>1084</v>
      </c>
      <c r="BQ210" s="342" t="s">
        <v>247</v>
      </c>
      <c r="BR210" s="238"/>
      <c r="BS210" s="325"/>
      <c r="BT210" s="311"/>
      <c r="BU210" s="66"/>
      <c r="BV210" s="66"/>
      <c r="BW210" s="74"/>
      <c r="BX210" s="81"/>
      <c r="BY210" s="325">
        <v>45624</v>
      </c>
      <c r="BZ210" s="413" t="s">
        <v>1489</v>
      </c>
      <c r="CA210" s="42" t="str">
        <f t="shared" si="141"/>
        <v>0</v>
      </c>
      <c r="CB210" s="62">
        <f t="shared" si="142"/>
        <v>48</v>
      </c>
      <c r="CC210" s="42">
        <f t="shared" si="143"/>
        <v>0</v>
      </c>
      <c r="CD210" s="62">
        <f t="shared" si="144"/>
        <v>48</v>
      </c>
      <c r="CE210" s="62">
        <f t="shared" si="145"/>
        <v>1.4099999999999997</v>
      </c>
      <c r="CF210" s="145">
        <f t="shared" si="146"/>
        <v>210</v>
      </c>
      <c r="CG210" s="145"/>
      <c r="CH210" s="443">
        <f t="shared" si="147"/>
        <v>7.5787499999999994</v>
      </c>
      <c r="CI210" s="996">
        <f t="shared" si="148"/>
        <v>7.5787499999999994</v>
      </c>
      <c r="CJ210" s="261">
        <f t="shared" si="149"/>
        <v>3.5</v>
      </c>
      <c r="CK210" s="458" t="str">
        <f t="shared" si="150"/>
        <v/>
      </c>
      <c r="CL210" t="str">
        <f t="shared" si="151"/>
        <v>REV</v>
      </c>
      <c r="CM210" t="str">
        <f t="shared" si="152"/>
        <v/>
      </c>
      <c r="CN210" s="635">
        <v>45863</v>
      </c>
      <c r="CO210" s="631">
        <v>188724.53</v>
      </c>
      <c r="CP210" s="629" t="str">
        <f t="shared" si="128"/>
        <v>NTC ISSUED</v>
      </c>
      <c r="CQ210" s="635">
        <v>45866</v>
      </c>
      <c r="CR210" s="697"/>
      <c r="CS210" s="633">
        <f t="shared" ca="1" si="153"/>
        <v>29</v>
      </c>
      <c r="CT210" s="635"/>
      <c r="CU210" s="631"/>
      <c r="CV210" s="638"/>
      <c r="CW210" s="156" t="s">
        <v>1490</v>
      </c>
      <c r="CX210" s="156" t="str">
        <f>VLOOKUP(E210,'[1]List of Work Orders'!$A:$I,9,FALSE)</f>
        <v>ME185130</v>
      </c>
      <c r="CY210" s="156"/>
      <c r="DC210" t="str">
        <f>VLOOKUP(E210,'[2]List of Work Orders'!$A:$F,6,FALSE)</f>
        <v>FCOMP</v>
      </c>
      <c r="DS210" s="312" t="s">
        <v>478</v>
      </c>
    </row>
    <row r="211" spans="1:123" customFormat="1" ht="15" customHeight="1" x14ac:dyDescent="0.25">
      <c r="A211" s="242">
        <v>45623</v>
      </c>
      <c r="B211" s="222"/>
      <c r="C211" s="223"/>
      <c r="D211" s="66" t="s">
        <v>320</v>
      </c>
      <c r="E211" s="404" t="s">
        <v>1491</v>
      </c>
      <c r="F211" s="95" t="s">
        <v>1017</v>
      </c>
      <c r="G211" s="95" t="s">
        <v>1018</v>
      </c>
      <c r="H211" s="95" t="s">
        <v>238</v>
      </c>
      <c r="I211" s="95" t="s">
        <v>239</v>
      </c>
      <c r="J211" s="163" t="s">
        <v>1492</v>
      </c>
      <c r="K211" s="101" t="s">
        <v>271</v>
      </c>
      <c r="L211" s="101" t="s">
        <v>5</v>
      </c>
      <c r="M211" s="345" t="s">
        <v>272</v>
      </c>
      <c r="N211" s="442" t="s">
        <v>403</v>
      </c>
      <c r="O211" s="165">
        <v>18.878</v>
      </c>
      <c r="P211" s="933">
        <v>77.25</v>
      </c>
      <c r="Q211" s="157">
        <v>114</v>
      </c>
      <c r="R211" s="109" t="s">
        <v>244</v>
      </c>
      <c r="S211" s="141">
        <v>42608.01</v>
      </c>
      <c r="T211" s="110">
        <v>15202.2</v>
      </c>
      <c r="U211" s="141"/>
      <c r="V211" s="158">
        <f t="shared" si="129"/>
        <v>0</v>
      </c>
      <c r="W211" s="159">
        <v>45611.651041666664</v>
      </c>
      <c r="X211" s="159">
        <v>45621.628472222219</v>
      </c>
      <c r="Y211" s="160">
        <v>45617</v>
      </c>
      <c r="Z211" s="470"/>
      <c r="AA211" s="470">
        <v>45693</v>
      </c>
      <c r="AB211" s="470"/>
      <c r="AC211" s="161">
        <f t="shared" si="130"/>
        <v>81.348958333335759</v>
      </c>
      <c r="AD211" s="161">
        <f t="shared" ref="AD211:AD242" si="160">AA211-X211</f>
        <v>71.371527777781012</v>
      </c>
      <c r="AE211" s="446">
        <f t="shared" si="155"/>
        <v>-45693</v>
      </c>
      <c r="AF211" s="160">
        <f t="shared" ref="AF211:AF242" si="161">W211+AO211</f>
        <v>45630.129640888452</v>
      </c>
      <c r="AG211" s="160">
        <f t="shared" ref="AG211:AG242" si="162">W211+AN211</f>
        <v>45638.857267347601</v>
      </c>
      <c r="AH211" s="159">
        <f t="shared" ref="AH211:AH242" si="163">W211+50</f>
        <v>45661.651041666664</v>
      </c>
      <c r="AI211" s="162">
        <f t="shared" si="131"/>
        <v>2.8405818331069685</v>
      </c>
      <c r="AJ211" s="224">
        <f t="shared" ref="AJ211:AJ242" si="164">AE211/AP211</f>
        <v>-761.55</v>
      </c>
      <c r="AK211" s="225">
        <f t="shared" si="132"/>
        <v>23</v>
      </c>
      <c r="AL211" s="170">
        <f t="shared" si="133"/>
        <v>32</v>
      </c>
      <c r="AM211" s="170">
        <f t="shared" si="134"/>
        <v>21.478599221789885</v>
      </c>
      <c r="AN211" s="170">
        <f t="shared" si="135"/>
        <v>27.206225680933851</v>
      </c>
      <c r="AO211" s="226">
        <f t="shared" si="136"/>
        <v>18.478599221789885</v>
      </c>
      <c r="AP211" s="227">
        <v>60</v>
      </c>
      <c r="AQ211" s="228">
        <f t="shared" si="137"/>
        <v>57</v>
      </c>
      <c r="AR211" s="228">
        <f t="shared" ref="AR211:AR242" si="165">AQ211-5</f>
        <v>52</v>
      </c>
      <c r="AS211" s="229">
        <f t="shared" si="139"/>
        <v>45753</v>
      </c>
      <c r="AT211" s="982">
        <f t="shared" ca="1" si="140"/>
        <v>202</v>
      </c>
      <c r="AU211" s="50"/>
      <c r="AV211" s="118"/>
      <c r="AW211" s="49"/>
      <c r="AX211" s="49"/>
      <c r="AY211" s="49"/>
      <c r="AZ211" s="300"/>
      <c r="BA211" s="119"/>
      <c r="BB211" s="304"/>
      <c r="BC211" s="231" t="s">
        <v>12</v>
      </c>
      <c r="BD211" s="232"/>
      <c r="BE211" s="222">
        <f t="shared" si="119"/>
        <v>45708</v>
      </c>
      <c r="BF211" s="233">
        <f t="shared" si="127"/>
        <v>25</v>
      </c>
      <c r="BG211" s="248">
        <v>45721</v>
      </c>
      <c r="BH211" s="235">
        <v>45733</v>
      </c>
      <c r="BI211" s="234"/>
      <c r="BJ211" s="236"/>
      <c r="BK211" s="222"/>
      <c r="BL211" s="222"/>
      <c r="BM211" s="238"/>
      <c r="BN211" s="222"/>
      <c r="BO211" s="222"/>
      <c r="BP211" s="243"/>
      <c r="BQ211" s="244" t="s">
        <v>247</v>
      </c>
      <c r="BR211" s="238">
        <v>45691</v>
      </c>
      <c r="BS211" s="67"/>
      <c r="BT211" s="66"/>
      <c r="BU211" s="66"/>
      <c r="BV211" s="66"/>
      <c r="BW211" s="74"/>
      <c r="BX211" s="81"/>
      <c r="BY211" s="66" t="s">
        <v>308</v>
      </c>
      <c r="BZ211" s="944" t="s">
        <v>1493</v>
      </c>
      <c r="CA211" s="42" t="str">
        <f t="shared" si="141"/>
        <v>0</v>
      </c>
      <c r="CB211" s="62">
        <f t="shared" si="142"/>
        <v>81.348958333335759</v>
      </c>
      <c r="CC211" s="42">
        <f t="shared" si="143"/>
        <v>0</v>
      </c>
      <c r="CD211" s="62">
        <f t="shared" si="144"/>
        <v>81.348958333335759</v>
      </c>
      <c r="CE211" s="62">
        <f t="shared" si="145"/>
        <v>2.8405818331069685</v>
      </c>
      <c r="CF211" s="145">
        <f t="shared" si="146"/>
        <v>176</v>
      </c>
      <c r="CG211" s="145"/>
      <c r="CH211" s="443">
        <f t="shared" si="147"/>
        <v>8.9862340070200126</v>
      </c>
      <c r="CI211" s="996">
        <f t="shared" si="148"/>
        <v>8.9862340070200126</v>
      </c>
      <c r="CJ211" s="261">
        <f t="shared" si="149"/>
        <v>2.9333333333333331</v>
      </c>
      <c r="CK211" s="458" t="str">
        <f t="shared" si="150"/>
        <v/>
      </c>
      <c r="CL211" t="str">
        <f t="shared" si="151"/>
        <v>REV</v>
      </c>
      <c r="CM211" t="str">
        <f t="shared" si="152"/>
        <v/>
      </c>
      <c r="CN211" s="635"/>
      <c r="CO211" s="631"/>
      <c r="CP211" s="629" t="str">
        <f t="shared" si="128"/>
        <v>FOR ISSUANCE</v>
      </c>
      <c r="CQ211" s="635"/>
      <c r="CR211" s="697"/>
      <c r="CS211" s="633" t="str">
        <f t="shared" ca="1" si="153"/>
        <v>0</v>
      </c>
      <c r="CT211" s="635"/>
      <c r="CU211" s="631"/>
      <c r="CV211" s="638"/>
      <c r="CW211" s="156" t="s">
        <v>1494</v>
      </c>
      <c r="CX211" s="156" t="str">
        <f>VLOOKUP(E211,'[1]List of Work Orders'!$A:$I,9,FALSE)</f>
        <v>ME166067</v>
      </c>
      <c r="CY211" s="156"/>
      <c r="DC211" t="str">
        <f>VLOOKUP(E211,'[2]List of Work Orders'!$A:$F,6,FALSE)</f>
        <v>FCOMP</v>
      </c>
      <c r="DS211" s="156" t="s">
        <v>381</v>
      </c>
    </row>
    <row r="212" spans="1:123" customFormat="1" ht="15" customHeight="1" x14ac:dyDescent="0.25">
      <c r="A212" s="242">
        <v>45799</v>
      </c>
      <c r="B212" s="222">
        <v>45791</v>
      </c>
      <c r="C212" s="223"/>
      <c r="D212" s="66" t="s">
        <v>234</v>
      </c>
      <c r="E212" s="404" t="s">
        <v>1495</v>
      </c>
      <c r="F212" s="95" t="s">
        <v>926</v>
      </c>
      <c r="G212" s="95" t="s">
        <v>1496</v>
      </c>
      <c r="H212" s="95" t="s">
        <v>378</v>
      </c>
      <c r="I212" s="95" t="s">
        <v>239</v>
      </c>
      <c r="J212" s="168" t="s">
        <v>1497</v>
      </c>
      <c r="K212" s="101" t="s">
        <v>299</v>
      </c>
      <c r="L212" s="101" t="s">
        <v>5</v>
      </c>
      <c r="M212" s="345" t="s">
        <v>402</v>
      </c>
      <c r="N212" s="442" t="s">
        <v>403</v>
      </c>
      <c r="O212" s="165">
        <v>40.271299999999997</v>
      </c>
      <c r="P212" s="165">
        <v>998.11</v>
      </c>
      <c r="Q212" s="157">
        <v>22</v>
      </c>
      <c r="R212" s="109" t="s">
        <v>244</v>
      </c>
      <c r="S212" s="141">
        <v>270682.98</v>
      </c>
      <c r="T212" s="110">
        <v>32429.439999999999</v>
      </c>
      <c r="U212" s="141"/>
      <c r="V212" s="158">
        <f t="shared" si="129"/>
        <v>0</v>
      </c>
      <c r="W212" s="159">
        <v>45614</v>
      </c>
      <c r="X212" s="159">
        <v>45789.427777777775</v>
      </c>
      <c r="Y212" s="160">
        <v>45790</v>
      </c>
      <c r="Z212" s="470"/>
      <c r="AA212" s="470"/>
      <c r="AB212" s="470"/>
      <c r="AC212" s="161">
        <f t="shared" si="130"/>
        <v>-45614</v>
      </c>
      <c r="AD212" s="161">
        <f t="shared" si="160"/>
        <v>-45789.427777777775</v>
      </c>
      <c r="AE212" s="446">
        <f t="shared" si="155"/>
        <v>0</v>
      </c>
      <c r="AF212" s="160">
        <f t="shared" si="161"/>
        <v>45638.83505154639</v>
      </c>
      <c r="AG212" s="160">
        <f t="shared" si="162"/>
        <v>45649.257731958765</v>
      </c>
      <c r="AH212" s="159">
        <f t="shared" si="163"/>
        <v>45664</v>
      </c>
      <c r="AI212" s="162">
        <f t="shared" si="131"/>
        <v>-1229.0438888888889</v>
      </c>
      <c r="AJ212" s="224">
        <f t="shared" si="164"/>
        <v>0</v>
      </c>
      <c r="AK212" s="225">
        <f t="shared" si="132"/>
        <v>40</v>
      </c>
      <c r="AL212" s="170">
        <f t="shared" si="133"/>
        <v>36</v>
      </c>
      <c r="AM212" s="170">
        <f t="shared" si="134"/>
        <v>27.835051546391753</v>
      </c>
      <c r="AN212" s="170">
        <f t="shared" si="135"/>
        <v>35.257731958762882</v>
      </c>
      <c r="AO212" s="226">
        <f t="shared" si="136"/>
        <v>24.835051546391753</v>
      </c>
      <c r="AP212" s="227">
        <v>60</v>
      </c>
      <c r="AQ212" s="228">
        <f t="shared" si="137"/>
        <v>57</v>
      </c>
      <c r="AR212" s="228">
        <f t="shared" si="165"/>
        <v>52</v>
      </c>
      <c r="AS212" s="229">
        <f t="shared" si="139"/>
        <v>60</v>
      </c>
      <c r="AT212" s="982">
        <f t="shared" ca="1" si="140"/>
        <v>45895</v>
      </c>
      <c r="AU212" s="50"/>
      <c r="AV212" s="118"/>
      <c r="AW212" s="49"/>
      <c r="AX212" s="49"/>
      <c r="AY212" s="49"/>
      <c r="AZ212" s="300"/>
      <c r="BA212" s="119"/>
      <c r="BB212" s="304"/>
      <c r="BC212" s="231"/>
      <c r="BD212" s="232"/>
      <c r="BE212" s="222">
        <f t="shared" si="119"/>
        <v>15</v>
      </c>
      <c r="BF212" s="233">
        <f t="shared" si="127"/>
        <v>0</v>
      </c>
      <c r="BG212" s="248"/>
      <c r="BH212" s="235"/>
      <c r="BI212" s="234"/>
      <c r="BJ212" s="236"/>
      <c r="BK212" s="222"/>
      <c r="BL212" s="222"/>
      <c r="BM212" s="238"/>
      <c r="BN212" s="222"/>
      <c r="BO212" s="222"/>
      <c r="BP212" s="243"/>
      <c r="BQ212" s="244" t="s">
        <v>247</v>
      </c>
      <c r="BR212" s="238"/>
      <c r="BS212" s="67"/>
      <c r="BT212" s="66"/>
      <c r="BU212" s="66"/>
      <c r="BV212" s="66"/>
      <c r="BW212" s="74"/>
      <c r="BX212" s="81"/>
      <c r="BY212" s="66">
        <v>45799</v>
      </c>
      <c r="BZ212" s="944" t="s">
        <v>1498</v>
      </c>
      <c r="CA212" s="42" t="str">
        <f t="shared" si="141"/>
        <v>0</v>
      </c>
      <c r="CB212" s="62">
        <f t="shared" si="142"/>
        <v>-45614</v>
      </c>
      <c r="CC212" s="42">
        <f t="shared" si="143"/>
        <v>0</v>
      </c>
      <c r="CD212" s="62">
        <f t="shared" si="144"/>
        <v>-45614</v>
      </c>
      <c r="CE212" s="62">
        <f t="shared" si="145"/>
        <v>-1229.0438888888889</v>
      </c>
      <c r="CF212" s="145" t="str">
        <f t="shared" si="146"/>
        <v>0</v>
      </c>
      <c r="CG212" s="145"/>
      <c r="CH212" s="443">
        <f t="shared" si="147"/>
        <v>6.8708333333333327</v>
      </c>
      <c r="CI212" s="996">
        <f t="shared" si="148"/>
        <v>6.8708333333333327</v>
      </c>
      <c r="CJ212" s="261">
        <f t="shared" si="149"/>
        <v>0</v>
      </c>
      <c r="CK212" s="458">
        <f t="shared" si="150"/>
        <v>242</v>
      </c>
      <c r="CL212" t="str">
        <f t="shared" si="151"/>
        <v>REV</v>
      </c>
      <c r="CM212" t="str">
        <f t="shared" si="152"/>
        <v>7-9 MONTHS</v>
      </c>
      <c r="CN212" s="635"/>
      <c r="CO212" s="631"/>
      <c r="CP212" s="629" t="str">
        <f t="shared" si="128"/>
        <v>FOR ISSUANCE</v>
      </c>
      <c r="CQ212" s="635"/>
      <c r="CR212" s="697"/>
      <c r="CS212" s="633" t="str">
        <f t="shared" ca="1" si="153"/>
        <v>0</v>
      </c>
      <c r="CT212" s="635"/>
      <c r="CU212" s="631"/>
      <c r="CV212" s="638"/>
      <c r="CW212" s="156" t="s">
        <v>1499</v>
      </c>
      <c r="CX212" s="156" t="str">
        <f>VLOOKUP(E212,'[1]List of Work Orders'!$A:$I,9,FALSE)</f>
        <v>ME166067</v>
      </c>
      <c r="CY212" s="156"/>
      <c r="DC212" t="str">
        <f>VLOOKUP(E212,'[2]List of Work Orders'!$A:$F,6,FALSE)</f>
        <v>DCOMP</v>
      </c>
      <c r="DS212" s="156" t="s">
        <v>381</v>
      </c>
    </row>
    <row r="213" spans="1:123" customFormat="1" ht="15" customHeight="1" x14ac:dyDescent="0.25">
      <c r="A213" s="242">
        <v>45623</v>
      </c>
      <c r="B213" s="222"/>
      <c r="C213" s="223"/>
      <c r="D213" s="66" t="s">
        <v>320</v>
      </c>
      <c r="E213" s="404" t="s">
        <v>1500</v>
      </c>
      <c r="F213" s="95" t="s">
        <v>1501</v>
      </c>
      <c r="G213" s="95" t="s">
        <v>1502</v>
      </c>
      <c r="H213" s="95" t="s">
        <v>253</v>
      </c>
      <c r="I213" s="95" t="s">
        <v>254</v>
      </c>
      <c r="J213" s="163"/>
      <c r="K213" s="101" t="s">
        <v>271</v>
      </c>
      <c r="L213" s="101" t="s">
        <v>263</v>
      </c>
      <c r="M213" s="345" t="s">
        <v>272</v>
      </c>
      <c r="N213" s="442" t="s">
        <v>467</v>
      </c>
      <c r="O213" s="165">
        <v>10.98</v>
      </c>
      <c r="P213" s="933">
        <v>13.95</v>
      </c>
      <c r="Q213" s="157">
        <v>1.5</v>
      </c>
      <c r="R213" s="109" t="s">
        <v>244</v>
      </c>
      <c r="S213" s="141">
        <v>31712.560000000001</v>
      </c>
      <c r="T213" s="110">
        <v>8842.15</v>
      </c>
      <c r="U213" s="141"/>
      <c r="V213" s="158">
        <f t="shared" si="129"/>
        <v>0</v>
      </c>
      <c r="W213" s="159">
        <v>45614.459050925929</v>
      </c>
      <c r="X213" s="159">
        <v>45622.45416666667</v>
      </c>
      <c r="Y213" s="160">
        <v>45616</v>
      </c>
      <c r="Z213" s="470"/>
      <c r="AA213" s="470">
        <v>45736</v>
      </c>
      <c r="AB213" s="470"/>
      <c r="AC213" s="161">
        <f t="shared" si="130"/>
        <v>121.54094907407125</v>
      </c>
      <c r="AD213" s="161">
        <f t="shared" si="160"/>
        <v>113.54583333332994</v>
      </c>
      <c r="AE213" s="446">
        <f t="shared" si="155"/>
        <v>-45736</v>
      </c>
      <c r="AF213" s="160">
        <f t="shared" si="161"/>
        <v>45633.233244474315</v>
      </c>
      <c r="AG213" s="160">
        <f t="shared" si="162"/>
        <v>45642.039696087217</v>
      </c>
      <c r="AH213" s="159">
        <f t="shared" si="163"/>
        <v>45664.459050925929</v>
      </c>
      <c r="AI213" s="162">
        <f t="shared" si="131"/>
        <v>4.1864104681068985</v>
      </c>
      <c r="AJ213" s="224">
        <f t="shared" si="164"/>
        <v>-762.26666666666665</v>
      </c>
      <c r="AK213" s="225">
        <f t="shared" si="132"/>
        <v>20</v>
      </c>
      <c r="AL213" s="170">
        <f t="shared" si="133"/>
        <v>36</v>
      </c>
      <c r="AM213" s="170">
        <f t="shared" si="134"/>
        <v>21.774193548387096</v>
      </c>
      <c r="AN213" s="170">
        <f t="shared" si="135"/>
        <v>27.58064516129032</v>
      </c>
      <c r="AO213" s="226">
        <f t="shared" si="136"/>
        <v>18.774193548387096</v>
      </c>
      <c r="AP213" s="227">
        <v>60</v>
      </c>
      <c r="AQ213" s="228">
        <f t="shared" si="137"/>
        <v>57</v>
      </c>
      <c r="AR213" s="228">
        <f t="shared" si="165"/>
        <v>52</v>
      </c>
      <c r="AS213" s="229">
        <f t="shared" si="139"/>
        <v>45796</v>
      </c>
      <c r="AT213" s="982">
        <f t="shared" ca="1" si="140"/>
        <v>159</v>
      </c>
      <c r="AU213" s="50"/>
      <c r="AV213" s="118"/>
      <c r="AW213" s="49"/>
      <c r="AX213" s="49"/>
      <c r="AY213" s="49"/>
      <c r="AZ213" s="300"/>
      <c r="BA213" s="119"/>
      <c r="BB213" s="304"/>
      <c r="BC213" s="231" t="s">
        <v>13</v>
      </c>
      <c r="BD213" s="232"/>
      <c r="BE213" s="222">
        <f t="shared" ref="BE213:BE276" si="166">AA213+15</f>
        <v>45751</v>
      </c>
      <c r="BF213" s="233" t="e">
        <f t="shared" si="127"/>
        <v>#VALUE!</v>
      </c>
      <c r="BG213" s="248"/>
      <c r="BH213" s="235"/>
      <c r="BI213" s="234"/>
      <c r="BJ213" s="236"/>
      <c r="BK213" s="222"/>
      <c r="BL213" s="222"/>
      <c r="BM213" s="238"/>
      <c r="BN213" s="222"/>
      <c r="BO213" s="222"/>
      <c r="BP213" s="243"/>
      <c r="BQ213" s="244" t="s">
        <v>247</v>
      </c>
      <c r="BR213" s="238"/>
      <c r="BS213" s="67"/>
      <c r="BT213" s="66"/>
      <c r="BU213" s="66"/>
      <c r="BV213" s="66"/>
      <c r="BW213" s="74"/>
      <c r="BX213" s="81"/>
      <c r="BY213" s="66" t="s">
        <v>308</v>
      </c>
      <c r="BZ213" s="944" t="s">
        <v>1503</v>
      </c>
      <c r="CA213" s="42" t="str">
        <f t="shared" si="141"/>
        <v>0</v>
      </c>
      <c r="CB213" s="62">
        <f t="shared" si="142"/>
        <v>121.54094907407125</v>
      </c>
      <c r="CC213" s="42">
        <f t="shared" si="143"/>
        <v>0</v>
      </c>
      <c r="CD213" s="62">
        <f t="shared" si="144"/>
        <v>121.54094907407125</v>
      </c>
      <c r="CE213" s="62">
        <f t="shared" si="145"/>
        <v>4.1864104681068985</v>
      </c>
      <c r="CF213" s="145">
        <f t="shared" si="146"/>
        <v>133</v>
      </c>
      <c r="CG213" s="145"/>
      <c r="CH213" s="443">
        <f t="shared" si="147"/>
        <v>8.767521579218009</v>
      </c>
      <c r="CI213" s="996">
        <f t="shared" si="148"/>
        <v>8.767521579218009</v>
      </c>
      <c r="CJ213" s="261">
        <f t="shared" si="149"/>
        <v>2.2166666666666668</v>
      </c>
      <c r="CK213" s="458" t="str">
        <f t="shared" si="150"/>
        <v/>
      </c>
      <c r="CL213" t="str">
        <f t="shared" si="151"/>
        <v>REV</v>
      </c>
      <c r="CM213" t="str">
        <f t="shared" si="152"/>
        <v/>
      </c>
      <c r="CN213" s="635"/>
      <c r="CO213" s="631"/>
      <c r="CP213" s="629" t="str">
        <f t="shared" si="128"/>
        <v>FOR ISSUANCE</v>
      </c>
      <c r="CQ213" s="635"/>
      <c r="CR213" s="697"/>
      <c r="CS213" s="633" t="str">
        <f t="shared" ca="1" si="153"/>
        <v>0</v>
      </c>
      <c r="CT213" s="635"/>
      <c r="CU213" s="631"/>
      <c r="CV213" s="638"/>
      <c r="CW213" s="156" t="s">
        <v>1504</v>
      </c>
      <c r="CX213" s="156" t="str">
        <f>VLOOKUP(E213,'[1]List of Work Orders'!$A:$I,9,FALSE)</f>
        <v>ME155242</v>
      </c>
      <c r="CY213" s="156"/>
      <c r="DC213" t="str">
        <f>VLOOKUP(E213,'[2]List of Work Orders'!$A:$F,6,FALSE)</f>
        <v>FCOMP</v>
      </c>
      <c r="DS213" s="156" t="s">
        <v>403</v>
      </c>
    </row>
    <row r="214" spans="1:123" ht="15" customHeight="1" x14ac:dyDescent="0.2">
      <c r="A214" s="242">
        <v>45623</v>
      </c>
      <c r="B214" s="222"/>
      <c r="C214" s="223"/>
      <c r="D214" s="66" t="s">
        <v>284</v>
      </c>
      <c r="E214" s="404" t="s">
        <v>1505</v>
      </c>
      <c r="F214" s="95" t="s">
        <v>1506</v>
      </c>
      <c r="G214" s="95" t="s">
        <v>1507</v>
      </c>
      <c r="H214" s="95" t="s">
        <v>253</v>
      </c>
      <c r="I214" s="95" t="s">
        <v>254</v>
      </c>
      <c r="J214" s="163"/>
      <c r="K214" s="101" t="s">
        <v>271</v>
      </c>
      <c r="L214" s="101" t="s">
        <v>255</v>
      </c>
      <c r="M214" s="345" t="s">
        <v>256</v>
      </c>
      <c r="N214" s="442" t="s">
        <v>381</v>
      </c>
      <c r="O214" s="165">
        <v>93.061999999999998</v>
      </c>
      <c r="P214" s="933">
        <v>88.72</v>
      </c>
      <c r="Q214" s="157">
        <v>120</v>
      </c>
      <c r="R214" s="109" t="s">
        <v>244</v>
      </c>
      <c r="S214" s="141">
        <v>833293.59</v>
      </c>
      <c r="T214" s="110">
        <v>74940.47</v>
      </c>
      <c r="U214" s="141">
        <f>38502.81+34292.01+34292.01</f>
        <v>107086.83000000002</v>
      </c>
      <c r="V214" s="158">
        <f t="shared" si="129"/>
        <v>1.4289586120823636</v>
      </c>
      <c r="W214" s="159">
        <v>45614.591458333336</v>
      </c>
      <c r="X214" s="159">
        <v>45622.454861111109</v>
      </c>
      <c r="Y214" s="160">
        <v>45616</v>
      </c>
      <c r="Z214" s="470">
        <v>45664</v>
      </c>
      <c r="AA214" s="470">
        <v>45666</v>
      </c>
      <c r="AB214" s="470">
        <v>45803.67083333333</v>
      </c>
      <c r="AC214" s="161">
        <f t="shared" si="130"/>
        <v>51.40854166666395</v>
      </c>
      <c r="AD214" s="161">
        <f t="shared" si="160"/>
        <v>43.545138888890506</v>
      </c>
      <c r="AE214" s="446">
        <f t="shared" si="155"/>
        <v>137.67083333332994</v>
      </c>
      <c r="AF214" s="160">
        <f t="shared" si="161"/>
        <v>45633.070057555124</v>
      </c>
      <c r="AG214" s="160">
        <f t="shared" si="162"/>
        <v>45641.797684014273</v>
      </c>
      <c r="AH214" s="159">
        <f t="shared" si="163"/>
        <v>45664.591458333336</v>
      </c>
      <c r="AI214" s="162">
        <f t="shared" si="131"/>
        <v>1.7951080446104122</v>
      </c>
      <c r="AJ214" s="224">
        <f t="shared" si="164"/>
        <v>2.2945138888888321</v>
      </c>
      <c r="AK214" s="225">
        <f t="shared" si="132"/>
        <v>23</v>
      </c>
      <c r="AL214" s="170">
        <f t="shared" si="133"/>
        <v>32</v>
      </c>
      <c r="AM214" s="170">
        <f t="shared" si="134"/>
        <v>21.478599221789885</v>
      </c>
      <c r="AN214" s="170">
        <f t="shared" si="135"/>
        <v>27.206225680933851</v>
      </c>
      <c r="AO214" s="226">
        <f t="shared" si="136"/>
        <v>18.478599221789885</v>
      </c>
      <c r="AP214" s="227">
        <v>60</v>
      </c>
      <c r="AQ214" s="228">
        <f t="shared" si="137"/>
        <v>57</v>
      </c>
      <c r="AR214" s="228">
        <f t="shared" si="165"/>
        <v>52</v>
      </c>
      <c r="AS214" s="229">
        <f t="shared" si="139"/>
        <v>45726</v>
      </c>
      <c r="AT214" s="982">
        <f t="shared" ca="1" si="140"/>
        <v>229</v>
      </c>
      <c r="AU214" s="1077"/>
      <c r="AV214" s="1078"/>
      <c r="AW214" s="1079"/>
      <c r="AX214" s="1079"/>
      <c r="AY214" s="1079"/>
      <c r="AZ214" s="1080"/>
      <c r="BA214" s="1081"/>
      <c r="BB214" s="1091"/>
      <c r="BC214" s="231" t="s">
        <v>14</v>
      </c>
      <c r="BD214" s="232"/>
      <c r="BE214" s="222">
        <f t="shared" si="166"/>
        <v>45681</v>
      </c>
      <c r="BF214" s="233">
        <f t="shared" si="127"/>
        <v>25</v>
      </c>
      <c r="BG214" s="248">
        <v>45664</v>
      </c>
      <c r="BH214" s="235">
        <v>45706</v>
      </c>
      <c r="BI214" s="234">
        <v>45776</v>
      </c>
      <c r="BJ214" s="236" t="s">
        <v>1119</v>
      </c>
      <c r="BK214" s="222" t="s">
        <v>246</v>
      </c>
      <c r="BL214" s="222"/>
      <c r="BM214" s="238">
        <v>45791</v>
      </c>
      <c r="BN214" s="222"/>
      <c r="BO214" s="222">
        <v>45790</v>
      </c>
      <c r="BP214" s="243" t="s">
        <v>1084</v>
      </c>
      <c r="BQ214" s="244" t="s">
        <v>247</v>
      </c>
      <c r="BR214" s="238">
        <v>45664</v>
      </c>
      <c r="BS214" s="67"/>
      <c r="BT214" s="66"/>
      <c r="BU214" s="66"/>
      <c r="BV214" s="66"/>
      <c r="BW214" s="74"/>
      <c r="BX214" s="81"/>
      <c r="BY214" s="66">
        <v>45623</v>
      </c>
      <c r="BZ214" s="944" t="s">
        <v>1508</v>
      </c>
      <c r="CA214" s="42" t="str">
        <f t="shared" si="141"/>
        <v>0</v>
      </c>
      <c r="CB214" s="62">
        <f t="shared" si="142"/>
        <v>51.40854166666395</v>
      </c>
      <c r="CC214" s="42">
        <f t="shared" si="143"/>
        <v>0</v>
      </c>
      <c r="CD214" s="62">
        <f t="shared" si="144"/>
        <v>51.40854166666395</v>
      </c>
      <c r="CE214" s="62">
        <f t="shared" si="145"/>
        <v>1.7951080446104122</v>
      </c>
      <c r="CF214" s="1059">
        <f t="shared" si="146"/>
        <v>203</v>
      </c>
      <c r="CH214" s="1082">
        <f t="shared" si="147"/>
        <v>8.8835591315669333</v>
      </c>
      <c r="CI214" s="1083">
        <f t="shared" si="148"/>
        <v>8.8835591315669333</v>
      </c>
      <c r="CJ214" s="1084">
        <f t="shared" si="149"/>
        <v>3.3833333333333333</v>
      </c>
      <c r="CK214" s="1085" t="str">
        <f t="shared" si="150"/>
        <v/>
      </c>
      <c r="CL214" s="1057" t="str">
        <f t="shared" si="151"/>
        <v>REV</v>
      </c>
      <c r="CM214" s="1057" t="str">
        <f t="shared" si="152"/>
        <v/>
      </c>
      <c r="CN214" s="1086"/>
      <c r="CO214" s="1087"/>
      <c r="CP214" s="629" t="str">
        <f t="shared" si="128"/>
        <v>FOR ISSUANCE</v>
      </c>
      <c r="CQ214" s="1086"/>
      <c r="CR214" s="1088"/>
      <c r="CS214" s="1089" t="str">
        <f t="shared" ca="1" si="153"/>
        <v>0</v>
      </c>
      <c r="CT214" s="1086"/>
      <c r="CU214" s="1087"/>
      <c r="CV214" s="1090"/>
      <c r="CW214" s="156" t="s">
        <v>1509</v>
      </c>
      <c r="CX214" s="156" t="str">
        <f>VLOOKUP(E214,'[1]List of Work Orders'!$A:$I,9,FALSE)</f>
        <v>ME185284</v>
      </c>
      <c r="CY214" s="156"/>
      <c r="DC214" s="1057" t="str">
        <f>VLOOKUP(E214,'[2]List of Work Orders'!$A:$F,6,FALSE)</f>
        <v>FCOMP</v>
      </c>
      <c r="DS214" s="156" t="s">
        <v>381</v>
      </c>
    </row>
    <row r="215" spans="1:123" customFormat="1" ht="15" customHeight="1" x14ac:dyDescent="0.25">
      <c r="A215" s="242">
        <v>45628</v>
      </c>
      <c r="B215" s="222"/>
      <c r="C215" s="223"/>
      <c r="D215" s="66" t="s">
        <v>320</v>
      </c>
      <c r="E215" s="404" t="s">
        <v>1510</v>
      </c>
      <c r="F215" s="95" t="s">
        <v>1511</v>
      </c>
      <c r="G215" s="95" t="s">
        <v>1512</v>
      </c>
      <c r="H215" s="95" t="s">
        <v>1513</v>
      </c>
      <c r="I215" s="95" t="s">
        <v>239</v>
      </c>
      <c r="J215" s="163"/>
      <c r="K215" s="101"/>
      <c r="L215" s="101" t="s">
        <v>288</v>
      </c>
      <c r="M215" s="345" t="s">
        <v>272</v>
      </c>
      <c r="N215" s="442" t="s">
        <v>381</v>
      </c>
      <c r="O215" s="165">
        <v>3.4</v>
      </c>
      <c r="P215" s="933">
        <v>3.4</v>
      </c>
      <c r="Q215" s="157">
        <v>1.5</v>
      </c>
      <c r="R215" s="109" t="s">
        <v>1514</v>
      </c>
      <c r="S215" s="141">
        <v>25036.83</v>
      </c>
      <c r="T215" s="110">
        <v>2739.2</v>
      </c>
      <c r="U215" s="141"/>
      <c r="V215" s="158">
        <f t="shared" si="129"/>
        <v>0</v>
      </c>
      <c r="W215" s="159">
        <v>45615.411423611113</v>
      </c>
      <c r="X215" s="159">
        <v>45624.331250000003</v>
      </c>
      <c r="Y215" s="160">
        <v>45623</v>
      </c>
      <c r="Z215" s="470"/>
      <c r="AA215" s="470">
        <v>45699</v>
      </c>
      <c r="AB215" s="470"/>
      <c r="AC215" s="161">
        <f t="shared" si="130"/>
        <v>83.588576388887304</v>
      </c>
      <c r="AD215" s="161">
        <f t="shared" si="160"/>
        <v>74.66874999999709</v>
      </c>
      <c r="AE215" s="446">
        <f t="shared" si="155"/>
        <v>-45699</v>
      </c>
      <c r="AF215" s="160">
        <f t="shared" si="161"/>
        <v>45634.185617159499</v>
      </c>
      <c r="AG215" s="160">
        <f t="shared" si="162"/>
        <v>45642.992068772401</v>
      </c>
      <c r="AH215" s="159">
        <f t="shared" si="163"/>
        <v>45665.411423611113</v>
      </c>
      <c r="AI215" s="162">
        <f t="shared" si="131"/>
        <v>2.8791620756172294</v>
      </c>
      <c r="AJ215" s="224">
        <f t="shared" si="164"/>
        <v>-761.65</v>
      </c>
      <c r="AK215" s="225">
        <f t="shared" si="132"/>
        <v>20</v>
      </c>
      <c r="AL215" s="170">
        <f t="shared" si="133"/>
        <v>36</v>
      </c>
      <c r="AM215" s="170">
        <f t="shared" si="134"/>
        <v>21.774193548387096</v>
      </c>
      <c r="AN215" s="170">
        <f t="shared" si="135"/>
        <v>27.58064516129032</v>
      </c>
      <c r="AO215" s="226">
        <f t="shared" si="136"/>
        <v>18.774193548387096</v>
      </c>
      <c r="AP215" s="227">
        <v>60</v>
      </c>
      <c r="AQ215" s="228">
        <f t="shared" si="137"/>
        <v>57</v>
      </c>
      <c r="AR215" s="228">
        <f t="shared" si="165"/>
        <v>52</v>
      </c>
      <c r="AS215" s="229">
        <f t="shared" si="139"/>
        <v>45759</v>
      </c>
      <c r="AT215" s="982">
        <f t="shared" ca="1" si="140"/>
        <v>196</v>
      </c>
      <c r="AU215" s="50"/>
      <c r="AV215" s="118"/>
      <c r="AW215" s="49"/>
      <c r="AX215" s="49"/>
      <c r="AY215" s="49"/>
      <c r="AZ215" s="300"/>
      <c r="BA215" s="119"/>
      <c r="BB215" s="304"/>
      <c r="BC215" s="231" t="s">
        <v>12</v>
      </c>
      <c r="BD215" s="232"/>
      <c r="BE215" s="222">
        <f t="shared" si="166"/>
        <v>45714</v>
      </c>
      <c r="BF215" s="233">
        <f t="shared" si="127"/>
        <v>-6</v>
      </c>
      <c r="BG215" s="248">
        <v>45699</v>
      </c>
      <c r="BH215" s="235">
        <v>45708</v>
      </c>
      <c r="BI215" s="234"/>
      <c r="BJ215" s="236"/>
      <c r="BK215" s="222"/>
      <c r="BL215" s="222"/>
      <c r="BM215" s="238"/>
      <c r="BN215" s="222"/>
      <c r="BO215" s="222"/>
      <c r="BP215" s="243"/>
      <c r="BQ215" s="244"/>
      <c r="BR215" s="238"/>
      <c r="BS215" s="67"/>
      <c r="BT215" s="66"/>
      <c r="BU215" s="66"/>
      <c r="BV215" s="66"/>
      <c r="BW215" s="74"/>
      <c r="BX215" s="81"/>
      <c r="BY215" s="66" t="s">
        <v>308</v>
      </c>
      <c r="BZ215" s="944"/>
      <c r="CA215" s="42" t="str">
        <f t="shared" si="141"/>
        <v>0</v>
      </c>
      <c r="CB215" s="62">
        <f t="shared" si="142"/>
        <v>83.588576388887304</v>
      </c>
      <c r="CC215" s="42">
        <f t="shared" si="143"/>
        <v>0</v>
      </c>
      <c r="CD215" s="62">
        <f t="shared" si="144"/>
        <v>83.588576388887304</v>
      </c>
      <c r="CE215" s="62">
        <f t="shared" si="145"/>
        <v>2.8791620756172294</v>
      </c>
      <c r="CF215" s="145">
        <f t="shared" si="146"/>
        <v>170</v>
      </c>
      <c r="CG215" s="145"/>
      <c r="CH215" s="443">
        <f t="shared" si="147"/>
        <v>8.734717631172785</v>
      </c>
      <c r="CI215" s="996">
        <f t="shared" si="148"/>
        <v>8.734717631172785</v>
      </c>
      <c r="CJ215" s="261">
        <f t="shared" si="149"/>
        <v>2.8333333333333335</v>
      </c>
      <c r="CK215" s="458" t="str">
        <f t="shared" si="150"/>
        <v/>
      </c>
      <c r="CL215" t="str">
        <f t="shared" si="151"/>
        <v>NON-REV</v>
      </c>
      <c r="CM215" t="str">
        <f t="shared" si="152"/>
        <v/>
      </c>
      <c r="CN215" s="635"/>
      <c r="CO215" s="631"/>
      <c r="CP215" s="629" t="str">
        <f t="shared" si="128"/>
        <v>FOR ISSUANCE</v>
      </c>
      <c r="CQ215" s="635"/>
      <c r="CR215" s="697"/>
      <c r="CS215" s="633" t="str">
        <f t="shared" ca="1" si="153"/>
        <v>0</v>
      </c>
      <c r="CT215" s="635"/>
      <c r="CU215" s="631"/>
      <c r="CV215" s="638"/>
      <c r="CW215" s="156" t="s">
        <v>1515</v>
      </c>
      <c r="CX215" s="156" t="str">
        <f>VLOOKUP(E215,'[1]List of Work Orders'!$A:$I,9,FALSE)</f>
        <v>ME185284</v>
      </c>
      <c r="CY215" s="156"/>
      <c r="DC215" t="str">
        <f>VLOOKUP(E215,'[2]List of Work Orders'!$A:$F,6,FALSE)</f>
        <v>FCOMP</v>
      </c>
      <c r="DS215" s="156" t="s">
        <v>381</v>
      </c>
    </row>
    <row r="216" spans="1:123" ht="15" customHeight="1" x14ac:dyDescent="0.2">
      <c r="A216" s="242">
        <v>45624</v>
      </c>
      <c r="B216" s="222"/>
      <c r="C216" s="223"/>
      <c r="D216" s="66" t="s">
        <v>284</v>
      </c>
      <c r="E216" s="404" t="s">
        <v>1516</v>
      </c>
      <c r="F216" s="95" t="s">
        <v>1517</v>
      </c>
      <c r="G216" s="95" t="s">
        <v>1518</v>
      </c>
      <c r="H216" s="95" t="s">
        <v>238</v>
      </c>
      <c r="I216" s="95" t="s">
        <v>239</v>
      </c>
      <c r="J216" s="163"/>
      <c r="K216" s="101"/>
      <c r="L216" s="101" t="s">
        <v>255</v>
      </c>
      <c r="M216" s="345" t="s">
        <v>272</v>
      </c>
      <c r="N216" s="442" t="s">
        <v>381</v>
      </c>
      <c r="O216" s="165">
        <v>83.165199999999999</v>
      </c>
      <c r="P216" s="933">
        <v>83.17</v>
      </c>
      <c r="Q216" s="157">
        <v>66</v>
      </c>
      <c r="R216" s="109" t="s">
        <v>244</v>
      </c>
      <c r="S216" s="141">
        <v>372611.01</v>
      </c>
      <c r="T216" s="110">
        <v>66970.92</v>
      </c>
      <c r="U216" s="141"/>
      <c r="V216" s="158">
        <f t="shared" si="129"/>
        <v>0</v>
      </c>
      <c r="W216" s="159">
        <v>45615.748437499999</v>
      </c>
      <c r="X216" s="159">
        <v>45623.417361111111</v>
      </c>
      <c r="Y216" s="160">
        <v>45623</v>
      </c>
      <c r="Z216" s="470"/>
      <c r="AA216" s="470">
        <v>45684</v>
      </c>
      <c r="AB216" s="470"/>
      <c r="AC216" s="161">
        <f t="shared" si="130"/>
        <v>68.251562500001455</v>
      </c>
      <c r="AD216" s="161">
        <f t="shared" si="160"/>
        <v>60.582638888889051</v>
      </c>
      <c r="AE216" s="446">
        <f t="shared" si="155"/>
        <v>-45684</v>
      </c>
      <c r="AF216" s="160">
        <f t="shared" si="161"/>
        <v>45635.048817728137</v>
      </c>
      <c r="AG216" s="160">
        <f t="shared" si="162"/>
        <v>45643.995585788973</v>
      </c>
      <c r="AH216" s="159">
        <f t="shared" si="163"/>
        <v>45665.748437499999</v>
      </c>
      <c r="AI216" s="162">
        <f t="shared" si="131"/>
        <v>2.2954169996803557</v>
      </c>
      <c r="AJ216" s="224">
        <f t="shared" si="164"/>
        <v>-761.4</v>
      </c>
      <c r="AK216" s="225">
        <f t="shared" si="132"/>
        <v>23</v>
      </c>
      <c r="AL216" s="170">
        <f t="shared" si="133"/>
        <v>34</v>
      </c>
      <c r="AM216" s="170">
        <f t="shared" si="134"/>
        <v>22.300380228136884</v>
      </c>
      <c r="AN216" s="170">
        <f t="shared" si="135"/>
        <v>28.247148288973385</v>
      </c>
      <c r="AO216" s="226">
        <f t="shared" si="136"/>
        <v>19.300380228136884</v>
      </c>
      <c r="AP216" s="227">
        <v>60</v>
      </c>
      <c r="AQ216" s="228">
        <f t="shared" si="137"/>
        <v>57</v>
      </c>
      <c r="AR216" s="228">
        <f t="shared" si="165"/>
        <v>52</v>
      </c>
      <c r="AS216" s="229">
        <f t="shared" si="139"/>
        <v>45744</v>
      </c>
      <c r="AT216" s="982">
        <f t="shared" ca="1" si="140"/>
        <v>211</v>
      </c>
      <c r="AU216" s="1077"/>
      <c r="AV216" s="1078"/>
      <c r="AW216" s="1079"/>
      <c r="AX216" s="1079"/>
      <c r="AY216" s="1079"/>
      <c r="AZ216" s="1080"/>
      <c r="BA216" s="1081"/>
      <c r="BB216" s="1091"/>
      <c r="BC216" s="231" t="s">
        <v>13</v>
      </c>
      <c r="BD216" s="232"/>
      <c r="BE216" s="222">
        <f t="shared" si="166"/>
        <v>45699</v>
      </c>
      <c r="BF216" s="233" t="e">
        <f t="shared" si="127"/>
        <v>#VALUE!</v>
      </c>
      <c r="BG216" s="248"/>
      <c r="BH216" s="235"/>
      <c r="BI216" s="234"/>
      <c r="BJ216" s="236"/>
      <c r="BK216" s="222"/>
      <c r="BL216" s="222"/>
      <c r="BM216" s="238"/>
      <c r="BN216" s="222"/>
      <c r="BO216" s="222"/>
      <c r="BP216" s="243"/>
      <c r="BQ216" s="244" t="s">
        <v>247</v>
      </c>
      <c r="BR216" s="238">
        <v>45680</v>
      </c>
      <c r="BS216" s="67"/>
      <c r="BT216" s="66"/>
      <c r="BU216" s="66"/>
      <c r="BV216" s="66"/>
      <c r="BW216" s="74"/>
      <c r="BX216" s="81"/>
      <c r="BY216" s="66">
        <v>45624</v>
      </c>
      <c r="BZ216" s="944" t="s">
        <v>1519</v>
      </c>
      <c r="CA216" s="42" t="str">
        <f t="shared" si="141"/>
        <v>0</v>
      </c>
      <c r="CB216" s="62">
        <f t="shared" si="142"/>
        <v>68.251562500001455</v>
      </c>
      <c r="CC216" s="42">
        <f t="shared" si="143"/>
        <v>0</v>
      </c>
      <c r="CD216" s="62">
        <f t="shared" si="144"/>
        <v>68.251562500001455</v>
      </c>
      <c r="CE216" s="62">
        <f t="shared" si="145"/>
        <v>2.2954169996803557</v>
      </c>
      <c r="CF216" s="1059">
        <f t="shared" si="146"/>
        <v>185</v>
      </c>
      <c r="CH216" s="1082">
        <f t="shared" si="147"/>
        <v>8.5172840073529894</v>
      </c>
      <c r="CI216" s="1083">
        <f t="shared" si="148"/>
        <v>8.5172840073529894</v>
      </c>
      <c r="CJ216" s="1084">
        <f t="shared" si="149"/>
        <v>3.0833333333333335</v>
      </c>
      <c r="CK216" s="1085" t="str">
        <f t="shared" si="150"/>
        <v/>
      </c>
      <c r="CL216" s="1057" t="str">
        <f t="shared" si="151"/>
        <v>REV</v>
      </c>
      <c r="CM216" s="1057" t="str">
        <f t="shared" si="152"/>
        <v/>
      </c>
      <c r="CN216" s="1086"/>
      <c r="CO216" s="1087"/>
      <c r="CP216" s="629" t="str">
        <f t="shared" si="128"/>
        <v>FOR ISSUANCE</v>
      </c>
      <c r="CQ216" s="1086"/>
      <c r="CR216" s="1088"/>
      <c r="CS216" s="1089" t="str">
        <f t="shared" ca="1" si="153"/>
        <v>0</v>
      </c>
      <c r="CT216" s="1086"/>
      <c r="CU216" s="1087"/>
      <c r="CV216" s="1090"/>
      <c r="CW216" s="156" t="s">
        <v>1520</v>
      </c>
      <c r="CX216" s="156" t="str">
        <f>VLOOKUP(E216,'[1]List of Work Orders'!$A:$I,9,FALSE)</f>
        <v>ME185284</v>
      </c>
      <c r="CY216" s="156"/>
      <c r="DC216" s="1057" t="str">
        <f>VLOOKUP(E216,'[2]List of Work Orders'!$A:$F,6,FALSE)</f>
        <v>FCOMP</v>
      </c>
      <c r="DS216" s="156" t="s">
        <v>381</v>
      </c>
    </row>
    <row r="217" spans="1:123" customFormat="1" ht="15" customHeight="1" x14ac:dyDescent="0.25">
      <c r="A217" s="242">
        <v>45628</v>
      </c>
      <c r="B217" s="222"/>
      <c r="C217" s="223"/>
      <c r="D217" s="66" t="s">
        <v>234</v>
      </c>
      <c r="E217" s="404" t="s">
        <v>1521</v>
      </c>
      <c r="F217" s="95" t="s">
        <v>614</v>
      </c>
      <c r="G217" s="95" t="s">
        <v>1522</v>
      </c>
      <c r="H217" s="95" t="s">
        <v>253</v>
      </c>
      <c r="I217" s="95" t="s">
        <v>254</v>
      </c>
      <c r="J217" s="163" t="s">
        <v>1523</v>
      </c>
      <c r="K217" s="101" t="s">
        <v>271</v>
      </c>
      <c r="L217" s="101" t="s">
        <v>263</v>
      </c>
      <c r="M217" s="345" t="s">
        <v>272</v>
      </c>
      <c r="N217" s="442" t="s">
        <v>467</v>
      </c>
      <c r="O217" s="165">
        <v>26.1465</v>
      </c>
      <c r="P217" s="933">
        <v>26.15</v>
      </c>
      <c r="Q217" s="157">
        <v>23</v>
      </c>
      <c r="R217" s="109" t="s">
        <v>244</v>
      </c>
      <c r="S217" s="141">
        <v>206737.88</v>
      </c>
      <c r="T217" s="110">
        <v>21055.08</v>
      </c>
      <c r="U217" s="141"/>
      <c r="V217" s="158">
        <f t="shared" si="129"/>
        <v>0</v>
      </c>
      <c r="W217" s="159">
        <v>45616.417905092596</v>
      </c>
      <c r="X217" s="159">
        <v>45624.340277777781</v>
      </c>
      <c r="Y217" s="160">
        <v>45624</v>
      </c>
      <c r="Z217" s="470"/>
      <c r="AA217" s="470">
        <v>45688</v>
      </c>
      <c r="AB217" s="470"/>
      <c r="AC217" s="161">
        <f t="shared" si="130"/>
        <v>71.582094907404098</v>
      </c>
      <c r="AD217" s="161">
        <f t="shared" si="160"/>
        <v>63.659722222218988</v>
      </c>
      <c r="AE217" s="446">
        <f t="shared" si="155"/>
        <v>-45688</v>
      </c>
      <c r="AF217" s="160">
        <f t="shared" si="161"/>
        <v>45635.192098640982</v>
      </c>
      <c r="AG217" s="160">
        <f t="shared" si="162"/>
        <v>45643.998550253884</v>
      </c>
      <c r="AH217" s="159">
        <f t="shared" si="163"/>
        <v>45666.417905092596</v>
      </c>
      <c r="AI217" s="162">
        <f t="shared" si="131"/>
        <v>2.4656054912550296</v>
      </c>
      <c r="AJ217" s="224">
        <f t="shared" si="164"/>
        <v>-761.4666666666667</v>
      </c>
      <c r="AK217" s="225">
        <f t="shared" si="132"/>
        <v>20</v>
      </c>
      <c r="AL217" s="170">
        <f t="shared" si="133"/>
        <v>36</v>
      </c>
      <c r="AM217" s="170">
        <f t="shared" si="134"/>
        <v>21.774193548387096</v>
      </c>
      <c r="AN217" s="170">
        <f t="shared" si="135"/>
        <v>27.58064516129032</v>
      </c>
      <c r="AO217" s="226">
        <f t="shared" si="136"/>
        <v>18.774193548387096</v>
      </c>
      <c r="AP217" s="227">
        <v>60</v>
      </c>
      <c r="AQ217" s="228">
        <f t="shared" si="137"/>
        <v>57</v>
      </c>
      <c r="AR217" s="228">
        <f t="shared" si="165"/>
        <v>52</v>
      </c>
      <c r="AS217" s="229">
        <f t="shared" si="139"/>
        <v>45748</v>
      </c>
      <c r="AT217" s="982">
        <f t="shared" ca="1" si="140"/>
        <v>207</v>
      </c>
      <c r="AU217" s="50"/>
      <c r="AV217" s="118"/>
      <c r="AW217" s="49"/>
      <c r="AX217" s="49"/>
      <c r="AY217" s="49"/>
      <c r="AZ217" s="300"/>
      <c r="BA217" s="119"/>
      <c r="BB217" s="304"/>
      <c r="BC217" s="231" t="s">
        <v>13</v>
      </c>
      <c r="BD217" s="232"/>
      <c r="BE217" s="222">
        <f t="shared" si="166"/>
        <v>45703</v>
      </c>
      <c r="BF217" s="233" t="e">
        <f t="shared" si="127"/>
        <v>#VALUE!</v>
      </c>
      <c r="BG217" s="248"/>
      <c r="BH217" s="235"/>
      <c r="BI217" s="234"/>
      <c r="BJ217" s="236"/>
      <c r="BK217" s="222"/>
      <c r="BL217" s="222"/>
      <c r="BM217" s="238"/>
      <c r="BN217" s="222"/>
      <c r="BO217" s="222"/>
      <c r="BP217" s="243"/>
      <c r="BQ217" s="244" t="s">
        <v>247</v>
      </c>
      <c r="BR217" s="238">
        <v>45687</v>
      </c>
      <c r="BS217" s="67"/>
      <c r="BT217" s="66"/>
      <c r="BU217" s="66"/>
      <c r="BV217" s="66"/>
      <c r="BW217" s="74"/>
      <c r="BX217" s="81"/>
      <c r="BY217" s="66" t="s">
        <v>308</v>
      </c>
      <c r="BZ217" s="944" t="s">
        <v>1524</v>
      </c>
      <c r="CA217" s="42" t="str">
        <f t="shared" si="141"/>
        <v>0</v>
      </c>
      <c r="CB217" s="62">
        <f t="shared" si="142"/>
        <v>71.582094907404098</v>
      </c>
      <c r="CC217" s="42">
        <f t="shared" si="143"/>
        <v>0</v>
      </c>
      <c r="CD217" s="62">
        <f t="shared" si="144"/>
        <v>71.582094907404098</v>
      </c>
      <c r="CE217" s="62">
        <f t="shared" si="145"/>
        <v>2.4656054912550296</v>
      </c>
      <c r="CF217" s="145">
        <f t="shared" si="146"/>
        <v>181</v>
      </c>
      <c r="CG217" s="145"/>
      <c r="CH217" s="443">
        <f t="shared" si="147"/>
        <v>8.7000499356994734</v>
      </c>
      <c r="CI217" s="996">
        <f t="shared" si="148"/>
        <v>8.7000499356994734</v>
      </c>
      <c r="CJ217" s="261">
        <f t="shared" si="149"/>
        <v>3.0166666666666666</v>
      </c>
      <c r="CK217" s="458" t="str">
        <f t="shared" si="150"/>
        <v/>
      </c>
      <c r="CL217" t="str">
        <f t="shared" si="151"/>
        <v>REV</v>
      </c>
      <c r="CM217" t="str">
        <f t="shared" si="152"/>
        <v/>
      </c>
      <c r="CN217" s="635"/>
      <c r="CO217" s="631"/>
      <c r="CP217" s="629" t="str">
        <f t="shared" si="128"/>
        <v>FOR ISSUANCE</v>
      </c>
      <c r="CQ217" s="635"/>
      <c r="CR217" s="697"/>
      <c r="CS217" s="633" t="str">
        <f t="shared" ca="1" si="153"/>
        <v>0</v>
      </c>
      <c r="CT217" s="635"/>
      <c r="CU217" s="631"/>
      <c r="CV217" s="638"/>
      <c r="CW217" s="156" t="s">
        <v>1525</v>
      </c>
      <c r="CX217" s="156" t="str">
        <f>VLOOKUP(E217,'[1]List of Work Orders'!$A:$I,9,FALSE)</f>
        <v>ME155242</v>
      </c>
      <c r="CY217" s="156"/>
      <c r="DC217" t="str">
        <f>VLOOKUP(E217,'[2]List of Work Orders'!$A:$F,6,FALSE)</f>
        <v>FCOMP</v>
      </c>
      <c r="DS217" s="156" t="s">
        <v>381</v>
      </c>
    </row>
    <row r="218" spans="1:123" customFormat="1" ht="15" customHeight="1" x14ac:dyDescent="0.25">
      <c r="A218" s="242">
        <v>45628</v>
      </c>
      <c r="B218" s="222"/>
      <c r="C218" s="223"/>
      <c r="D218" s="66" t="s">
        <v>234</v>
      </c>
      <c r="E218" s="404" t="s">
        <v>1526</v>
      </c>
      <c r="F218" s="95" t="s">
        <v>1527</v>
      </c>
      <c r="G218" s="95" t="s">
        <v>1528</v>
      </c>
      <c r="H218" s="95" t="s">
        <v>253</v>
      </c>
      <c r="I218" s="95" t="s">
        <v>254</v>
      </c>
      <c r="J218" s="163"/>
      <c r="K218" s="101"/>
      <c r="L218" s="101" t="s">
        <v>263</v>
      </c>
      <c r="M218" s="345" t="s">
        <v>272</v>
      </c>
      <c r="N218" s="442" t="s">
        <v>467</v>
      </c>
      <c r="O218" s="165">
        <v>36.013800000000003</v>
      </c>
      <c r="P218" s="933">
        <v>36.01</v>
      </c>
      <c r="Q218" s="157">
        <v>23</v>
      </c>
      <c r="R218" s="109" t="s">
        <v>548</v>
      </c>
      <c r="S218" s="141">
        <v>219117.43</v>
      </c>
      <c r="T218" s="110">
        <v>29025.16</v>
      </c>
      <c r="U218" s="141"/>
      <c r="V218" s="158">
        <f t="shared" si="129"/>
        <v>0</v>
      </c>
      <c r="W218" s="159">
        <v>45616.42460648148</v>
      </c>
      <c r="X218" s="159">
        <v>45624.338888888888</v>
      </c>
      <c r="Y218" s="160">
        <v>45624</v>
      </c>
      <c r="Z218" s="470"/>
      <c r="AA218" s="470">
        <v>45687</v>
      </c>
      <c r="AB218" s="470"/>
      <c r="AC218" s="161">
        <f t="shared" si="130"/>
        <v>70.575393518520286</v>
      </c>
      <c r="AD218" s="161">
        <f t="shared" si="160"/>
        <v>62.661111111112405</v>
      </c>
      <c r="AE218" s="446">
        <f t="shared" si="155"/>
        <v>-45687</v>
      </c>
      <c r="AF218" s="160">
        <f t="shared" si="161"/>
        <v>45635.198800029866</v>
      </c>
      <c r="AG218" s="160">
        <f t="shared" si="162"/>
        <v>45644.005251642768</v>
      </c>
      <c r="AH218" s="159">
        <f t="shared" si="163"/>
        <v>45666.42460648148</v>
      </c>
      <c r="AI218" s="162">
        <f t="shared" si="131"/>
        <v>2.430930221193476</v>
      </c>
      <c r="AJ218" s="224">
        <f t="shared" si="164"/>
        <v>-761.45</v>
      </c>
      <c r="AK218" s="225">
        <f t="shared" si="132"/>
        <v>20</v>
      </c>
      <c r="AL218" s="170">
        <f t="shared" si="133"/>
        <v>36</v>
      </c>
      <c r="AM218" s="170">
        <f t="shared" si="134"/>
        <v>21.774193548387096</v>
      </c>
      <c r="AN218" s="170">
        <f t="shared" si="135"/>
        <v>27.58064516129032</v>
      </c>
      <c r="AO218" s="226">
        <f t="shared" si="136"/>
        <v>18.774193548387096</v>
      </c>
      <c r="AP218" s="227">
        <v>60</v>
      </c>
      <c r="AQ218" s="228">
        <f t="shared" si="137"/>
        <v>57</v>
      </c>
      <c r="AR218" s="228">
        <f t="shared" si="165"/>
        <v>52</v>
      </c>
      <c r="AS218" s="229">
        <f t="shared" si="139"/>
        <v>45747</v>
      </c>
      <c r="AT218" s="982">
        <f t="shared" ca="1" si="140"/>
        <v>208</v>
      </c>
      <c r="AU218" s="50"/>
      <c r="AV218" s="118"/>
      <c r="AW218" s="49"/>
      <c r="AX218" s="49"/>
      <c r="AY218" s="49"/>
      <c r="AZ218" s="300"/>
      <c r="BA218" s="119"/>
      <c r="BB218" s="304"/>
      <c r="BC218" s="231" t="s">
        <v>13</v>
      </c>
      <c r="BD218" s="232"/>
      <c r="BE218" s="222">
        <f t="shared" si="166"/>
        <v>45702</v>
      </c>
      <c r="BF218" s="233" t="e">
        <f t="shared" si="127"/>
        <v>#VALUE!</v>
      </c>
      <c r="BG218" s="248"/>
      <c r="BH218" s="235"/>
      <c r="BI218" s="234"/>
      <c r="BJ218" s="236"/>
      <c r="BK218" s="222"/>
      <c r="BL218" s="222"/>
      <c r="BM218" s="238"/>
      <c r="BN218" s="222"/>
      <c r="BO218" s="222"/>
      <c r="BP218" s="243"/>
      <c r="BQ218" s="244"/>
      <c r="BR218" s="238"/>
      <c r="BS218" s="67"/>
      <c r="BT218" s="66"/>
      <c r="BU218" s="66"/>
      <c r="BV218" s="66"/>
      <c r="BW218" s="74"/>
      <c r="BX218" s="81"/>
      <c r="BY218" s="66">
        <v>45649</v>
      </c>
      <c r="BZ218" s="944" t="s">
        <v>1529</v>
      </c>
      <c r="CA218" s="42" t="str">
        <f t="shared" si="141"/>
        <v>0</v>
      </c>
      <c r="CB218" s="62">
        <f t="shared" si="142"/>
        <v>70.575393518520286</v>
      </c>
      <c r="CC218" s="42">
        <f t="shared" si="143"/>
        <v>0</v>
      </c>
      <c r="CD218" s="62">
        <f t="shared" si="144"/>
        <v>70.575393518520286</v>
      </c>
      <c r="CE218" s="62">
        <f t="shared" si="145"/>
        <v>2.430930221193476</v>
      </c>
      <c r="CF218" s="145">
        <f t="shared" si="146"/>
        <v>182</v>
      </c>
      <c r="CG218" s="145"/>
      <c r="CH218" s="443">
        <f t="shared" si="147"/>
        <v>8.6998191100823643</v>
      </c>
      <c r="CI218" s="996">
        <f t="shared" si="148"/>
        <v>8.6998191100823643</v>
      </c>
      <c r="CJ218" s="261">
        <f t="shared" si="149"/>
        <v>3.0333333333333332</v>
      </c>
      <c r="CK218" s="458" t="str">
        <f t="shared" si="150"/>
        <v/>
      </c>
      <c r="CL218" t="str">
        <f t="shared" si="151"/>
        <v>NON-REV</v>
      </c>
      <c r="CM218" t="str">
        <f t="shared" si="152"/>
        <v/>
      </c>
      <c r="CN218" s="635"/>
      <c r="CO218" s="631"/>
      <c r="CP218" s="629" t="str">
        <f t="shared" si="128"/>
        <v>FOR ISSUANCE</v>
      </c>
      <c r="CQ218" s="635"/>
      <c r="CR218" s="697"/>
      <c r="CS218" s="633" t="str">
        <f t="shared" ca="1" si="153"/>
        <v>0</v>
      </c>
      <c r="CT218" s="635"/>
      <c r="CU218" s="631"/>
      <c r="CV218" s="638"/>
      <c r="CW218" s="156" t="s">
        <v>1530</v>
      </c>
      <c r="CX218" s="156" t="str">
        <f>VLOOKUP(E218,'[1]List of Work Orders'!$A:$I,9,FALSE)</f>
        <v>ME155242</v>
      </c>
      <c r="CY218" s="156"/>
      <c r="DC218" t="str">
        <f>VLOOKUP(E218,'[2]List of Work Orders'!$A:$F,6,FALSE)</f>
        <v>FCOMP</v>
      </c>
      <c r="DS218" s="156" t="s">
        <v>381</v>
      </c>
    </row>
    <row r="219" spans="1:123" customFormat="1" ht="15" customHeight="1" x14ac:dyDescent="0.25">
      <c r="A219" s="242">
        <v>45624</v>
      </c>
      <c r="B219" s="222"/>
      <c r="C219" s="223"/>
      <c r="D219" s="66" t="s">
        <v>320</v>
      </c>
      <c r="E219" s="404" t="s">
        <v>1531</v>
      </c>
      <c r="F219" s="95" t="s">
        <v>1532</v>
      </c>
      <c r="G219" s="95" t="s">
        <v>1533</v>
      </c>
      <c r="H219" s="95" t="s">
        <v>378</v>
      </c>
      <c r="I219" s="95" t="s">
        <v>239</v>
      </c>
      <c r="J219" s="163" t="s">
        <v>1534</v>
      </c>
      <c r="K219" s="101"/>
      <c r="L219" s="101" t="s">
        <v>288</v>
      </c>
      <c r="M219" s="345" t="s">
        <v>534</v>
      </c>
      <c r="N219" s="442" t="s">
        <v>381</v>
      </c>
      <c r="O219" s="165">
        <v>19.560300000000002</v>
      </c>
      <c r="P219" s="165" t="e">
        <v>#N/A</v>
      </c>
      <c r="Q219" s="157">
        <v>15</v>
      </c>
      <c r="R219" s="109" t="s">
        <v>244</v>
      </c>
      <c r="S219" s="141">
        <v>187691.5</v>
      </c>
      <c r="T219" s="110">
        <v>15751.46</v>
      </c>
      <c r="U219" s="141"/>
      <c r="V219" s="158">
        <f t="shared" si="129"/>
        <v>0</v>
      </c>
      <c r="W219" s="159">
        <v>45616.442974537036</v>
      </c>
      <c r="X219" s="159">
        <v>45624.332638888889</v>
      </c>
      <c r="Y219" s="160">
        <v>45623</v>
      </c>
      <c r="Z219" s="470"/>
      <c r="AA219" s="470" t="s">
        <v>534</v>
      </c>
      <c r="AB219" s="470"/>
      <c r="AC219" s="161" t="e">
        <f t="shared" si="130"/>
        <v>#VALUE!</v>
      </c>
      <c r="AD219" s="161" t="e">
        <f t="shared" si="160"/>
        <v>#VALUE!</v>
      </c>
      <c r="AE219" s="446" t="e">
        <f t="shared" si="155"/>
        <v>#VALUE!</v>
      </c>
      <c r="AF219" s="160" t="e">
        <f t="shared" si="161"/>
        <v>#N/A</v>
      </c>
      <c r="AG219" s="160" t="e">
        <f t="shared" si="162"/>
        <v>#N/A</v>
      </c>
      <c r="AH219" s="159">
        <f t="shared" si="163"/>
        <v>45666.442974537036</v>
      </c>
      <c r="AI219" s="162" t="e">
        <f t="shared" si="131"/>
        <v>#VALUE!</v>
      </c>
      <c r="AJ219" s="224" t="e">
        <f t="shared" si="164"/>
        <v>#VALUE!</v>
      </c>
      <c r="AK219" s="225" t="e">
        <f t="shared" si="132"/>
        <v>#N/A</v>
      </c>
      <c r="AL219" s="170">
        <f t="shared" si="133"/>
        <v>36</v>
      </c>
      <c r="AM219" s="170" t="e">
        <f t="shared" si="134"/>
        <v>#N/A</v>
      </c>
      <c r="AN219" s="170" t="e">
        <f t="shared" si="135"/>
        <v>#N/A</v>
      </c>
      <c r="AO219" s="226" t="e">
        <f t="shared" si="136"/>
        <v>#N/A</v>
      </c>
      <c r="AP219" s="227">
        <v>60</v>
      </c>
      <c r="AQ219" s="228">
        <f t="shared" si="137"/>
        <v>57</v>
      </c>
      <c r="AR219" s="228">
        <f t="shared" si="165"/>
        <v>52</v>
      </c>
      <c r="AS219" s="229" t="e">
        <f t="shared" si="139"/>
        <v>#VALUE!</v>
      </c>
      <c r="AT219" s="982" t="str">
        <f t="shared" ca="1" si="140"/>
        <v/>
      </c>
      <c r="AU219" s="50"/>
      <c r="AV219" s="118"/>
      <c r="AW219" s="49"/>
      <c r="AX219" s="49"/>
      <c r="AY219" s="49"/>
      <c r="AZ219" s="300"/>
      <c r="BA219" s="119"/>
      <c r="BB219" s="304"/>
      <c r="BC219" s="231"/>
      <c r="BD219" s="232"/>
      <c r="BE219" s="222" t="e">
        <f t="shared" si="166"/>
        <v>#VALUE!</v>
      </c>
      <c r="BF219" s="233" t="e">
        <f t="shared" si="127"/>
        <v>#VALUE!</v>
      </c>
      <c r="BG219" s="248"/>
      <c r="BH219" s="235"/>
      <c r="BI219" s="234"/>
      <c r="BJ219" s="236"/>
      <c r="BK219" s="222"/>
      <c r="BL219" s="222"/>
      <c r="BM219" s="238"/>
      <c r="BN219" s="222"/>
      <c r="BO219" s="222"/>
      <c r="BP219" s="243"/>
      <c r="BQ219" s="244" t="s">
        <v>247</v>
      </c>
      <c r="BR219" s="238"/>
      <c r="BS219" s="67"/>
      <c r="BT219" s="66"/>
      <c r="BU219" s="66"/>
      <c r="BV219" s="66"/>
      <c r="BW219" s="74"/>
      <c r="BX219" s="81"/>
      <c r="BY219" s="66" t="s">
        <v>308</v>
      </c>
      <c r="BZ219" s="944" t="s">
        <v>1535</v>
      </c>
      <c r="CA219" s="42" t="str">
        <f t="shared" si="141"/>
        <v>0</v>
      </c>
      <c r="CB219" s="62" t="e">
        <f t="shared" si="142"/>
        <v>#VALUE!</v>
      </c>
      <c r="CC219" s="42">
        <f t="shared" si="143"/>
        <v>0</v>
      </c>
      <c r="CD219" s="62" t="e">
        <f t="shared" si="144"/>
        <v>#VALUE!</v>
      </c>
      <c r="CE219" s="62" t="e">
        <f t="shared" si="145"/>
        <v>#VALUE!</v>
      </c>
      <c r="CF219" s="145" t="e">
        <f t="shared" si="146"/>
        <v>#VALUE!</v>
      </c>
      <c r="CG219" s="145"/>
      <c r="CH219" s="443" t="e">
        <f t="shared" si="147"/>
        <v>#N/A</v>
      </c>
      <c r="CI219" s="996" t="e">
        <f t="shared" si="148"/>
        <v>#N/A</v>
      </c>
      <c r="CJ219" s="261" t="e">
        <f t="shared" si="149"/>
        <v>#VALUE!</v>
      </c>
      <c r="CK219" s="458" t="str">
        <f t="shared" si="150"/>
        <v/>
      </c>
      <c r="CL219" t="str">
        <f t="shared" si="151"/>
        <v>REV</v>
      </c>
      <c r="CM219" t="str">
        <f t="shared" si="152"/>
        <v/>
      </c>
      <c r="CN219" s="635"/>
      <c r="CO219" s="631"/>
      <c r="CP219" s="629" t="str">
        <f t="shared" si="128"/>
        <v>FOR ISSUANCE</v>
      </c>
      <c r="CQ219" s="635"/>
      <c r="CR219" s="697"/>
      <c r="CS219" s="633" t="str">
        <f t="shared" ca="1" si="153"/>
        <v>0</v>
      </c>
      <c r="CT219" s="635"/>
      <c r="CU219" s="631"/>
      <c r="CV219" s="638"/>
      <c r="CW219" s="156" t="s">
        <v>1536</v>
      </c>
      <c r="CX219" s="156" t="str">
        <f>VLOOKUP(E219,'[1]List of Work Orders'!$A:$I,9,FALSE)</f>
        <v>ME185284</v>
      </c>
      <c r="CY219" s="156"/>
      <c r="DC219" t="str">
        <f>VLOOKUP(E219,'[2]List of Work Orders'!$A:$F,6,FALSE)</f>
        <v>COMP-CAN</v>
      </c>
      <c r="DS219" s="156" t="s">
        <v>381</v>
      </c>
    </row>
    <row r="220" spans="1:123" ht="15" customHeight="1" x14ac:dyDescent="0.2">
      <c r="A220" s="242">
        <v>45628</v>
      </c>
      <c r="B220" s="222"/>
      <c r="C220" s="223"/>
      <c r="D220" s="66" t="s">
        <v>320</v>
      </c>
      <c r="E220" s="404" t="s">
        <v>1537</v>
      </c>
      <c r="F220" s="95" t="s">
        <v>1538</v>
      </c>
      <c r="G220" s="95" t="s">
        <v>1539</v>
      </c>
      <c r="H220" s="95" t="s">
        <v>238</v>
      </c>
      <c r="I220" s="95" t="s">
        <v>239</v>
      </c>
      <c r="J220" s="163"/>
      <c r="K220" s="101"/>
      <c r="L220" s="101" t="s">
        <v>255</v>
      </c>
      <c r="M220" s="345" t="s">
        <v>272</v>
      </c>
      <c r="N220" s="442" t="s">
        <v>381</v>
      </c>
      <c r="O220" s="165">
        <v>61.139499999999998</v>
      </c>
      <c r="P220" s="933">
        <v>61.14</v>
      </c>
      <c r="Q220" s="157">
        <v>31.5</v>
      </c>
      <c r="R220" s="109" t="s">
        <v>244</v>
      </c>
      <c r="S220" s="141">
        <v>318987.77</v>
      </c>
      <c r="T220" s="110">
        <v>49234.13</v>
      </c>
      <c r="U220" s="141"/>
      <c r="V220" s="158">
        <f t="shared" si="129"/>
        <v>0</v>
      </c>
      <c r="W220" s="159">
        <v>45616.700358796297</v>
      </c>
      <c r="X220" s="159">
        <v>45624.334027777775</v>
      </c>
      <c r="Y220" s="160">
        <v>45623</v>
      </c>
      <c r="Z220" s="470"/>
      <c r="AA220" s="470">
        <v>45666</v>
      </c>
      <c r="AB220" s="470"/>
      <c r="AC220" s="161">
        <f t="shared" si="130"/>
        <v>49.299641203702777</v>
      </c>
      <c r="AD220" s="161">
        <f t="shared" si="160"/>
        <v>41.665972222224809</v>
      </c>
      <c r="AE220" s="446">
        <f t="shared" si="155"/>
        <v>-45666</v>
      </c>
      <c r="AF220" s="160">
        <f t="shared" si="161"/>
        <v>45636.785860655036</v>
      </c>
      <c r="AG220" s="160">
        <f t="shared" si="162"/>
        <v>45645.941994484027</v>
      </c>
      <c r="AH220" s="159">
        <f t="shared" si="163"/>
        <v>45666.700358796297</v>
      </c>
      <c r="AI220" s="162">
        <f t="shared" si="131"/>
        <v>1.6016429328256094</v>
      </c>
      <c r="AJ220" s="224">
        <f t="shared" si="164"/>
        <v>-761.1</v>
      </c>
      <c r="AK220" s="225">
        <f t="shared" si="132"/>
        <v>23</v>
      </c>
      <c r="AL220" s="170">
        <f t="shared" si="133"/>
        <v>36</v>
      </c>
      <c r="AM220" s="170">
        <f t="shared" si="134"/>
        <v>23.085501858736059</v>
      </c>
      <c r="AN220" s="170">
        <f t="shared" si="135"/>
        <v>29.241635687732341</v>
      </c>
      <c r="AO220" s="226">
        <f t="shared" si="136"/>
        <v>20.085501858736059</v>
      </c>
      <c r="AP220" s="227">
        <v>60</v>
      </c>
      <c r="AQ220" s="228">
        <f t="shared" si="137"/>
        <v>57</v>
      </c>
      <c r="AR220" s="228">
        <f t="shared" si="165"/>
        <v>52</v>
      </c>
      <c r="AS220" s="229">
        <f t="shared" si="139"/>
        <v>45726</v>
      </c>
      <c r="AT220" s="982">
        <f t="shared" ca="1" si="140"/>
        <v>229</v>
      </c>
      <c r="AU220" s="1077"/>
      <c r="AV220" s="1078"/>
      <c r="AW220" s="1079"/>
      <c r="AX220" s="1079"/>
      <c r="AY220" s="1079"/>
      <c r="AZ220" s="1080"/>
      <c r="BA220" s="1081"/>
      <c r="BB220" s="1091"/>
      <c r="BC220" s="231" t="s">
        <v>13</v>
      </c>
      <c r="BD220" s="232"/>
      <c r="BE220" s="222">
        <f t="shared" si="166"/>
        <v>45681</v>
      </c>
      <c r="BF220" s="233" t="e">
        <f t="shared" si="127"/>
        <v>#VALUE!</v>
      </c>
      <c r="BG220" s="248"/>
      <c r="BH220" s="235"/>
      <c r="BI220" s="234"/>
      <c r="BJ220" s="236"/>
      <c r="BK220" s="222"/>
      <c r="BL220" s="222"/>
      <c r="BM220" s="238"/>
      <c r="BN220" s="222"/>
      <c r="BO220" s="222"/>
      <c r="BP220" s="243"/>
      <c r="BQ220" s="244"/>
      <c r="BR220" s="238"/>
      <c r="BS220" s="67"/>
      <c r="BT220" s="66"/>
      <c r="BU220" s="66"/>
      <c r="BV220" s="66"/>
      <c r="BW220" s="74"/>
      <c r="BX220" s="81"/>
      <c r="BY220" s="66">
        <v>45647</v>
      </c>
      <c r="BZ220" s="944" t="s">
        <v>1540</v>
      </c>
      <c r="CA220" s="42" t="str">
        <f t="shared" si="141"/>
        <v>0</v>
      </c>
      <c r="CB220" s="62">
        <f t="shared" si="142"/>
        <v>49.299641203702777</v>
      </c>
      <c r="CC220" s="42">
        <f t="shared" si="143"/>
        <v>0</v>
      </c>
      <c r="CD220" s="62">
        <f t="shared" si="144"/>
        <v>49.299641203702777</v>
      </c>
      <c r="CE220" s="62">
        <f t="shared" si="145"/>
        <v>1.6016429328256094</v>
      </c>
      <c r="CF220" s="1059">
        <f t="shared" si="146"/>
        <v>203</v>
      </c>
      <c r="CH220" s="1082">
        <f t="shared" si="147"/>
        <v>8.1966912420043521</v>
      </c>
      <c r="CI220" s="1083">
        <f t="shared" si="148"/>
        <v>8.1966912420043521</v>
      </c>
      <c r="CJ220" s="1084">
        <f t="shared" si="149"/>
        <v>3.3833333333333333</v>
      </c>
      <c r="CK220" s="1085" t="str">
        <f t="shared" si="150"/>
        <v/>
      </c>
      <c r="CL220" s="1057" t="str">
        <f t="shared" si="151"/>
        <v>REV</v>
      </c>
      <c r="CM220" s="1057" t="str">
        <f t="shared" si="152"/>
        <v/>
      </c>
      <c r="CN220" s="1086"/>
      <c r="CO220" s="1087"/>
      <c r="CP220" s="629" t="str">
        <f t="shared" si="128"/>
        <v>FOR ISSUANCE</v>
      </c>
      <c r="CQ220" s="1086"/>
      <c r="CR220" s="1088"/>
      <c r="CS220" s="1089" t="str">
        <f t="shared" ca="1" si="153"/>
        <v>0</v>
      </c>
      <c r="CT220" s="1086"/>
      <c r="CU220" s="1087"/>
      <c r="CV220" s="1090"/>
      <c r="CW220" s="156" t="s">
        <v>1541</v>
      </c>
      <c r="CX220" s="156" t="str">
        <f>VLOOKUP(E220,'[1]List of Work Orders'!$A:$I,9,FALSE)</f>
        <v>ME185284</v>
      </c>
      <c r="CY220" s="156"/>
      <c r="DC220" s="1057" t="str">
        <f>VLOOKUP(E220,'[2]List of Work Orders'!$A:$F,6,FALSE)</f>
        <v>FCOMP</v>
      </c>
      <c r="DS220" s="156" t="s">
        <v>381</v>
      </c>
    </row>
    <row r="221" spans="1:123" customFormat="1" ht="15" customHeight="1" x14ac:dyDescent="0.25">
      <c r="A221" s="242">
        <v>45624</v>
      </c>
      <c r="B221" s="222"/>
      <c r="C221" s="223"/>
      <c r="D221" s="66" t="s">
        <v>234</v>
      </c>
      <c r="E221" s="404" t="s">
        <v>1542</v>
      </c>
      <c r="F221" s="95" t="s">
        <v>1277</v>
      </c>
      <c r="G221" s="95" t="s">
        <v>1543</v>
      </c>
      <c r="H221" s="95" t="s">
        <v>378</v>
      </c>
      <c r="I221" s="95" t="s">
        <v>239</v>
      </c>
      <c r="J221" s="163"/>
      <c r="K221" s="101"/>
      <c r="L221" s="101" t="s">
        <v>288</v>
      </c>
      <c r="M221" s="345" t="s">
        <v>272</v>
      </c>
      <c r="N221" s="442" t="s">
        <v>381</v>
      </c>
      <c r="O221" s="165">
        <v>196.50659999999999</v>
      </c>
      <c r="P221" s="933">
        <v>195.12</v>
      </c>
      <c r="Q221" s="157">
        <v>0</v>
      </c>
      <c r="R221" s="109" t="s">
        <v>319</v>
      </c>
      <c r="S221" s="141">
        <v>157531.82999999999</v>
      </c>
      <c r="T221" s="110">
        <v>158282.26</v>
      </c>
      <c r="U221" s="141"/>
      <c r="V221" s="158">
        <f t="shared" si="129"/>
        <v>0</v>
      </c>
      <c r="W221" s="159">
        <v>45617.380416666667</v>
      </c>
      <c r="X221" s="159">
        <v>45623.597916666666</v>
      </c>
      <c r="Y221" s="160">
        <v>45623</v>
      </c>
      <c r="Z221" s="470">
        <v>45689</v>
      </c>
      <c r="AA221" s="470">
        <v>45689</v>
      </c>
      <c r="AB221" s="470"/>
      <c r="AC221" s="161">
        <f t="shared" si="130"/>
        <v>71.619583333333139</v>
      </c>
      <c r="AD221" s="161">
        <f t="shared" si="160"/>
        <v>65.402083333334303</v>
      </c>
      <c r="AE221" s="446">
        <f t="shared" si="155"/>
        <v>-45689</v>
      </c>
      <c r="AF221" s="160">
        <f t="shared" si="161"/>
        <v>45638.587313218392</v>
      </c>
      <c r="AG221" s="160">
        <f t="shared" si="162"/>
        <v>45648.042485632184</v>
      </c>
      <c r="AH221" s="159">
        <f t="shared" si="163"/>
        <v>45667.380416666667</v>
      </c>
      <c r="AI221" s="162">
        <f t="shared" si="131"/>
        <v>2.2189828169515606</v>
      </c>
      <c r="AJ221" s="224">
        <f t="shared" si="164"/>
        <v>-761.48333333333335</v>
      </c>
      <c r="AK221" s="225">
        <f t="shared" si="132"/>
        <v>26</v>
      </c>
      <c r="AL221" s="170">
        <f t="shared" si="133"/>
        <v>36</v>
      </c>
      <c r="AM221" s="170">
        <f t="shared" si="134"/>
        <v>24.206896551724139</v>
      </c>
      <c r="AN221" s="170">
        <f t="shared" si="135"/>
        <v>30.662068965517239</v>
      </c>
      <c r="AO221" s="226">
        <f t="shared" si="136"/>
        <v>21.206896551724139</v>
      </c>
      <c r="AP221" s="227">
        <v>60</v>
      </c>
      <c r="AQ221" s="228">
        <f t="shared" si="137"/>
        <v>57</v>
      </c>
      <c r="AR221" s="228">
        <f t="shared" si="165"/>
        <v>52</v>
      </c>
      <c r="AS221" s="229">
        <f t="shared" si="139"/>
        <v>45749</v>
      </c>
      <c r="AT221" s="982">
        <f t="shared" ca="1" si="140"/>
        <v>206</v>
      </c>
      <c r="AU221" s="50"/>
      <c r="AV221" s="118"/>
      <c r="AW221" s="49"/>
      <c r="AX221" s="49"/>
      <c r="AY221" s="49"/>
      <c r="AZ221" s="300"/>
      <c r="BA221" s="119"/>
      <c r="BB221" s="304"/>
      <c r="BC221" s="231" t="s">
        <v>12</v>
      </c>
      <c r="BD221" s="232"/>
      <c r="BE221" s="222">
        <f t="shared" si="166"/>
        <v>45704</v>
      </c>
      <c r="BF221" s="233">
        <f t="shared" si="127"/>
        <v>152</v>
      </c>
      <c r="BG221" s="248">
        <v>45689</v>
      </c>
      <c r="BH221" s="235">
        <v>45856</v>
      </c>
      <c r="BI221" s="234"/>
      <c r="BJ221" s="236"/>
      <c r="BK221" s="222"/>
      <c r="BL221" s="222"/>
      <c r="BM221" s="238"/>
      <c r="BN221" s="222"/>
      <c r="BO221" s="222"/>
      <c r="BP221" s="243"/>
      <c r="BQ221" s="244" t="s">
        <v>247</v>
      </c>
      <c r="BR221" s="238">
        <v>45623</v>
      </c>
      <c r="BS221" s="67"/>
      <c r="BT221" s="66"/>
      <c r="BU221" s="66"/>
      <c r="BV221" s="66"/>
      <c r="BW221" s="74"/>
      <c r="BX221" s="81"/>
      <c r="BY221" s="66" t="s">
        <v>308</v>
      </c>
      <c r="BZ221" s="944" t="s">
        <v>1544</v>
      </c>
      <c r="CA221" s="42" t="str">
        <f t="shared" si="141"/>
        <v>0</v>
      </c>
      <c r="CB221" s="62">
        <f t="shared" si="142"/>
        <v>71.619583333333139</v>
      </c>
      <c r="CC221" s="42">
        <f t="shared" si="143"/>
        <v>0</v>
      </c>
      <c r="CD221" s="62">
        <f t="shared" si="144"/>
        <v>71.619583333333139</v>
      </c>
      <c r="CE221" s="62">
        <f t="shared" si="145"/>
        <v>2.2189828169515606</v>
      </c>
      <c r="CF221" s="145">
        <f t="shared" si="146"/>
        <v>180</v>
      </c>
      <c r="CG221" s="145"/>
      <c r="CH221" s="443">
        <f t="shared" si="147"/>
        <v>7.7959058938746377</v>
      </c>
      <c r="CI221" s="996">
        <f t="shared" si="148"/>
        <v>7.7959058938746377</v>
      </c>
      <c r="CJ221" s="261">
        <f t="shared" si="149"/>
        <v>3</v>
      </c>
      <c r="CK221" s="458" t="str">
        <f t="shared" si="150"/>
        <v/>
      </c>
      <c r="CL221" t="str">
        <f t="shared" si="151"/>
        <v>NON-REV</v>
      </c>
      <c r="CM221" t="str">
        <f t="shared" si="152"/>
        <v/>
      </c>
      <c r="CN221" s="635"/>
      <c r="CO221" s="631"/>
      <c r="CP221" s="629" t="str">
        <f t="shared" si="128"/>
        <v>FOR ISSUANCE</v>
      </c>
      <c r="CQ221" s="635"/>
      <c r="CR221" s="697"/>
      <c r="CS221" s="633" t="str">
        <f t="shared" ca="1" si="153"/>
        <v>0</v>
      </c>
      <c r="CT221" s="635"/>
      <c r="CU221" s="631"/>
      <c r="CV221" s="638"/>
      <c r="CW221" s="156" t="s">
        <v>1545</v>
      </c>
      <c r="CX221" s="156" t="str">
        <f>VLOOKUP(E221,'[1]List of Work Orders'!$A:$I,9,FALSE)</f>
        <v>ME185284</v>
      </c>
      <c r="CY221" s="156"/>
      <c r="DC221" t="str">
        <f>VLOOKUP(E221,'[2]List of Work Orders'!$A:$F,6,FALSE)</f>
        <v>FCOMP</v>
      </c>
      <c r="DS221" s="156" t="s">
        <v>381</v>
      </c>
    </row>
    <row r="222" spans="1:123" customFormat="1" ht="15" customHeight="1" x14ac:dyDescent="0.25">
      <c r="A222" s="242">
        <v>45624</v>
      </c>
      <c r="B222" s="222"/>
      <c r="C222" s="223"/>
      <c r="D222" s="66" t="s">
        <v>320</v>
      </c>
      <c r="E222" s="404" t="s">
        <v>1546</v>
      </c>
      <c r="F222" s="95" t="s">
        <v>949</v>
      </c>
      <c r="G222" s="95" t="s">
        <v>1547</v>
      </c>
      <c r="H222" s="95" t="s">
        <v>378</v>
      </c>
      <c r="I222" s="95" t="s">
        <v>239</v>
      </c>
      <c r="J222" s="163" t="s">
        <v>1548</v>
      </c>
      <c r="K222" s="101" t="s">
        <v>299</v>
      </c>
      <c r="L222" s="101" t="s">
        <v>288</v>
      </c>
      <c r="M222" s="345" t="s">
        <v>1549</v>
      </c>
      <c r="N222" s="442" t="s">
        <v>381</v>
      </c>
      <c r="O222" s="165">
        <v>83.854299999999995</v>
      </c>
      <c r="P222" s="933">
        <v>89.29</v>
      </c>
      <c r="Q222" s="157">
        <v>157</v>
      </c>
      <c r="R222" s="109" t="s">
        <v>244</v>
      </c>
      <c r="S222" s="141">
        <v>715296.24</v>
      </c>
      <c r="T222" s="110">
        <v>67525.75</v>
      </c>
      <c r="U222" s="141">
        <v>72249.91</v>
      </c>
      <c r="V222" s="158">
        <f t="shared" si="129"/>
        <v>1.0699608667804505</v>
      </c>
      <c r="W222" s="159">
        <v>45617.535520833335</v>
      </c>
      <c r="X222" s="159">
        <v>45624.342361111114</v>
      </c>
      <c r="Y222" s="160">
        <v>45623</v>
      </c>
      <c r="Z222" s="470"/>
      <c r="AA222" s="470">
        <v>45683</v>
      </c>
      <c r="AB222" s="470">
        <v>45777</v>
      </c>
      <c r="AC222" s="161">
        <f t="shared" si="130"/>
        <v>65.464479166665114</v>
      </c>
      <c r="AD222" s="161">
        <f t="shared" si="160"/>
        <v>58.65763888888614</v>
      </c>
      <c r="AE222" s="446">
        <f t="shared" si="155"/>
        <v>94</v>
      </c>
      <c r="AF222" s="160">
        <f t="shared" si="161"/>
        <v>45636.014120055122</v>
      </c>
      <c r="AG222" s="160">
        <f t="shared" si="162"/>
        <v>45644.741746514272</v>
      </c>
      <c r="AH222" s="159">
        <f t="shared" si="163"/>
        <v>45667.535520833335</v>
      </c>
      <c r="AI222" s="162">
        <f t="shared" si="131"/>
        <v>2.285919992640344</v>
      </c>
      <c r="AJ222" s="224">
        <f t="shared" si="164"/>
        <v>1.5666666666666667</v>
      </c>
      <c r="AK222" s="225">
        <f t="shared" si="132"/>
        <v>23</v>
      </c>
      <c r="AL222" s="170">
        <f t="shared" si="133"/>
        <v>32</v>
      </c>
      <c r="AM222" s="170">
        <f t="shared" si="134"/>
        <v>21.478599221789885</v>
      </c>
      <c r="AN222" s="170">
        <f t="shared" si="135"/>
        <v>27.206225680933851</v>
      </c>
      <c r="AO222" s="226">
        <f t="shared" si="136"/>
        <v>18.478599221789885</v>
      </c>
      <c r="AP222" s="227">
        <v>60</v>
      </c>
      <c r="AQ222" s="228">
        <f t="shared" si="137"/>
        <v>57</v>
      </c>
      <c r="AR222" s="228">
        <f t="shared" si="165"/>
        <v>52</v>
      </c>
      <c r="AS222" s="229">
        <f t="shared" si="139"/>
        <v>45743</v>
      </c>
      <c r="AT222" s="982">
        <f t="shared" ca="1" si="140"/>
        <v>212</v>
      </c>
      <c r="AU222" s="50"/>
      <c r="AV222" s="118"/>
      <c r="AW222" s="49"/>
      <c r="AX222" s="49"/>
      <c r="AY222" s="49"/>
      <c r="AZ222" s="300"/>
      <c r="BA222" s="119"/>
      <c r="BB222" s="304"/>
      <c r="BC222" s="231" t="s">
        <v>14</v>
      </c>
      <c r="BD222" s="232" t="s">
        <v>14</v>
      </c>
      <c r="BE222" s="222">
        <f t="shared" si="166"/>
        <v>45698</v>
      </c>
      <c r="BF222" s="233">
        <f t="shared" si="127"/>
        <v>25</v>
      </c>
      <c r="BG222" s="248">
        <v>45683</v>
      </c>
      <c r="BH222" s="235">
        <v>45723</v>
      </c>
      <c r="BI222" s="234">
        <v>45748</v>
      </c>
      <c r="BJ222" s="236" t="s">
        <v>1119</v>
      </c>
      <c r="BK222" s="222" t="s">
        <v>247</v>
      </c>
      <c r="BL222" s="222"/>
      <c r="BM222" s="238"/>
      <c r="BN222" s="222"/>
      <c r="BO222" s="222">
        <v>45749</v>
      </c>
      <c r="BP222" s="243" t="s">
        <v>1084</v>
      </c>
      <c r="BQ222" s="244" t="s">
        <v>247</v>
      </c>
      <c r="BR222" s="238">
        <v>45679</v>
      </c>
      <c r="BS222" s="67"/>
      <c r="BT222" s="66"/>
      <c r="BU222" s="66"/>
      <c r="BV222" s="66"/>
      <c r="BW222" s="74"/>
      <c r="BX222" s="81"/>
      <c r="BY222" s="66">
        <v>45624</v>
      </c>
      <c r="BZ222" s="944" t="s">
        <v>1550</v>
      </c>
      <c r="CA222" s="42" t="str">
        <f t="shared" si="141"/>
        <v>0</v>
      </c>
      <c r="CB222" s="62">
        <f t="shared" si="142"/>
        <v>65.464479166665114</v>
      </c>
      <c r="CC222" s="42">
        <f t="shared" si="143"/>
        <v>0</v>
      </c>
      <c r="CD222" s="62">
        <f t="shared" si="144"/>
        <v>65.464479166665114</v>
      </c>
      <c r="CE222" s="62">
        <f t="shared" si="145"/>
        <v>2.285919992640344</v>
      </c>
      <c r="CF222" s="145">
        <f t="shared" si="146"/>
        <v>186</v>
      </c>
      <c r="CG222" s="145"/>
      <c r="CH222" s="443">
        <f t="shared" si="147"/>
        <v>8.7807569491620825</v>
      </c>
      <c r="CI222" s="996">
        <f t="shared" si="148"/>
        <v>8.7807569491620825</v>
      </c>
      <c r="CJ222" s="261">
        <f t="shared" si="149"/>
        <v>3.1</v>
      </c>
      <c r="CK222" s="458" t="str">
        <f t="shared" si="150"/>
        <v/>
      </c>
      <c r="CL222" t="str">
        <f t="shared" si="151"/>
        <v>REV</v>
      </c>
      <c r="CM222" t="str">
        <f t="shared" si="152"/>
        <v/>
      </c>
      <c r="CN222" s="635"/>
      <c r="CO222" s="631"/>
      <c r="CP222" s="629" t="s">
        <v>1330</v>
      </c>
      <c r="CQ222" s="635"/>
      <c r="CR222" s="697"/>
      <c r="CS222" s="633" t="str">
        <f t="shared" ca="1" si="153"/>
        <v>0</v>
      </c>
      <c r="CT222" s="635"/>
      <c r="CU222" s="631"/>
      <c r="CV222" s="638"/>
      <c r="CW222" s="156" t="s">
        <v>1551</v>
      </c>
      <c r="CX222" s="156" t="str">
        <f>VLOOKUP(E222,'[1]List of Work Orders'!$A:$I,9,FALSE)</f>
        <v>ME185284</v>
      </c>
      <c r="CY222" s="156"/>
      <c r="DC222" t="str">
        <f>VLOOKUP(E222,'[2]List of Work Orders'!$A:$F,6,FALSE)</f>
        <v>FCOMP</v>
      </c>
      <c r="DS222" s="156" t="s">
        <v>381</v>
      </c>
    </row>
    <row r="223" spans="1:123" customFormat="1" ht="15" customHeight="1" x14ac:dyDescent="0.25">
      <c r="A223" s="242">
        <v>45624</v>
      </c>
      <c r="B223" s="222" t="s">
        <v>308</v>
      </c>
      <c r="C223" s="223"/>
      <c r="D223" s="66" t="s">
        <v>320</v>
      </c>
      <c r="E223" s="404" t="s">
        <v>1552</v>
      </c>
      <c r="F223" s="95" t="s">
        <v>1553</v>
      </c>
      <c r="G223" s="95" t="s">
        <v>1554</v>
      </c>
      <c r="H223" s="95" t="s">
        <v>378</v>
      </c>
      <c r="I223" s="95" t="s">
        <v>239</v>
      </c>
      <c r="J223" s="163"/>
      <c r="K223" s="101"/>
      <c r="L223" s="101" t="s">
        <v>312</v>
      </c>
      <c r="M223" s="345" t="s">
        <v>331</v>
      </c>
      <c r="N223" s="442" t="s">
        <v>1555</v>
      </c>
      <c r="O223" s="165">
        <v>226.0445</v>
      </c>
      <c r="P223" s="165">
        <v>683.94</v>
      </c>
      <c r="Q223" s="157">
        <v>30</v>
      </c>
      <c r="R223" s="109" t="s">
        <v>244</v>
      </c>
      <c r="S223" s="141">
        <v>1063185.5900000001</v>
      </c>
      <c r="T223" s="110">
        <v>182029.11</v>
      </c>
      <c r="U223" s="141"/>
      <c r="V223" s="158">
        <f t="shared" si="129"/>
        <v>0</v>
      </c>
      <c r="W223" s="159">
        <v>45617.57744212963</v>
      </c>
      <c r="X223" s="159">
        <v>45624.34375</v>
      </c>
      <c r="Y223" s="160">
        <v>45624</v>
      </c>
      <c r="Z223" s="470"/>
      <c r="AA223" s="470"/>
      <c r="AB223" s="470"/>
      <c r="AC223" s="161">
        <f t="shared" si="130"/>
        <v>-45617.57744212963</v>
      </c>
      <c r="AD223" s="161">
        <f t="shared" si="160"/>
        <v>-45624.34375</v>
      </c>
      <c r="AE223" s="446">
        <f t="shared" si="155"/>
        <v>0</v>
      </c>
      <c r="AF223" s="160">
        <f t="shared" si="161"/>
        <v>45642.41249367602</v>
      </c>
      <c r="AG223" s="160">
        <f t="shared" si="162"/>
        <v>45652.835174088395</v>
      </c>
      <c r="AH223" s="159">
        <f t="shared" si="163"/>
        <v>45667.57744212963</v>
      </c>
      <c r="AI223" s="162">
        <f t="shared" si="131"/>
        <v>-1229.1402810796039</v>
      </c>
      <c r="AJ223" s="224">
        <f t="shared" si="164"/>
        <v>0</v>
      </c>
      <c r="AK223" s="225">
        <f t="shared" si="132"/>
        <v>40</v>
      </c>
      <c r="AL223" s="170">
        <f t="shared" si="133"/>
        <v>36</v>
      </c>
      <c r="AM223" s="170">
        <f t="shared" si="134"/>
        <v>27.835051546391753</v>
      </c>
      <c r="AN223" s="170">
        <f t="shared" si="135"/>
        <v>35.257731958762882</v>
      </c>
      <c r="AO223" s="226">
        <f t="shared" si="136"/>
        <v>24.835051546391753</v>
      </c>
      <c r="AP223" s="227">
        <v>60</v>
      </c>
      <c r="AQ223" s="228">
        <f t="shared" si="137"/>
        <v>57</v>
      </c>
      <c r="AR223" s="228">
        <f t="shared" si="165"/>
        <v>52</v>
      </c>
      <c r="AS223" s="229">
        <f t="shared" si="139"/>
        <v>60</v>
      </c>
      <c r="AT223" s="982">
        <f t="shared" ca="1" si="140"/>
        <v>45895</v>
      </c>
      <c r="AU223" s="50"/>
      <c r="AV223" s="118"/>
      <c r="AW223" s="49"/>
      <c r="AX223" s="49"/>
      <c r="AY223" s="49"/>
      <c r="AZ223" s="300"/>
      <c r="BA223" s="119"/>
      <c r="BB223" s="304"/>
      <c r="BC223" s="231"/>
      <c r="BD223" s="232"/>
      <c r="BE223" s="222">
        <f t="shared" si="166"/>
        <v>15</v>
      </c>
      <c r="BF223" s="233">
        <f t="shared" si="127"/>
        <v>0</v>
      </c>
      <c r="BG223" s="248"/>
      <c r="BH223" s="235"/>
      <c r="BI223" s="234"/>
      <c r="BJ223" s="236"/>
      <c r="BK223" s="222"/>
      <c r="BL223" s="222"/>
      <c r="BM223" s="238"/>
      <c r="BN223" s="222"/>
      <c r="BO223" s="222"/>
      <c r="BP223" s="243"/>
      <c r="BQ223" s="244" t="s">
        <v>247</v>
      </c>
      <c r="BR223" s="238"/>
      <c r="BS223" s="67"/>
      <c r="BT223" s="66"/>
      <c r="BU223" s="66"/>
      <c r="BV223" s="66"/>
      <c r="BW223" s="74"/>
      <c r="BX223" s="81"/>
      <c r="BY223" s="66">
        <v>45624</v>
      </c>
      <c r="BZ223" s="944" t="s">
        <v>1556</v>
      </c>
      <c r="CA223" s="42" t="str">
        <f t="shared" si="141"/>
        <v>0</v>
      </c>
      <c r="CB223" s="62">
        <f t="shared" si="142"/>
        <v>-45617.57744212963</v>
      </c>
      <c r="CC223" s="42">
        <f t="shared" si="143"/>
        <v>0</v>
      </c>
      <c r="CD223" s="62">
        <f t="shared" si="144"/>
        <v>-45617.57744212963</v>
      </c>
      <c r="CE223" s="62">
        <f t="shared" si="145"/>
        <v>-1229.1402810796039</v>
      </c>
      <c r="CF223" s="145" t="str">
        <f t="shared" si="146"/>
        <v>0</v>
      </c>
      <c r="CG223" s="145"/>
      <c r="CH223" s="443">
        <f t="shared" si="147"/>
        <v>6.7744411426183007</v>
      </c>
      <c r="CI223" s="996">
        <f t="shared" si="148"/>
        <v>6.7744411426183007</v>
      </c>
      <c r="CJ223" s="261">
        <f t="shared" si="149"/>
        <v>0</v>
      </c>
      <c r="CK223" s="458">
        <f t="shared" si="150"/>
        <v>238.42255787036993</v>
      </c>
      <c r="CL223" t="str">
        <f t="shared" si="151"/>
        <v>REV</v>
      </c>
      <c r="CM223" t="str">
        <f t="shared" si="152"/>
        <v>7-9 MONTHS</v>
      </c>
      <c r="CN223" s="635"/>
      <c r="CO223" s="631"/>
      <c r="CP223" s="629" t="str">
        <f t="shared" ref="CP223:CP255" si="167">IF(CQ223,"NTC ISSUED","FOR ISSUANCE")</f>
        <v>FOR ISSUANCE</v>
      </c>
      <c r="CQ223" s="635"/>
      <c r="CR223" s="697"/>
      <c r="CS223" s="633" t="str">
        <f t="shared" ca="1" si="153"/>
        <v>0</v>
      </c>
      <c r="CT223" s="635"/>
      <c r="CU223" s="631"/>
      <c r="CV223" s="638"/>
      <c r="CW223" s="156" t="s">
        <v>1557</v>
      </c>
      <c r="CX223" s="156" t="str">
        <f>VLOOKUP(E223,'[1]List of Work Orders'!$A:$I,9,FALSE)</f>
        <v>ME188584</v>
      </c>
      <c r="CY223" s="156"/>
      <c r="DC223" t="str">
        <f>VLOOKUP(E223,'[2]List of Work Orders'!$A:$F,6,FALSE)</f>
        <v>SCHED</v>
      </c>
      <c r="DS223" s="156" t="s">
        <v>381</v>
      </c>
    </row>
    <row r="224" spans="1:123" customFormat="1" ht="15" customHeight="1" x14ac:dyDescent="0.25">
      <c r="A224" s="242">
        <v>45624</v>
      </c>
      <c r="B224" s="222" t="s">
        <v>308</v>
      </c>
      <c r="C224" s="223"/>
      <c r="D224" s="66" t="s">
        <v>320</v>
      </c>
      <c r="E224" s="404" t="s">
        <v>1558</v>
      </c>
      <c r="F224" s="95" t="s">
        <v>1553</v>
      </c>
      <c r="G224" s="95" t="s">
        <v>1559</v>
      </c>
      <c r="H224" s="95" t="s">
        <v>378</v>
      </c>
      <c r="I224" s="95" t="s">
        <v>239</v>
      </c>
      <c r="J224" s="163"/>
      <c r="K224" s="101"/>
      <c r="L224" s="101" t="s">
        <v>312</v>
      </c>
      <c r="M224" s="345" t="s">
        <v>331</v>
      </c>
      <c r="N224" s="442" t="s">
        <v>1555</v>
      </c>
      <c r="O224" s="165">
        <v>225.35890000000001</v>
      </c>
      <c r="P224" s="165">
        <v>756.33</v>
      </c>
      <c r="Q224" s="157">
        <v>22.5</v>
      </c>
      <c r="R224" s="109" t="s">
        <v>244</v>
      </c>
      <c r="S224" s="141">
        <v>1106973.1000000001</v>
      </c>
      <c r="T224" s="110">
        <v>181099.46</v>
      </c>
      <c r="U224" s="141"/>
      <c r="V224" s="158">
        <f t="shared" si="129"/>
        <v>0</v>
      </c>
      <c r="W224" s="159">
        <v>45617.578472222223</v>
      </c>
      <c r="X224" s="159">
        <v>45624.345138888886</v>
      </c>
      <c r="Y224" s="160">
        <v>45624</v>
      </c>
      <c r="Z224" s="470"/>
      <c r="AA224" s="470"/>
      <c r="AB224" s="470"/>
      <c r="AC224" s="161">
        <f t="shared" si="130"/>
        <v>-45617.578472222223</v>
      </c>
      <c r="AD224" s="161">
        <f t="shared" si="160"/>
        <v>-45624.345138888886</v>
      </c>
      <c r="AE224" s="446">
        <f t="shared" si="155"/>
        <v>0</v>
      </c>
      <c r="AF224" s="160">
        <f t="shared" si="161"/>
        <v>45642.413523768613</v>
      </c>
      <c r="AG224" s="160">
        <f t="shared" si="162"/>
        <v>45652.836204180989</v>
      </c>
      <c r="AH224" s="159">
        <f t="shared" si="163"/>
        <v>45667.578472222223</v>
      </c>
      <c r="AI224" s="162">
        <f t="shared" si="131"/>
        <v>-1229.1403088348766</v>
      </c>
      <c r="AJ224" s="224">
        <f t="shared" si="164"/>
        <v>0</v>
      </c>
      <c r="AK224" s="225">
        <f t="shared" si="132"/>
        <v>40</v>
      </c>
      <c r="AL224" s="170">
        <f t="shared" si="133"/>
        <v>36</v>
      </c>
      <c r="AM224" s="170">
        <f t="shared" si="134"/>
        <v>27.835051546391753</v>
      </c>
      <c r="AN224" s="170">
        <f t="shared" si="135"/>
        <v>35.257731958762882</v>
      </c>
      <c r="AO224" s="226">
        <f t="shared" si="136"/>
        <v>24.835051546391753</v>
      </c>
      <c r="AP224" s="227">
        <v>60</v>
      </c>
      <c r="AQ224" s="228">
        <f t="shared" si="137"/>
        <v>57</v>
      </c>
      <c r="AR224" s="228">
        <f t="shared" si="165"/>
        <v>52</v>
      </c>
      <c r="AS224" s="229">
        <f t="shared" si="139"/>
        <v>60</v>
      </c>
      <c r="AT224" s="982">
        <f t="shared" ca="1" si="140"/>
        <v>45895</v>
      </c>
      <c r="AU224" s="50"/>
      <c r="AV224" s="118"/>
      <c r="AW224" s="49"/>
      <c r="AX224" s="49"/>
      <c r="AY224" s="49"/>
      <c r="AZ224" s="300"/>
      <c r="BA224" s="119"/>
      <c r="BB224" s="304"/>
      <c r="BC224" s="231"/>
      <c r="BD224" s="232"/>
      <c r="BE224" s="222">
        <f t="shared" si="166"/>
        <v>15</v>
      </c>
      <c r="BF224" s="233">
        <f t="shared" si="127"/>
        <v>0</v>
      </c>
      <c r="BG224" s="248"/>
      <c r="BH224" s="235"/>
      <c r="BI224" s="234"/>
      <c r="BJ224" s="236"/>
      <c r="BK224" s="222"/>
      <c r="BL224" s="222"/>
      <c r="BM224" s="238"/>
      <c r="BN224" s="222"/>
      <c r="BO224" s="222"/>
      <c r="BP224" s="243"/>
      <c r="BQ224" s="244" t="s">
        <v>247</v>
      </c>
      <c r="BR224" s="238"/>
      <c r="BS224" s="67"/>
      <c r="BT224" s="66"/>
      <c r="BU224" s="66"/>
      <c r="BV224" s="66"/>
      <c r="BW224" s="74"/>
      <c r="BX224" s="81"/>
      <c r="BY224" s="66">
        <v>45624</v>
      </c>
      <c r="BZ224" s="944" t="s">
        <v>1560</v>
      </c>
      <c r="CA224" s="42" t="str">
        <f t="shared" si="141"/>
        <v>0</v>
      </c>
      <c r="CB224" s="62">
        <f t="shared" si="142"/>
        <v>-45617.578472222223</v>
      </c>
      <c r="CC224" s="42">
        <f t="shared" si="143"/>
        <v>0</v>
      </c>
      <c r="CD224" s="62">
        <f t="shared" si="144"/>
        <v>-45617.578472222223</v>
      </c>
      <c r="CE224" s="62">
        <f t="shared" si="145"/>
        <v>-1229.1403088348766</v>
      </c>
      <c r="CF224" s="145" t="str">
        <f t="shared" si="146"/>
        <v>0</v>
      </c>
      <c r="CG224" s="145"/>
      <c r="CH224" s="443">
        <f t="shared" si="147"/>
        <v>6.774413387345648</v>
      </c>
      <c r="CI224" s="996">
        <f t="shared" si="148"/>
        <v>6.774413387345648</v>
      </c>
      <c r="CJ224" s="261">
        <f t="shared" si="149"/>
        <v>0</v>
      </c>
      <c r="CK224" s="458">
        <f t="shared" si="150"/>
        <v>238.42152777777665</v>
      </c>
      <c r="CL224" t="str">
        <f t="shared" si="151"/>
        <v>REV</v>
      </c>
      <c r="CM224" t="str">
        <f t="shared" si="152"/>
        <v>7-9 MONTHS</v>
      </c>
      <c r="CN224" s="635"/>
      <c r="CO224" s="631"/>
      <c r="CP224" s="629" t="str">
        <f t="shared" si="167"/>
        <v>FOR ISSUANCE</v>
      </c>
      <c r="CQ224" s="635"/>
      <c r="CR224" s="697"/>
      <c r="CS224" s="633" t="str">
        <f t="shared" ca="1" si="153"/>
        <v>0</v>
      </c>
      <c r="CT224" s="635"/>
      <c r="CU224" s="631"/>
      <c r="CV224" s="638"/>
      <c r="CW224" s="156" t="s">
        <v>1561</v>
      </c>
      <c r="CX224" s="156" t="str">
        <f>VLOOKUP(E224,'[1]List of Work Orders'!$A:$I,9,FALSE)</f>
        <v>ME188584</v>
      </c>
      <c r="CY224" s="156"/>
      <c r="DC224" t="str">
        <f>VLOOKUP(E224,'[2]List of Work Orders'!$A:$F,6,FALSE)</f>
        <v>SCHED</v>
      </c>
      <c r="DS224" s="156" t="s">
        <v>381</v>
      </c>
    </row>
    <row r="225" spans="1:123" customFormat="1" ht="15" customHeight="1" x14ac:dyDescent="0.25">
      <c r="A225" s="242">
        <v>45624</v>
      </c>
      <c r="B225" s="222" t="s">
        <v>308</v>
      </c>
      <c r="C225" s="223"/>
      <c r="D225" s="66" t="s">
        <v>320</v>
      </c>
      <c r="E225" s="404" t="s">
        <v>1562</v>
      </c>
      <c r="F225" s="95" t="s">
        <v>1553</v>
      </c>
      <c r="G225" s="95" t="s">
        <v>1559</v>
      </c>
      <c r="H225" s="95" t="s">
        <v>378</v>
      </c>
      <c r="I225" s="95" t="s">
        <v>239</v>
      </c>
      <c r="J225" s="163"/>
      <c r="K225" s="101"/>
      <c r="L225" s="101" t="s">
        <v>312</v>
      </c>
      <c r="M225" s="345" t="s">
        <v>331</v>
      </c>
      <c r="N225" s="442" t="s">
        <v>1563</v>
      </c>
      <c r="O225" s="165">
        <v>498.16230000000002</v>
      </c>
      <c r="P225" s="165">
        <v>1497.63</v>
      </c>
      <c r="Q225" s="157">
        <v>22.5</v>
      </c>
      <c r="R225" s="109" t="s">
        <v>244</v>
      </c>
      <c r="S225" s="141">
        <v>2213932.19</v>
      </c>
      <c r="T225" s="110">
        <v>401159.44</v>
      </c>
      <c r="U225" s="141"/>
      <c r="V225" s="158">
        <f t="shared" si="129"/>
        <v>0</v>
      </c>
      <c r="W225" s="159">
        <v>45618.447881944441</v>
      </c>
      <c r="X225" s="159">
        <v>45624.347916666666</v>
      </c>
      <c r="Y225" s="160">
        <v>45624</v>
      </c>
      <c r="Z225" s="470"/>
      <c r="AA225" s="470"/>
      <c r="AB225" s="470"/>
      <c r="AC225" s="161">
        <f t="shared" si="130"/>
        <v>-45618.447881944441</v>
      </c>
      <c r="AD225" s="161">
        <f t="shared" si="160"/>
        <v>-45624.347916666666</v>
      </c>
      <c r="AE225" s="446">
        <f t="shared" si="155"/>
        <v>0</v>
      </c>
      <c r="AF225" s="160">
        <f t="shared" si="161"/>
        <v>45644.92386447719</v>
      </c>
      <c r="AG225" s="160">
        <f t="shared" si="162"/>
        <v>45655.784126485923</v>
      </c>
      <c r="AH225" s="159">
        <f t="shared" si="163"/>
        <v>45668.447881944441</v>
      </c>
      <c r="AI225" s="162">
        <f t="shared" si="131"/>
        <v>-1160.7360627739197</v>
      </c>
      <c r="AJ225" s="224">
        <f t="shared" si="164"/>
        <v>0</v>
      </c>
      <c r="AK225" s="225">
        <f t="shared" si="132"/>
        <v>50</v>
      </c>
      <c r="AL225" s="170">
        <f t="shared" si="133"/>
        <v>36</v>
      </c>
      <c r="AM225" s="170">
        <f t="shared" si="134"/>
        <v>29.475982532751093</v>
      </c>
      <c r="AN225" s="170">
        <f t="shared" si="135"/>
        <v>37.336244541484717</v>
      </c>
      <c r="AO225" s="226">
        <f t="shared" si="136"/>
        <v>26.475982532751093</v>
      </c>
      <c r="AP225" s="227">
        <v>60</v>
      </c>
      <c r="AQ225" s="228">
        <f t="shared" si="137"/>
        <v>57</v>
      </c>
      <c r="AR225" s="228">
        <f t="shared" si="165"/>
        <v>52</v>
      </c>
      <c r="AS225" s="229">
        <f t="shared" si="139"/>
        <v>60</v>
      </c>
      <c r="AT225" s="982">
        <f t="shared" ca="1" si="140"/>
        <v>45895</v>
      </c>
      <c r="AU225" s="50"/>
      <c r="AV225" s="118"/>
      <c r="AW225" s="49"/>
      <c r="AX225" s="49"/>
      <c r="AY225" s="49"/>
      <c r="AZ225" s="300"/>
      <c r="BA225" s="119"/>
      <c r="BB225" s="304"/>
      <c r="BC225" s="231"/>
      <c r="BD225" s="232"/>
      <c r="BE225" s="222">
        <f t="shared" si="166"/>
        <v>15</v>
      </c>
      <c r="BF225" s="233">
        <f t="shared" si="127"/>
        <v>0</v>
      </c>
      <c r="BG225" s="248"/>
      <c r="BH225" s="235"/>
      <c r="BI225" s="234"/>
      <c r="BJ225" s="236"/>
      <c r="BK225" s="222"/>
      <c r="BL225" s="222"/>
      <c r="BM225" s="238"/>
      <c r="BN225" s="222"/>
      <c r="BO225" s="222"/>
      <c r="BP225" s="243"/>
      <c r="BQ225" s="244" t="s">
        <v>247</v>
      </c>
      <c r="BR225" s="238"/>
      <c r="BS225" s="67"/>
      <c r="BT225" s="66"/>
      <c r="BU225" s="66"/>
      <c r="BV225" s="66"/>
      <c r="BW225" s="74"/>
      <c r="BX225" s="81"/>
      <c r="BY225" s="66">
        <v>45624</v>
      </c>
      <c r="BZ225" s="944" t="s">
        <v>1564</v>
      </c>
      <c r="CA225" s="42" t="str">
        <f t="shared" si="141"/>
        <v>0</v>
      </c>
      <c r="CB225" s="62">
        <f t="shared" si="142"/>
        <v>-45618.447881944441</v>
      </c>
      <c r="CC225" s="42">
        <f t="shared" si="143"/>
        <v>0</v>
      </c>
      <c r="CD225" s="62">
        <f t="shared" si="144"/>
        <v>-45618.447881944441</v>
      </c>
      <c r="CE225" s="62">
        <f t="shared" si="145"/>
        <v>-1160.7360627739197</v>
      </c>
      <c r="CF225" s="145" t="str">
        <f t="shared" si="146"/>
        <v>0</v>
      </c>
      <c r="CG225" s="145"/>
      <c r="CH225" s="443">
        <f t="shared" si="147"/>
        <v>6.3751594483025515</v>
      </c>
      <c r="CI225" s="996">
        <f t="shared" si="148"/>
        <v>6.3751594483025515</v>
      </c>
      <c r="CJ225" s="261">
        <f t="shared" si="149"/>
        <v>0</v>
      </c>
      <c r="CK225" s="458">
        <f t="shared" si="150"/>
        <v>237.55211805555882</v>
      </c>
      <c r="CL225" t="str">
        <f t="shared" si="151"/>
        <v>REV</v>
      </c>
      <c r="CM225" t="str">
        <f t="shared" si="152"/>
        <v>7-9 MONTHS</v>
      </c>
      <c r="CN225" s="635"/>
      <c r="CO225" s="631"/>
      <c r="CP225" s="629" t="str">
        <f t="shared" si="167"/>
        <v>FOR ISSUANCE</v>
      </c>
      <c r="CQ225" s="635"/>
      <c r="CR225" s="697"/>
      <c r="CS225" s="633" t="str">
        <f t="shared" ca="1" si="153"/>
        <v>0</v>
      </c>
      <c r="CT225" s="635"/>
      <c r="CU225" s="631"/>
      <c r="CV225" s="638"/>
      <c r="CW225" s="156" t="s">
        <v>1565</v>
      </c>
      <c r="CX225" s="156" t="str">
        <f>VLOOKUP(E225,'[1]List of Work Orders'!$A:$I,9,FALSE)</f>
        <v>ME192555</v>
      </c>
      <c r="CY225" s="156"/>
      <c r="DC225" t="str">
        <f>VLOOKUP(E225,'[2]List of Work Orders'!$A:$F,6,FALSE)</f>
        <v>SCHED</v>
      </c>
      <c r="DS225" s="156" t="s">
        <v>381</v>
      </c>
    </row>
    <row r="226" spans="1:123" ht="15" customHeight="1" x14ac:dyDescent="0.2">
      <c r="A226" s="242">
        <v>45624</v>
      </c>
      <c r="B226" s="222"/>
      <c r="C226" s="223"/>
      <c r="D226" s="66" t="s">
        <v>284</v>
      </c>
      <c r="E226" s="404" t="s">
        <v>1566</v>
      </c>
      <c r="F226" s="95" t="s">
        <v>1567</v>
      </c>
      <c r="G226" s="95" t="s">
        <v>1568</v>
      </c>
      <c r="H226" s="95" t="s">
        <v>318</v>
      </c>
      <c r="I226" s="95" t="s">
        <v>239</v>
      </c>
      <c r="J226" s="163"/>
      <c r="K226" s="101"/>
      <c r="L226" s="101" t="s">
        <v>255</v>
      </c>
      <c r="M226" s="345" t="s">
        <v>272</v>
      </c>
      <c r="N226" s="442" t="s">
        <v>381</v>
      </c>
      <c r="O226" s="165">
        <v>45.667000000000002</v>
      </c>
      <c r="P226" s="933">
        <v>45.67</v>
      </c>
      <c r="Q226" s="157">
        <v>44</v>
      </c>
      <c r="R226" s="109" t="s">
        <v>244</v>
      </c>
      <c r="S226" s="141">
        <v>381529.43</v>
      </c>
      <c r="T226" s="110">
        <v>36774.449999999997</v>
      </c>
      <c r="U226" s="141">
        <v>18714.580000000002</v>
      </c>
      <c r="V226" s="158">
        <f t="shared" si="129"/>
        <v>0.50890169669430818</v>
      </c>
      <c r="W226" s="159">
        <v>45618.456620370373</v>
      </c>
      <c r="X226" s="159">
        <v>45623.42083333333</v>
      </c>
      <c r="Y226" s="160">
        <v>45623</v>
      </c>
      <c r="Z226" s="470"/>
      <c r="AA226" s="470">
        <v>45663</v>
      </c>
      <c r="AB226" s="470"/>
      <c r="AC226" s="161">
        <f t="shared" si="130"/>
        <v>44.543379629627452</v>
      </c>
      <c r="AD226" s="161">
        <f t="shared" si="160"/>
        <v>39.579166666670062</v>
      </c>
      <c r="AE226" s="446">
        <f t="shared" si="155"/>
        <v>-45663</v>
      </c>
      <c r="AF226" s="160">
        <f t="shared" si="161"/>
        <v>45637.230813918759</v>
      </c>
      <c r="AG226" s="160">
        <f t="shared" si="162"/>
        <v>45646.037265531661</v>
      </c>
      <c r="AH226" s="159">
        <f t="shared" si="163"/>
        <v>45668.456620370373</v>
      </c>
      <c r="AI226" s="162">
        <f t="shared" si="131"/>
        <v>1.5342719650205008</v>
      </c>
      <c r="AJ226" s="224">
        <f t="shared" si="164"/>
        <v>-761.05</v>
      </c>
      <c r="AK226" s="225">
        <f t="shared" si="132"/>
        <v>20</v>
      </c>
      <c r="AL226" s="170">
        <f t="shared" si="133"/>
        <v>36</v>
      </c>
      <c r="AM226" s="170">
        <f t="shared" si="134"/>
        <v>21.774193548387096</v>
      </c>
      <c r="AN226" s="170">
        <f t="shared" si="135"/>
        <v>27.58064516129032</v>
      </c>
      <c r="AO226" s="226">
        <f t="shared" si="136"/>
        <v>18.774193548387096</v>
      </c>
      <c r="AP226" s="227">
        <v>60</v>
      </c>
      <c r="AQ226" s="228">
        <f t="shared" si="137"/>
        <v>57</v>
      </c>
      <c r="AR226" s="228">
        <f t="shared" si="165"/>
        <v>52</v>
      </c>
      <c r="AS226" s="229">
        <f t="shared" si="139"/>
        <v>45723</v>
      </c>
      <c r="AT226" s="982">
        <f t="shared" ca="1" si="140"/>
        <v>232</v>
      </c>
      <c r="AU226" s="1077"/>
      <c r="AV226" s="1078"/>
      <c r="AW226" s="1079"/>
      <c r="AX226" s="1079"/>
      <c r="AY226" s="1079"/>
      <c r="AZ226" s="1080"/>
      <c r="BA226" s="1081"/>
      <c r="BB226" s="1091"/>
      <c r="BC226" s="231" t="s">
        <v>12</v>
      </c>
      <c r="BD226" s="232"/>
      <c r="BE226" s="222">
        <f t="shared" si="166"/>
        <v>45678</v>
      </c>
      <c r="BF226" s="233">
        <f t="shared" si="127"/>
        <v>99</v>
      </c>
      <c r="BG226" s="248">
        <v>45661</v>
      </c>
      <c r="BH226" s="235">
        <v>45777</v>
      </c>
      <c r="BI226" s="234"/>
      <c r="BJ226" s="236"/>
      <c r="BK226" s="222"/>
      <c r="BL226" s="222"/>
      <c r="BM226" s="238"/>
      <c r="BN226" s="222"/>
      <c r="BO226" s="222"/>
      <c r="BP226" s="243"/>
      <c r="BQ226" s="244" t="s">
        <v>247</v>
      </c>
      <c r="BR226" s="238"/>
      <c r="BS226" s="67"/>
      <c r="BT226" s="66"/>
      <c r="BU226" s="66"/>
      <c r="BV226" s="66"/>
      <c r="BW226" s="74"/>
      <c r="BX226" s="81"/>
      <c r="BY226" s="66">
        <v>45624</v>
      </c>
      <c r="BZ226" s="944" t="s">
        <v>1569</v>
      </c>
      <c r="CA226" s="42" t="str">
        <f t="shared" si="141"/>
        <v>0</v>
      </c>
      <c r="CB226" s="62">
        <f t="shared" si="142"/>
        <v>44.543379629627452</v>
      </c>
      <c r="CC226" s="42">
        <f t="shared" si="143"/>
        <v>0</v>
      </c>
      <c r="CD226" s="62">
        <f t="shared" si="144"/>
        <v>44.543379629627452</v>
      </c>
      <c r="CE226" s="62">
        <f t="shared" si="145"/>
        <v>1.5342719650205008</v>
      </c>
      <c r="CF226" s="1059">
        <f t="shared" si="146"/>
        <v>206</v>
      </c>
      <c r="CH226" s="1082">
        <f t="shared" si="147"/>
        <v>8.6298275205760557</v>
      </c>
      <c r="CI226" s="1083">
        <f t="shared" si="148"/>
        <v>8.6298275205760557</v>
      </c>
      <c r="CJ226" s="1084">
        <f t="shared" si="149"/>
        <v>3.4333333333333331</v>
      </c>
      <c r="CK226" s="1085" t="str">
        <f t="shared" si="150"/>
        <v/>
      </c>
      <c r="CL226" s="1057" t="str">
        <f t="shared" si="151"/>
        <v>REV</v>
      </c>
      <c r="CM226" s="1057" t="str">
        <f t="shared" si="152"/>
        <v/>
      </c>
      <c r="CN226" s="1086"/>
      <c r="CO226" s="1087"/>
      <c r="CP226" s="629" t="str">
        <f t="shared" si="167"/>
        <v>FOR ISSUANCE</v>
      </c>
      <c r="CQ226" s="1086"/>
      <c r="CR226" s="1088"/>
      <c r="CS226" s="1089" t="str">
        <f t="shared" ca="1" si="153"/>
        <v>0</v>
      </c>
      <c r="CT226" s="1086"/>
      <c r="CU226" s="1087"/>
      <c r="CV226" s="1090"/>
      <c r="CW226" s="156" t="s">
        <v>1570</v>
      </c>
      <c r="CX226" s="156" t="str">
        <f>VLOOKUP(E226,'[1]List of Work Orders'!$A:$I,9,FALSE)</f>
        <v>ME185284</v>
      </c>
      <c r="CY226" s="156"/>
      <c r="DC226" s="1057" t="str">
        <f>VLOOKUP(E226,'[2]List of Work Orders'!$A:$F,6,FALSE)</f>
        <v>FCOMP</v>
      </c>
      <c r="DS226" s="156" t="s">
        <v>381</v>
      </c>
    </row>
    <row r="227" spans="1:123" ht="15" customHeight="1" x14ac:dyDescent="0.2">
      <c r="A227" s="242">
        <v>45625</v>
      </c>
      <c r="B227" s="222"/>
      <c r="C227" s="223"/>
      <c r="D227" s="66" t="s">
        <v>320</v>
      </c>
      <c r="E227" s="404" t="s">
        <v>1571</v>
      </c>
      <c r="F227" s="95" t="s">
        <v>1572</v>
      </c>
      <c r="G227" s="95" t="s">
        <v>1573</v>
      </c>
      <c r="H227" s="95" t="s">
        <v>318</v>
      </c>
      <c r="I227" s="95" t="s">
        <v>239</v>
      </c>
      <c r="J227" s="163"/>
      <c r="K227" s="101"/>
      <c r="L227" s="101" t="s">
        <v>255</v>
      </c>
      <c r="M227" s="345" t="s">
        <v>272</v>
      </c>
      <c r="N227" s="442" t="s">
        <v>381</v>
      </c>
      <c r="O227" s="165">
        <v>50.061700000000002</v>
      </c>
      <c r="P227" s="933">
        <v>50.06</v>
      </c>
      <c r="Q227" s="157">
        <v>70</v>
      </c>
      <c r="R227" s="109" t="s">
        <v>244</v>
      </c>
      <c r="S227" s="141">
        <v>363185.56</v>
      </c>
      <c r="T227" s="110">
        <v>40313.42</v>
      </c>
      <c r="U227" s="141"/>
      <c r="V227" s="158">
        <f t="shared" si="129"/>
        <v>0</v>
      </c>
      <c r="W227" s="159">
        <v>45618.53765046296</v>
      </c>
      <c r="X227" s="159">
        <v>45624.356249999997</v>
      </c>
      <c r="Y227" s="160">
        <v>45623</v>
      </c>
      <c r="Z227" s="470"/>
      <c r="AA227" s="470">
        <v>45695</v>
      </c>
      <c r="AB227" s="470"/>
      <c r="AC227" s="161">
        <f t="shared" si="130"/>
        <v>76.462349537039699</v>
      </c>
      <c r="AD227" s="161">
        <f t="shared" si="160"/>
        <v>70.64375000000291</v>
      </c>
      <c r="AE227" s="446">
        <f t="shared" si="155"/>
        <v>-45695</v>
      </c>
      <c r="AF227" s="160">
        <f t="shared" si="161"/>
        <v>45636.612030628246</v>
      </c>
      <c r="AG227" s="160">
        <f t="shared" si="162"/>
        <v>45645.231865338996</v>
      </c>
      <c r="AH227" s="159">
        <f t="shared" si="163"/>
        <v>45668.53765046296</v>
      </c>
      <c r="AI227" s="162">
        <f t="shared" si="131"/>
        <v>2.7211600864652361</v>
      </c>
      <c r="AJ227" s="224">
        <f t="shared" si="164"/>
        <v>-761.58333333333337</v>
      </c>
      <c r="AK227" s="225">
        <f t="shared" si="132"/>
        <v>20</v>
      </c>
      <c r="AL227" s="170">
        <f t="shared" si="133"/>
        <v>34</v>
      </c>
      <c r="AM227" s="170">
        <f t="shared" si="134"/>
        <v>21.074380165289259</v>
      </c>
      <c r="AN227" s="170">
        <f t="shared" si="135"/>
        <v>26.694214876033058</v>
      </c>
      <c r="AO227" s="226">
        <f t="shared" si="136"/>
        <v>18.074380165289259</v>
      </c>
      <c r="AP227" s="227">
        <v>60</v>
      </c>
      <c r="AQ227" s="228">
        <f t="shared" si="137"/>
        <v>57</v>
      </c>
      <c r="AR227" s="228">
        <f t="shared" si="165"/>
        <v>52</v>
      </c>
      <c r="AS227" s="229">
        <f t="shared" si="139"/>
        <v>45755</v>
      </c>
      <c r="AT227" s="982">
        <f t="shared" ca="1" si="140"/>
        <v>200</v>
      </c>
      <c r="AU227" s="1077"/>
      <c r="AV227" s="1078"/>
      <c r="AW227" s="1079"/>
      <c r="AX227" s="1079"/>
      <c r="AY227" s="1079"/>
      <c r="AZ227" s="1080"/>
      <c r="BA227" s="1081"/>
      <c r="BB227" s="1091"/>
      <c r="BC227" s="231" t="s">
        <v>12</v>
      </c>
      <c r="BD227" s="232"/>
      <c r="BE227" s="222">
        <f t="shared" si="166"/>
        <v>45710</v>
      </c>
      <c r="BF227" s="233">
        <f t="shared" si="127"/>
        <v>125</v>
      </c>
      <c r="BG227" s="248">
        <v>45691</v>
      </c>
      <c r="BH227" s="235">
        <v>45835</v>
      </c>
      <c r="BI227" s="234"/>
      <c r="BJ227" s="236"/>
      <c r="BK227" s="222"/>
      <c r="BL227" s="222"/>
      <c r="BM227" s="238"/>
      <c r="BN227" s="222"/>
      <c r="BO227" s="222"/>
      <c r="BP227" s="243"/>
      <c r="BQ227" s="244" t="s">
        <v>247</v>
      </c>
      <c r="BR227" s="238">
        <v>45692</v>
      </c>
      <c r="BS227" s="67"/>
      <c r="BT227" s="66"/>
      <c r="BU227" s="66"/>
      <c r="BV227" s="66"/>
      <c r="BW227" s="74"/>
      <c r="BX227" s="81"/>
      <c r="BY227" s="66">
        <v>45625</v>
      </c>
      <c r="BZ227" s="944" t="s">
        <v>1574</v>
      </c>
      <c r="CA227" s="42" t="str">
        <f t="shared" si="141"/>
        <v>0</v>
      </c>
      <c r="CB227" s="62">
        <f t="shared" si="142"/>
        <v>76.462349537039699</v>
      </c>
      <c r="CC227" s="42">
        <f t="shared" si="143"/>
        <v>0</v>
      </c>
      <c r="CD227" s="62">
        <f t="shared" si="144"/>
        <v>76.462349537039699</v>
      </c>
      <c r="CE227" s="62">
        <f t="shared" si="145"/>
        <v>2.7211600864652361</v>
      </c>
      <c r="CF227" s="1059">
        <f t="shared" si="146"/>
        <v>174</v>
      </c>
      <c r="CH227" s="1082">
        <f t="shared" si="147"/>
        <v>8.9135130276417058</v>
      </c>
      <c r="CI227" s="1083">
        <f t="shared" si="148"/>
        <v>8.9135130276417058</v>
      </c>
      <c r="CJ227" s="1084">
        <f t="shared" si="149"/>
        <v>2.9</v>
      </c>
      <c r="CK227" s="1085" t="str">
        <f t="shared" si="150"/>
        <v/>
      </c>
      <c r="CL227" s="1057" t="str">
        <f t="shared" si="151"/>
        <v>REV</v>
      </c>
      <c r="CM227" s="1057" t="str">
        <f t="shared" si="152"/>
        <v/>
      </c>
      <c r="CN227" s="1086"/>
      <c r="CO227" s="1087"/>
      <c r="CP227" s="629" t="str">
        <f t="shared" si="167"/>
        <v>FOR ISSUANCE</v>
      </c>
      <c r="CQ227" s="1086"/>
      <c r="CR227" s="1088"/>
      <c r="CS227" s="1089" t="str">
        <f t="shared" ca="1" si="153"/>
        <v>0</v>
      </c>
      <c r="CT227" s="1086"/>
      <c r="CU227" s="1087"/>
      <c r="CV227" s="1090"/>
      <c r="CW227" s="156" t="s">
        <v>1575</v>
      </c>
      <c r="CX227" s="156" t="str">
        <f>VLOOKUP(E227,'[1]List of Work Orders'!$A:$I,9,FALSE)</f>
        <v>ME185284</v>
      </c>
      <c r="CY227" s="156"/>
      <c r="DC227" s="1057" t="str">
        <f>VLOOKUP(E227,'[2]List of Work Orders'!$A:$F,6,FALSE)</f>
        <v>FCOMP</v>
      </c>
      <c r="DS227" s="156" t="s">
        <v>397</v>
      </c>
    </row>
    <row r="228" spans="1:123" customFormat="1" ht="15" customHeight="1" x14ac:dyDescent="0.25">
      <c r="A228" s="242">
        <v>45628</v>
      </c>
      <c r="B228" s="222"/>
      <c r="C228" s="223" t="s">
        <v>247</v>
      </c>
      <c r="D228" s="66" t="s">
        <v>284</v>
      </c>
      <c r="E228" s="404" t="s">
        <v>1576</v>
      </c>
      <c r="F228" s="95" t="s">
        <v>1577</v>
      </c>
      <c r="G228" s="95" t="s">
        <v>1496</v>
      </c>
      <c r="H228" s="95" t="s">
        <v>378</v>
      </c>
      <c r="I228" s="95" t="s">
        <v>239</v>
      </c>
      <c r="J228" s="163" t="s">
        <v>1578</v>
      </c>
      <c r="K228" s="101"/>
      <c r="L228" s="101" t="s">
        <v>288</v>
      </c>
      <c r="M228" s="345" t="s">
        <v>256</v>
      </c>
      <c r="N228" s="442" t="s">
        <v>381</v>
      </c>
      <c r="O228" s="165">
        <v>68.040499999999994</v>
      </c>
      <c r="P228" s="933">
        <v>339.78</v>
      </c>
      <c r="Q228" s="157">
        <v>49</v>
      </c>
      <c r="R228" s="109" t="s">
        <v>244</v>
      </c>
      <c r="S228" s="141">
        <v>525931.28</v>
      </c>
      <c r="T228" s="110">
        <v>54791.3</v>
      </c>
      <c r="U228" s="141">
        <v>138590.65</v>
      </c>
      <c r="V228" s="158">
        <f t="shared" si="129"/>
        <v>2.5294280296324416</v>
      </c>
      <c r="W228" s="159">
        <v>45618.640069444446</v>
      </c>
      <c r="X228" s="159">
        <v>45624.352777777778</v>
      </c>
      <c r="Y228" s="160">
        <v>45623</v>
      </c>
      <c r="Z228" s="470">
        <v>45669</v>
      </c>
      <c r="AA228" s="470">
        <v>45669</v>
      </c>
      <c r="AB228" s="470">
        <v>45880.445138888892</v>
      </c>
      <c r="AC228" s="161">
        <f t="shared" si="130"/>
        <v>50.359930555554456</v>
      </c>
      <c r="AD228" s="161">
        <f t="shared" si="160"/>
        <v>44.647222222221899</v>
      </c>
      <c r="AE228" s="446">
        <f t="shared" si="155"/>
        <v>211.44513888889196</v>
      </c>
      <c r="AF228" s="160">
        <f t="shared" si="161"/>
        <v>45641.111767557653</v>
      </c>
      <c r="AG228" s="160">
        <f t="shared" si="162"/>
        <v>45650.904220387842</v>
      </c>
      <c r="AH228" s="159">
        <f t="shared" si="163"/>
        <v>45668.640069444446</v>
      </c>
      <c r="AI228" s="162">
        <f t="shared" si="131"/>
        <v>1.4828201774691032</v>
      </c>
      <c r="AJ228" s="224">
        <f t="shared" si="164"/>
        <v>3.5240856481481995</v>
      </c>
      <c r="AK228" s="225">
        <f t="shared" si="132"/>
        <v>30</v>
      </c>
      <c r="AL228" s="170">
        <f t="shared" si="133"/>
        <v>36</v>
      </c>
      <c r="AM228" s="170">
        <f t="shared" si="134"/>
        <v>25.471698113207545</v>
      </c>
      <c r="AN228" s="170">
        <f t="shared" si="135"/>
        <v>32.264150943396224</v>
      </c>
      <c r="AO228" s="226">
        <f t="shared" si="136"/>
        <v>22.471698113207545</v>
      </c>
      <c r="AP228" s="227">
        <v>60</v>
      </c>
      <c r="AQ228" s="228">
        <f t="shared" si="137"/>
        <v>57</v>
      </c>
      <c r="AR228" s="228">
        <f t="shared" si="165"/>
        <v>52</v>
      </c>
      <c r="AS228" s="229">
        <f t="shared" si="139"/>
        <v>45729</v>
      </c>
      <c r="AT228" s="982">
        <f t="shared" ca="1" si="140"/>
        <v>226</v>
      </c>
      <c r="AU228" s="50"/>
      <c r="AV228" s="118"/>
      <c r="AW228" s="49"/>
      <c r="AX228" s="49"/>
      <c r="AY228" s="49"/>
      <c r="AZ228" s="300"/>
      <c r="BA228" s="119"/>
      <c r="BB228" s="304"/>
      <c r="BC228" s="231" t="s">
        <v>14</v>
      </c>
      <c r="BD228" s="232" t="s">
        <v>265</v>
      </c>
      <c r="BE228" s="222">
        <f t="shared" si="166"/>
        <v>45684</v>
      </c>
      <c r="BF228" s="233">
        <f t="shared" si="127"/>
        <v>93</v>
      </c>
      <c r="BG228" s="248">
        <v>45669</v>
      </c>
      <c r="BH228" s="235">
        <v>45777</v>
      </c>
      <c r="BI228" s="234">
        <v>45839</v>
      </c>
      <c r="BJ228" s="236" t="s">
        <v>245</v>
      </c>
      <c r="BK228" s="222" t="s">
        <v>247</v>
      </c>
      <c r="BL228" s="222"/>
      <c r="BM228" s="238"/>
      <c r="BN228" s="222"/>
      <c r="BO228" s="222">
        <v>45842</v>
      </c>
      <c r="BP228" s="243" t="s">
        <v>1084</v>
      </c>
      <c r="BQ228" s="244"/>
      <c r="BR228" s="238"/>
      <c r="BS228" s="67"/>
      <c r="BT228" s="66"/>
      <c r="BU228" s="66"/>
      <c r="BV228" s="66"/>
      <c r="BW228" s="74"/>
      <c r="BX228" s="81"/>
      <c r="BY228" s="66">
        <v>45645</v>
      </c>
      <c r="BZ228" s="944" t="s">
        <v>1579</v>
      </c>
      <c r="CA228" s="42" t="str">
        <f t="shared" si="141"/>
        <v>0</v>
      </c>
      <c r="CB228" s="62">
        <f t="shared" si="142"/>
        <v>50.359930555554456</v>
      </c>
      <c r="CC228" s="42">
        <f t="shared" si="143"/>
        <v>0</v>
      </c>
      <c r="CD228" s="62">
        <f t="shared" si="144"/>
        <v>50.359930555554456</v>
      </c>
      <c r="CE228" s="62">
        <f t="shared" si="145"/>
        <v>1.4828201774691032</v>
      </c>
      <c r="CF228" s="145">
        <f t="shared" si="146"/>
        <v>200</v>
      </c>
      <c r="CG228" s="145"/>
      <c r="CH228" s="443">
        <f t="shared" si="147"/>
        <v>7.3717090663579921</v>
      </c>
      <c r="CI228" s="996">
        <f t="shared" si="148"/>
        <v>7.3717090663579921</v>
      </c>
      <c r="CJ228" s="261">
        <f t="shared" si="149"/>
        <v>3.3333333333333335</v>
      </c>
      <c r="CK228" s="458" t="str">
        <f t="shared" si="150"/>
        <v/>
      </c>
      <c r="CL228" t="str">
        <f t="shared" si="151"/>
        <v>REV</v>
      </c>
      <c r="CM228" t="str">
        <f t="shared" si="152"/>
        <v/>
      </c>
      <c r="CN228" s="635">
        <v>45852</v>
      </c>
      <c r="CO228" s="631">
        <v>24103.200000000001</v>
      </c>
      <c r="CP228" s="629" t="str">
        <f t="shared" si="167"/>
        <v>FOR ISSUANCE</v>
      </c>
      <c r="CQ228" s="635"/>
      <c r="CR228" s="697"/>
      <c r="CS228" s="633" t="str">
        <f t="shared" ca="1" si="153"/>
        <v>0</v>
      </c>
      <c r="CT228" s="635"/>
      <c r="CU228" s="631"/>
      <c r="CV228" s="638"/>
      <c r="CW228" s="156" t="s">
        <v>1580</v>
      </c>
      <c r="CX228" s="156" t="str">
        <f>VLOOKUP(E228,'[1]List of Work Orders'!$A:$I,9,FALSE)</f>
        <v>ME185284</v>
      </c>
      <c r="CY228" s="156"/>
      <c r="DC228" t="str">
        <f>VLOOKUP(E228,'[2]List of Work Orders'!$A:$F,6,FALSE)</f>
        <v>FCOMP</v>
      </c>
      <c r="DS228" s="156" t="s">
        <v>397</v>
      </c>
    </row>
    <row r="229" spans="1:123" ht="15" customHeight="1" x14ac:dyDescent="0.2">
      <c r="A229" s="242">
        <v>45628</v>
      </c>
      <c r="B229" s="222"/>
      <c r="C229" s="223" t="s">
        <v>247</v>
      </c>
      <c r="D229" s="66" t="s">
        <v>284</v>
      </c>
      <c r="E229" s="404" t="s">
        <v>1581</v>
      </c>
      <c r="F229" s="95" t="s">
        <v>1582</v>
      </c>
      <c r="G229" s="95" t="s">
        <v>1583</v>
      </c>
      <c r="H229" s="95" t="s">
        <v>253</v>
      </c>
      <c r="I229" s="95" t="s">
        <v>254</v>
      </c>
      <c r="J229" s="163"/>
      <c r="K229" s="101"/>
      <c r="L229" s="101" t="s">
        <v>255</v>
      </c>
      <c r="M229" s="345" t="s">
        <v>272</v>
      </c>
      <c r="N229" s="442" t="s">
        <v>381</v>
      </c>
      <c r="O229" s="165">
        <v>240.51830000000001</v>
      </c>
      <c r="P229" s="933">
        <v>240.52</v>
      </c>
      <c r="Q229" s="157">
        <v>120</v>
      </c>
      <c r="R229" s="109" t="s">
        <v>244</v>
      </c>
      <c r="S229" s="141">
        <v>1126618.3500000001</v>
      </c>
      <c r="T229" s="110">
        <v>193724.47</v>
      </c>
      <c r="U229" s="141"/>
      <c r="V229" s="158">
        <f t="shared" si="129"/>
        <v>0</v>
      </c>
      <c r="W229" s="159">
        <v>45618.641516203701</v>
      </c>
      <c r="X229" s="159">
        <v>45624.354861111111</v>
      </c>
      <c r="Y229" s="160">
        <v>45623</v>
      </c>
      <c r="Z229" s="470"/>
      <c r="AA229" s="470">
        <v>45742</v>
      </c>
      <c r="AB229" s="470"/>
      <c r="AC229" s="161">
        <f t="shared" si="130"/>
        <v>123.35848379629897</v>
      </c>
      <c r="AD229" s="161">
        <f t="shared" si="160"/>
        <v>117.64513888888905</v>
      </c>
      <c r="AE229" s="446">
        <f t="shared" si="155"/>
        <v>-45742</v>
      </c>
      <c r="AF229" s="160">
        <f t="shared" si="161"/>
        <v>45638.655214833838</v>
      </c>
      <c r="AG229" s="160">
        <f t="shared" si="162"/>
        <v>45647.792201135206</v>
      </c>
      <c r="AH229" s="159">
        <f t="shared" si="163"/>
        <v>45668.641516203701</v>
      </c>
      <c r="AI229" s="162">
        <f t="shared" si="131"/>
        <v>4.0201648737186719</v>
      </c>
      <c r="AJ229" s="224">
        <f t="shared" si="164"/>
        <v>-762.36666666666667</v>
      </c>
      <c r="AK229" s="225">
        <f t="shared" si="132"/>
        <v>28</v>
      </c>
      <c r="AL229" s="170">
        <f t="shared" si="133"/>
        <v>32</v>
      </c>
      <c r="AM229" s="170">
        <f t="shared" si="134"/>
        <v>23.013698630136989</v>
      </c>
      <c r="AN229" s="170">
        <f t="shared" si="135"/>
        <v>29.150684931506852</v>
      </c>
      <c r="AO229" s="226">
        <f t="shared" si="136"/>
        <v>20.013698630136989</v>
      </c>
      <c r="AP229" s="227">
        <v>60</v>
      </c>
      <c r="AQ229" s="228">
        <f t="shared" si="137"/>
        <v>57</v>
      </c>
      <c r="AR229" s="228">
        <f t="shared" si="165"/>
        <v>52</v>
      </c>
      <c r="AS229" s="229">
        <f t="shared" si="139"/>
        <v>45802</v>
      </c>
      <c r="AT229" s="982">
        <f t="shared" ca="1" si="140"/>
        <v>153</v>
      </c>
      <c r="AU229" s="1077"/>
      <c r="AV229" s="1078"/>
      <c r="AW229" s="1079"/>
      <c r="AX229" s="1079"/>
      <c r="AY229" s="1079"/>
      <c r="AZ229" s="1080"/>
      <c r="BA229" s="1081"/>
      <c r="BB229" s="1091"/>
      <c r="BC229" s="231" t="s">
        <v>13</v>
      </c>
      <c r="BD229" s="232"/>
      <c r="BE229" s="222">
        <f t="shared" si="166"/>
        <v>45757</v>
      </c>
      <c r="BF229" s="233" t="e">
        <f t="shared" si="127"/>
        <v>#VALUE!</v>
      </c>
      <c r="BG229" s="248"/>
      <c r="BH229" s="235"/>
      <c r="BI229" s="234"/>
      <c r="BJ229" s="236"/>
      <c r="BK229" s="222"/>
      <c r="BL229" s="222"/>
      <c r="BM229" s="238"/>
      <c r="BN229" s="222"/>
      <c r="BO229" s="222"/>
      <c r="BP229" s="243"/>
      <c r="BQ229" s="244" t="s">
        <v>247</v>
      </c>
      <c r="BR229" s="238">
        <v>45721</v>
      </c>
      <c r="BS229" s="67"/>
      <c r="BT229" s="66"/>
      <c r="BU229" s="66"/>
      <c r="BV229" s="66"/>
      <c r="BW229" s="74"/>
      <c r="BX229" s="81"/>
      <c r="BY229" s="66">
        <v>45649</v>
      </c>
      <c r="BZ229" s="944" t="s">
        <v>1584</v>
      </c>
      <c r="CA229" s="42" t="str">
        <f t="shared" si="141"/>
        <v>0</v>
      </c>
      <c r="CB229" s="62">
        <f t="shared" si="142"/>
        <v>123.35848379629897</v>
      </c>
      <c r="CC229" s="42">
        <f t="shared" si="143"/>
        <v>0</v>
      </c>
      <c r="CD229" s="62">
        <f t="shared" si="144"/>
        <v>123.35848379629897</v>
      </c>
      <c r="CE229" s="62">
        <f t="shared" si="145"/>
        <v>4.0201648737186719</v>
      </c>
      <c r="CF229" s="1059">
        <f t="shared" si="146"/>
        <v>127</v>
      </c>
      <c r="CH229" s="1082">
        <f t="shared" si="147"/>
        <v>8.159004159432957</v>
      </c>
      <c r="CI229" s="1083">
        <f t="shared" si="148"/>
        <v>8.159004159432957</v>
      </c>
      <c r="CJ229" s="1084">
        <f t="shared" si="149"/>
        <v>2.1166666666666667</v>
      </c>
      <c r="CK229" s="1085" t="str">
        <f t="shared" si="150"/>
        <v/>
      </c>
      <c r="CL229" s="1057" t="str">
        <f t="shared" si="151"/>
        <v>REV</v>
      </c>
      <c r="CM229" s="1057" t="str">
        <f t="shared" si="152"/>
        <v/>
      </c>
      <c r="CN229" s="1086"/>
      <c r="CO229" s="1087"/>
      <c r="CP229" s="629" t="str">
        <f t="shared" si="167"/>
        <v>FOR ISSUANCE</v>
      </c>
      <c r="CQ229" s="1086"/>
      <c r="CR229" s="1088"/>
      <c r="CS229" s="1089" t="str">
        <f t="shared" ca="1" si="153"/>
        <v>0</v>
      </c>
      <c r="CT229" s="1086"/>
      <c r="CU229" s="1087"/>
      <c r="CV229" s="1090"/>
      <c r="CW229" s="156" t="s">
        <v>1585</v>
      </c>
      <c r="CX229" s="156" t="str">
        <f>VLOOKUP(E229,'[1]List of Work Orders'!$A:$I,9,FALSE)</f>
        <v>ME185284</v>
      </c>
      <c r="CY229" s="156"/>
      <c r="DC229" s="1057" t="str">
        <f>VLOOKUP(E229,'[2]List of Work Orders'!$A:$F,6,FALSE)</f>
        <v>FCOMP</v>
      </c>
      <c r="DS229" s="156" t="s">
        <v>1165</v>
      </c>
    </row>
    <row r="230" spans="1:123" ht="15" customHeight="1" x14ac:dyDescent="0.2">
      <c r="A230" s="242">
        <v>45624</v>
      </c>
      <c r="B230" s="222"/>
      <c r="C230" s="223"/>
      <c r="D230" s="66" t="s">
        <v>284</v>
      </c>
      <c r="E230" s="404" t="s">
        <v>1586</v>
      </c>
      <c r="F230" s="95" t="s">
        <v>1587</v>
      </c>
      <c r="G230" s="95" t="s">
        <v>1588</v>
      </c>
      <c r="H230" s="95" t="s">
        <v>269</v>
      </c>
      <c r="I230" s="95" t="s">
        <v>239</v>
      </c>
      <c r="J230" s="163"/>
      <c r="K230" s="101"/>
      <c r="L230" s="101" t="s">
        <v>255</v>
      </c>
      <c r="M230" s="345" t="s">
        <v>272</v>
      </c>
      <c r="N230" s="442" t="s">
        <v>381</v>
      </c>
      <c r="O230" s="165">
        <v>35.07</v>
      </c>
      <c r="P230" s="933">
        <v>35.07</v>
      </c>
      <c r="Q230" s="157">
        <v>0</v>
      </c>
      <c r="R230" s="109" t="s">
        <v>319</v>
      </c>
      <c r="S230" s="141">
        <v>36680.51</v>
      </c>
      <c r="T230" s="110">
        <v>28249.06</v>
      </c>
      <c r="U230" s="141"/>
      <c r="V230" s="158">
        <f t="shared" si="129"/>
        <v>0</v>
      </c>
      <c r="W230" s="159">
        <v>45618.651331018518</v>
      </c>
      <c r="X230" s="159">
        <v>45623.422222222223</v>
      </c>
      <c r="Y230" s="160">
        <v>45623</v>
      </c>
      <c r="Z230" s="470"/>
      <c r="AA230" s="470">
        <v>45735</v>
      </c>
      <c r="AB230" s="470"/>
      <c r="AC230" s="161">
        <f t="shared" si="130"/>
        <v>116.34866898148175</v>
      </c>
      <c r="AD230" s="161">
        <f t="shared" si="160"/>
        <v>111.57777777777665</v>
      </c>
      <c r="AE230" s="446">
        <f t="shared" si="155"/>
        <v>-45735</v>
      </c>
      <c r="AF230" s="160">
        <f t="shared" si="161"/>
        <v>45637.425524566905</v>
      </c>
      <c r="AG230" s="160">
        <f t="shared" si="162"/>
        <v>45646.231976179806</v>
      </c>
      <c r="AH230" s="159">
        <f t="shared" si="163"/>
        <v>45668.651331018518</v>
      </c>
      <c r="AI230" s="162">
        <f t="shared" si="131"/>
        <v>4.0075652649177043</v>
      </c>
      <c r="AJ230" s="224">
        <f t="shared" si="164"/>
        <v>-762.25</v>
      </c>
      <c r="AK230" s="225">
        <f t="shared" si="132"/>
        <v>20</v>
      </c>
      <c r="AL230" s="170">
        <f t="shared" si="133"/>
        <v>36</v>
      </c>
      <c r="AM230" s="170">
        <f t="shared" si="134"/>
        <v>21.774193548387096</v>
      </c>
      <c r="AN230" s="170">
        <f t="shared" si="135"/>
        <v>27.58064516129032</v>
      </c>
      <c r="AO230" s="226">
        <f t="shared" si="136"/>
        <v>18.774193548387096</v>
      </c>
      <c r="AP230" s="227">
        <v>60</v>
      </c>
      <c r="AQ230" s="228">
        <f t="shared" si="137"/>
        <v>57</v>
      </c>
      <c r="AR230" s="228">
        <f t="shared" si="165"/>
        <v>52</v>
      </c>
      <c r="AS230" s="229">
        <f t="shared" si="139"/>
        <v>45795</v>
      </c>
      <c r="AT230" s="982">
        <f t="shared" ca="1" si="140"/>
        <v>160</v>
      </c>
      <c r="AU230" s="1077"/>
      <c r="AV230" s="1078"/>
      <c r="AW230" s="1079"/>
      <c r="AX230" s="1079"/>
      <c r="AY230" s="1079"/>
      <c r="AZ230" s="1080"/>
      <c r="BA230" s="1081"/>
      <c r="BB230" s="1091"/>
      <c r="BC230" s="231" t="s">
        <v>13</v>
      </c>
      <c r="BD230" s="232"/>
      <c r="BE230" s="222">
        <f t="shared" si="166"/>
        <v>45750</v>
      </c>
      <c r="BF230" s="233" t="e">
        <f t="shared" si="127"/>
        <v>#VALUE!</v>
      </c>
      <c r="BG230" s="248"/>
      <c r="BH230" s="235"/>
      <c r="BI230" s="234"/>
      <c r="BJ230" s="236"/>
      <c r="BK230" s="222"/>
      <c r="BL230" s="222"/>
      <c r="BM230" s="238"/>
      <c r="BN230" s="222"/>
      <c r="BO230" s="222"/>
      <c r="BP230" s="243"/>
      <c r="BQ230" s="244" t="s">
        <v>247</v>
      </c>
      <c r="BR230" s="238">
        <v>45671</v>
      </c>
      <c r="BS230" s="67"/>
      <c r="BT230" s="66"/>
      <c r="BU230" s="66"/>
      <c r="BV230" s="66"/>
      <c r="BW230" s="74"/>
      <c r="BX230" s="81"/>
      <c r="BY230" s="66" t="s">
        <v>308</v>
      </c>
      <c r="BZ230" s="944" t="s">
        <v>1589</v>
      </c>
      <c r="CA230" s="42" t="str">
        <f t="shared" si="141"/>
        <v>0</v>
      </c>
      <c r="CB230" s="62">
        <f t="shared" si="142"/>
        <v>116.34866898148175</v>
      </c>
      <c r="CC230" s="42">
        <f t="shared" si="143"/>
        <v>0</v>
      </c>
      <c r="CD230" s="62">
        <f t="shared" si="144"/>
        <v>116.34866898148175</v>
      </c>
      <c r="CE230" s="62">
        <f t="shared" si="145"/>
        <v>4.0075652649177043</v>
      </c>
      <c r="CF230" s="1059">
        <f t="shared" si="146"/>
        <v>134</v>
      </c>
      <c r="CH230" s="1082">
        <f t="shared" si="147"/>
        <v>8.623120820473261</v>
      </c>
      <c r="CI230" s="1083">
        <f t="shared" si="148"/>
        <v>8.623120820473261</v>
      </c>
      <c r="CJ230" s="1084">
        <f t="shared" si="149"/>
        <v>2.2333333333333334</v>
      </c>
      <c r="CK230" s="1085" t="str">
        <f t="shared" si="150"/>
        <v/>
      </c>
      <c r="CL230" s="1057" t="str">
        <f t="shared" si="151"/>
        <v>NON-REV</v>
      </c>
      <c r="CM230" s="1057" t="str">
        <f t="shared" si="152"/>
        <v/>
      </c>
      <c r="CN230" s="1086"/>
      <c r="CO230" s="1087"/>
      <c r="CP230" s="629" t="str">
        <f t="shared" si="167"/>
        <v>FOR ISSUANCE</v>
      </c>
      <c r="CQ230" s="1086"/>
      <c r="CR230" s="1088"/>
      <c r="CS230" s="1089" t="str">
        <f t="shared" ca="1" si="153"/>
        <v>0</v>
      </c>
      <c r="CT230" s="1086"/>
      <c r="CU230" s="1087"/>
      <c r="CV230" s="1090"/>
      <c r="CW230" s="156" t="s">
        <v>1590</v>
      </c>
      <c r="CX230" s="156" t="str">
        <f>VLOOKUP(E230,'[1]List of Work Orders'!$A:$I,9,FALSE)</f>
        <v>ME185284</v>
      </c>
      <c r="CY230" s="156"/>
      <c r="DC230" s="1057" t="str">
        <f>VLOOKUP(E230,'[2]List of Work Orders'!$A:$F,6,FALSE)</f>
        <v>FCOMP</v>
      </c>
      <c r="DS230" s="156" t="s">
        <v>1165</v>
      </c>
    </row>
    <row r="231" spans="1:123" customFormat="1" ht="15" customHeight="1" x14ac:dyDescent="0.25">
      <c r="A231" s="242">
        <v>45628</v>
      </c>
      <c r="B231" s="222"/>
      <c r="C231" s="223"/>
      <c r="D231" s="66" t="s">
        <v>320</v>
      </c>
      <c r="E231" s="404" t="s">
        <v>1591</v>
      </c>
      <c r="F231" s="95" t="s">
        <v>1592</v>
      </c>
      <c r="G231" s="95" t="s">
        <v>1593</v>
      </c>
      <c r="H231" s="95" t="s">
        <v>253</v>
      </c>
      <c r="I231" s="95" t="s">
        <v>254</v>
      </c>
      <c r="J231" s="163"/>
      <c r="K231" s="101"/>
      <c r="L231" s="101" t="s">
        <v>263</v>
      </c>
      <c r="M231" s="345" t="s">
        <v>272</v>
      </c>
      <c r="N231" s="442" t="s">
        <v>467</v>
      </c>
      <c r="O231" s="165">
        <v>73.384399999999999</v>
      </c>
      <c r="P231" s="933">
        <v>151.66999999999999</v>
      </c>
      <c r="Q231" s="157">
        <v>16.5</v>
      </c>
      <c r="R231" s="109" t="s">
        <v>244</v>
      </c>
      <c r="S231" s="141">
        <v>409734.62</v>
      </c>
      <c r="T231" s="110">
        <v>58717.23</v>
      </c>
      <c r="U231" s="141"/>
      <c r="V231" s="158">
        <f t="shared" si="129"/>
        <v>0</v>
      </c>
      <c r="W231" s="159">
        <v>45618.789131944446</v>
      </c>
      <c r="X231" s="159">
        <v>45624.357638888891</v>
      </c>
      <c r="Y231" s="160">
        <v>45624</v>
      </c>
      <c r="Z231" s="470"/>
      <c r="AA231" s="470">
        <v>45761</v>
      </c>
      <c r="AB231" s="470"/>
      <c r="AC231" s="161">
        <f t="shared" si="130"/>
        <v>142.21086805555387</v>
      </c>
      <c r="AD231" s="161">
        <f t="shared" si="160"/>
        <v>136.64236111110949</v>
      </c>
      <c r="AE231" s="446">
        <f t="shared" si="155"/>
        <v>-45761</v>
      </c>
      <c r="AF231" s="160">
        <f t="shared" si="161"/>
        <v>45639.996028496171</v>
      </c>
      <c r="AG231" s="160">
        <f t="shared" si="162"/>
        <v>45649.451200909964</v>
      </c>
      <c r="AH231" s="159">
        <f t="shared" si="163"/>
        <v>45668.789131944446</v>
      </c>
      <c r="AI231" s="162">
        <f t="shared" si="131"/>
        <v>4.4061059547126735</v>
      </c>
      <c r="AJ231" s="224">
        <f t="shared" si="164"/>
        <v>-762.68333333333328</v>
      </c>
      <c r="AK231" s="225">
        <f t="shared" si="132"/>
        <v>26</v>
      </c>
      <c r="AL231" s="170">
        <f t="shared" si="133"/>
        <v>36</v>
      </c>
      <c r="AM231" s="170">
        <f t="shared" si="134"/>
        <v>24.206896551724139</v>
      </c>
      <c r="AN231" s="170">
        <f t="shared" si="135"/>
        <v>30.662068965517239</v>
      </c>
      <c r="AO231" s="226">
        <f t="shared" si="136"/>
        <v>21.206896551724139</v>
      </c>
      <c r="AP231" s="227">
        <v>60</v>
      </c>
      <c r="AQ231" s="228">
        <f t="shared" si="137"/>
        <v>57</v>
      </c>
      <c r="AR231" s="228">
        <f t="shared" si="165"/>
        <v>52</v>
      </c>
      <c r="AS231" s="229">
        <f t="shared" si="139"/>
        <v>45821</v>
      </c>
      <c r="AT231" s="982">
        <f t="shared" ca="1" si="140"/>
        <v>134</v>
      </c>
      <c r="AU231" s="50"/>
      <c r="AV231" s="118"/>
      <c r="AW231" s="49"/>
      <c r="AX231" s="49"/>
      <c r="AY231" s="49"/>
      <c r="AZ231" s="300"/>
      <c r="BA231" s="119"/>
      <c r="BB231" s="304"/>
      <c r="BC231" s="231" t="s">
        <v>13</v>
      </c>
      <c r="BD231" s="232"/>
      <c r="BE231" s="222">
        <f t="shared" si="166"/>
        <v>45776</v>
      </c>
      <c r="BF231" s="233" t="e">
        <f t="shared" si="127"/>
        <v>#VALUE!</v>
      </c>
      <c r="BG231" s="248"/>
      <c r="BH231" s="235"/>
      <c r="BI231" s="234"/>
      <c r="BJ231" s="236"/>
      <c r="BK231" s="222"/>
      <c r="BL231" s="222"/>
      <c r="BM231" s="238"/>
      <c r="BN231" s="222"/>
      <c r="BO231" s="222"/>
      <c r="BP231" s="243"/>
      <c r="BQ231" s="244" t="s">
        <v>247</v>
      </c>
      <c r="BR231" s="238">
        <v>45758</v>
      </c>
      <c r="BS231" s="67"/>
      <c r="BT231" s="66"/>
      <c r="BU231" s="66"/>
      <c r="BV231" s="66"/>
      <c r="BW231" s="74"/>
      <c r="BX231" s="81"/>
      <c r="BY231" s="66">
        <v>45645</v>
      </c>
      <c r="BZ231" s="944" t="s">
        <v>1594</v>
      </c>
      <c r="CA231" s="42" t="str">
        <f t="shared" si="141"/>
        <v>0</v>
      </c>
      <c r="CB231" s="62">
        <f t="shared" si="142"/>
        <v>142.21086805555387</v>
      </c>
      <c r="CC231" s="42">
        <f t="shared" si="143"/>
        <v>0</v>
      </c>
      <c r="CD231" s="62">
        <f t="shared" si="144"/>
        <v>142.21086805555387</v>
      </c>
      <c r="CE231" s="62">
        <f t="shared" si="145"/>
        <v>4.4061059547126735</v>
      </c>
      <c r="CF231" s="145">
        <f t="shared" si="146"/>
        <v>108</v>
      </c>
      <c r="CG231" s="145"/>
      <c r="CH231" s="443">
        <f t="shared" si="147"/>
        <v>7.7522598008665184</v>
      </c>
      <c r="CI231" s="996">
        <f t="shared" si="148"/>
        <v>7.7522598008665184</v>
      </c>
      <c r="CJ231" s="261">
        <f t="shared" si="149"/>
        <v>1.8</v>
      </c>
      <c r="CK231" s="458" t="str">
        <f t="shared" si="150"/>
        <v/>
      </c>
      <c r="CL231" t="str">
        <f t="shared" si="151"/>
        <v>REV</v>
      </c>
      <c r="CM231" t="str">
        <f t="shared" si="152"/>
        <v/>
      </c>
      <c r="CN231" s="635"/>
      <c r="CO231" s="631"/>
      <c r="CP231" s="629" t="str">
        <f t="shared" si="167"/>
        <v>FOR ISSUANCE</v>
      </c>
      <c r="CQ231" s="635"/>
      <c r="CR231" s="697"/>
      <c r="CS231" s="633" t="str">
        <f t="shared" ca="1" si="153"/>
        <v>0</v>
      </c>
      <c r="CT231" s="635"/>
      <c r="CU231" s="631"/>
      <c r="CV231" s="638"/>
      <c r="CW231" s="156" t="s">
        <v>1595</v>
      </c>
      <c r="CX231" s="156" t="str">
        <f>VLOOKUP(E231,'[1]List of Work Orders'!$A:$I,9,FALSE)</f>
        <v>ME155242</v>
      </c>
      <c r="CY231" s="156"/>
      <c r="DC231" t="str">
        <f>VLOOKUP(E231,'[2]List of Work Orders'!$A:$F,6,FALSE)</f>
        <v>FCOMP</v>
      </c>
      <c r="DS231" s="156" t="s">
        <v>1165</v>
      </c>
    </row>
    <row r="232" spans="1:123" ht="15" customHeight="1" x14ac:dyDescent="0.2">
      <c r="A232" s="242">
        <v>45628</v>
      </c>
      <c r="B232" s="222"/>
      <c r="C232" s="223"/>
      <c r="D232" s="66" t="s">
        <v>320</v>
      </c>
      <c r="E232" s="404" t="s">
        <v>1596</v>
      </c>
      <c r="F232" s="95" t="s">
        <v>1597</v>
      </c>
      <c r="G232" s="95" t="s">
        <v>854</v>
      </c>
      <c r="H232" s="95" t="s">
        <v>318</v>
      </c>
      <c r="I232" s="95" t="s">
        <v>239</v>
      </c>
      <c r="J232" s="163"/>
      <c r="K232" s="101"/>
      <c r="L232" s="101" t="s">
        <v>255</v>
      </c>
      <c r="M232" s="345" t="s">
        <v>272</v>
      </c>
      <c r="N232" s="442" t="s">
        <v>403</v>
      </c>
      <c r="O232" s="165">
        <v>56.18</v>
      </c>
      <c r="P232" s="165">
        <v>134.46</v>
      </c>
      <c r="Q232" s="157">
        <v>106</v>
      </c>
      <c r="R232" s="109" t="s">
        <v>548</v>
      </c>
      <c r="S232" s="141">
        <v>386016.72</v>
      </c>
      <c r="T232" s="110">
        <v>45264.51</v>
      </c>
      <c r="U232" s="141"/>
      <c r="V232" s="158">
        <f t="shared" si="129"/>
        <v>0</v>
      </c>
      <c r="W232" s="159">
        <v>45621.359467592592</v>
      </c>
      <c r="X232" s="159">
        <v>45625.53125</v>
      </c>
      <c r="Y232" s="160">
        <v>45623</v>
      </c>
      <c r="Z232" s="470"/>
      <c r="AA232" s="470">
        <v>45870.307638888888</v>
      </c>
      <c r="AB232" s="470"/>
      <c r="AC232" s="161">
        <f t="shared" si="130"/>
        <v>248.94817129629519</v>
      </c>
      <c r="AD232" s="161">
        <f t="shared" si="160"/>
        <v>244.7763888888876</v>
      </c>
      <c r="AE232" s="446">
        <f t="shared" si="155"/>
        <v>-45870.307638888888</v>
      </c>
      <c r="AF232" s="160">
        <f t="shared" si="161"/>
        <v>45640.805510758059</v>
      </c>
      <c r="AG232" s="160">
        <f t="shared" si="162"/>
        <v>45649.791122268849</v>
      </c>
      <c r="AH232" s="159">
        <f t="shared" si="163"/>
        <v>45671.359467592592</v>
      </c>
      <c r="AI232" s="162">
        <f t="shared" si="131"/>
        <v>8.3182201466790939</v>
      </c>
      <c r="AJ232" s="224">
        <f t="shared" si="164"/>
        <v>-764.50512731481479</v>
      </c>
      <c r="AK232" s="225">
        <f t="shared" si="132"/>
        <v>26</v>
      </c>
      <c r="AL232" s="170">
        <f t="shared" si="133"/>
        <v>32</v>
      </c>
      <c r="AM232" s="170">
        <f t="shared" si="134"/>
        <v>22.446043165467625</v>
      </c>
      <c r="AN232" s="170">
        <f t="shared" si="135"/>
        <v>28.431654676258994</v>
      </c>
      <c r="AO232" s="226">
        <f t="shared" si="136"/>
        <v>19.446043165467625</v>
      </c>
      <c r="AP232" s="227">
        <v>60</v>
      </c>
      <c r="AQ232" s="228">
        <f t="shared" si="137"/>
        <v>57</v>
      </c>
      <c r="AR232" s="228">
        <f t="shared" si="165"/>
        <v>52</v>
      </c>
      <c r="AS232" s="229">
        <f t="shared" si="139"/>
        <v>45930.307638888888</v>
      </c>
      <c r="AT232" s="982">
        <f t="shared" ca="1" si="140"/>
        <v>24.692361111112405</v>
      </c>
      <c r="AU232" s="1077"/>
      <c r="AV232" s="1078"/>
      <c r="AW232" s="1079"/>
      <c r="AX232" s="1079"/>
      <c r="AY232" s="1079"/>
      <c r="AZ232" s="1080"/>
      <c r="BA232" s="1081"/>
      <c r="BB232" s="1091"/>
      <c r="BC232" s="231" t="s">
        <v>13</v>
      </c>
      <c r="BD232" s="232" t="s">
        <v>9</v>
      </c>
      <c r="BE232" s="222">
        <f t="shared" si="166"/>
        <v>45885.307638888888</v>
      </c>
      <c r="BF232" s="233" t="e">
        <f t="shared" si="127"/>
        <v>#VALUE!</v>
      </c>
      <c r="BG232" s="248"/>
      <c r="BH232" s="235"/>
      <c r="BI232" s="234">
        <v>45882</v>
      </c>
      <c r="BJ232" s="236" t="s">
        <v>1598</v>
      </c>
      <c r="BK232" s="222"/>
      <c r="BL232" s="222"/>
      <c r="BM232" s="238"/>
      <c r="BN232" s="222"/>
      <c r="BO232" s="222"/>
      <c r="BP232" s="243"/>
      <c r="BQ232" s="244" t="s">
        <v>247</v>
      </c>
      <c r="BR232" s="238">
        <v>45861</v>
      </c>
      <c r="BS232" s="67"/>
      <c r="BT232" s="66"/>
      <c r="BU232" s="66"/>
      <c r="BV232" s="66"/>
      <c r="BW232" s="74"/>
      <c r="BX232" s="81"/>
      <c r="BY232" s="66">
        <v>45649</v>
      </c>
      <c r="BZ232" s="944" t="s">
        <v>1599</v>
      </c>
      <c r="CA232" s="42" t="str">
        <f t="shared" si="141"/>
        <v>0</v>
      </c>
      <c r="CB232" s="62">
        <f t="shared" si="142"/>
        <v>248.94817129629519</v>
      </c>
      <c r="CC232" s="42">
        <f t="shared" si="143"/>
        <v>0</v>
      </c>
      <c r="CD232" s="62">
        <f t="shared" si="144"/>
        <v>248.94817129629519</v>
      </c>
      <c r="CE232" s="62">
        <f t="shared" si="145"/>
        <v>8.3182201466790939</v>
      </c>
      <c r="CF232" s="1059">
        <f t="shared" si="146"/>
        <v>-1.3076388888875954</v>
      </c>
      <c r="CH232" s="1082">
        <f t="shared" si="147"/>
        <v>8.2745274049590503</v>
      </c>
      <c r="CI232" s="1083">
        <f t="shared" si="148"/>
        <v>8.2745274049590503</v>
      </c>
      <c r="CJ232" s="1084">
        <f t="shared" si="149"/>
        <v>-2.1793981481459924E-2</v>
      </c>
      <c r="CK232" s="1085" t="str">
        <f t="shared" si="150"/>
        <v/>
      </c>
      <c r="CL232" s="1057" t="str">
        <f t="shared" si="151"/>
        <v>NON-REV</v>
      </c>
      <c r="CM232" s="1057" t="str">
        <f t="shared" si="152"/>
        <v/>
      </c>
      <c r="CN232" s="1086"/>
      <c r="CO232" s="1087"/>
      <c r="CP232" s="629" t="str">
        <f t="shared" si="167"/>
        <v>FOR ISSUANCE</v>
      </c>
      <c r="CQ232" s="1086"/>
      <c r="CR232" s="1088"/>
      <c r="CS232" s="1089" t="str">
        <f t="shared" ca="1" si="153"/>
        <v>0</v>
      </c>
      <c r="CT232" s="1086"/>
      <c r="CU232" s="1087"/>
      <c r="CV232" s="1090"/>
      <c r="CW232" s="156" t="s">
        <v>1600</v>
      </c>
      <c r="CX232" s="156" t="str">
        <f>VLOOKUP(E232,'[1]List of Work Orders'!$A:$I,9,FALSE)</f>
        <v>ME185284</v>
      </c>
      <c r="CY232" s="156"/>
      <c r="DC232" s="1057" t="str">
        <f>VLOOKUP(E232,'[2]List of Work Orders'!$A:$F,6,FALSE)</f>
        <v>SCHED</v>
      </c>
      <c r="DS232" s="156" t="s">
        <v>397</v>
      </c>
    </row>
    <row r="233" spans="1:123" customFormat="1" ht="15" customHeight="1" x14ac:dyDescent="0.25">
      <c r="A233" s="242">
        <v>45628</v>
      </c>
      <c r="B233" s="222"/>
      <c r="C233" s="223"/>
      <c r="D233" s="66" t="s">
        <v>320</v>
      </c>
      <c r="E233" s="404" t="s">
        <v>1601</v>
      </c>
      <c r="F233" s="95" t="s">
        <v>1602</v>
      </c>
      <c r="G233" s="95" t="s">
        <v>1370</v>
      </c>
      <c r="H233" s="95" t="s">
        <v>238</v>
      </c>
      <c r="I233" s="95" t="s">
        <v>239</v>
      </c>
      <c r="J233" s="163"/>
      <c r="K233" s="101"/>
      <c r="L233" s="101" t="s">
        <v>242</v>
      </c>
      <c r="M233" s="345" t="s">
        <v>272</v>
      </c>
      <c r="N233" s="442" t="s">
        <v>467</v>
      </c>
      <c r="O233" s="165">
        <v>9.1265000000000001</v>
      </c>
      <c r="P233" s="933">
        <v>9.1300000000000008</v>
      </c>
      <c r="Q233" s="157">
        <v>0</v>
      </c>
      <c r="R233" s="109" t="s">
        <v>327</v>
      </c>
      <c r="S233" s="141">
        <v>20018.21</v>
      </c>
      <c r="T233" s="110">
        <v>7349.37</v>
      </c>
      <c r="U233" s="141"/>
      <c r="V233" s="158">
        <f t="shared" si="129"/>
        <v>0</v>
      </c>
      <c r="W233" s="159">
        <v>45621.685023148151</v>
      </c>
      <c r="X233" s="159">
        <v>45625.52847222222</v>
      </c>
      <c r="Y233" s="160">
        <v>45625</v>
      </c>
      <c r="Z233" s="470"/>
      <c r="AA233" s="470">
        <v>45646</v>
      </c>
      <c r="AB233" s="470"/>
      <c r="AC233" s="161">
        <f t="shared" si="130"/>
        <v>24.314976851848769</v>
      </c>
      <c r="AD233" s="161">
        <f t="shared" si="160"/>
        <v>20.471527777779556</v>
      </c>
      <c r="AE233" s="446">
        <f t="shared" si="155"/>
        <v>-45646</v>
      </c>
      <c r="AF233" s="160">
        <f t="shared" si="161"/>
        <v>45640.459216696538</v>
      </c>
      <c r="AG233" s="160">
        <f t="shared" si="162"/>
        <v>45649.265668309439</v>
      </c>
      <c r="AH233" s="159">
        <f t="shared" si="163"/>
        <v>45671.685023148151</v>
      </c>
      <c r="AI233" s="162">
        <f t="shared" si="131"/>
        <v>0.8375158693414575</v>
      </c>
      <c r="AJ233" s="224">
        <f t="shared" si="164"/>
        <v>-760.76666666666665</v>
      </c>
      <c r="AK233" s="225">
        <f t="shared" si="132"/>
        <v>20</v>
      </c>
      <c r="AL233" s="170">
        <f t="shared" si="133"/>
        <v>36</v>
      </c>
      <c r="AM233" s="170">
        <f t="shared" si="134"/>
        <v>21.774193548387096</v>
      </c>
      <c r="AN233" s="170">
        <f t="shared" si="135"/>
        <v>27.58064516129032</v>
      </c>
      <c r="AO233" s="226">
        <f t="shared" si="136"/>
        <v>18.774193548387096</v>
      </c>
      <c r="AP233" s="227">
        <v>60</v>
      </c>
      <c r="AQ233" s="228">
        <f t="shared" si="137"/>
        <v>57</v>
      </c>
      <c r="AR233" s="228">
        <f t="shared" si="165"/>
        <v>52</v>
      </c>
      <c r="AS233" s="229">
        <f t="shared" si="139"/>
        <v>45706</v>
      </c>
      <c r="AT233" s="982">
        <f t="shared" ca="1" si="140"/>
        <v>249</v>
      </c>
      <c r="AU233" s="50"/>
      <c r="AV233" s="118"/>
      <c r="AW233" s="49"/>
      <c r="AX233" s="49"/>
      <c r="AY233" s="49"/>
      <c r="AZ233" s="300"/>
      <c r="BA233" s="119"/>
      <c r="BB233" s="304"/>
      <c r="BC233" s="231" t="s">
        <v>13</v>
      </c>
      <c r="BD233" s="232"/>
      <c r="BE233" s="222">
        <f t="shared" si="166"/>
        <v>45661</v>
      </c>
      <c r="BF233" s="233" t="e">
        <f t="shared" si="127"/>
        <v>#VALUE!</v>
      </c>
      <c r="BG233" s="248"/>
      <c r="BH233" s="235"/>
      <c r="BI233" s="234"/>
      <c r="BJ233" s="236"/>
      <c r="BK233" s="222"/>
      <c r="BL233" s="222"/>
      <c r="BM233" s="238"/>
      <c r="BN233" s="222"/>
      <c r="BO233" s="222"/>
      <c r="BP233" s="243"/>
      <c r="BQ233" s="244"/>
      <c r="BR233" s="238"/>
      <c r="BS233" s="67"/>
      <c r="BT233" s="66"/>
      <c r="BU233" s="66"/>
      <c r="BV233" s="66"/>
      <c r="BW233" s="74"/>
      <c r="BX233" s="81"/>
      <c r="BY233" s="66" t="s">
        <v>308</v>
      </c>
      <c r="BZ233" s="944" t="s">
        <v>1603</v>
      </c>
      <c r="CA233" s="42" t="str">
        <f t="shared" si="141"/>
        <v>0</v>
      </c>
      <c r="CB233" s="62">
        <f t="shared" si="142"/>
        <v>24.314976851848769</v>
      </c>
      <c r="CC233" s="42">
        <f t="shared" si="143"/>
        <v>0</v>
      </c>
      <c r="CD233" s="62">
        <f t="shared" si="144"/>
        <v>24.314976851848769</v>
      </c>
      <c r="CE233" s="62">
        <f t="shared" si="145"/>
        <v>0.8375158693414575</v>
      </c>
      <c r="CF233" s="145">
        <f t="shared" si="146"/>
        <v>223</v>
      </c>
      <c r="CG233" s="145"/>
      <c r="CH233" s="443">
        <f t="shared" si="147"/>
        <v>8.5186269804525683</v>
      </c>
      <c r="CI233" s="996">
        <f t="shared" si="148"/>
        <v>8.5186269804525683</v>
      </c>
      <c r="CJ233" s="261">
        <f t="shared" si="149"/>
        <v>3.7166666666666668</v>
      </c>
      <c r="CK233" s="458" t="str">
        <f t="shared" si="150"/>
        <v/>
      </c>
      <c r="CL233" t="str">
        <f t="shared" si="151"/>
        <v>NON-REV</v>
      </c>
      <c r="CM233" t="str">
        <f t="shared" si="152"/>
        <v/>
      </c>
      <c r="CN233" s="635"/>
      <c r="CO233" s="631"/>
      <c r="CP233" s="629" t="str">
        <f t="shared" si="167"/>
        <v>FOR ISSUANCE</v>
      </c>
      <c r="CQ233" s="635"/>
      <c r="CR233" s="697"/>
      <c r="CS233" s="633" t="str">
        <f t="shared" ca="1" si="153"/>
        <v>0</v>
      </c>
      <c r="CT233" s="635"/>
      <c r="CU233" s="631"/>
      <c r="CV233" s="638"/>
      <c r="CW233" s="156" t="s">
        <v>1604</v>
      </c>
      <c r="CX233" s="156" t="str">
        <f>VLOOKUP(E233,'[1]List of Work Orders'!$A:$I,9,FALSE)</f>
        <v>ME155242</v>
      </c>
      <c r="CY233" s="156"/>
      <c r="CZ233" s="63"/>
      <c r="DC233" t="str">
        <f>VLOOKUP(E233,'[2]List of Work Orders'!$A:$F,6,FALSE)</f>
        <v>FCOMP</v>
      </c>
      <c r="DS233" s="156" t="s">
        <v>397</v>
      </c>
    </row>
    <row r="234" spans="1:123" customFormat="1" ht="15" customHeight="1" x14ac:dyDescent="0.25">
      <c r="A234" s="242">
        <v>45628</v>
      </c>
      <c r="B234" s="222"/>
      <c r="C234" s="223"/>
      <c r="D234" s="66" t="s">
        <v>320</v>
      </c>
      <c r="E234" s="404" t="s">
        <v>1605</v>
      </c>
      <c r="F234" s="95" t="s">
        <v>1606</v>
      </c>
      <c r="G234" s="95" t="s">
        <v>1607</v>
      </c>
      <c r="H234" s="95" t="s">
        <v>378</v>
      </c>
      <c r="I234" s="95" t="s">
        <v>239</v>
      </c>
      <c r="J234" s="163"/>
      <c r="K234" s="101"/>
      <c r="L234" s="101" t="s">
        <v>288</v>
      </c>
      <c r="M234" s="345" t="s">
        <v>272</v>
      </c>
      <c r="N234" s="442" t="s">
        <v>381</v>
      </c>
      <c r="O234" s="165">
        <v>9.8994999999999997</v>
      </c>
      <c r="P234" s="933">
        <v>9.9</v>
      </c>
      <c r="Q234" s="157">
        <v>1.5</v>
      </c>
      <c r="R234" s="109" t="s">
        <v>244</v>
      </c>
      <c r="S234" s="141">
        <v>28231.84</v>
      </c>
      <c r="T234" s="110">
        <v>7971.81</v>
      </c>
      <c r="U234" s="141"/>
      <c r="V234" s="158">
        <f t="shared" si="129"/>
        <v>0</v>
      </c>
      <c r="W234" s="159">
        <v>45621.725451388891</v>
      </c>
      <c r="X234" s="159">
        <v>45625.535416666666</v>
      </c>
      <c r="Y234" s="160">
        <v>45623</v>
      </c>
      <c r="Z234" s="470"/>
      <c r="AA234" s="470">
        <v>45724</v>
      </c>
      <c r="AB234" s="470"/>
      <c r="AC234" s="161">
        <f t="shared" si="130"/>
        <v>102.27454861110891</v>
      </c>
      <c r="AD234" s="161">
        <f t="shared" si="160"/>
        <v>98.464583333334303</v>
      </c>
      <c r="AE234" s="446">
        <f t="shared" si="155"/>
        <v>-45724</v>
      </c>
      <c r="AF234" s="160">
        <f t="shared" si="161"/>
        <v>45640.499644937277</v>
      </c>
      <c r="AG234" s="160">
        <f t="shared" si="162"/>
        <v>45649.306096550179</v>
      </c>
      <c r="AH234" s="159">
        <f t="shared" si="163"/>
        <v>45671.725451388891</v>
      </c>
      <c r="AI234" s="162">
        <f t="shared" si="131"/>
        <v>3.5227900077159733</v>
      </c>
      <c r="AJ234" s="224">
        <f t="shared" si="164"/>
        <v>-762.06666666666672</v>
      </c>
      <c r="AK234" s="225">
        <f t="shared" si="132"/>
        <v>20</v>
      </c>
      <c r="AL234" s="170">
        <f t="shared" si="133"/>
        <v>36</v>
      </c>
      <c r="AM234" s="170">
        <f t="shared" si="134"/>
        <v>21.774193548387096</v>
      </c>
      <c r="AN234" s="170">
        <f t="shared" si="135"/>
        <v>27.58064516129032</v>
      </c>
      <c r="AO234" s="226">
        <f t="shared" si="136"/>
        <v>18.774193548387096</v>
      </c>
      <c r="AP234" s="227">
        <v>60</v>
      </c>
      <c r="AQ234" s="228">
        <f t="shared" si="137"/>
        <v>57</v>
      </c>
      <c r="AR234" s="228">
        <f t="shared" si="165"/>
        <v>52</v>
      </c>
      <c r="AS234" s="229">
        <f t="shared" si="139"/>
        <v>45784</v>
      </c>
      <c r="AT234" s="982">
        <f t="shared" ca="1" si="140"/>
        <v>171</v>
      </c>
      <c r="AU234" s="50"/>
      <c r="AV234" s="118"/>
      <c r="AW234" s="49"/>
      <c r="AX234" s="49"/>
      <c r="AY234" s="49"/>
      <c r="AZ234" s="300"/>
      <c r="BA234" s="119"/>
      <c r="BB234" s="304"/>
      <c r="BC234" s="231" t="s">
        <v>12</v>
      </c>
      <c r="BD234" s="232"/>
      <c r="BE234" s="222">
        <f t="shared" si="166"/>
        <v>45739</v>
      </c>
      <c r="BF234" s="233">
        <f t="shared" si="127"/>
        <v>99</v>
      </c>
      <c r="BG234" s="248">
        <v>45724</v>
      </c>
      <c r="BH234" s="235">
        <v>45838</v>
      </c>
      <c r="BI234" s="234"/>
      <c r="BJ234" s="236"/>
      <c r="BK234" s="222"/>
      <c r="BL234" s="222"/>
      <c r="BM234" s="238"/>
      <c r="BN234" s="222"/>
      <c r="BO234" s="222"/>
      <c r="BP234" s="243"/>
      <c r="BQ234" s="244"/>
      <c r="BR234" s="238"/>
      <c r="BS234" s="67"/>
      <c r="BT234" s="66"/>
      <c r="BU234" s="66"/>
      <c r="BV234" s="66"/>
      <c r="BW234" s="74"/>
      <c r="BX234" s="81"/>
      <c r="BY234" s="66" t="s">
        <v>308</v>
      </c>
      <c r="BZ234" s="944" t="s">
        <v>1608</v>
      </c>
      <c r="CA234" s="42" t="str">
        <f t="shared" si="141"/>
        <v>0</v>
      </c>
      <c r="CB234" s="62">
        <f t="shared" si="142"/>
        <v>102.27454861110891</v>
      </c>
      <c r="CC234" s="42">
        <f t="shared" si="143"/>
        <v>0</v>
      </c>
      <c r="CD234" s="62">
        <f t="shared" si="144"/>
        <v>102.27454861110891</v>
      </c>
      <c r="CE234" s="62">
        <f t="shared" si="145"/>
        <v>3.5227900077159733</v>
      </c>
      <c r="CF234" s="145">
        <f t="shared" si="146"/>
        <v>145</v>
      </c>
      <c r="CG234" s="145"/>
      <c r="CH234" s="443">
        <f t="shared" si="147"/>
        <v>8.5172344521604177</v>
      </c>
      <c r="CI234" s="996">
        <f t="shared" si="148"/>
        <v>8.5172344521604177</v>
      </c>
      <c r="CJ234" s="261">
        <f t="shared" si="149"/>
        <v>2.4166666666666665</v>
      </c>
      <c r="CK234" s="458" t="str">
        <f t="shared" si="150"/>
        <v/>
      </c>
      <c r="CL234" t="str">
        <f t="shared" si="151"/>
        <v>REV</v>
      </c>
      <c r="CM234" t="str">
        <f t="shared" si="152"/>
        <v/>
      </c>
      <c r="CN234" s="635"/>
      <c r="CO234" s="631"/>
      <c r="CP234" s="629" t="str">
        <f t="shared" si="167"/>
        <v>FOR ISSUANCE</v>
      </c>
      <c r="CQ234" s="635"/>
      <c r="CR234" s="697"/>
      <c r="CS234" s="633" t="str">
        <f t="shared" ca="1" si="153"/>
        <v>0</v>
      </c>
      <c r="CT234" s="635"/>
      <c r="CU234" s="631"/>
      <c r="CV234" s="638"/>
      <c r="CW234" s="156" t="s">
        <v>1609</v>
      </c>
      <c r="CX234" s="156" t="str">
        <f>VLOOKUP(E234,'[1]List of Work Orders'!$A:$I,9,FALSE)</f>
        <v>ME185284</v>
      </c>
      <c r="CY234" s="156"/>
      <c r="DC234" t="str">
        <f>VLOOKUP(E234,'[2]List of Work Orders'!$A:$F,6,FALSE)</f>
        <v>FCOMP</v>
      </c>
      <c r="DS234" s="156" t="s">
        <v>397</v>
      </c>
    </row>
    <row r="235" spans="1:123" customFormat="1" ht="15" customHeight="1" x14ac:dyDescent="0.25">
      <c r="A235" s="242">
        <v>45636</v>
      </c>
      <c r="B235" s="222"/>
      <c r="C235" s="223"/>
      <c r="D235" s="66" t="s">
        <v>320</v>
      </c>
      <c r="E235" s="404" t="s">
        <v>1610</v>
      </c>
      <c r="F235" s="95" t="s">
        <v>1611</v>
      </c>
      <c r="G235" s="95" t="s">
        <v>1612</v>
      </c>
      <c r="H235" s="95" t="s">
        <v>238</v>
      </c>
      <c r="I235" s="95" t="s">
        <v>239</v>
      </c>
      <c r="J235" s="163"/>
      <c r="K235" s="101"/>
      <c r="L235" s="101" t="s">
        <v>263</v>
      </c>
      <c r="M235" s="345" t="s">
        <v>331</v>
      </c>
      <c r="N235" s="442" t="s">
        <v>467</v>
      </c>
      <c r="O235" s="165">
        <v>99.131</v>
      </c>
      <c r="P235" s="165">
        <v>177.41</v>
      </c>
      <c r="Q235" s="157">
        <v>85</v>
      </c>
      <c r="R235" s="109" t="s">
        <v>548</v>
      </c>
      <c r="S235" s="141">
        <v>232274.33</v>
      </c>
      <c r="T235" s="110">
        <v>79450.899999999994</v>
      </c>
      <c r="U235" s="141"/>
      <c r="V235" s="158">
        <f t="shared" si="129"/>
        <v>0</v>
      </c>
      <c r="W235" s="159">
        <v>45622.71329861111</v>
      </c>
      <c r="X235" s="159">
        <v>45625.538194444445</v>
      </c>
      <c r="Y235" s="160">
        <v>45625</v>
      </c>
      <c r="Z235" s="470"/>
      <c r="AA235" s="470"/>
      <c r="AB235" s="470"/>
      <c r="AC235" s="161">
        <f t="shared" si="130"/>
        <v>-45622.71329861111</v>
      </c>
      <c r="AD235" s="161">
        <f t="shared" si="160"/>
        <v>-45625.538194444445</v>
      </c>
      <c r="AE235" s="446">
        <f t="shared" si="155"/>
        <v>0</v>
      </c>
      <c r="AF235" s="160">
        <f t="shared" si="161"/>
        <v>45643.058369033643</v>
      </c>
      <c r="AG235" s="160">
        <f t="shared" si="162"/>
        <v>45652.283721146319</v>
      </c>
      <c r="AH235" s="159">
        <f t="shared" si="163"/>
        <v>45672.71329861111</v>
      </c>
      <c r="AI235" s="162">
        <f t="shared" si="131"/>
        <v>-1465.7070788241576</v>
      </c>
      <c r="AJ235" s="224">
        <f t="shared" si="164"/>
        <v>0</v>
      </c>
      <c r="AK235" s="225">
        <f t="shared" si="132"/>
        <v>26</v>
      </c>
      <c r="AL235" s="170">
        <f t="shared" si="133"/>
        <v>34</v>
      </c>
      <c r="AM235" s="170">
        <f t="shared" si="134"/>
        <v>23.345070422535212</v>
      </c>
      <c r="AN235" s="170">
        <f t="shared" si="135"/>
        <v>29.570422535211268</v>
      </c>
      <c r="AO235" s="226">
        <f t="shared" si="136"/>
        <v>20.345070422535212</v>
      </c>
      <c r="AP235" s="227">
        <v>60</v>
      </c>
      <c r="AQ235" s="228">
        <f t="shared" si="137"/>
        <v>57</v>
      </c>
      <c r="AR235" s="228">
        <f t="shared" si="165"/>
        <v>52</v>
      </c>
      <c r="AS235" s="229">
        <f t="shared" si="139"/>
        <v>60</v>
      </c>
      <c r="AT235" s="982">
        <f t="shared" ca="1" si="140"/>
        <v>45895</v>
      </c>
      <c r="AU235" s="50"/>
      <c r="AV235" s="118"/>
      <c r="AW235" s="49"/>
      <c r="AX235" s="49"/>
      <c r="AY235" s="49"/>
      <c r="AZ235" s="300"/>
      <c r="BA235" s="119"/>
      <c r="BB235" s="304"/>
      <c r="BC235" s="231"/>
      <c r="BD235" s="232"/>
      <c r="BE235" s="222">
        <f t="shared" si="166"/>
        <v>15</v>
      </c>
      <c r="BF235" s="233">
        <f t="shared" si="127"/>
        <v>0</v>
      </c>
      <c r="BG235" s="248"/>
      <c r="BH235" s="235"/>
      <c r="BI235" s="234"/>
      <c r="BJ235" s="236"/>
      <c r="BK235" s="222"/>
      <c r="BL235" s="222"/>
      <c r="BM235" s="238"/>
      <c r="BN235" s="222"/>
      <c r="BO235" s="222"/>
      <c r="BP235" s="243"/>
      <c r="BQ235" s="244" t="s">
        <v>247</v>
      </c>
      <c r="BR235" s="238"/>
      <c r="BS235" s="67"/>
      <c r="BT235" s="66"/>
      <c r="BU235" s="66"/>
      <c r="BV235" s="66"/>
      <c r="BW235" s="74"/>
      <c r="BX235" s="81"/>
      <c r="BY235" s="66">
        <v>45636</v>
      </c>
      <c r="BZ235" s="944" t="s">
        <v>1613</v>
      </c>
      <c r="CA235" s="42" t="str">
        <f t="shared" si="141"/>
        <v>0</v>
      </c>
      <c r="CB235" s="62">
        <f t="shared" si="142"/>
        <v>-45622.71329861111</v>
      </c>
      <c r="CC235" s="42">
        <f t="shared" si="143"/>
        <v>0</v>
      </c>
      <c r="CD235" s="62">
        <f t="shared" si="144"/>
        <v>-45622.71329861111</v>
      </c>
      <c r="CE235" s="62">
        <f t="shared" si="145"/>
        <v>-1465.7070788241576</v>
      </c>
      <c r="CF235" s="145" t="str">
        <f t="shared" si="146"/>
        <v>0</v>
      </c>
      <c r="CG235" s="145"/>
      <c r="CH235" s="443">
        <f t="shared" si="147"/>
        <v>7.9123781894168239</v>
      </c>
      <c r="CI235" s="996">
        <f t="shared" si="148"/>
        <v>7.9123781894168239</v>
      </c>
      <c r="CJ235" s="261">
        <f t="shared" si="149"/>
        <v>0</v>
      </c>
      <c r="CK235" s="458">
        <f t="shared" si="150"/>
        <v>233.28670138888992</v>
      </c>
      <c r="CL235" t="str">
        <f t="shared" si="151"/>
        <v>NON-REV</v>
      </c>
      <c r="CM235" t="str">
        <f t="shared" si="152"/>
        <v>7-9 MONTHS</v>
      </c>
      <c r="CN235" s="635"/>
      <c r="CO235" s="631"/>
      <c r="CP235" s="629" t="str">
        <f t="shared" si="167"/>
        <v>FOR ISSUANCE</v>
      </c>
      <c r="CQ235" s="635"/>
      <c r="CR235" s="697"/>
      <c r="CS235" s="633" t="str">
        <f t="shared" ca="1" si="153"/>
        <v>0</v>
      </c>
      <c r="CT235" s="635"/>
      <c r="CU235" s="631"/>
      <c r="CV235" s="638"/>
      <c r="CW235" s="156" t="s">
        <v>1614</v>
      </c>
      <c r="CX235" s="156" t="str">
        <f>VLOOKUP(E235,'[1]List of Work Orders'!$A:$I,9,FALSE)</f>
        <v>ME155242</v>
      </c>
      <c r="CY235" s="156"/>
      <c r="DC235" t="str">
        <f>VLOOKUP(E235,'[2]List of Work Orders'!$A:$F,6,FALSE)</f>
        <v>SCHED</v>
      </c>
      <c r="DS235" s="156" t="s">
        <v>397</v>
      </c>
    </row>
    <row r="236" spans="1:123" customFormat="1" ht="15" customHeight="1" x14ac:dyDescent="0.25">
      <c r="A236" s="242">
        <v>45631</v>
      </c>
      <c r="B236" s="222"/>
      <c r="C236" s="223"/>
      <c r="D236" s="66" t="s">
        <v>320</v>
      </c>
      <c r="E236" s="404" t="s">
        <v>1615</v>
      </c>
      <c r="F236" s="95" t="s">
        <v>1616</v>
      </c>
      <c r="G236" s="95" t="s">
        <v>1617</v>
      </c>
      <c r="H236" s="95" t="s">
        <v>238</v>
      </c>
      <c r="I236" s="95" t="s">
        <v>239</v>
      </c>
      <c r="J236" s="163"/>
      <c r="K236" s="101"/>
      <c r="L236" s="101" t="s">
        <v>288</v>
      </c>
      <c r="M236" s="345" t="s">
        <v>272</v>
      </c>
      <c r="N236" s="442" t="s">
        <v>381</v>
      </c>
      <c r="O236" s="165">
        <v>168.62549999999999</v>
      </c>
      <c r="P236" s="933">
        <v>471.59</v>
      </c>
      <c r="Q236" s="157">
        <v>51</v>
      </c>
      <c r="R236" s="109" t="s">
        <v>548</v>
      </c>
      <c r="S236" s="141">
        <v>881252.87</v>
      </c>
      <c r="T236" s="110">
        <v>135412.87</v>
      </c>
      <c r="U236" s="141"/>
      <c r="V236" s="158">
        <f t="shared" si="129"/>
        <v>0</v>
      </c>
      <c r="W236" s="159">
        <v>45622.713599537034</v>
      </c>
      <c r="X236" s="159">
        <v>45625.545138888891</v>
      </c>
      <c r="Y236" s="160">
        <v>45629</v>
      </c>
      <c r="Z236" s="470"/>
      <c r="AA236" s="470">
        <v>45821</v>
      </c>
      <c r="AB236" s="470"/>
      <c r="AC236" s="161">
        <f t="shared" si="130"/>
        <v>198.28640046296641</v>
      </c>
      <c r="AD236" s="161">
        <f t="shared" si="160"/>
        <v>195.45486111110949</v>
      </c>
      <c r="AE236" s="446">
        <f t="shared" si="155"/>
        <v>-45821</v>
      </c>
      <c r="AF236" s="160">
        <f t="shared" si="161"/>
        <v>45644.744274383658</v>
      </c>
      <c r="AG236" s="160">
        <f t="shared" si="162"/>
        <v>45654.419121009429</v>
      </c>
      <c r="AH236" s="159">
        <f t="shared" si="163"/>
        <v>45672.713599537034</v>
      </c>
      <c r="AI236" s="162">
        <f t="shared" si="131"/>
        <v>5.9413020726955006</v>
      </c>
      <c r="AJ236" s="224">
        <f t="shared" si="164"/>
        <v>-763.68333333333328</v>
      </c>
      <c r="AK236" s="225">
        <f t="shared" si="132"/>
        <v>32</v>
      </c>
      <c r="AL236" s="170">
        <f t="shared" si="133"/>
        <v>34</v>
      </c>
      <c r="AM236" s="170">
        <f t="shared" si="134"/>
        <v>25.030674846625768</v>
      </c>
      <c r="AN236" s="170">
        <f t="shared" si="135"/>
        <v>31.70552147239264</v>
      </c>
      <c r="AO236" s="226">
        <f t="shared" si="136"/>
        <v>22.030674846625768</v>
      </c>
      <c r="AP236" s="227">
        <v>60</v>
      </c>
      <c r="AQ236" s="228">
        <f t="shared" si="137"/>
        <v>57</v>
      </c>
      <c r="AR236" s="228">
        <f t="shared" si="165"/>
        <v>52</v>
      </c>
      <c r="AS236" s="229">
        <f t="shared" si="139"/>
        <v>45881</v>
      </c>
      <c r="AT236" s="982">
        <f t="shared" ca="1" si="140"/>
        <v>74</v>
      </c>
      <c r="AU236" s="50"/>
      <c r="AV236" s="118"/>
      <c r="AW236" s="49"/>
      <c r="AX236" s="49"/>
      <c r="AY236" s="49"/>
      <c r="AZ236" s="300"/>
      <c r="BA236" s="119"/>
      <c r="BB236" s="304"/>
      <c r="BC236" s="231" t="s">
        <v>13</v>
      </c>
      <c r="BD236" s="232"/>
      <c r="BE236" s="222">
        <f t="shared" si="166"/>
        <v>45836</v>
      </c>
      <c r="BF236" s="233" t="e">
        <f t="shared" si="127"/>
        <v>#VALUE!</v>
      </c>
      <c r="BG236" s="248"/>
      <c r="BH236" s="235"/>
      <c r="BI236" s="234"/>
      <c r="BJ236" s="236"/>
      <c r="BK236" s="222"/>
      <c r="BL236" s="222"/>
      <c r="BM236" s="238"/>
      <c r="BN236" s="222"/>
      <c r="BO236" s="222"/>
      <c r="BP236" s="243"/>
      <c r="BQ236" s="244" t="s">
        <v>247</v>
      </c>
      <c r="BR236" s="238">
        <v>45834</v>
      </c>
      <c r="BS236" s="67"/>
      <c r="BT236" s="66"/>
      <c r="BU236" s="66"/>
      <c r="BV236" s="66"/>
      <c r="BW236" s="74"/>
      <c r="BX236" s="81"/>
      <c r="BY236" s="66">
        <v>45636</v>
      </c>
      <c r="BZ236" s="944" t="s">
        <v>1618</v>
      </c>
      <c r="CA236" s="42" t="str">
        <f t="shared" si="141"/>
        <v>0</v>
      </c>
      <c r="CB236" s="62">
        <f t="shared" si="142"/>
        <v>198.28640046296641</v>
      </c>
      <c r="CC236" s="42">
        <f t="shared" si="143"/>
        <v>0</v>
      </c>
      <c r="CD236" s="62">
        <f t="shared" si="144"/>
        <v>198.28640046296641</v>
      </c>
      <c r="CE236" s="62">
        <f t="shared" si="145"/>
        <v>5.9413020726955006</v>
      </c>
      <c r="CF236" s="145">
        <f t="shared" si="146"/>
        <v>48</v>
      </c>
      <c r="CG236" s="145"/>
      <c r="CH236" s="443">
        <f t="shared" si="147"/>
        <v>7.3795373668131479</v>
      </c>
      <c r="CI236" s="996">
        <f t="shared" si="148"/>
        <v>7.3795373668131479</v>
      </c>
      <c r="CJ236" s="261">
        <f t="shared" si="149"/>
        <v>0.8</v>
      </c>
      <c r="CK236" s="458" t="str">
        <f t="shared" si="150"/>
        <v/>
      </c>
      <c r="CL236" t="str">
        <f t="shared" si="151"/>
        <v>NON-REV</v>
      </c>
      <c r="CM236" t="str">
        <f t="shared" si="152"/>
        <v/>
      </c>
      <c r="CN236" s="635"/>
      <c r="CO236" s="631"/>
      <c r="CP236" s="629" t="str">
        <f t="shared" si="167"/>
        <v>FOR ISSUANCE</v>
      </c>
      <c r="CQ236" s="635"/>
      <c r="CR236" s="697"/>
      <c r="CS236" s="633" t="str">
        <f t="shared" ca="1" si="153"/>
        <v>0</v>
      </c>
      <c r="CT236" s="635"/>
      <c r="CU236" s="631"/>
      <c r="CV236" s="638"/>
      <c r="CW236" s="156" t="s">
        <v>1619</v>
      </c>
      <c r="CX236" s="156" t="str">
        <f>VLOOKUP(E236,'[1]List of Work Orders'!$A:$I,9,FALSE)</f>
        <v>ME185284</v>
      </c>
      <c r="CY236" s="156"/>
      <c r="DC236" t="str">
        <f>VLOOKUP(E236,'[2]List of Work Orders'!$A:$F,6,FALSE)</f>
        <v>INPRG</v>
      </c>
      <c r="DS236" s="156" t="s">
        <v>397</v>
      </c>
    </row>
    <row r="237" spans="1:123" customFormat="1" ht="15" customHeight="1" x14ac:dyDescent="0.25">
      <c r="A237" s="242">
        <v>45628</v>
      </c>
      <c r="B237" s="222"/>
      <c r="C237" s="223"/>
      <c r="D237" s="66" t="s">
        <v>320</v>
      </c>
      <c r="E237" s="404" t="s">
        <v>1620</v>
      </c>
      <c r="F237" s="95" t="s">
        <v>1621</v>
      </c>
      <c r="G237" s="95" t="s">
        <v>1622</v>
      </c>
      <c r="H237" s="95" t="s">
        <v>238</v>
      </c>
      <c r="I237" s="95" t="s">
        <v>239</v>
      </c>
      <c r="J237" s="163"/>
      <c r="K237" s="101"/>
      <c r="L237" s="101" t="s">
        <v>288</v>
      </c>
      <c r="M237" s="345" t="s">
        <v>256</v>
      </c>
      <c r="N237" s="442" t="s">
        <v>381</v>
      </c>
      <c r="O237" s="165">
        <v>47.780700000000003</v>
      </c>
      <c r="P237" s="933">
        <v>48.49</v>
      </c>
      <c r="Q237" s="157">
        <v>4.5999999999999996</v>
      </c>
      <c r="R237" s="109" t="s">
        <v>244</v>
      </c>
      <c r="S237" s="141">
        <v>176013.59</v>
      </c>
      <c r="T237" s="110">
        <v>38476.959999999999</v>
      </c>
      <c r="U237" s="141">
        <v>24449.62</v>
      </c>
      <c r="V237" s="158">
        <f t="shared" si="129"/>
        <v>0.63543533584773848</v>
      </c>
      <c r="W237" s="159">
        <v>45622.714120370372</v>
      </c>
      <c r="X237" s="159">
        <v>45625.539583333331</v>
      </c>
      <c r="Y237" s="160">
        <v>45629</v>
      </c>
      <c r="Z237" s="470"/>
      <c r="AA237" s="470">
        <v>45702</v>
      </c>
      <c r="AB237" s="470">
        <v>45836</v>
      </c>
      <c r="AC237" s="161">
        <f t="shared" si="130"/>
        <v>79.285879629627743</v>
      </c>
      <c r="AD237" s="161">
        <f t="shared" si="160"/>
        <v>76.460416666668607</v>
      </c>
      <c r="AE237" s="446">
        <f t="shared" si="155"/>
        <v>134</v>
      </c>
      <c r="AF237" s="160">
        <f t="shared" si="161"/>
        <v>45641.488313918759</v>
      </c>
      <c r="AG237" s="160">
        <f t="shared" si="162"/>
        <v>45650.29476553166</v>
      </c>
      <c r="AH237" s="159">
        <f t="shared" si="163"/>
        <v>45672.714120370372</v>
      </c>
      <c r="AI237" s="162">
        <f t="shared" si="131"/>
        <v>2.7309580761316221</v>
      </c>
      <c r="AJ237" s="224">
        <f t="shared" si="164"/>
        <v>2.2333333333333334</v>
      </c>
      <c r="AK237" s="225">
        <f t="shared" si="132"/>
        <v>20</v>
      </c>
      <c r="AL237" s="170">
        <f t="shared" si="133"/>
        <v>36</v>
      </c>
      <c r="AM237" s="170">
        <f t="shared" si="134"/>
        <v>21.774193548387096</v>
      </c>
      <c r="AN237" s="170">
        <f t="shared" si="135"/>
        <v>27.58064516129032</v>
      </c>
      <c r="AO237" s="226">
        <f t="shared" si="136"/>
        <v>18.774193548387096</v>
      </c>
      <c r="AP237" s="227">
        <v>60</v>
      </c>
      <c r="AQ237" s="228">
        <f t="shared" si="137"/>
        <v>57</v>
      </c>
      <c r="AR237" s="228">
        <f t="shared" si="165"/>
        <v>52</v>
      </c>
      <c r="AS237" s="229">
        <f t="shared" si="139"/>
        <v>45762</v>
      </c>
      <c r="AT237" s="982">
        <f t="shared" ca="1" si="140"/>
        <v>193</v>
      </c>
      <c r="AU237" s="50"/>
      <c r="AV237" s="118"/>
      <c r="AW237" s="49"/>
      <c r="AX237" s="49"/>
      <c r="AY237" s="49"/>
      <c r="AZ237" s="300"/>
      <c r="BA237" s="119"/>
      <c r="BB237" s="304"/>
      <c r="BC237" s="231" t="s">
        <v>14</v>
      </c>
      <c r="BD237" s="232" t="s">
        <v>1623</v>
      </c>
      <c r="BE237" s="222">
        <f t="shared" si="166"/>
        <v>45717</v>
      </c>
      <c r="BF237" s="233">
        <f t="shared" si="127"/>
        <v>2</v>
      </c>
      <c r="BG237" s="248">
        <v>45702</v>
      </c>
      <c r="BH237" s="235">
        <v>45719</v>
      </c>
      <c r="BI237" s="234">
        <v>45755</v>
      </c>
      <c r="BJ237" s="236" t="s">
        <v>1119</v>
      </c>
      <c r="BK237" s="222" t="s">
        <v>247</v>
      </c>
      <c r="BL237" s="222"/>
      <c r="BM237" s="238"/>
      <c r="BN237" s="222"/>
      <c r="BO237" s="222">
        <v>45817</v>
      </c>
      <c r="BP237" s="243" t="s">
        <v>1084</v>
      </c>
      <c r="BQ237" s="244" t="s">
        <v>247</v>
      </c>
      <c r="BR237" s="238">
        <v>45702</v>
      </c>
      <c r="BS237" s="67"/>
      <c r="BT237" s="66"/>
      <c r="BU237" s="66"/>
      <c r="BV237" s="66"/>
      <c r="BW237" s="74"/>
      <c r="BX237" s="81"/>
      <c r="BY237" s="66">
        <v>45645</v>
      </c>
      <c r="BZ237" s="944" t="s">
        <v>1624</v>
      </c>
      <c r="CA237" s="42" t="str">
        <f t="shared" si="141"/>
        <v>0</v>
      </c>
      <c r="CB237" s="62">
        <f t="shared" si="142"/>
        <v>79.285879629627743</v>
      </c>
      <c r="CC237" s="42">
        <f t="shared" si="143"/>
        <v>0</v>
      </c>
      <c r="CD237" s="62">
        <f t="shared" si="144"/>
        <v>79.285879629627743</v>
      </c>
      <c r="CE237" s="62">
        <f t="shared" si="145"/>
        <v>2.7309580761316221</v>
      </c>
      <c r="CF237" s="145">
        <f t="shared" si="146"/>
        <v>167</v>
      </c>
      <c r="CG237" s="145"/>
      <c r="CH237" s="443">
        <f t="shared" si="147"/>
        <v>8.4831802983538438</v>
      </c>
      <c r="CI237" s="996">
        <f t="shared" si="148"/>
        <v>8.4831802983538438</v>
      </c>
      <c r="CJ237" s="261">
        <f t="shared" si="149"/>
        <v>2.7833333333333332</v>
      </c>
      <c r="CK237" s="458" t="str">
        <f t="shared" si="150"/>
        <v/>
      </c>
      <c r="CL237" t="str">
        <f t="shared" si="151"/>
        <v>REV</v>
      </c>
      <c r="CM237" t="str">
        <f t="shared" si="152"/>
        <v/>
      </c>
      <c r="CN237" s="635"/>
      <c r="CO237" s="631"/>
      <c r="CP237" s="629" t="str">
        <f t="shared" si="167"/>
        <v>FOR ISSUANCE</v>
      </c>
      <c r="CQ237" s="635"/>
      <c r="CR237" s="697"/>
      <c r="CS237" s="633" t="str">
        <f t="shared" ca="1" si="153"/>
        <v>0</v>
      </c>
      <c r="CT237" s="635"/>
      <c r="CU237" s="631"/>
      <c r="CV237" s="638"/>
      <c r="CW237" s="156" t="s">
        <v>1625</v>
      </c>
      <c r="CX237" s="156" t="str">
        <f>VLOOKUP(E237,'[1]List of Work Orders'!$A:$I,9,FALSE)</f>
        <v>ME185284</v>
      </c>
      <c r="CY237" s="156"/>
      <c r="DC237" t="str">
        <f>VLOOKUP(E237,'[2]List of Work Orders'!$A:$F,6,FALSE)</f>
        <v>FCOMP</v>
      </c>
      <c r="DS237" s="156" t="s">
        <v>397</v>
      </c>
    </row>
    <row r="238" spans="1:123" customFormat="1" ht="15" customHeight="1" x14ac:dyDescent="0.25">
      <c r="A238" s="242">
        <v>45715</v>
      </c>
      <c r="B238" s="222"/>
      <c r="C238" s="223"/>
      <c r="D238" s="66" t="s">
        <v>320</v>
      </c>
      <c r="E238" s="404" t="s">
        <v>1626</v>
      </c>
      <c r="F238" s="95" t="s">
        <v>1627</v>
      </c>
      <c r="G238" s="95" t="s">
        <v>1628</v>
      </c>
      <c r="H238" s="95" t="s">
        <v>318</v>
      </c>
      <c r="I238" s="95" t="s">
        <v>239</v>
      </c>
      <c r="J238" s="163"/>
      <c r="K238" s="101"/>
      <c r="L238" s="101" t="s">
        <v>263</v>
      </c>
      <c r="M238" s="345" t="s">
        <v>272</v>
      </c>
      <c r="N238" s="442" t="s">
        <v>467</v>
      </c>
      <c r="O238" s="165">
        <v>88.4315</v>
      </c>
      <c r="P238" s="933">
        <v>88.43</v>
      </c>
      <c r="Q238" s="157">
        <v>156</v>
      </c>
      <c r="R238" s="109" t="s">
        <v>548</v>
      </c>
      <c r="S238" s="141">
        <v>528318.36</v>
      </c>
      <c r="T238" s="110">
        <v>71228.03</v>
      </c>
      <c r="U238" s="141"/>
      <c r="V238" s="158">
        <f t="shared" si="129"/>
        <v>0</v>
      </c>
      <c r="W238" s="159">
        <v>45623.432916666665</v>
      </c>
      <c r="X238" s="159">
        <v>45630.386805555558</v>
      </c>
      <c r="Y238" s="160">
        <v>45625</v>
      </c>
      <c r="Z238" s="470"/>
      <c r="AA238" s="470">
        <v>45696</v>
      </c>
      <c r="AB238" s="470"/>
      <c r="AC238" s="161">
        <f t="shared" si="130"/>
        <v>72.567083333335177</v>
      </c>
      <c r="AD238" s="161">
        <f t="shared" si="160"/>
        <v>65.613194444442343</v>
      </c>
      <c r="AE238" s="446">
        <f t="shared" si="155"/>
        <v>-45696</v>
      </c>
      <c r="AF238" s="160">
        <f t="shared" si="161"/>
        <v>45641.911515888452</v>
      </c>
      <c r="AG238" s="160">
        <f t="shared" si="162"/>
        <v>45650.639142347602</v>
      </c>
      <c r="AH238" s="159">
        <f t="shared" si="163"/>
        <v>45673.432916666665</v>
      </c>
      <c r="AI238" s="162">
        <f t="shared" si="131"/>
        <v>2.5339321218297743</v>
      </c>
      <c r="AJ238" s="224">
        <f t="shared" si="164"/>
        <v>-761.6</v>
      </c>
      <c r="AK238" s="225">
        <f t="shared" si="132"/>
        <v>23</v>
      </c>
      <c r="AL238" s="170">
        <f t="shared" si="133"/>
        <v>32</v>
      </c>
      <c r="AM238" s="170">
        <f t="shared" si="134"/>
        <v>21.478599221789885</v>
      </c>
      <c r="AN238" s="170">
        <f t="shared" si="135"/>
        <v>27.206225680933851</v>
      </c>
      <c r="AO238" s="226">
        <f t="shared" si="136"/>
        <v>18.478599221789885</v>
      </c>
      <c r="AP238" s="227">
        <v>60</v>
      </c>
      <c r="AQ238" s="228">
        <f t="shared" si="137"/>
        <v>57</v>
      </c>
      <c r="AR238" s="228">
        <f t="shared" si="165"/>
        <v>52</v>
      </c>
      <c r="AS238" s="229">
        <f t="shared" si="139"/>
        <v>45756</v>
      </c>
      <c r="AT238" s="982">
        <f t="shared" ca="1" si="140"/>
        <v>199</v>
      </c>
      <c r="AU238" s="50"/>
      <c r="AV238" s="118"/>
      <c r="AW238" s="49"/>
      <c r="AX238" s="49"/>
      <c r="AY238" s="49"/>
      <c r="AZ238" s="300"/>
      <c r="BA238" s="119"/>
      <c r="BB238" s="304"/>
      <c r="BC238" s="231" t="s">
        <v>13</v>
      </c>
      <c r="BD238" s="232"/>
      <c r="BE238" s="222">
        <f t="shared" si="166"/>
        <v>45711</v>
      </c>
      <c r="BF238" s="233" t="e">
        <f t="shared" si="127"/>
        <v>#VALUE!</v>
      </c>
      <c r="BG238" s="248"/>
      <c r="BH238" s="235"/>
      <c r="BI238" s="234"/>
      <c r="BJ238" s="236"/>
      <c r="BK238" s="222"/>
      <c r="BL238" s="222"/>
      <c r="BM238" s="238"/>
      <c r="BN238" s="222"/>
      <c r="BO238" s="222"/>
      <c r="BP238" s="243"/>
      <c r="BQ238" s="244"/>
      <c r="BR238" s="238"/>
      <c r="BS238" s="67"/>
      <c r="BT238" s="66"/>
      <c r="BU238" s="66"/>
      <c r="BV238" s="66"/>
      <c r="BW238" s="74"/>
      <c r="BX238" s="81"/>
      <c r="BY238" s="66" t="s">
        <v>308</v>
      </c>
      <c r="BZ238" s="944"/>
      <c r="CA238" s="42" t="str">
        <f t="shared" si="141"/>
        <v>0</v>
      </c>
      <c r="CB238" s="62">
        <f t="shared" si="142"/>
        <v>72.567083333335177</v>
      </c>
      <c r="CC238" s="42">
        <f t="shared" si="143"/>
        <v>0</v>
      </c>
      <c r="CD238" s="62">
        <f t="shared" si="144"/>
        <v>72.567083333335177</v>
      </c>
      <c r="CE238" s="62">
        <f t="shared" si="145"/>
        <v>2.5339321218297743</v>
      </c>
      <c r="CF238" s="145">
        <f t="shared" si="146"/>
        <v>173</v>
      </c>
      <c r="CG238" s="145"/>
      <c r="CH238" s="443">
        <f t="shared" si="147"/>
        <v>8.5748288609602099</v>
      </c>
      <c r="CI238" s="996">
        <f t="shared" si="148"/>
        <v>8.5748288609602099</v>
      </c>
      <c r="CJ238" s="261">
        <f t="shared" si="149"/>
        <v>2.8833333333333333</v>
      </c>
      <c r="CK238" s="458" t="str">
        <f t="shared" si="150"/>
        <v/>
      </c>
      <c r="CL238" t="str">
        <f t="shared" si="151"/>
        <v>NON-REV</v>
      </c>
      <c r="CM238" t="str">
        <f t="shared" si="152"/>
        <v/>
      </c>
      <c r="CN238" s="635"/>
      <c r="CO238" s="631"/>
      <c r="CP238" s="629" t="str">
        <f t="shared" si="167"/>
        <v>FOR ISSUANCE</v>
      </c>
      <c r="CQ238" s="635"/>
      <c r="CR238" s="697"/>
      <c r="CS238" s="633" t="str">
        <f t="shared" ca="1" si="153"/>
        <v>0</v>
      </c>
      <c r="CT238" s="635"/>
      <c r="CU238" s="631"/>
      <c r="CV238" s="638"/>
      <c r="CW238" s="156" t="s">
        <v>1629</v>
      </c>
      <c r="CX238" s="156" t="str">
        <f>VLOOKUP(E238,'[1]List of Work Orders'!$A:$I,9,FALSE)</f>
        <v>ME155242</v>
      </c>
      <c r="CY238" s="156"/>
      <c r="DC238" t="str">
        <f>VLOOKUP(E238,'[2]List of Work Orders'!$A:$F,6,FALSE)</f>
        <v>FCOMP</v>
      </c>
      <c r="DS238" s="156" t="s">
        <v>397</v>
      </c>
    </row>
    <row r="239" spans="1:123" customFormat="1" ht="15" customHeight="1" x14ac:dyDescent="0.25">
      <c r="A239" s="242">
        <v>45630</v>
      </c>
      <c r="B239" s="222"/>
      <c r="C239" s="223"/>
      <c r="D239" s="66" t="s">
        <v>284</v>
      </c>
      <c r="E239" s="404" t="s">
        <v>1630</v>
      </c>
      <c r="F239" s="95" t="s">
        <v>1631</v>
      </c>
      <c r="G239" s="95" t="s">
        <v>1632</v>
      </c>
      <c r="H239" s="95" t="s">
        <v>269</v>
      </c>
      <c r="I239" s="95" t="s">
        <v>239</v>
      </c>
      <c r="J239" s="163"/>
      <c r="K239" s="101"/>
      <c r="L239" s="101" t="s">
        <v>263</v>
      </c>
      <c r="M239" s="345" t="s">
        <v>272</v>
      </c>
      <c r="N239" s="442" t="s">
        <v>467</v>
      </c>
      <c r="O239" s="165">
        <v>14.340299999999999</v>
      </c>
      <c r="P239" s="933">
        <v>14.34</v>
      </c>
      <c r="Q239" s="157">
        <v>21</v>
      </c>
      <c r="R239" s="109" t="s">
        <v>548</v>
      </c>
      <c r="S239" s="141">
        <v>144365.54999999999</v>
      </c>
      <c r="T239" s="110">
        <v>11170.37</v>
      </c>
      <c r="U239" s="141"/>
      <c r="V239" s="158">
        <f t="shared" si="129"/>
        <v>0</v>
      </c>
      <c r="W239" s="159">
        <v>45623.581701388888</v>
      </c>
      <c r="X239" s="159">
        <v>45630.401388888888</v>
      </c>
      <c r="Y239" s="160">
        <v>45625</v>
      </c>
      <c r="Z239" s="470"/>
      <c r="AA239" s="470">
        <v>45775</v>
      </c>
      <c r="AB239" s="470"/>
      <c r="AC239" s="161">
        <f t="shared" si="130"/>
        <v>151.41829861111182</v>
      </c>
      <c r="AD239" s="161">
        <f t="shared" si="160"/>
        <v>144.5986111111124</v>
      </c>
      <c r="AE239" s="446">
        <f t="shared" si="155"/>
        <v>-45775</v>
      </c>
      <c r="AF239" s="160">
        <f t="shared" si="161"/>
        <v>45642.355894937275</v>
      </c>
      <c r="AG239" s="160">
        <f t="shared" si="162"/>
        <v>45651.162346550176</v>
      </c>
      <c r="AH239" s="159">
        <f t="shared" si="163"/>
        <v>45673.581701388888</v>
      </c>
      <c r="AI239" s="162">
        <f t="shared" si="131"/>
        <v>5.2155191743827398</v>
      </c>
      <c r="AJ239" s="224">
        <f t="shared" si="164"/>
        <v>-762.91666666666663</v>
      </c>
      <c r="AK239" s="225">
        <f t="shared" si="132"/>
        <v>20</v>
      </c>
      <c r="AL239" s="170">
        <f t="shared" si="133"/>
        <v>36</v>
      </c>
      <c r="AM239" s="170">
        <f t="shared" si="134"/>
        <v>21.774193548387096</v>
      </c>
      <c r="AN239" s="170">
        <f t="shared" si="135"/>
        <v>27.58064516129032</v>
      </c>
      <c r="AO239" s="226">
        <f t="shared" si="136"/>
        <v>18.774193548387096</v>
      </c>
      <c r="AP239" s="227">
        <v>60</v>
      </c>
      <c r="AQ239" s="228">
        <f t="shared" si="137"/>
        <v>57</v>
      </c>
      <c r="AR239" s="228">
        <f t="shared" si="165"/>
        <v>52</v>
      </c>
      <c r="AS239" s="229">
        <f t="shared" si="139"/>
        <v>45835</v>
      </c>
      <c r="AT239" s="982">
        <f t="shared" ca="1" si="140"/>
        <v>120</v>
      </c>
      <c r="AU239" s="50"/>
      <c r="AV239" s="118"/>
      <c r="AW239" s="49"/>
      <c r="AX239" s="49"/>
      <c r="AY239" s="49"/>
      <c r="AZ239" s="300"/>
      <c r="BA239" s="119"/>
      <c r="BB239" s="304"/>
      <c r="BC239" s="231" t="s">
        <v>13</v>
      </c>
      <c r="BD239" s="232"/>
      <c r="BE239" s="222">
        <f t="shared" si="166"/>
        <v>45790</v>
      </c>
      <c r="BF239" s="233" t="e">
        <f t="shared" si="127"/>
        <v>#VALUE!</v>
      </c>
      <c r="BG239" s="248"/>
      <c r="BH239" s="235"/>
      <c r="BI239" s="234"/>
      <c r="BJ239" s="236"/>
      <c r="BK239" s="222"/>
      <c r="BL239" s="222"/>
      <c r="BM239" s="238"/>
      <c r="BN239" s="222"/>
      <c r="BO239" s="222"/>
      <c r="BP239" s="243"/>
      <c r="BQ239" s="244"/>
      <c r="BR239" s="238"/>
      <c r="BS239" s="67"/>
      <c r="BT239" s="66"/>
      <c r="BU239" s="66"/>
      <c r="BV239" s="66"/>
      <c r="BW239" s="74"/>
      <c r="BX239" s="81"/>
      <c r="BY239" s="66">
        <v>45645</v>
      </c>
      <c r="BZ239" s="944" t="s">
        <v>1633</v>
      </c>
      <c r="CA239" s="42" t="str">
        <f t="shared" si="141"/>
        <v>0</v>
      </c>
      <c r="CB239" s="62">
        <f t="shared" si="142"/>
        <v>151.41829861111182</v>
      </c>
      <c r="CC239" s="42">
        <f t="shared" si="143"/>
        <v>0</v>
      </c>
      <c r="CD239" s="62">
        <f t="shared" si="144"/>
        <v>151.41829861111182</v>
      </c>
      <c r="CE239" s="62">
        <f t="shared" si="145"/>
        <v>5.2155191743827398</v>
      </c>
      <c r="CF239" s="145">
        <f t="shared" si="146"/>
        <v>94</v>
      </c>
      <c r="CG239" s="145"/>
      <c r="CH239" s="443">
        <f t="shared" si="147"/>
        <v>8.4532969521605175</v>
      </c>
      <c r="CI239" s="996">
        <f t="shared" si="148"/>
        <v>8.4532969521605175</v>
      </c>
      <c r="CJ239" s="261">
        <f t="shared" si="149"/>
        <v>1.5666666666666667</v>
      </c>
      <c r="CK239" s="458" t="str">
        <f t="shared" si="150"/>
        <v/>
      </c>
      <c r="CL239" t="str">
        <f t="shared" si="151"/>
        <v>NON-REV</v>
      </c>
      <c r="CM239" t="str">
        <f t="shared" si="152"/>
        <v/>
      </c>
      <c r="CN239" s="635"/>
      <c r="CO239" s="631"/>
      <c r="CP239" s="629" t="str">
        <f t="shared" si="167"/>
        <v>FOR ISSUANCE</v>
      </c>
      <c r="CQ239" s="635"/>
      <c r="CR239" s="697"/>
      <c r="CS239" s="633" t="str">
        <f t="shared" ca="1" si="153"/>
        <v>0</v>
      </c>
      <c r="CT239" s="635"/>
      <c r="CU239" s="631"/>
      <c r="CV239" s="638"/>
      <c r="CW239" s="156" t="s">
        <v>1634</v>
      </c>
      <c r="CX239" s="156" t="str">
        <f>VLOOKUP(E239,'[1]List of Work Orders'!$A:$I,9,FALSE)</f>
        <v>ME155242</v>
      </c>
      <c r="CY239" s="156"/>
      <c r="DC239" t="str">
        <f>VLOOKUP(E239,'[2]List of Work Orders'!$A:$F,6,FALSE)</f>
        <v>SCHED</v>
      </c>
      <c r="DS239" s="156" t="s">
        <v>381</v>
      </c>
    </row>
    <row r="240" spans="1:123" customFormat="1" ht="15" customHeight="1" x14ac:dyDescent="0.25">
      <c r="A240" s="242">
        <v>45636</v>
      </c>
      <c r="B240" s="222"/>
      <c r="C240" s="223"/>
      <c r="D240" s="66" t="s">
        <v>320</v>
      </c>
      <c r="E240" s="404" t="s">
        <v>1635</v>
      </c>
      <c r="F240" s="95" t="s">
        <v>1636</v>
      </c>
      <c r="G240" s="95" t="s">
        <v>1637</v>
      </c>
      <c r="H240" s="95" t="s">
        <v>269</v>
      </c>
      <c r="I240" s="95" t="s">
        <v>239</v>
      </c>
      <c r="J240" s="163"/>
      <c r="K240" s="101"/>
      <c r="L240" s="101" t="s">
        <v>263</v>
      </c>
      <c r="M240" s="345" t="s">
        <v>272</v>
      </c>
      <c r="N240" s="442" t="s">
        <v>467</v>
      </c>
      <c r="O240" s="165">
        <v>21.440300000000001</v>
      </c>
      <c r="P240" s="933">
        <v>21.44</v>
      </c>
      <c r="Q240" s="157">
        <v>4.9000000000000004</v>
      </c>
      <c r="R240" s="109" t="s">
        <v>1514</v>
      </c>
      <c r="S240" s="141">
        <v>142345.35999999999</v>
      </c>
      <c r="T240" s="110">
        <v>17273.419999999998</v>
      </c>
      <c r="U240" s="141"/>
      <c r="V240" s="158">
        <f t="shared" si="129"/>
        <v>0</v>
      </c>
      <c r="W240" s="159">
        <v>45623.583009259259</v>
      </c>
      <c r="X240" s="159">
        <v>45630.390277777777</v>
      </c>
      <c r="Y240" s="160">
        <v>45625</v>
      </c>
      <c r="Z240" s="470"/>
      <c r="AA240" s="470">
        <v>45696</v>
      </c>
      <c r="AB240" s="470"/>
      <c r="AC240" s="161">
        <f t="shared" si="130"/>
        <v>72.416990740741312</v>
      </c>
      <c r="AD240" s="161">
        <f t="shared" si="160"/>
        <v>65.609722222223354</v>
      </c>
      <c r="AE240" s="446">
        <f t="shared" si="155"/>
        <v>-45696</v>
      </c>
      <c r="AF240" s="160">
        <f t="shared" si="161"/>
        <v>45642.357202807645</v>
      </c>
      <c r="AG240" s="160">
        <f t="shared" si="162"/>
        <v>45651.163654420547</v>
      </c>
      <c r="AH240" s="159">
        <f t="shared" si="163"/>
        <v>45673.583009259259</v>
      </c>
      <c r="AI240" s="162">
        <f t="shared" si="131"/>
        <v>2.4943630144033113</v>
      </c>
      <c r="AJ240" s="224">
        <f t="shared" si="164"/>
        <v>-761.6</v>
      </c>
      <c r="AK240" s="225">
        <f t="shared" si="132"/>
        <v>20</v>
      </c>
      <c r="AL240" s="170">
        <f t="shared" si="133"/>
        <v>36</v>
      </c>
      <c r="AM240" s="170">
        <f t="shared" si="134"/>
        <v>21.774193548387096</v>
      </c>
      <c r="AN240" s="170">
        <f t="shared" si="135"/>
        <v>27.58064516129032</v>
      </c>
      <c r="AO240" s="226">
        <f t="shared" si="136"/>
        <v>18.774193548387096</v>
      </c>
      <c r="AP240" s="227">
        <v>60</v>
      </c>
      <c r="AQ240" s="228">
        <f t="shared" si="137"/>
        <v>57</v>
      </c>
      <c r="AR240" s="228">
        <f t="shared" si="165"/>
        <v>52</v>
      </c>
      <c r="AS240" s="229">
        <f t="shared" si="139"/>
        <v>45756</v>
      </c>
      <c r="AT240" s="982">
        <f t="shared" ca="1" si="140"/>
        <v>199</v>
      </c>
      <c r="AU240" s="50"/>
      <c r="AV240" s="118"/>
      <c r="AW240" s="49"/>
      <c r="AX240" s="49"/>
      <c r="AY240" s="49"/>
      <c r="AZ240" s="300"/>
      <c r="BA240" s="119"/>
      <c r="BB240" s="304"/>
      <c r="BC240" s="231" t="s">
        <v>13</v>
      </c>
      <c r="BD240" s="232"/>
      <c r="BE240" s="222">
        <f t="shared" si="166"/>
        <v>45711</v>
      </c>
      <c r="BF240" s="233" t="e">
        <f t="shared" si="127"/>
        <v>#VALUE!</v>
      </c>
      <c r="BG240" s="248"/>
      <c r="BH240" s="235"/>
      <c r="BI240" s="234"/>
      <c r="BJ240" s="236"/>
      <c r="BK240" s="222"/>
      <c r="BL240" s="222"/>
      <c r="BM240" s="238"/>
      <c r="BN240" s="222"/>
      <c r="BO240" s="222"/>
      <c r="BP240" s="243"/>
      <c r="BQ240" s="244" t="s">
        <v>247</v>
      </c>
      <c r="BR240" s="238">
        <v>45632</v>
      </c>
      <c r="BS240" s="67"/>
      <c r="BT240" s="66"/>
      <c r="BU240" s="66"/>
      <c r="BV240" s="66"/>
      <c r="BW240" s="74"/>
      <c r="BX240" s="81"/>
      <c r="BY240" s="66">
        <v>45636</v>
      </c>
      <c r="BZ240" s="944" t="s">
        <v>1638</v>
      </c>
      <c r="CA240" s="42" t="str">
        <f t="shared" si="141"/>
        <v>0</v>
      </c>
      <c r="CB240" s="62">
        <f t="shared" si="142"/>
        <v>72.416990740741312</v>
      </c>
      <c r="CC240" s="42">
        <f t="shared" si="143"/>
        <v>0</v>
      </c>
      <c r="CD240" s="62">
        <f t="shared" si="144"/>
        <v>72.416990740741312</v>
      </c>
      <c r="CE240" s="62">
        <f t="shared" si="145"/>
        <v>2.4943630144033113</v>
      </c>
      <c r="CF240" s="145">
        <f t="shared" si="146"/>
        <v>173</v>
      </c>
      <c r="CG240" s="145"/>
      <c r="CH240" s="443">
        <f t="shared" si="147"/>
        <v>8.4532519032922</v>
      </c>
      <c r="CI240" s="996">
        <f t="shared" si="148"/>
        <v>8.4532519032922</v>
      </c>
      <c r="CJ240" s="261">
        <f t="shared" si="149"/>
        <v>2.8833333333333333</v>
      </c>
      <c r="CK240" s="458" t="str">
        <f t="shared" si="150"/>
        <v/>
      </c>
      <c r="CL240" t="str">
        <f t="shared" si="151"/>
        <v>NON-REV</v>
      </c>
      <c r="CM240" t="str">
        <f t="shared" si="152"/>
        <v/>
      </c>
      <c r="CN240" s="635"/>
      <c r="CO240" s="631"/>
      <c r="CP240" s="629" t="str">
        <f t="shared" si="167"/>
        <v>FOR ISSUANCE</v>
      </c>
      <c r="CQ240" s="635"/>
      <c r="CR240" s="697"/>
      <c r="CS240" s="633" t="str">
        <f t="shared" ca="1" si="153"/>
        <v>0</v>
      </c>
      <c r="CT240" s="635"/>
      <c r="CU240" s="631"/>
      <c r="CV240" s="638"/>
      <c r="CW240" s="156" t="s">
        <v>1639</v>
      </c>
      <c r="CX240" s="156" t="str">
        <f>VLOOKUP(E240,'[1]List of Work Orders'!$A:$I,9,FALSE)</f>
        <v>ME155242</v>
      </c>
      <c r="CY240" s="156"/>
      <c r="DC240" t="str">
        <f>VLOOKUP(E240,'[2]List of Work Orders'!$A:$F,6,FALSE)</f>
        <v>FCOMP</v>
      </c>
      <c r="DS240" s="156" t="s">
        <v>381</v>
      </c>
    </row>
    <row r="241" spans="1:123" customFormat="1" ht="15" customHeight="1" x14ac:dyDescent="0.25">
      <c r="A241" s="242">
        <v>45638</v>
      </c>
      <c r="B241" s="222"/>
      <c r="C241" s="223"/>
      <c r="D241" s="66" t="s">
        <v>234</v>
      </c>
      <c r="E241" s="404" t="s">
        <v>1640</v>
      </c>
      <c r="F241" s="95" t="s">
        <v>926</v>
      </c>
      <c r="G241" s="95" t="s">
        <v>1641</v>
      </c>
      <c r="H241" s="95" t="s">
        <v>318</v>
      </c>
      <c r="I241" s="95" t="s">
        <v>239</v>
      </c>
      <c r="J241" s="168" t="s">
        <v>1642</v>
      </c>
      <c r="K241" s="101" t="s">
        <v>271</v>
      </c>
      <c r="L241" s="101" t="s">
        <v>263</v>
      </c>
      <c r="M241" s="345" t="s">
        <v>272</v>
      </c>
      <c r="N241" s="442" t="s">
        <v>467</v>
      </c>
      <c r="O241" s="165">
        <v>110.9425</v>
      </c>
      <c r="P241" s="933">
        <v>1094.6099999999999</v>
      </c>
      <c r="Q241" s="157">
        <v>20</v>
      </c>
      <c r="R241" s="109" t="s">
        <v>244</v>
      </c>
      <c r="S241" s="141">
        <v>1144190.6200000001</v>
      </c>
      <c r="T241" s="110">
        <v>89339.7</v>
      </c>
      <c r="U241" s="141"/>
      <c r="V241" s="158">
        <f t="shared" si="129"/>
        <v>0</v>
      </c>
      <c r="W241" s="159">
        <v>45623.760752314818</v>
      </c>
      <c r="X241" s="159">
        <v>45630.384722222225</v>
      </c>
      <c r="Y241" s="160">
        <v>45625</v>
      </c>
      <c r="Z241" s="470"/>
      <c r="AA241" s="470">
        <v>45688</v>
      </c>
      <c r="AB241" s="470"/>
      <c r="AC241" s="161">
        <f t="shared" si="130"/>
        <v>64.239247685181908</v>
      </c>
      <c r="AD241" s="161">
        <f t="shared" si="160"/>
        <v>57.615277777775191</v>
      </c>
      <c r="AE241" s="446">
        <f t="shared" si="155"/>
        <v>-45688</v>
      </c>
      <c r="AF241" s="160">
        <f t="shared" si="161"/>
        <v>45650.236734847567</v>
      </c>
      <c r="AG241" s="160">
        <f t="shared" si="162"/>
        <v>45661.0969968563</v>
      </c>
      <c r="AH241" s="159">
        <f t="shared" si="163"/>
        <v>45673.760752314818</v>
      </c>
      <c r="AI241" s="162">
        <f t="shared" si="131"/>
        <v>1.6345319688785174</v>
      </c>
      <c r="AJ241" s="224">
        <f t="shared" si="164"/>
        <v>-761.4666666666667</v>
      </c>
      <c r="AK241" s="225">
        <f t="shared" si="132"/>
        <v>50</v>
      </c>
      <c r="AL241" s="170">
        <f t="shared" si="133"/>
        <v>36</v>
      </c>
      <c r="AM241" s="170">
        <f t="shared" si="134"/>
        <v>29.475982532751093</v>
      </c>
      <c r="AN241" s="170">
        <f t="shared" si="135"/>
        <v>37.336244541484717</v>
      </c>
      <c r="AO241" s="226">
        <f t="shared" si="136"/>
        <v>26.475982532751093</v>
      </c>
      <c r="AP241" s="227">
        <v>60</v>
      </c>
      <c r="AQ241" s="228">
        <f t="shared" si="137"/>
        <v>57</v>
      </c>
      <c r="AR241" s="228">
        <f t="shared" si="165"/>
        <v>52</v>
      </c>
      <c r="AS241" s="229">
        <f t="shared" si="139"/>
        <v>45748</v>
      </c>
      <c r="AT241" s="982">
        <f t="shared" ca="1" si="140"/>
        <v>207</v>
      </c>
      <c r="AU241" s="50"/>
      <c r="AV241" s="118"/>
      <c r="AW241" s="49"/>
      <c r="AX241" s="49"/>
      <c r="AY241" s="49"/>
      <c r="AZ241" s="300"/>
      <c r="BA241" s="119"/>
      <c r="BB241" s="304"/>
      <c r="BC241" s="231" t="s">
        <v>13</v>
      </c>
      <c r="BD241" s="232"/>
      <c r="BE241" s="222">
        <f t="shared" si="166"/>
        <v>45703</v>
      </c>
      <c r="BF241" s="233" t="e">
        <f t="shared" si="127"/>
        <v>#VALUE!</v>
      </c>
      <c r="BG241" s="248"/>
      <c r="BH241" s="235"/>
      <c r="BI241" s="234"/>
      <c r="BJ241" s="236"/>
      <c r="BK241" s="222"/>
      <c r="BL241" s="222"/>
      <c r="BM241" s="238"/>
      <c r="BN241" s="222"/>
      <c r="BO241" s="222"/>
      <c r="BP241" s="243"/>
      <c r="BQ241" s="244" t="s">
        <v>247</v>
      </c>
      <c r="BR241" s="238">
        <v>45687</v>
      </c>
      <c r="BS241" s="67"/>
      <c r="BT241" s="66"/>
      <c r="BU241" s="66"/>
      <c r="BV241" s="66"/>
      <c r="BW241" s="74"/>
      <c r="BX241" s="81"/>
      <c r="BY241" s="66">
        <v>45645</v>
      </c>
      <c r="BZ241" s="944" t="s">
        <v>1643</v>
      </c>
      <c r="CA241" s="42" t="str">
        <f t="shared" si="141"/>
        <v>0</v>
      </c>
      <c r="CB241" s="62">
        <f t="shared" si="142"/>
        <v>64.239247685181908</v>
      </c>
      <c r="CC241" s="42">
        <f t="shared" si="143"/>
        <v>0</v>
      </c>
      <c r="CD241" s="62">
        <f t="shared" si="144"/>
        <v>64.239247685181908</v>
      </c>
      <c r="CE241" s="62">
        <f t="shared" si="145"/>
        <v>1.6345319688785174</v>
      </c>
      <c r="CF241" s="145">
        <f t="shared" si="146"/>
        <v>181</v>
      </c>
      <c r="CG241" s="145"/>
      <c r="CH241" s="443">
        <f t="shared" si="147"/>
        <v>6.2399764133229612</v>
      </c>
      <c r="CI241" s="996">
        <f t="shared" si="148"/>
        <v>6.2399764133229612</v>
      </c>
      <c r="CJ241" s="261">
        <f t="shared" si="149"/>
        <v>3.0166666666666666</v>
      </c>
      <c r="CK241" s="458" t="str">
        <f t="shared" si="150"/>
        <v/>
      </c>
      <c r="CL241" t="str">
        <f t="shared" si="151"/>
        <v>REV</v>
      </c>
      <c r="CM241" t="str">
        <f t="shared" si="152"/>
        <v/>
      </c>
      <c r="CN241" s="635"/>
      <c r="CO241" s="631"/>
      <c r="CP241" s="629" t="str">
        <f t="shared" si="167"/>
        <v>FOR ISSUANCE</v>
      </c>
      <c r="CQ241" s="635"/>
      <c r="CR241" s="697"/>
      <c r="CS241" s="633" t="str">
        <f t="shared" ca="1" si="153"/>
        <v>0</v>
      </c>
      <c r="CT241" s="635"/>
      <c r="CU241" s="631"/>
      <c r="CV241" s="638"/>
      <c r="CW241" s="156" t="s">
        <v>1644</v>
      </c>
      <c r="CX241" s="156" t="str">
        <f>VLOOKUP(E241,'[1]List of Work Orders'!$A:$I,9,FALSE)</f>
        <v>ME155242</v>
      </c>
      <c r="CY241" s="156"/>
      <c r="DC241" t="str">
        <f>VLOOKUP(E241,'[2]List of Work Orders'!$A:$F,6,FALSE)</f>
        <v>FCOMP</v>
      </c>
      <c r="DS241" s="156" t="s">
        <v>381</v>
      </c>
    </row>
    <row r="242" spans="1:123" ht="15" customHeight="1" x14ac:dyDescent="0.2">
      <c r="A242" s="242">
        <v>45636</v>
      </c>
      <c r="B242" s="222"/>
      <c r="C242" s="223"/>
      <c r="D242" s="66" t="s">
        <v>320</v>
      </c>
      <c r="E242" s="404" t="s">
        <v>1645</v>
      </c>
      <c r="F242" s="95" t="s">
        <v>1646</v>
      </c>
      <c r="G242" s="95" t="s">
        <v>1647</v>
      </c>
      <c r="H242" s="95" t="s">
        <v>269</v>
      </c>
      <c r="I242" s="95" t="s">
        <v>239</v>
      </c>
      <c r="J242" s="163"/>
      <c r="K242" s="101"/>
      <c r="L242" s="101" t="s">
        <v>255</v>
      </c>
      <c r="M242" s="345" t="s">
        <v>272</v>
      </c>
      <c r="N242" s="442" t="s">
        <v>381</v>
      </c>
      <c r="O242" s="165">
        <v>70.423779999999994</v>
      </c>
      <c r="P242" s="933">
        <v>39.19</v>
      </c>
      <c r="Q242" s="157">
        <v>3</v>
      </c>
      <c r="R242" s="109" t="s">
        <v>244</v>
      </c>
      <c r="S242" s="141">
        <v>324422.71000000002</v>
      </c>
      <c r="T242" s="110">
        <v>42905.86</v>
      </c>
      <c r="U242" s="141"/>
      <c r="V242" s="158">
        <f t="shared" si="129"/>
        <v>0</v>
      </c>
      <c r="W242" s="159">
        <v>45625.400694444441</v>
      </c>
      <c r="X242" s="159">
        <v>45631.422222222223</v>
      </c>
      <c r="Y242" s="160">
        <v>45630</v>
      </c>
      <c r="Z242" s="470"/>
      <c r="AA242" s="470">
        <v>45779</v>
      </c>
      <c r="AB242" s="470"/>
      <c r="AC242" s="161">
        <f t="shared" si="130"/>
        <v>153.59930555555911</v>
      </c>
      <c r="AD242" s="161">
        <f t="shared" si="160"/>
        <v>147.57777777777665</v>
      </c>
      <c r="AE242" s="446">
        <f t="shared" si="155"/>
        <v>-45779</v>
      </c>
      <c r="AF242" s="160">
        <f t="shared" si="161"/>
        <v>45644.174887992827</v>
      </c>
      <c r="AG242" s="160">
        <f t="shared" si="162"/>
        <v>45652.981339605729</v>
      </c>
      <c r="AH242" s="159">
        <f t="shared" si="163"/>
        <v>45675.400694444441</v>
      </c>
      <c r="AI242" s="162">
        <f t="shared" si="131"/>
        <v>5.2906427469137025</v>
      </c>
      <c r="AJ242" s="224">
        <f t="shared" si="164"/>
        <v>-762.98333333333335</v>
      </c>
      <c r="AK242" s="225">
        <f t="shared" si="132"/>
        <v>20</v>
      </c>
      <c r="AL242" s="170">
        <f t="shared" si="133"/>
        <v>36</v>
      </c>
      <c r="AM242" s="170">
        <f t="shared" si="134"/>
        <v>21.774193548387096</v>
      </c>
      <c r="AN242" s="170">
        <f t="shared" si="135"/>
        <v>27.58064516129032</v>
      </c>
      <c r="AO242" s="226">
        <f t="shared" si="136"/>
        <v>18.774193548387096</v>
      </c>
      <c r="AP242" s="227">
        <v>60</v>
      </c>
      <c r="AQ242" s="228">
        <f t="shared" si="137"/>
        <v>57</v>
      </c>
      <c r="AR242" s="228">
        <f t="shared" si="165"/>
        <v>52</v>
      </c>
      <c r="AS242" s="229">
        <f t="shared" si="139"/>
        <v>45839</v>
      </c>
      <c r="AT242" s="982">
        <f t="shared" ca="1" si="140"/>
        <v>116</v>
      </c>
      <c r="AU242" s="1077"/>
      <c r="AV242" s="1078"/>
      <c r="AW242" s="1079"/>
      <c r="AX242" s="1079"/>
      <c r="AY242" s="1079"/>
      <c r="AZ242" s="1080"/>
      <c r="BA242" s="1081"/>
      <c r="BB242" s="1091"/>
      <c r="BC242" s="231" t="s">
        <v>13</v>
      </c>
      <c r="BD242" s="232"/>
      <c r="BE242" s="222">
        <f t="shared" si="166"/>
        <v>45794</v>
      </c>
      <c r="BF242" s="233" t="e">
        <f t="shared" si="127"/>
        <v>#VALUE!</v>
      </c>
      <c r="BG242" s="248"/>
      <c r="BH242" s="235"/>
      <c r="BI242" s="234"/>
      <c r="BJ242" s="236"/>
      <c r="BK242" s="222"/>
      <c r="BL242" s="222"/>
      <c r="BM242" s="238"/>
      <c r="BN242" s="222"/>
      <c r="BO242" s="222"/>
      <c r="BP242" s="243"/>
      <c r="BQ242" s="244" t="s">
        <v>247</v>
      </c>
      <c r="BR242" s="238"/>
      <c r="BS242" s="67"/>
      <c r="BT242" s="66"/>
      <c r="BU242" s="66"/>
      <c r="BV242" s="66"/>
      <c r="BW242" s="74"/>
      <c r="BX242" s="81"/>
      <c r="BY242" s="66">
        <v>45636</v>
      </c>
      <c r="BZ242" s="944" t="s">
        <v>1648</v>
      </c>
      <c r="CA242" s="42" t="str">
        <f t="shared" si="141"/>
        <v>0</v>
      </c>
      <c r="CB242" s="62">
        <f t="shared" si="142"/>
        <v>153.59930555555911</v>
      </c>
      <c r="CC242" s="42">
        <f t="shared" si="143"/>
        <v>0</v>
      </c>
      <c r="CD242" s="62">
        <f t="shared" si="144"/>
        <v>153.59930555555911</v>
      </c>
      <c r="CE242" s="62">
        <f t="shared" si="145"/>
        <v>5.2906427469137025</v>
      </c>
      <c r="CF242" s="1059">
        <f t="shared" si="146"/>
        <v>90</v>
      </c>
      <c r="CH242" s="1082">
        <f t="shared" si="147"/>
        <v>8.3906427469137022</v>
      </c>
      <c r="CI242" s="1083">
        <f t="shared" si="148"/>
        <v>8.3906427469137022</v>
      </c>
      <c r="CJ242" s="1084">
        <f t="shared" si="149"/>
        <v>1.5</v>
      </c>
      <c r="CK242" s="1085" t="str">
        <f t="shared" si="150"/>
        <v/>
      </c>
      <c r="CL242" s="1057" t="str">
        <f t="shared" si="151"/>
        <v>REV</v>
      </c>
      <c r="CM242" s="1057" t="str">
        <f t="shared" si="152"/>
        <v/>
      </c>
      <c r="CN242" s="1086"/>
      <c r="CO242" s="1087"/>
      <c r="CP242" s="629" t="str">
        <f t="shared" si="167"/>
        <v>FOR ISSUANCE</v>
      </c>
      <c r="CQ242" s="1086"/>
      <c r="CR242" s="1088"/>
      <c r="CS242" s="1089" t="str">
        <f t="shared" ca="1" si="153"/>
        <v>0</v>
      </c>
      <c r="CT242" s="1086"/>
      <c r="CU242" s="1087"/>
      <c r="CV242" s="1090"/>
      <c r="CW242" s="156" t="s">
        <v>1649</v>
      </c>
      <c r="CX242" s="156" t="str">
        <f>VLOOKUP(E242,'[1]List of Work Orders'!$A:$I,9,FALSE)</f>
        <v>ME185284</v>
      </c>
      <c r="CY242" s="156"/>
      <c r="DC242" s="1057" t="str">
        <f>VLOOKUP(E242,'[2]List of Work Orders'!$A:$F,6,FALSE)</f>
        <v>SCHED</v>
      </c>
      <c r="DS242" s="156" t="s">
        <v>397</v>
      </c>
    </row>
    <row r="243" spans="1:123" customFormat="1" ht="15" customHeight="1" x14ac:dyDescent="0.25">
      <c r="A243" s="242">
        <v>45631</v>
      </c>
      <c r="B243" s="222"/>
      <c r="C243" s="223" t="s">
        <v>247</v>
      </c>
      <c r="D243" s="66" t="s">
        <v>320</v>
      </c>
      <c r="E243" s="404" t="s">
        <v>1650</v>
      </c>
      <c r="F243" s="95" t="s">
        <v>1651</v>
      </c>
      <c r="G243" s="95" t="s">
        <v>1652</v>
      </c>
      <c r="H243" s="95" t="s">
        <v>269</v>
      </c>
      <c r="I243" s="95" t="s">
        <v>239</v>
      </c>
      <c r="J243" s="163" t="s">
        <v>1653</v>
      </c>
      <c r="K243" s="101"/>
      <c r="L243" s="101" t="s">
        <v>263</v>
      </c>
      <c r="M243" s="345" t="s">
        <v>272</v>
      </c>
      <c r="N243" s="442" t="s">
        <v>467</v>
      </c>
      <c r="O243" s="165">
        <v>113.706</v>
      </c>
      <c r="P243" s="933">
        <v>347.15</v>
      </c>
      <c r="Q243" s="157">
        <v>20</v>
      </c>
      <c r="R243" s="109" t="s">
        <v>244</v>
      </c>
      <c r="S243" s="141">
        <v>622295.41</v>
      </c>
      <c r="T243" s="110">
        <v>91565.09</v>
      </c>
      <c r="U243" s="141"/>
      <c r="V243" s="158">
        <f t="shared" si="129"/>
        <v>0</v>
      </c>
      <c r="W243" s="159">
        <v>45625.40347222222</v>
      </c>
      <c r="X243" s="159">
        <v>45630.405555555553</v>
      </c>
      <c r="Y243" s="160">
        <v>45629</v>
      </c>
      <c r="Z243" s="470"/>
      <c r="AA243" s="470">
        <v>45832</v>
      </c>
      <c r="AB243" s="470"/>
      <c r="AC243" s="161">
        <f t="shared" si="130"/>
        <v>206.59652777777956</v>
      </c>
      <c r="AD243" s="161">
        <f t="shared" ref="AD243:AD274" si="168">AA243-X243</f>
        <v>201.59444444444671</v>
      </c>
      <c r="AE243" s="446">
        <f t="shared" si="155"/>
        <v>-45832</v>
      </c>
      <c r="AF243" s="160">
        <f t="shared" ref="AF243:AF274" si="169">W243+AO243</f>
        <v>45647.875170335428</v>
      </c>
      <c r="AG243" s="160">
        <f t="shared" ref="AG243:AG274" si="170">W243+AN243</f>
        <v>45657.667623165617</v>
      </c>
      <c r="AH243" s="159">
        <f t="shared" ref="AH243:AH274" si="171">W243+50</f>
        <v>45675.40347222222</v>
      </c>
      <c r="AI243" s="162">
        <f t="shared" si="131"/>
        <v>6.0831199845679533</v>
      </c>
      <c r="AJ243" s="224">
        <f t="shared" ref="AJ243:AJ274" si="172">AE243/AP243</f>
        <v>-763.86666666666667</v>
      </c>
      <c r="AK243" s="225">
        <f t="shared" si="132"/>
        <v>30</v>
      </c>
      <c r="AL243" s="170">
        <f t="shared" si="133"/>
        <v>36</v>
      </c>
      <c r="AM243" s="170">
        <f t="shared" si="134"/>
        <v>25.471698113207545</v>
      </c>
      <c r="AN243" s="170">
        <f t="shared" si="135"/>
        <v>32.264150943396224</v>
      </c>
      <c r="AO243" s="226">
        <f t="shared" si="136"/>
        <v>22.471698113207545</v>
      </c>
      <c r="AP243" s="227">
        <v>60</v>
      </c>
      <c r="AQ243" s="228">
        <f t="shared" si="137"/>
        <v>57</v>
      </c>
      <c r="AR243" s="228">
        <f t="shared" ref="AR243:AR274" si="173">AQ243-5</f>
        <v>52</v>
      </c>
      <c r="AS243" s="229">
        <f t="shared" si="139"/>
        <v>45892</v>
      </c>
      <c r="AT243" s="982">
        <f t="shared" ca="1" si="140"/>
        <v>63</v>
      </c>
      <c r="AU243" s="50"/>
      <c r="AV243" s="1043"/>
      <c r="AW243" s="49"/>
      <c r="AX243" s="49"/>
      <c r="AY243" s="49"/>
      <c r="AZ243" s="300"/>
      <c r="BA243" s="119"/>
      <c r="BB243" s="304"/>
      <c r="BC243" s="231" t="s">
        <v>13</v>
      </c>
      <c r="BD243" s="232"/>
      <c r="BE243" s="222">
        <f t="shared" si="166"/>
        <v>45847</v>
      </c>
      <c r="BF243" s="233" t="e">
        <f t="shared" si="127"/>
        <v>#VALUE!</v>
      </c>
      <c r="BG243" s="248"/>
      <c r="BH243" s="235"/>
      <c r="BI243" s="234"/>
      <c r="BJ243" s="236"/>
      <c r="BK243" s="222"/>
      <c r="BL243" s="222"/>
      <c r="BM243" s="238"/>
      <c r="BN243" s="222"/>
      <c r="BO243" s="222"/>
      <c r="BP243" s="243"/>
      <c r="BQ243" s="244" t="s">
        <v>247</v>
      </c>
      <c r="BR243" s="238">
        <v>45828</v>
      </c>
      <c r="BS243" s="67"/>
      <c r="BT243" s="66"/>
      <c r="BU243" s="66"/>
      <c r="BV243" s="66"/>
      <c r="BW243" s="74"/>
      <c r="BX243" s="81"/>
      <c r="BY243" s="66">
        <v>45636</v>
      </c>
      <c r="BZ243" s="944" t="s">
        <v>1654</v>
      </c>
      <c r="CA243" s="42" t="str">
        <f t="shared" si="141"/>
        <v>0</v>
      </c>
      <c r="CB243" s="62">
        <f t="shared" si="142"/>
        <v>206.59652777777956</v>
      </c>
      <c r="CC243" s="42">
        <f t="shared" si="143"/>
        <v>0</v>
      </c>
      <c r="CD243" s="62">
        <f t="shared" si="144"/>
        <v>206.59652777777956</v>
      </c>
      <c r="CE243" s="62">
        <f t="shared" si="145"/>
        <v>6.0831199845679533</v>
      </c>
      <c r="CF243" s="145">
        <f t="shared" si="146"/>
        <v>37</v>
      </c>
      <c r="CG243" s="145"/>
      <c r="CH243" s="443">
        <f t="shared" si="147"/>
        <v>7.1725644290123984</v>
      </c>
      <c r="CI243" s="996">
        <f t="shared" si="148"/>
        <v>7.1725644290123984</v>
      </c>
      <c r="CJ243" s="261">
        <f t="shared" si="149"/>
        <v>0.6166666666666667</v>
      </c>
      <c r="CK243" s="458" t="str">
        <f t="shared" si="150"/>
        <v/>
      </c>
      <c r="CL243" t="str">
        <f t="shared" si="151"/>
        <v>REV</v>
      </c>
      <c r="CM243" t="str">
        <f t="shared" si="152"/>
        <v/>
      </c>
      <c r="CN243" s="635"/>
      <c r="CO243" s="631"/>
      <c r="CP243" s="629" t="str">
        <f t="shared" si="167"/>
        <v>FOR ISSUANCE</v>
      </c>
      <c r="CQ243" s="635"/>
      <c r="CR243" s="697"/>
      <c r="CS243" s="633" t="str">
        <f t="shared" ca="1" si="153"/>
        <v>0</v>
      </c>
      <c r="CT243" s="635"/>
      <c r="CU243" s="631"/>
      <c r="CV243" s="638"/>
      <c r="CW243" s="156" t="s">
        <v>1655</v>
      </c>
      <c r="CX243" s="156" t="str">
        <f>VLOOKUP(E243,'[1]List of Work Orders'!$A:$I,9,FALSE)</f>
        <v>ME155242</v>
      </c>
      <c r="CY243" s="156"/>
      <c r="DC243" t="str">
        <f>VLOOKUP(E243,'[2]List of Work Orders'!$A:$F,6,FALSE)</f>
        <v>SCHED</v>
      </c>
      <c r="DS243" s="156" t="s">
        <v>397</v>
      </c>
    </row>
    <row r="244" spans="1:123" customFormat="1" ht="15" customHeight="1" x14ac:dyDescent="0.25">
      <c r="A244" s="242">
        <v>45636</v>
      </c>
      <c r="B244" s="222"/>
      <c r="C244" s="223"/>
      <c r="D244" s="66" t="s">
        <v>234</v>
      </c>
      <c r="E244" s="404" t="s">
        <v>1656</v>
      </c>
      <c r="F244" s="95" t="s">
        <v>1657</v>
      </c>
      <c r="G244" s="95" t="s">
        <v>1658</v>
      </c>
      <c r="H244" s="95" t="s">
        <v>238</v>
      </c>
      <c r="I244" s="95" t="s">
        <v>239</v>
      </c>
      <c r="J244" s="163"/>
      <c r="K244" s="101"/>
      <c r="L244" s="101" t="s">
        <v>263</v>
      </c>
      <c r="M244" s="345" t="s">
        <v>272</v>
      </c>
      <c r="N244" s="442" t="s">
        <v>467</v>
      </c>
      <c r="O244" s="165">
        <v>599.09320000000002</v>
      </c>
      <c r="P244" s="933">
        <v>1539.4</v>
      </c>
      <c r="Q244" s="157">
        <v>1528</v>
      </c>
      <c r="R244" s="109" t="s">
        <v>244</v>
      </c>
      <c r="S244" s="141">
        <v>1597363.95</v>
      </c>
      <c r="T244" s="110">
        <v>482059.02</v>
      </c>
      <c r="U244" s="141"/>
      <c r="V244" s="158">
        <f t="shared" si="129"/>
        <v>0</v>
      </c>
      <c r="W244" s="159">
        <v>45625.585462962961</v>
      </c>
      <c r="X244" s="159">
        <v>45632.611111111109</v>
      </c>
      <c r="Y244" s="160">
        <v>45639</v>
      </c>
      <c r="Z244" s="470"/>
      <c r="AA244" s="470">
        <v>45687</v>
      </c>
      <c r="AB244" s="470"/>
      <c r="AC244" s="161">
        <f t="shared" si="130"/>
        <v>61.414537037038826</v>
      </c>
      <c r="AD244" s="161">
        <f t="shared" si="168"/>
        <v>54.388888888890506</v>
      </c>
      <c r="AE244" s="446">
        <f t="shared" si="155"/>
        <v>-45687</v>
      </c>
      <c r="AF244" s="160">
        <f t="shared" si="169"/>
        <v>45640.878145889794</v>
      </c>
      <c r="AG244" s="160">
        <f t="shared" si="170"/>
        <v>45648.756194670277</v>
      </c>
      <c r="AH244" s="159">
        <f t="shared" si="171"/>
        <v>45675.585462962961</v>
      </c>
      <c r="AI244" s="162">
        <f t="shared" si="131"/>
        <v>2.5179960185185921</v>
      </c>
      <c r="AJ244" s="224">
        <f t="shared" si="172"/>
        <v>-761.45</v>
      </c>
      <c r="AK244" s="225">
        <f t="shared" si="132"/>
        <v>50</v>
      </c>
      <c r="AL244" s="170">
        <f t="shared" si="133"/>
        <v>20</v>
      </c>
      <c r="AM244" s="170">
        <f t="shared" si="134"/>
        <v>18.292682926829272</v>
      </c>
      <c r="AN244" s="170">
        <f t="shared" si="135"/>
        <v>23.170731707317074</v>
      </c>
      <c r="AO244" s="226">
        <f t="shared" si="136"/>
        <v>15.292682926829272</v>
      </c>
      <c r="AP244" s="227">
        <v>60</v>
      </c>
      <c r="AQ244" s="228">
        <f t="shared" si="137"/>
        <v>57</v>
      </c>
      <c r="AR244" s="228">
        <f t="shared" si="173"/>
        <v>52</v>
      </c>
      <c r="AS244" s="229">
        <f t="shared" si="139"/>
        <v>45747</v>
      </c>
      <c r="AT244" s="982">
        <f t="shared" ca="1" si="140"/>
        <v>208</v>
      </c>
      <c r="AU244" s="50"/>
      <c r="AV244" s="118"/>
      <c r="AW244" s="49"/>
      <c r="AX244" s="49"/>
      <c r="AY244" s="49"/>
      <c r="AZ244" s="300"/>
      <c r="BA244" s="119"/>
      <c r="BB244" s="304"/>
      <c r="BC244" s="231" t="s">
        <v>264</v>
      </c>
      <c r="BD244" s="232"/>
      <c r="BE244" s="222">
        <f t="shared" si="166"/>
        <v>45702</v>
      </c>
      <c r="BF244" s="233">
        <f t="shared" ref="BF244:BF307" si="174">IF(ISBLANK(AA244),0,IF(ISBLANK(BH244),(BE244-$L$1),(BH244-BE244)))</f>
        <v>-15</v>
      </c>
      <c r="BG244" s="248">
        <v>45769</v>
      </c>
      <c r="BH244" s="235">
        <v>45687</v>
      </c>
      <c r="BI244" s="234">
        <v>45856</v>
      </c>
      <c r="BJ244" s="236" t="s">
        <v>1119</v>
      </c>
      <c r="BK244" s="222" t="s">
        <v>247</v>
      </c>
      <c r="BL244" s="222"/>
      <c r="BM244" s="238"/>
      <c r="BN244" s="222"/>
      <c r="BO244" s="222">
        <v>45870</v>
      </c>
      <c r="BP244" s="243" t="s">
        <v>1084</v>
      </c>
      <c r="BQ244" s="244"/>
      <c r="BR244" s="238"/>
      <c r="BS244" s="67"/>
      <c r="BT244" s="66"/>
      <c r="BU244" s="66"/>
      <c r="BV244" s="66"/>
      <c r="BW244" s="74"/>
      <c r="BX244" s="81"/>
      <c r="BY244" s="66">
        <v>45649</v>
      </c>
      <c r="BZ244" s="944" t="s">
        <v>1659</v>
      </c>
      <c r="CA244" s="42" t="str">
        <f t="shared" si="141"/>
        <v>0</v>
      </c>
      <c r="CB244" s="62">
        <f t="shared" si="142"/>
        <v>61.414537037038826</v>
      </c>
      <c r="CC244" s="42">
        <f t="shared" si="143"/>
        <v>0</v>
      </c>
      <c r="CD244" s="62">
        <f t="shared" si="144"/>
        <v>61.414537037038826</v>
      </c>
      <c r="CE244" s="62">
        <f t="shared" si="145"/>
        <v>2.5179960185185921</v>
      </c>
      <c r="CF244" s="145">
        <f t="shared" si="146"/>
        <v>182</v>
      </c>
      <c r="CG244" s="145"/>
      <c r="CH244" s="443">
        <f t="shared" si="147"/>
        <v>9.979996018518591</v>
      </c>
      <c r="CI244" s="996">
        <f t="shared" si="148"/>
        <v>9.979996018518591</v>
      </c>
      <c r="CJ244" s="261">
        <f t="shared" si="149"/>
        <v>3.0333333333333332</v>
      </c>
      <c r="CK244" s="458" t="str">
        <f t="shared" si="150"/>
        <v/>
      </c>
      <c r="CL244" t="str">
        <f t="shared" si="151"/>
        <v>REV</v>
      </c>
      <c r="CM244" t="str">
        <f t="shared" si="152"/>
        <v/>
      </c>
      <c r="CN244" s="635">
        <v>45873</v>
      </c>
      <c r="CO244" s="631">
        <v>112663.22</v>
      </c>
      <c r="CP244" s="629" t="str">
        <f t="shared" si="167"/>
        <v>FOR ISSUANCE</v>
      </c>
      <c r="CQ244" s="635"/>
      <c r="CR244" s="697"/>
      <c r="CS244" s="633" t="str">
        <f t="shared" ca="1" si="153"/>
        <v>0</v>
      </c>
      <c r="CT244" s="635"/>
      <c r="CU244" s="631"/>
      <c r="CV244" s="638"/>
      <c r="CW244" s="156" t="s">
        <v>1660</v>
      </c>
      <c r="CX244" s="156" t="str">
        <f>VLOOKUP(E244,'[1]List of Work Orders'!$A:$I,9,FALSE)</f>
        <v>ME155242</v>
      </c>
      <c r="CY244" s="156"/>
      <c r="DC244" t="str">
        <f>VLOOKUP(E244,'[2]List of Work Orders'!$A:$F,6,FALSE)</f>
        <v>FCOMP</v>
      </c>
      <c r="DS244" s="156" t="s">
        <v>397</v>
      </c>
    </row>
    <row r="245" spans="1:123" customFormat="1" ht="15" customHeight="1" x14ac:dyDescent="0.25">
      <c r="A245" s="242">
        <v>45715</v>
      </c>
      <c r="B245" s="222"/>
      <c r="C245" s="223"/>
      <c r="D245" s="66" t="s">
        <v>320</v>
      </c>
      <c r="E245" s="404" t="s">
        <v>1661</v>
      </c>
      <c r="F245" s="95" t="s">
        <v>1662</v>
      </c>
      <c r="G245" s="95" t="s">
        <v>1663</v>
      </c>
      <c r="H245" s="95" t="s">
        <v>318</v>
      </c>
      <c r="I245" s="95" t="s">
        <v>239</v>
      </c>
      <c r="J245" s="163"/>
      <c r="K245" s="101"/>
      <c r="L245" s="101" t="s">
        <v>312</v>
      </c>
      <c r="M245" s="345" t="s">
        <v>272</v>
      </c>
      <c r="N245" s="442" t="s">
        <v>1178</v>
      </c>
      <c r="O245" s="165">
        <v>222.76070000000001</v>
      </c>
      <c r="P245" s="933">
        <v>456.21</v>
      </c>
      <c r="Q245" s="157">
        <v>80</v>
      </c>
      <c r="R245" s="109" t="s">
        <v>244</v>
      </c>
      <c r="S245" s="141">
        <v>899400.28</v>
      </c>
      <c r="T245" s="110">
        <v>178653.51</v>
      </c>
      <c r="U245" s="141"/>
      <c r="V245" s="158">
        <f t="shared" si="129"/>
        <v>0</v>
      </c>
      <c r="W245" s="159">
        <v>45628.362962962965</v>
      </c>
      <c r="X245" s="159">
        <v>45635.643055555556</v>
      </c>
      <c r="Y245" s="160">
        <v>45643</v>
      </c>
      <c r="Z245" s="470"/>
      <c r="AA245" s="470">
        <v>45825.333333333336</v>
      </c>
      <c r="AB245" s="470"/>
      <c r="AC245" s="161">
        <f t="shared" si="130"/>
        <v>196.9703703703708</v>
      </c>
      <c r="AD245" s="161">
        <f t="shared" si="168"/>
        <v>189.69027777777956</v>
      </c>
      <c r="AE245" s="446">
        <f t="shared" si="155"/>
        <v>-45825.333333333336</v>
      </c>
      <c r="AF245" s="160">
        <f t="shared" si="169"/>
        <v>45650.39363780959</v>
      </c>
      <c r="AG245" s="160">
        <f t="shared" si="170"/>
        <v>45660.06848443536</v>
      </c>
      <c r="AH245" s="159">
        <f t="shared" si="171"/>
        <v>45678.362962962965</v>
      </c>
      <c r="AI245" s="162">
        <f t="shared" si="131"/>
        <v>5.901869553376919</v>
      </c>
      <c r="AJ245" s="224">
        <f t="shared" si="172"/>
        <v>-763.75555555555559</v>
      </c>
      <c r="AK245" s="225">
        <f t="shared" si="132"/>
        <v>32</v>
      </c>
      <c r="AL245" s="170">
        <f t="shared" si="133"/>
        <v>34</v>
      </c>
      <c r="AM245" s="170">
        <f t="shared" si="134"/>
        <v>25.030674846625768</v>
      </c>
      <c r="AN245" s="170">
        <f t="shared" si="135"/>
        <v>31.70552147239264</v>
      </c>
      <c r="AO245" s="226">
        <f t="shared" si="136"/>
        <v>22.030674846625768</v>
      </c>
      <c r="AP245" s="227">
        <v>60</v>
      </c>
      <c r="AQ245" s="228">
        <f t="shared" si="137"/>
        <v>57</v>
      </c>
      <c r="AR245" s="228">
        <f t="shared" si="173"/>
        <v>52</v>
      </c>
      <c r="AS245" s="229">
        <f t="shared" si="139"/>
        <v>45885.333333333336</v>
      </c>
      <c r="AT245" s="982">
        <f t="shared" ca="1" si="140"/>
        <v>69.666666666664241</v>
      </c>
      <c r="AU245" s="50"/>
      <c r="AV245" s="118"/>
      <c r="AW245" s="49"/>
      <c r="AX245" s="49"/>
      <c r="AY245" s="49"/>
      <c r="AZ245" s="300"/>
      <c r="BA245" s="119"/>
      <c r="BB245" s="304"/>
      <c r="BC245" s="231" t="s">
        <v>13</v>
      </c>
      <c r="BD245" s="232"/>
      <c r="BE245" s="222">
        <f t="shared" si="166"/>
        <v>45840.333333333336</v>
      </c>
      <c r="BF245" s="233" t="e">
        <f t="shared" si="174"/>
        <v>#VALUE!</v>
      </c>
      <c r="BG245" s="248"/>
      <c r="BH245" s="235"/>
      <c r="BI245" s="234"/>
      <c r="BJ245" s="236"/>
      <c r="BK245" s="222"/>
      <c r="BL245" s="222"/>
      <c r="BM245" s="238"/>
      <c r="BN245" s="222"/>
      <c r="BO245" s="222"/>
      <c r="BP245" s="243"/>
      <c r="BQ245" s="244"/>
      <c r="BR245" s="238"/>
      <c r="BS245" s="67"/>
      <c r="BT245" s="66"/>
      <c r="BU245" s="66"/>
      <c r="BV245" s="66"/>
      <c r="BW245" s="74"/>
      <c r="BX245" s="81"/>
      <c r="BY245" s="66">
        <v>45349</v>
      </c>
      <c r="BZ245" s="944" t="s">
        <v>1664</v>
      </c>
      <c r="CA245" s="42" t="str">
        <f t="shared" si="141"/>
        <v>0</v>
      </c>
      <c r="CB245" s="62">
        <f t="shared" si="142"/>
        <v>196.9703703703708</v>
      </c>
      <c r="CC245" s="42">
        <f t="shared" si="143"/>
        <v>0</v>
      </c>
      <c r="CD245" s="62">
        <f t="shared" si="144"/>
        <v>196.9703703703708</v>
      </c>
      <c r="CE245" s="62">
        <f t="shared" si="145"/>
        <v>5.901869553376919</v>
      </c>
      <c r="CF245" s="145">
        <f t="shared" si="146"/>
        <v>43.666666666664241</v>
      </c>
      <c r="CG245" s="145"/>
      <c r="CH245" s="443">
        <f t="shared" si="147"/>
        <v>7.2102641612199836</v>
      </c>
      <c r="CI245" s="996">
        <f t="shared" si="148"/>
        <v>7.2102641612199836</v>
      </c>
      <c r="CJ245" s="261">
        <f t="shared" si="149"/>
        <v>0.72777777777773733</v>
      </c>
      <c r="CK245" s="458" t="str">
        <f t="shared" si="150"/>
        <v/>
      </c>
      <c r="CL245" t="str">
        <f t="shared" si="151"/>
        <v>REV</v>
      </c>
      <c r="CM245" t="str">
        <f t="shared" si="152"/>
        <v/>
      </c>
      <c r="CN245" s="635"/>
      <c r="CO245" s="631"/>
      <c r="CP245" s="629" t="str">
        <f t="shared" si="167"/>
        <v>FOR ISSUANCE</v>
      </c>
      <c r="CQ245" s="635"/>
      <c r="CR245" s="697"/>
      <c r="CS245" s="633" t="str">
        <f t="shared" ca="1" si="153"/>
        <v>0</v>
      </c>
      <c r="CT245" s="635"/>
      <c r="CU245" s="631"/>
      <c r="CV245" s="638"/>
      <c r="CW245" s="156" t="s">
        <v>1665</v>
      </c>
      <c r="CX245" s="156" t="str">
        <f>VLOOKUP(E245,'[1]List of Work Orders'!$A:$I,9,FALSE)</f>
        <v>ME184184</v>
      </c>
      <c r="CY245" s="156"/>
      <c r="DC245" t="str">
        <f>VLOOKUP(E245,'[2]List of Work Orders'!$A:$F,6,FALSE)</f>
        <v>SCHED</v>
      </c>
      <c r="DS245" s="156" t="s">
        <v>397</v>
      </c>
    </row>
    <row r="246" spans="1:123" customFormat="1" ht="15" customHeight="1" x14ac:dyDescent="0.25">
      <c r="A246" s="242">
        <v>45630</v>
      </c>
      <c r="B246" s="222"/>
      <c r="C246" s="223"/>
      <c r="D246" s="66" t="s">
        <v>234</v>
      </c>
      <c r="E246" s="404" t="s">
        <v>1666</v>
      </c>
      <c r="F246" s="95" t="s">
        <v>259</v>
      </c>
      <c r="G246" s="95" t="s">
        <v>282</v>
      </c>
      <c r="H246" s="95" t="s">
        <v>238</v>
      </c>
      <c r="I246" s="95" t="s">
        <v>239</v>
      </c>
      <c r="J246" s="163" t="s">
        <v>1667</v>
      </c>
      <c r="K246" s="101"/>
      <c r="L246" s="101" t="s">
        <v>288</v>
      </c>
      <c r="M246" s="345" t="s">
        <v>534</v>
      </c>
      <c r="N246" s="442" t="s">
        <v>381</v>
      </c>
      <c r="O246" s="165">
        <v>32.566699999999997</v>
      </c>
      <c r="P246" s="165" t="e">
        <v>#N/A</v>
      </c>
      <c r="Q246" s="157">
        <v>0</v>
      </c>
      <c r="R246" s="109" t="s">
        <v>244</v>
      </c>
      <c r="S246" s="141">
        <v>144072.26</v>
      </c>
      <c r="T246" s="110">
        <v>26225.13</v>
      </c>
      <c r="U246" s="141"/>
      <c r="V246" s="158">
        <f t="shared" si="129"/>
        <v>0</v>
      </c>
      <c r="W246" s="159">
        <v>45628.646527777775</v>
      </c>
      <c r="X246" s="159">
        <v>45630.427152777775</v>
      </c>
      <c r="Y246" s="160">
        <v>45643</v>
      </c>
      <c r="Z246" s="470"/>
      <c r="AA246" s="470" t="s">
        <v>534</v>
      </c>
      <c r="AB246" s="470"/>
      <c r="AC246" s="161" t="e">
        <f t="shared" si="130"/>
        <v>#VALUE!</v>
      </c>
      <c r="AD246" s="161" t="e">
        <f t="shared" si="168"/>
        <v>#VALUE!</v>
      </c>
      <c r="AE246" s="446" t="e">
        <f t="shared" si="155"/>
        <v>#VALUE!</v>
      </c>
      <c r="AF246" s="160" t="e">
        <f t="shared" si="169"/>
        <v>#N/A</v>
      </c>
      <c r="AG246" s="160" t="e">
        <f t="shared" si="170"/>
        <v>#N/A</v>
      </c>
      <c r="AH246" s="159">
        <f t="shared" si="171"/>
        <v>45678.646527777775</v>
      </c>
      <c r="AI246" s="162" t="e">
        <f t="shared" si="131"/>
        <v>#VALUE!</v>
      </c>
      <c r="AJ246" s="224" t="e">
        <f t="shared" si="172"/>
        <v>#VALUE!</v>
      </c>
      <c r="AK246" s="225" t="e">
        <f t="shared" si="132"/>
        <v>#N/A</v>
      </c>
      <c r="AL246" s="170">
        <f t="shared" si="133"/>
        <v>36</v>
      </c>
      <c r="AM246" s="170" t="e">
        <f t="shared" si="134"/>
        <v>#N/A</v>
      </c>
      <c r="AN246" s="170" t="e">
        <f t="shared" si="135"/>
        <v>#N/A</v>
      </c>
      <c r="AO246" s="226" t="e">
        <f t="shared" si="136"/>
        <v>#N/A</v>
      </c>
      <c r="AP246" s="227">
        <v>60</v>
      </c>
      <c r="AQ246" s="228">
        <f t="shared" si="137"/>
        <v>57</v>
      </c>
      <c r="AR246" s="228">
        <f t="shared" si="173"/>
        <v>52</v>
      </c>
      <c r="AS246" s="229" t="e">
        <f t="shared" si="139"/>
        <v>#VALUE!</v>
      </c>
      <c r="AT246" s="982" t="str">
        <f t="shared" ca="1" si="140"/>
        <v/>
      </c>
      <c r="AU246" s="50"/>
      <c r="AV246" s="118"/>
      <c r="AW246" s="49"/>
      <c r="AX246" s="49"/>
      <c r="AY246" s="49"/>
      <c r="AZ246" s="300"/>
      <c r="BA246" s="119"/>
      <c r="BB246" s="304"/>
      <c r="BC246" s="231"/>
      <c r="BD246" s="232"/>
      <c r="BE246" s="222" t="e">
        <f t="shared" si="166"/>
        <v>#VALUE!</v>
      </c>
      <c r="BF246" s="233" t="e">
        <f t="shared" si="174"/>
        <v>#VALUE!</v>
      </c>
      <c r="BG246" s="248"/>
      <c r="BH246" s="235"/>
      <c r="BI246" s="234"/>
      <c r="BJ246" s="236"/>
      <c r="BK246" s="222"/>
      <c r="BL246" s="222"/>
      <c r="BM246" s="238"/>
      <c r="BN246" s="222"/>
      <c r="BO246" s="222"/>
      <c r="BP246" s="243"/>
      <c r="BQ246" s="244" t="s">
        <v>246</v>
      </c>
      <c r="BR246" s="238"/>
      <c r="BS246" s="67"/>
      <c r="BT246" s="66"/>
      <c r="BU246" s="66"/>
      <c r="BV246" s="66"/>
      <c r="BW246" s="74"/>
      <c r="BX246" s="81"/>
      <c r="BY246" s="66" t="s">
        <v>308</v>
      </c>
      <c r="BZ246" s="944" t="s">
        <v>1668</v>
      </c>
      <c r="CA246" s="42" t="str">
        <f t="shared" si="141"/>
        <v>0</v>
      </c>
      <c r="CB246" s="62" t="e">
        <f t="shared" si="142"/>
        <v>#VALUE!</v>
      </c>
      <c r="CC246" s="42">
        <f t="shared" si="143"/>
        <v>0</v>
      </c>
      <c r="CD246" s="62" t="e">
        <f t="shared" si="144"/>
        <v>#VALUE!</v>
      </c>
      <c r="CE246" s="62" t="e">
        <f t="shared" si="145"/>
        <v>#VALUE!</v>
      </c>
      <c r="CF246" s="145" t="e">
        <f t="shared" si="146"/>
        <v>#VALUE!</v>
      </c>
      <c r="CG246" s="145"/>
      <c r="CH246" s="443" t="e">
        <f t="shared" si="147"/>
        <v>#N/A</v>
      </c>
      <c r="CI246" s="996" t="e">
        <f t="shared" si="148"/>
        <v>#N/A</v>
      </c>
      <c r="CJ246" s="261" t="e">
        <f t="shared" si="149"/>
        <v>#VALUE!</v>
      </c>
      <c r="CK246" s="458" t="str">
        <f t="shared" si="150"/>
        <v/>
      </c>
      <c r="CL246" t="str">
        <f t="shared" si="151"/>
        <v>REV</v>
      </c>
      <c r="CM246" t="str">
        <f t="shared" si="152"/>
        <v/>
      </c>
      <c r="CN246" s="635"/>
      <c r="CO246" s="631"/>
      <c r="CP246" s="629" t="str">
        <f t="shared" si="167"/>
        <v>FOR ISSUANCE</v>
      </c>
      <c r="CQ246" s="635"/>
      <c r="CR246" s="697"/>
      <c r="CS246" s="633" t="str">
        <f t="shared" ca="1" si="153"/>
        <v>0</v>
      </c>
      <c r="CT246" s="635"/>
      <c r="CU246" s="631"/>
      <c r="CV246" s="638"/>
      <c r="CW246" s="156" t="s">
        <v>1669</v>
      </c>
      <c r="CX246" s="156" t="str">
        <f>VLOOKUP(E246,'[1]List of Work Orders'!$A:$I,9,FALSE)</f>
        <v>ME185284</v>
      </c>
      <c r="CY246" s="156"/>
      <c r="DC246" t="str">
        <f>VLOOKUP(E246,'[2]List of Work Orders'!$A:$F,6,FALSE)</f>
        <v>CLOSED-CAN</v>
      </c>
      <c r="DS246" s="156" t="s">
        <v>381</v>
      </c>
    </row>
    <row r="247" spans="1:123" customFormat="1" ht="15" customHeight="1" x14ac:dyDescent="0.25">
      <c r="A247" s="242">
        <v>45636</v>
      </c>
      <c r="B247" s="222"/>
      <c r="C247" s="223"/>
      <c r="D247" s="66" t="s">
        <v>234</v>
      </c>
      <c r="E247" s="404" t="s">
        <v>1670</v>
      </c>
      <c r="F247" s="95" t="s">
        <v>1657</v>
      </c>
      <c r="G247" s="95" t="s">
        <v>1658</v>
      </c>
      <c r="H247" s="95" t="s">
        <v>238</v>
      </c>
      <c r="I247" s="95" t="s">
        <v>239</v>
      </c>
      <c r="J247" s="163"/>
      <c r="K247" s="101"/>
      <c r="L247" s="101" t="s">
        <v>263</v>
      </c>
      <c r="M247" s="345" t="s">
        <v>272</v>
      </c>
      <c r="N247" s="442" t="s">
        <v>467</v>
      </c>
      <c r="O247" s="165">
        <v>49.339100000000002</v>
      </c>
      <c r="P247" s="933">
        <v>158.78</v>
      </c>
      <c r="Q247" s="157">
        <v>1528</v>
      </c>
      <c r="R247" s="109" t="s">
        <v>244</v>
      </c>
      <c r="S247" s="141">
        <v>760153.47</v>
      </c>
      <c r="T247" s="110">
        <v>38066.29</v>
      </c>
      <c r="U247" s="141"/>
      <c r="V247" s="158">
        <f t="shared" si="129"/>
        <v>0</v>
      </c>
      <c r="W247" s="159">
        <v>45628.647268518522</v>
      </c>
      <c r="X247" s="159">
        <v>45632.612500000003</v>
      </c>
      <c r="Y247" s="160">
        <v>45639</v>
      </c>
      <c r="Z247" s="470"/>
      <c r="AA247" s="470">
        <v>45687</v>
      </c>
      <c r="AB247" s="470"/>
      <c r="AC247" s="161">
        <f t="shared" si="130"/>
        <v>58.352731481478259</v>
      </c>
      <c r="AD247" s="161">
        <f t="shared" si="168"/>
        <v>54.38749999999709</v>
      </c>
      <c r="AE247" s="446">
        <f t="shared" si="155"/>
        <v>-45687</v>
      </c>
      <c r="AF247" s="160">
        <f t="shared" si="169"/>
        <v>45641.762970997857</v>
      </c>
      <c r="AG247" s="160">
        <f t="shared" si="170"/>
        <v>45649.060491659016</v>
      </c>
      <c r="AH247" s="159">
        <f t="shared" si="171"/>
        <v>45678.647268518522</v>
      </c>
      <c r="AI247" s="162">
        <f t="shared" si="131"/>
        <v>2.7156463497149494</v>
      </c>
      <c r="AJ247" s="224">
        <f t="shared" si="172"/>
        <v>-761.45</v>
      </c>
      <c r="AK247" s="225">
        <f t="shared" si="132"/>
        <v>26</v>
      </c>
      <c r="AL247" s="170">
        <f t="shared" si="133"/>
        <v>20</v>
      </c>
      <c r="AM247" s="170">
        <f t="shared" si="134"/>
        <v>16.115702479338843</v>
      </c>
      <c r="AN247" s="170">
        <f t="shared" si="135"/>
        <v>20.41322314049587</v>
      </c>
      <c r="AO247" s="226">
        <f t="shared" si="136"/>
        <v>13.115702479338843</v>
      </c>
      <c r="AP247" s="227">
        <v>60</v>
      </c>
      <c r="AQ247" s="228">
        <f t="shared" si="137"/>
        <v>57</v>
      </c>
      <c r="AR247" s="228">
        <f t="shared" si="173"/>
        <v>52</v>
      </c>
      <c r="AS247" s="229">
        <f t="shared" si="139"/>
        <v>45747</v>
      </c>
      <c r="AT247" s="982">
        <f t="shared" ca="1" si="140"/>
        <v>208</v>
      </c>
      <c r="AU247" s="50"/>
      <c r="AV247" s="118"/>
      <c r="AW247" s="49"/>
      <c r="AX247" s="49"/>
      <c r="AY247" s="49"/>
      <c r="AZ247" s="300"/>
      <c r="BA247" s="119"/>
      <c r="BB247" s="304"/>
      <c r="BC247" s="231" t="s">
        <v>13</v>
      </c>
      <c r="BD247" s="232"/>
      <c r="BE247" s="222">
        <f t="shared" si="166"/>
        <v>45702</v>
      </c>
      <c r="BF247" s="233" t="e">
        <f t="shared" si="174"/>
        <v>#VALUE!</v>
      </c>
      <c r="BG247" s="248"/>
      <c r="BH247" s="235"/>
      <c r="BI247" s="234"/>
      <c r="BJ247" s="236"/>
      <c r="BK247" s="222"/>
      <c r="BL247" s="222"/>
      <c r="BM247" s="238"/>
      <c r="BN247" s="222"/>
      <c r="BO247" s="222"/>
      <c r="BP247" s="243"/>
      <c r="BQ247" s="244" t="s">
        <v>247</v>
      </c>
      <c r="BR247" s="238"/>
      <c r="BS247" s="67"/>
      <c r="BT247" s="66"/>
      <c r="BU247" s="66"/>
      <c r="BV247" s="66"/>
      <c r="BW247" s="74"/>
      <c r="BX247" s="81"/>
      <c r="BY247" s="66">
        <v>45636</v>
      </c>
      <c r="BZ247" s="944" t="s">
        <v>1671</v>
      </c>
      <c r="CA247" s="42" t="str">
        <f t="shared" si="141"/>
        <v>0</v>
      </c>
      <c r="CB247" s="62">
        <f t="shared" si="142"/>
        <v>58.352731481478259</v>
      </c>
      <c r="CC247" s="42">
        <f t="shared" si="143"/>
        <v>0</v>
      </c>
      <c r="CD247" s="62">
        <f t="shared" si="144"/>
        <v>58.352731481478259</v>
      </c>
      <c r="CE247" s="62">
        <f t="shared" si="145"/>
        <v>2.7156463497149494</v>
      </c>
      <c r="CF247" s="145">
        <f t="shared" si="146"/>
        <v>182</v>
      </c>
      <c r="CG247" s="145"/>
      <c r="CH247" s="443">
        <f t="shared" si="147"/>
        <v>11.185646349714949</v>
      </c>
      <c r="CI247" s="996">
        <f t="shared" si="148"/>
        <v>11.185646349714949</v>
      </c>
      <c r="CJ247" s="261">
        <f t="shared" si="149"/>
        <v>3.0333333333333332</v>
      </c>
      <c r="CK247" s="458" t="str">
        <f t="shared" si="150"/>
        <v/>
      </c>
      <c r="CL247" t="str">
        <f t="shared" si="151"/>
        <v>REV</v>
      </c>
      <c r="CM247" t="str">
        <f t="shared" si="152"/>
        <v/>
      </c>
      <c r="CN247" s="635"/>
      <c r="CO247" s="631"/>
      <c r="CP247" s="629" t="str">
        <f t="shared" si="167"/>
        <v>FOR ISSUANCE</v>
      </c>
      <c r="CQ247" s="635"/>
      <c r="CR247" s="697"/>
      <c r="CS247" s="633" t="str">
        <f t="shared" ca="1" si="153"/>
        <v>0</v>
      </c>
      <c r="CT247" s="635"/>
      <c r="CU247" s="631"/>
      <c r="CV247" s="638"/>
      <c r="CW247" s="156" t="s">
        <v>1672</v>
      </c>
      <c r="CX247" s="156" t="str">
        <f>VLOOKUP(E247,'[1]List of Work Orders'!$A:$I,9,FALSE)</f>
        <v>ME155242</v>
      </c>
      <c r="CY247" s="156"/>
      <c r="DC247" t="str">
        <f>VLOOKUP(E247,'[2]List of Work Orders'!$A:$F,6,FALSE)</f>
        <v>FCOMP</v>
      </c>
      <c r="DS247" s="156" t="s">
        <v>1165</v>
      </c>
    </row>
    <row r="248" spans="1:123" ht="15" customHeight="1" x14ac:dyDescent="0.2">
      <c r="A248" s="242">
        <v>45636</v>
      </c>
      <c r="B248" s="222"/>
      <c r="C248" s="223"/>
      <c r="D248" s="66" t="s">
        <v>320</v>
      </c>
      <c r="E248" s="404" t="s">
        <v>1673</v>
      </c>
      <c r="F248" s="95" t="s">
        <v>1674</v>
      </c>
      <c r="G248" s="95" t="s">
        <v>1675</v>
      </c>
      <c r="H248" s="95" t="s">
        <v>269</v>
      </c>
      <c r="I248" s="95" t="s">
        <v>239</v>
      </c>
      <c r="J248" s="163"/>
      <c r="K248" s="101"/>
      <c r="L248" s="101" t="s">
        <v>255</v>
      </c>
      <c r="M248" s="345" t="s">
        <v>272</v>
      </c>
      <c r="N248" s="442" t="s">
        <v>381</v>
      </c>
      <c r="O248" s="165">
        <v>38.702399999999997</v>
      </c>
      <c r="P248" s="933">
        <v>139.91</v>
      </c>
      <c r="Q248" s="157">
        <v>47</v>
      </c>
      <c r="R248" s="109" t="s">
        <v>548</v>
      </c>
      <c r="S248" s="141">
        <v>202593.53</v>
      </c>
      <c r="T248" s="110">
        <v>31166.05</v>
      </c>
      <c r="U248" s="141"/>
      <c r="V248" s="158">
        <f t="shared" si="129"/>
        <v>0</v>
      </c>
      <c r="W248" s="159">
        <v>45628.680405092593</v>
      </c>
      <c r="X248" s="159">
        <v>45635.645833333336</v>
      </c>
      <c r="Y248" s="160">
        <v>45637</v>
      </c>
      <c r="Z248" s="470"/>
      <c r="AA248" s="470">
        <v>45769</v>
      </c>
      <c r="AB248" s="470"/>
      <c r="AC248" s="161">
        <f t="shared" si="130"/>
        <v>140.31959490740701</v>
      </c>
      <c r="AD248" s="161">
        <f t="shared" si="168"/>
        <v>133.35416666666424</v>
      </c>
      <c r="AE248" s="446">
        <f t="shared" si="155"/>
        <v>-45769</v>
      </c>
      <c r="AF248" s="160">
        <f t="shared" si="169"/>
        <v>45649.887301644318</v>
      </c>
      <c r="AG248" s="160">
        <f t="shared" si="170"/>
        <v>45659.34247405811</v>
      </c>
      <c r="AH248" s="159">
        <f t="shared" si="171"/>
        <v>45678.680405092593</v>
      </c>
      <c r="AI248" s="162">
        <f t="shared" si="131"/>
        <v>4.3475088165756439</v>
      </c>
      <c r="AJ248" s="224">
        <f t="shared" si="172"/>
        <v>-762.81666666666672</v>
      </c>
      <c r="AK248" s="225">
        <f t="shared" si="132"/>
        <v>26</v>
      </c>
      <c r="AL248" s="170">
        <f t="shared" si="133"/>
        <v>36</v>
      </c>
      <c r="AM248" s="170">
        <f t="shared" si="134"/>
        <v>24.206896551724139</v>
      </c>
      <c r="AN248" s="170">
        <f t="shared" si="135"/>
        <v>30.662068965517239</v>
      </c>
      <c r="AO248" s="226">
        <f t="shared" si="136"/>
        <v>21.206896551724139</v>
      </c>
      <c r="AP248" s="227">
        <v>60</v>
      </c>
      <c r="AQ248" s="228">
        <f t="shared" si="137"/>
        <v>57</v>
      </c>
      <c r="AR248" s="228">
        <f t="shared" si="173"/>
        <v>52</v>
      </c>
      <c r="AS248" s="229">
        <f t="shared" si="139"/>
        <v>45829</v>
      </c>
      <c r="AT248" s="982">
        <f t="shared" ca="1" si="140"/>
        <v>126</v>
      </c>
      <c r="AU248" s="1077"/>
      <c r="AV248" s="1078"/>
      <c r="AW248" s="1079"/>
      <c r="AX248" s="1079"/>
      <c r="AY248" s="1079"/>
      <c r="AZ248" s="1080"/>
      <c r="BA248" s="1081"/>
      <c r="BB248" s="1091"/>
      <c r="BC248" s="231" t="s">
        <v>13</v>
      </c>
      <c r="BD248" s="232"/>
      <c r="BE248" s="222">
        <f t="shared" si="166"/>
        <v>45784</v>
      </c>
      <c r="BF248" s="233" t="e">
        <f t="shared" si="174"/>
        <v>#VALUE!</v>
      </c>
      <c r="BG248" s="235"/>
      <c r="BH248" s="235"/>
      <c r="BI248" s="234"/>
      <c r="BJ248" s="236"/>
      <c r="BK248" s="222"/>
      <c r="BL248" s="222"/>
      <c r="BM248" s="238"/>
      <c r="BN248" s="222"/>
      <c r="BO248" s="222"/>
      <c r="BP248" s="243"/>
      <c r="BQ248" s="244" t="s">
        <v>247</v>
      </c>
      <c r="BR248" s="238">
        <v>45751</v>
      </c>
      <c r="BS248" s="67"/>
      <c r="BT248" s="66"/>
      <c r="BU248" s="66"/>
      <c r="BV248" s="66"/>
      <c r="BW248" s="74"/>
      <c r="BX248" s="81"/>
      <c r="BY248" s="66">
        <v>45636</v>
      </c>
      <c r="BZ248" s="944" t="s">
        <v>1676</v>
      </c>
      <c r="CA248" s="42" t="str">
        <f t="shared" si="141"/>
        <v>0</v>
      </c>
      <c r="CB248" s="62">
        <f t="shared" si="142"/>
        <v>140.31959490740701</v>
      </c>
      <c r="CC248" s="42">
        <f t="shared" si="143"/>
        <v>0</v>
      </c>
      <c r="CD248" s="62">
        <f t="shared" si="144"/>
        <v>140.31959490740701</v>
      </c>
      <c r="CE248" s="62">
        <f t="shared" si="145"/>
        <v>4.3475088165756439</v>
      </c>
      <c r="CF248" s="1059">
        <f t="shared" si="146"/>
        <v>100</v>
      </c>
      <c r="CH248" s="1082">
        <f t="shared" si="147"/>
        <v>7.4457994148662419</v>
      </c>
      <c r="CI248" s="1083">
        <f t="shared" si="148"/>
        <v>7.4457994148662419</v>
      </c>
      <c r="CJ248" s="1084">
        <f t="shared" si="149"/>
        <v>1.6666666666666667</v>
      </c>
      <c r="CK248" s="1085" t="str">
        <f t="shared" si="150"/>
        <v/>
      </c>
      <c r="CL248" s="1057" t="str">
        <f t="shared" si="151"/>
        <v>NON-REV</v>
      </c>
      <c r="CM248" s="1057" t="str">
        <f t="shared" si="152"/>
        <v/>
      </c>
      <c r="CN248" s="1086"/>
      <c r="CO248" s="1087"/>
      <c r="CP248" s="629" t="str">
        <f t="shared" si="167"/>
        <v>FOR ISSUANCE</v>
      </c>
      <c r="CQ248" s="1086"/>
      <c r="CR248" s="1088"/>
      <c r="CS248" s="1089" t="str">
        <f t="shared" ca="1" si="153"/>
        <v>0</v>
      </c>
      <c r="CT248" s="1086"/>
      <c r="CU248" s="1087"/>
      <c r="CV248" s="1090"/>
      <c r="CW248" s="156" t="s">
        <v>1677</v>
      </c>
      <c r="CX248" s="156" t="str">
        <f>VLOOKUP(E248,'[1]List of Work Orders'!$A:$I,9,FALSE)</f>
        <v>ME185284</v>
      </c>
      <c r="CY248" s="156"/>
      <c r="DC248" s="1057" t="str">
        <f>VLOOKUP(E248,'[2]List of Work Orders'!$A:$F,6,FALSE)</f>
        <v>FCOMP</v>
      </c>
      <c r="DS248" s="156" t="s">
        <v>381</v>
      </c>
    </row>
    <row r="249" spans="1:123" customFormat="1" ht="15" customHeight="1" x14ac:dyDescent="0.25">
      <c r="A249" s="242">
        <v>45636</v>
      </c>
      <c r="B249" s="222"/>
      <c r="C249" s="223"/>
      <c r="D249" s="66" t="s">
        <v>320</v>
      </c>
      <c r="E249" s="404" t="s">
        <v>1678</v>
      </c>
      <c r="F249" s="95" t="s">
        <v>1679</v>
      </c>
      <c r="G249" s="95" t="s">
        <v>1680</v>
      </c>
      <c r="H249" s="95" t="s">
        <v>253</v>
      </c>
      <c r="I249" s="95" t="s">
        <v>254</v>
      </c>
      <c r="J249" s="163"/>
      <c r="K249" s="101"/>
      <c r="L249" s="101" t="s">
        <v>263</v>
      </c>
      <c r="M249" s="345" t="s">
        <v>331</v>
      </c>
      <c r="N249" s="442" t="s">
        <v>467</v>
      </c>
      <c r="O249" s="165">
        <v>47.653300000000002</v>
      </c>
      <c r="P249" s="165">
        <v>47.65</v>
      </c>
      <c r="Q249" s="157">
        <v>4</v>
      </c>
      <c r="R249" s="109" t="s">
        <v>548</v>
      </c>
      <c r="S249" s="141">
        <v>227444.85</v>
      </c>
      <c r="T249" s="110">
        <v>38373.64</v>
      </c>
      <c r="U249" s="141"/>
      <c r="V249" s="158">
        <f t="shared" si="129"/>
        <v>0</v>
      </c>
      <c r="W249" s="159">
        <v>45628.683067129627</v>
      </c>
      <c r="X249" s="159">
        <v>45635.635416666664</v>
      </c>
      <c r="Y249" s="160">
        <v>45636</v>
      </c>
      <c r="Z249" s="470"/>
      <c r="AA249" s="470"/>
      <c r="AB249" s="470"/>
      <c r="AC249" s="161">
        <f t="shared" si="130"/>
        <v>-45628.683067129627</v>
      </c>
      <c r="AD249" s="161">
        <f t="shared" si="168"/>
        <v>-45635.635416666664</v>
      </c>
      <c r="AE249" s="446">
        <f t="shared" si="155"/>
        <v>0</v>
      </c>
      <c r="AF249" s="160">
        <f t="shared" si="169"/>
        <v>45647.457260678013</v>
      </c>
      <c r="AG249" s="160">
        <f t="shared" si="170"/>
        <v>45656.263712290915</v>
      </c>
      <c r="AH249" s="159">
        <f t="shared" si="171"/>
        <v>45678.683067129627</v>
      </c>
      <c r="AI249" s="162">
        <f t="shared" si="131"/>
        <v>-1571.6546389789091</v>
      </c>
      <c r="AJ249" s="224">
        <f t="shared" si="172"/>
        <v>0</v>
      </c>
      <c r="AK249" s="225">
        <f t="shared" si="132"/>
        <v>20</v>
      </c>
      <c r="AL249" s="170">
        <f t="shared" si="133"/>
        <v>36</v>
      </c>
      <c r="AM249" s="170">
        <f t="shared" si="134"/>
        <v>21.774193548387096</v>
      </c>
      <c r="AN249" s="170">
        <f t="shared" si="135"/>
        <v>27.58064516129032</v>
      </c>
      <c r="AO249" s="226">
        <f t="shared" si="136"/>
        <v>18.774193548387096</v>
      </c>
      <c r="AP249" s="227">
        <v>60</v>
      </c>
      <c r="AQ249" s="228">
        <f t="shared" si="137"/>
        <v>57</v>
      </c>
      <c r="AR249" s="228">
        <f t="shared" si="173"/>
        <v>52</v>
      </c>
      <c r="AS249" s="229">
        <f t="shared" si="139"/>
        <v>60</v>
      </c>
      <c r="AT249" s="982">
        <f t="shared" ca="1" si="140"/>
        <v>45895</v>
      </c>
      <c r="AU249" s="50"/>
      <c r="AV249" s="118"/>
      <c r="AW249" s="49"/>
      <c r="AX249" s="49"/>
      <c r="AY249" s="49"/>
      <c r="AZ249" s="300"/>
      <c r="BA249" s="119"/>
      <c r="BB249" s="304"/>
      <c r="BC249" s="231"/>
      <c r="BD249" s="232"/>
      <c r="BE249" s="222">
        <f t="shared" si="166"/>
        <v>15</v>
      </c>
      <c r="BF249" s="233">
        <f t="shared" si="174"/>
        <v>0</v>
      </c>
      <c r="BG249" s="248"/>
      <c r="BH249" s="235"/>
      <c r="BI249" s="234"/>
      <c r="BJ249" s="236"/>
      <c r="BK249" s="222"/>
      <c r="BL249" s="222"/>
      <c r="BM249" s="238"/>
      <c r="BN249" s="222"/>
      <c r="BO249" s="222"/>
      <c r="BP249" s="243"/>
      <c r="BQ249" s="244" t="s">
        <v>247</v>
      </c>
      <c r="BR249" s="238"/>
      <c r="BS249" s="67"/>
      <c r="BT249" s="66"/>
      <c r="BU249" s="66"/>
      <c r="BV249" s="66"/>
      <c r="BW249" s="74"/>
      <c r="BX249" s="81"/>
      <c r="BY249" s="66">
        <v>45636</v>
      </c>
      <c r="BZ249" s="944" t="s">
        <v>1681</v>
      </c>
      <c r="CA249" s="42" t="str">
        <f t="shared" si="141"/>
        <v>0</v>
      </c>
      <c r="CB249" s="62">
        <f t="shared" si="142"/>
        <v>-45628.683067129627</v>
      </c>
      <c r="CC249" s="42">
        <f t="shared" si="143"/>
        <v>0</v>
      </c>
      <c r="CD249" s="62">
        <f t="shared" si="144"/>
        <v>-45628.683067129627</v>
      </c>
      <c r="CE249" s="62">
        <f t="shared" si="145"/>
        <v>-1571.6546389789091</v>
      </c>
      <c r="CF249" s="145" t="str">
        <f t="shared" si="146"/>
        <v>0</v>
      </c>
      <c r="CG249" s="145"/>
      <c r="CH249" s="443">
        <f t="shared" si="147"/>
        <v>8.2775832433128613</v>
      </c>
      <c r="CI249" s="996">
        <f t="shared" si="148"/>
        <v>8.2775832433128613</v>
      </c>
      <c r="CJ249" s="261">
        <f t="shared" si="149"/>
        <v>0</v>
      </c>
      <c r="CK249" s="458">
        <f t="shared" si="150"/>
        <v>227.31693287037342</v>
      </c>
      <c r="CL249" t="str">
        <f t="shared" si="151"/>
        <v>NON-REV</v>
      </c>
      <c r="CM249" t="str">
        <f t="shared" si="152"/>
        <v>7-9 MONTHS</v>
      </c>
      <c r="CN249" s="635"/>
      <c r="CO249" s="631"/>
      <c r="CP249" s="629" t="str">
        <f t="shared" si="167"/>
        <v>FOR ISSUANCE</v>
      </c>
      <c r="CQ249" s="635"/>
      <c r="CR249" s="697"/>
      <c r="CS249" s="633" t="str">
        <f t="shared" ca="1" si="153"/>
        <v>0</v>
      </c>
      <c r="CT249" s="635"/>
      <c r="CU249" s="631"/>
      <c r="CV249" s="638"/>
      <c r="CW249" s="156" t="s">
        <v>1682</v>
      </c>
      <c r="CX249" s="156" t="str">
        <f>VLOOKUP(E249,'[1]List of Work Orders'!$A:$I,9,FALSE)</f>
        <v>ME155242</v>
      </c>
      <c r="CY249" s="156"/>
      <c r="DC249" t="str">
        <f>VLOOKUP(E249,'[2]List of Work Orders'!$A:$F,6,FALSE)</f>
        <v>SCHED</v>
      </c>
      <c r="DS249" s="156" t="s">
        <v>381</v>
      </c>
    </row>
    <row r="250" spans="1:123" customFormat="1" ht="15" customHeight="1" x14ac:dyDescent="0.25">
      <c r="A250" s="242">
        <v>45638</v>
      </c>
      <c r="B250" s="222"/>
      <c r="C250" s="223"/>
      <c r="D250" s="66" t="s">
        <v>284</v>
      </c>
      <c r="E250" s="404" t="s">
        <v>1683</v>
      </c>
      <c r="F250" s="95" t="s">
        <v>1684</v>
      </c>
      <c r="G250" s="95" t="s">
        <v>1685</v>
      </c>
      <c r="H250" s="95" t="s">
        <v>318</v>
      </c>
      <c r="I250" s="95" t="s">
        <v>239</v>
      </c>
      <c r="J250" s="163"/>
      <c r="K250" s="101"/>
      <c r="L250" s="101" t="s">
        <v>288</v>
      </c>
      <c r="M250" s="345" t="s">
        <v>272</v>
      </c>
      <c r="N250" s="442" t="s">
        <v>381</v>
      </c>
      <c r="O250" s="165">
        <v>54.72</v>
      </c>
      <c r="P250" s="933">
        <v>54.72</v>
      </c>
      <c r="Q250" s="157">
        <v>0</v>
      </c>
      <c r="R250" s="109" t="s">
        <v>319</v>
      </c>
      <c r="S250" s="141">
        <v>49996.03</v>
      </c>
      <c r="T250" s="110">
        <v>44193.54</v>
      </c>
      <c r="U250" s="141"/>
      <c r="V250" s="158">
        <f t="shared" si="129"/>
        <v>0</v>
      </c>
      <c r="W250" s="159">
        <v>45628.6953587963</v>
      </c>
      <c r="X250" s="159">
        <v>45635.645138888889</v>
      </c>
      <c r="Y250" s="160">
        <v>45643</v>
      </c>
      <c r="Z250" s="470"/>
      <c r="AA250" s="470">
        <v>45692</v>
      </c>
      <c r="AB250" s="470"/>
      <c r="AC250" s="161">
        <f t="shared" si="130"/>
        <v>63.304641203700157</v>
      </c>
      <c r="AD250" s="161">
        <f t="shared" si="168"/>
        <v>56.354861111110949</v>
      </c>
      <c r="AE250" s="446">
        <f t="shared" si="155"/>
        <v>-45692</v>
      </c>
      <c r="AF250" s="160">
        <f t="shared" si="169"/>
        <v>45648.780860655039</v>
      </c>
      <c r="AG250" s="160">
        <f t="shared" si="170"/>
        <v>45657.936994484029</v>
      </c>
      <c r="AH250" s="159">
        <f t="shared" si="171"/>
        <v>45678.6953587963</v>
      </c>
      <c r="AI250" s="162">
        <f t="shared" si="131"/>
        <v>2.0566362903134472</v>
      </c>
      <c r="AJ250" s="224">
        <f t="shared" si="172"/>
        <v>-761.5333333333333</v>
      </c>
      <c r="AK250" s="225">
        <f t="shared" si="132"/>
        <v>23</v>
      </c>
      <c r="AL250" s="170">
        <f t="shared" si="133"/>
        <v>36</v>
      </c>
      <c r="AM250" s="170">
        <f t="shared" si="134"/>
        <v>23.085501858736059</v>
      </c>
      <c r="AN250" s="170">
        <f t="shared" si="135"/>
        <v>29.241635687732341</v>
      </c>
      <c r="AO250" s="226">
        <f t="shared" si="136"/>
        <v>20.085501858736059</v>
      </c>
      <c r="AP250" s="227">
        <v>60</v>
      </c>
      <c r="AQ250" s="228">
        <f t="shared" si="137"/>
        <v>57</v>
      </c>
      <c r="AR250" s="228">
        <f t="shared" si="173"/>
        <v>52</v>
      </c>
      <c r="AS250" s="229">
        <f t="shared" si="139"/>
        <v>45752</v>
      </c>
      <c r="AT250" s="982">
        <f t="shared" ca="1" si="140"/>
        <v>203</v>
      </c>
      <c r="AU250" s="50"/>
      <c r="AV250" s="118"/>
      <c r="AW250" s="49"/>
      <c r="AX250" s="49"/>
      <c r="AY250" s="49"/>
      <c r="AZ250" s="300"/>
      <c r="BA250" s="119"/>
      <c r="BB250" s="304"/>
      <c r="BC250" s="231" t="s">
        <v>12</v>
      </c>
      <c r="BD250" s="232"/>
      <c r="BE250" s="222">
        <f t="shared" si="166"/>
        <v>45707</v>
      </c>
      <c r="BF250" s="233">
        <f t="shared" si="174"/>
        <v>2</v>
      </c>
      <c r="BG250" s="248">
        <v>45692</v>
      </c>
      <c r="BH250" s="235">
        <v>45709</v>
      </c>
      <c r="BI250" s="234"/>
      <c r="BJ250" s="236"/>
      <c r="BK250" s="222"/>
      <c r="BL250" s="222"/>
      <c r="BM250" s="238"/>
      <c r="BN250" s="222"/>
      <c r="BO250" s="222"/>
      <c r="BP250" s="243"/>
      <c r="BQ250" s="244" t="s">
        <v>247</v>
      </c>
      <c r="BR250" s="238"/>
      <c r="BS250" s="67"/>
      <c r="BT250" s="66"/>
      <c r="BU250" s="66"/>
      <c r="BV250" s="66"/>
      <c r="BW250" s="74"/>
      <c r="BX250" s="81"/>
      <c r="BY250" s="66" t="s">
        <v>308</v>
      </c>
      <c r="BZ250" s="944"/>
      <c r="CA250" s="42" t="str">
        <f t="shared" si="141"/>
        <v>0</v>
      </c>
      <c r="CB250" s="62">
        <f t="shared" si="142"/>
        <v>63.304641203700157</v>
      </c>
      <c r="CC250" s="42">
        <f t="shared" si="143"/>
        <v>0</v>
      </c>
      <c r="CD250" s="62">
        <f t="shared" si="144"/>
        <v>63.304641203700157</v>
      </c>
      <c r="CE250" s="62">
        <f t="shared" si="145"/>
        <v>2.0566362903134472</v>
      </c>
      <c r="CF250" s="145">
        <f t="shared" si="146"/>
        <v>177</v>
      </c>
      <c r="CG250" s="145"/>
      <c r="CH250" s="443">
        <f t="shared" si="147"/>
        <v>7.8069986091540269</v>
      </c>
      <c r="CI250" s="996">
        <f t="shared" si="148"/>
        <v>7.8069986091540269</v>
      </c>
      <c r="CJ250" s="261">
        <f t="shared" si="149"/>
        <v>2.95</v>
      </c>
      <c r="CK250" s="458" t="str">
        <f t="shared" si="150"/>
        <v/>
      </c>
      <c r="CL250" t="str">
        <f t="shared" si="151"/>
        <v>NON-REV</v>
      </c>
      <c r="CM250" t="str">
        <f t="shared" si="152"/>
        <v/>
      </c>
      <c r="CN250" s="635"/>
      <c r="CO250" s="631"/>
      <c r="CP250" s="629" t="str">
        <f t="shared" si="167"/>
        <v>FOR ISSUANCE</v>
      </c>
      <c r="CQ250" s="635"/>
      <c r="CR250" s="697"/>
      <c r="CS250" s="633" t="str">
        <f t="shared" ca="1" si="153"/>
        <v>0</v>
      </c>
      <c r="CT250" s="635"/>
      <c r="CU250" s="631"/>
      <c r="CV250" s="638"/>
      <c r="CW250" s="156" t="s">
        <v>1686</v>
      </c>
      <c r="CX250" s="156" t="str">
        <f>VLOOKUP(E250,'[1]List of Work Orders'!$A:$I,9,FALSE)</f>
        <v>ME185284</v>
      </c>
      <c r="CY250" s="156"/>
      <c r="DC250" t="str">
        <f>VLOOKUP(E250,'[2]List of Work Orders'!$A:$F,6,FALSE)</f>
        <v>FCOMP</v>
      </c>
      <c r="DS250" s="156" t="s">
        <v>381</v>
      </c>
    </row>
    <row r="251" spans="1:123" customFormat="1" ht="15" customHeight="1" x14ac:dyDescent="0.25">
      <c r="A251" s="242">
        <v>45639</v>
      </c>
      <c r="B251" s="222"/>
      <c r="C251" s="223"/>
      <c r="D251" s="66" t="s">
        <v>320</v>
      </c>
      <c r="E251" s="404" t="s">
        <v>1687</v>
      </c>
      <c r="F251" s="95" t="s">
        <v>1688</v>
      </c>
      <c r="G251" s="95" t="s">
        <v>1689</v>
      </c>
      <c r="H251" s="95" t="s">
        <v>253</v>
      </c>
      <c r="I251" s="95" t="s">
        <v>254</v>
      </c>
      <c r="J251" s="163"/>
      <c r="K251" s="101"/>
      <c r="L251" s="101" t="s">
        <v>263</v>
      </c>
      <c r="M251" s="345" t="s">
        <v>331</v>
      </c>
      <c r="N251" s="442" t="s">
        <v>467</v>
      </c>
      <c r="O251" s="165">
        <v>44.732700000000001</v>
      </c>
      <c r="P251" s="165">
        <v>120.41</v>
      </c>
      <c r="Q251" s="157">
        <v>0</v>
      </c>
      <c r="R251" s="109" t="s">
        <v>327</v>
      </c>
      <c r="S251" s="141">
        <v>157460.57</v>
      </c>
      <c r="T251" s="110">
        <v>36022.339999999997</v>
      </c>
      <c r="U251" s="141"/>
      <c r="V251" s="158">
        <f t="shared" si="129"/>
        <v>0</v>
      </c>
      <c r="W251" s="159">
        <v>45629.635416666664</v>
      </c>
      <c r="X251" s="159">
        <v>45636.377083333333</v>
      </c>
      <c r="Y251" s="160">
        <v>45642</v>
      </c>
      <c r="Z251" s="470"/>
      <c r="AA251" s="470"/>
      <c r="AB251" s="470"/>
      <c r="AC251" s="161">
        <f t="shared" si="130"/>
        <v>-45629.635416666664</v>
      </c>
      <c r="AD251" s="161">
        <f t="shared" si="168"/>
        <v>-45636.377083333333</v>
      </c>
      <c r="AE251" s="446">
        <f t="shared" si="155"/>
        <v>0</v>
      </c>
      <c r="AF251" s="160">
        <f t="shared" si="169"/>
        <v>45650.842313218389</v>
      </c>
      <c r="AG251" s="160">
        <f t="shared" si="170"/>
        <v>45660.297485632182</v>
      </c>
      <c r="AH251" s="159">
        <f t="shared" si="171"/>
        <v>45679.635416666664</v>
      </c>
      <c r="AI251" s="162">
        <f t="shared" si="131"/>
        <v>-1413.7387041488603</v>
      </c>
      <c r="AJ251" s="224">
        <f t="shared" si="172"/>
        <v>0</v>
      </c>
      <c r="AK251" s="225">
        <f t="shared" si="132"/>
        <v>26</v>
      </c>
      <c r="AL251" s="170">
        <f t="shared" si="133"/>
        <v>36</v>
      </c>
      <c r="AM251" s="170">
        <f t="shared" si="134"/>
        <v>24.206896551724139</v>
      </c>
      <c r="AN251" s="170">
        <f t="shared" si="135"/>
        <v>30.662068965517239</v>
      </c>
      <c r="AO251" s="226">
        <f t="shared" si="136"/>
        <v>21.206896551724139</v>
      </c>
      <c r="AP251" s="227">
        <v>60</v>
      </c>
      <c r="AQ251" s="228">
        <f t="shared" si="137"/>
        <v>57</v>
      </c>
      <c r="AR251" s="228">
        <f t="shared" si="173"/>
        <v>52</v>
      </c>
      <c r="AS251" s="229">
        <f t="shared" si="139"/>
        <v>60</v>
      </c>
      <c r="AT251" s="982">
        <f t="shared" ca="1" si="140"/>
        <v>45895</v>
      </c>
      <c r="AU251" s="50"/>
      <c r="AV251" s="118"/>
      <c r="AW251" s="49"/>
      <c r="AX251" s="49"/>
      <c r="AY251" s="49"/>
      <c r="AZ251" s="300"/>
      <c r="BA251" s="119"/>
      <c r="BB251" s="304"/>
      <c r="BC251" s="231"/>
      <c r="BD251" s="232"/>
      <c r="BE251" s="222">
        <f t="shared" si="166"/>
        <v>15</v>
      </c>
      <c r="BF251" s="233">
        <f t="shared" si="174"/>
        <v>0</v>
      </c>
      <c r="BG251" s="248"/>
      <c r="BH251" s="235"/>
      <c r="BI251" s="234"/>
      <c r="BJ251" s="236"/>
      <c r="BK251" s="222"/>
      <c r="BL251" s="222"/>
      <c r="BM251" s="238"/>
      <c r="BN251" s="222"/>
      <c r="BO251" s="222"/>
      <c r="BP251" s="243"/>
      <c r="BQ251" s="244" t="s">
        <v>246</v>
      </c>
      <c r="BR251" s="238"/>
      <c r="BS251" s="67"/>
      <c r="BT251" s="66"/>
      <c r="BU251" s="66"/>
      <c r="BV251" s="66"/>
      <c r="BW251" s="74"/>
      <c r="BX251" s="81"/>
      <c r="BY251" s="66"/>
      <c r="BZ251" s="944" t="s">
        <v>1690</v>
      </c>
      <c r="CA251" s="42" t="str">
        <f t="shared" si="141"/>
        <v>0</v>
      </c>
      <c r="CB251" s="62">
        <f t="shared" si="142"/>
        <v>-45629.635416666664</v>
      </c>
      <c r="CC251" s="42">
        <f t="shared" si="143"/>
        <v>0</v>
      </c>
      <c r="CD251" s="62">
        <f t="shared" si="144"/>
        <v>-45629.635416666664</v>
      </c>
      <c r="CE251" s="62">
        <f t="shared" si="145"/>
        <v>-1413.7387041488603</v>
      </c>
      <c r="CF251" s="145" t="str">
        <f t="shared" si="146"/>
        <v>0</v>
      </c>
      <c r="CG251" s="145"/>
      <c r="CH251" s="443">
        <f t="shared" si="147"/>
        <v>7.4162103810542064</v>
      </c>
      <c r="CI251" s="996">
        <f t="shared" si="148"/>
        <v>7.4162103810542064</v>
      </c>
      <c r="CJ251" s="261">
        <f t="shared" si="149"/>
        <v>0</v>
      </c>
      <c r="CK251" s="458">
        <f t="shared" si="150"/>
        <v>226.36458333333576</v>
      </c>
      <c r="CL251" t="str">
        <f t="shared" si="151"/>
        <v>NON-REV</v>
      </c>
      <c r="CM251" t="str">
        <f t="shared" si="152"/>
        <v>7-9 MONTHS</v>
      </c>
      <c r="CN251" s="635"/>
      <c r="CO251" s="631"/>
      <c r="CP251" s="629" t="str">
        <f t="shared" si="167"/>
        <v>FOR ISSUANCE</v>
      </c>
      <c r="CQ251" s="635"/>
      <c r="CR251" s="697"/>
      <c r="CS251" s="633" t="str">
        <f t="shared" ca="1" si="153"/>
        <v>0</v>
      </c>
      <c r="CT251" s="635"/>
      <c r="CU251" s="631"/>
      <c r="CV251" s="638"/>
      <c r="CW251" s="156" t="s">
        <v>1691</v>
      </c>
      <c r="CX251" s="156" t="str">
        <f>VLOOKUP(E251,'[1]List of Work Orders'!$A:$I,9,FALSE)</f>
        <v>ME155242</v>
      </c>
      <c r="CY251" s="156"/>
      <c r="DC251" t="str">
        <f>VLOOKUP(E251,'[2]List of Work Orders'!$A:$F,6,FALSE)</f>
        <v>SCHED</v>
      </c>
      <c r="DS251" s="156" t="s">
        <v>397</v>
      </c>
    </row>
    <row r="252" spans="1:123" customFormat="1" ht="15" customHeight="1" x14ac:dyDescent="0.25">
      <c r="A252" s="242">
        <v>45637</v>
      </c>
      <c r="B252" s="222"/>
      <c r="C252" s="223"/>
      <c r="D252" s="66" t="s">
        <v>320</v>
      </c>
      <c r="E252" s="404" t="s">
        <v>1692</v>
      </c>
      <c r="F252" s="95" t="s">
        <v>1693</v>
      </c>
      <c r="G252" s="95" t="s">
        <v>1694</v>
      </c>
      <c r="H252" s="95" t="s">
        <v>269</v>
      </c>
      <c r="I252" s="95" t="s">
        <v>239</v>
      </c>
      <c r="J252" s="163"/>
      <c r="K252" s="101"/>
      <c r="L252" s="101" t="s">
        <v>263</v>
      </c>
      <c r="M252" s="345" t="s">
        <v>331</v>
      </c>
      <c r="N252" s="442" t="s">
        <v>467</v>
      </c>
      <c r="O252" s="165">
        <v>220.036</v>
      </c>
      <c r="P252" s="165">
        <v>611.45000000000005</v>
      </c>
      <c r="Q252" s="157">
        <v>25.7</v>
      </c>
      <c r="R252" s="109" t="s">
        <v>548</v>
      </c>
      <c r="S252" s="141">
        <v>1029760.65</v>
      </c>
      <c r="T252" s="110">
        <v>175680.33</v>
      </c>
      <c r="U252" s="141"/>
      <c r="V252" s="158">
        <f t="shared" si="129"/>
        <v>0</v>
      </c>
      <c r="W252" s="159">
        <v>45629.664583333331</v>
      </c>
      <c r="X252" s="159">
        <v>45636.375694444447</v>
      </c>
      <c r="Y252" s="160">
        <v>45642</v>
      </c>
      <c r="Z252" s="470"/>
      <c r="AA252" s="470"/>
      <c r="AB252" s="470"/>
      <c r="AC252" s="161">
        <f t="shared" si="130"/>
        <v>-45629.664583333331</v>
      </c>
      <c r="AD252" s="161">
        <f t="shared" si="168"/>
        <v>-45636.375694444447</v>
      </c>
      <c r="AE252" s="446">
        <f t="shared" si="155"/>
        <v>0</v>
      </c>
      <c r="AF252" s="160">
        <f t="shared" si="169"/>
        <v>45654.499634879721</v>
      </c>
      <c r="AG252" s="160">
        <f t="shared" si="170"/>
        <v>45664.922315292097</v>
      </c>
      <c r="AH252" s="159">
        <f t="shared" si="171"/>
        <v>45679.664583333331</v>
      </c>
      <c r="AI252" s="162">
        <f t="shared" si="131"/>
        <v>-1229.4659623842592</v>
      </c>
      <c r="AJ252" s="224">
        <f t="shared" si="172"/>
        <v>0</v>
      </c>
      <c r="AK252" s="225">
        <f t="shared" si="132"/>
        <v>40</v>
      </c>
      <c r="AL252" s="170">
        <f t="shared" si="133"/>
        <v>36</v>
      </c>
      <c r="AM252" s="170">
        <f t="shared" si="134"/>
        <v>27.835051546391753</v>
      </c>
      <c r="AN252" s="170">
        <f t="shared" si="135"/>
        <v>35.257731958762882</v>
      </c>
      <c r="AO252" s="226">
        <f t="shared" si="136"/>
        <v>24.835051546391753</v>
      </c>
      <c r="AP252" s="227">
        <v>60</v>
      </c>
      <c r="AQ252" s="228">
        <f t="shared" si="137"/>
        <v>57</v>
      </c>
      <c r="AR252" s="228">
        <f t="shared" si="173"/>
        <v>52</v>
      </c>
      <c r="AS252" s="229">
        <f t="shared" si="139"/>
        <v>60</v>
      </c>
      <c r="AT252" s="982">
        <f t="shared" ca="1" si="140"/>
        <v>45895</v>
      </c>
      <c r="AU252" s="50"/>
      <c r="AV252" s="118"/>
      <c r="AW252" s="49"/>
      <c r="AX252" s="49"/>
      <c r="AY252" s="49"/>
      <c r="AZ252" s="300"/>
      <c r="BA252" s="119"/>
      <c r="BB252" s="304"/>
      <c r="BC252" s="231"/>
      <c r="BD252" s="232"/>
      <c r="BE252" s="222">
        <f t="shared" si="166"/>
        <v>15</v>
      </c>
      <c r="BF252" s="233">
        <f t="shared" si="174"/>
        <v>0</v>
      </c>
      <c r="BG252" s="248"/>
      <c r="BH252" s="235"/>
      <c r="BI252" s="234"/>
      <c r="BJ252" s="236"/>
      <c r="BK252" s="222"/>
      <c r="BL252" s="222"/>
      <c r="BM252" s="238"/>
      <c r="BN252" s="222"/>
      <c r="BO252" s="222"/>
      <c r="BP252" s="243"/>
      <c r="BQ252" s="244" t="s">
        <v>247</v>
      </c>
      <c r="BR252" s="238"/>
      <c r="BS252" s="67"/>
      <c r="BT252" s="66"/>
      <c r="BU252" s="66"/>
      <c r="BV252" s="66"/>
      <c r="BW252" s="74"/>
      <c r="BX252" s="81"/>
      <c r="BY252" s="66">
        <v>45642</v>
      </c>
      <c r="BZ252" s="944" t="s">
        <v>1695</v>
      </c>
      <c r="CA252" s="42" t="str">
        <f t="shared" si="141"/>
        <v>0</v>
      </c>
      <c r="CB252" s="62">
        <f t="shared" si="142"/>
        <v>-45629.664583333331</v>
      </c>
      <c r="CC252" s="42">
        <f t="shared" si="143"/>
        <v>0</v>
      </c>
      <c r="CD252" s="62">
        <f t="shared" si="144"/>
        <v>-45629.664583333331</v>
      </c>
      <c r="CE252" s="62">
        <f t="shared" si="145"/>
        <v>-1229.4659623842592</v>
      </c>
      <c r="CF252" s="145" t="str">
        <f t="shared" si="146"/>
        <v>0</v>
      </c>
      <c r="CG252" s="145"/>
      <c r="CH252" s="443">
        <f t="shared" si="147"/>
        <v>6.4487598379630153</v>
      </c>
      <c r="CI252" s="996">
        <f t="shared" si="148"/>
        <v>6.4487598379630153</v>
      </c>
      <c r="CJ252" s="261">
        <f t="shared" si="149"/>
        <v>0</v>
      </c>
      <c r="CK252" s="458">
        <f t="shared" si="150"/>
        <v>226.33541666666861</v>
      </c>
      <c r="CL252" t="str">
        <f t="shared" si="151"/>
        <v>NON-REV</v>
      </c>
      <c r="CM252" t="str">
        <f t="shared" si="152"/>
        <v>7-9 MONTHS</v>
      </c>
      <c r="CN252" s="635"/>
      <c r="CO252" s="631"/>
      <c r="CP252" s="629" t="str">
        <f t="shared" si="167"/>
        <v>FOR ISSUANCE</v>
      </c>
      <c r="CQ252" s="635"/>
      <c r="CR252" s="697"/>
      <c r="CS252" s="633" t="str">
        <f t="shared" ca="1" si="153"/>
        <v>0</v>
      </c>
      <c r="CT252" s="635"/>
      <c r="CU252" s="631"/>
      <c r="CV252" s="638"/>
      <c r="CW252" s="156" t="s">
        <v>1696</v>
      </c>
      <c r="CX252" s="156" t="str">
        <f>VLOOKUP(E252,'[1]List of Work Orders'!$A:$I,9,FALSE)</f>
        <v>ME155242</v>
      </c>
      <c r="CY252" s="156"/>
      <c r="DC252" t="str">
        <f>VLOOKUP(E252,'[2]List of Work Orders'!$A:$F,6,FALSE)</f>
        <v>SCHED</v>
      </c>
      <c r="DS252" s="156" t="s">
        <v>397</v>
      </c>
    </row>
    <row r="253" spans="1:123" ht="15" customHeight="1" x14ac:dyDescent="0.2">
      <c r="A253" s="242">
        <v>45715</v>
      </c>
      <c r="B253" s="222"/>
      <c r="C253" s="223"/>
      <c r="D253" s="66" t="s">
        <v>320</v>
      </c>
      <c r="E253" s="404" t="s">
        <v>1697</v>
      </c>
      <c r="F253" s="95" t="s">
        <v>1698</v>
      </c>
      <c r="G253" s="95" t="s">
        <v>1699</v>
      </c>
      <c r="H253" s="95" t="s">
        <v>253</v>
      </c>
      <c r="I253" s="95" t="s">
        <v>254</v>
      </c>
      <c r="J253" s="163"/>
      <c r="K253" s="101"/>
      <c r="L253" s="101" t="s">
        <v>255</v>
      </c>
      <c r="M253" s="345" t="s">
        <v>272</v>
      </c>
      <c r="N253" s="442" t="s">
        <v>381</v>
      </c>
      <c r="O253" s="165">
        <v>58.043999999999997</v>
      </c>
      <c r="P253" s="933">
        <v>58.04</v>
      </c>
      <c r="Q253" s="157">
        <v>73.400000000000006</v>
      </c>
      <c r="R253" s="109" t="s">
        <v>244</v>
      </c>
      <c r="S253" s="141">
        <v>495870.33</v>
      </c>
      <c r="T253" s="110">
        <v>46765.49</v>
      </c>
      <c r="U253" s="141"/>
      <c r="V253" s="158">
        <f t="shared" si="129"/>
        <v>0</v>
      </c>
      <c r="W253" s="159">
        <v>45630.387499999997</v>
      </c>
      <c r="X253" s="159">
        <v>45635.644444444442</v>
      </c>
      <c r="Y253" s="160">
        <v>45643</v>
      </c>
      <c r="Z253" s="470"/>
      <c r="AA253" s="470">
        <v>45751</v>
      </c>
      <c r="AB253" s="470"/>
      <c r="AC253" s="161">
        <f t="shared" si="130"/>
        <v>120.61250000000291</v>
      </c>
      <c r="AD253" s="161">
        <f t="shared" si="168"/>
        <v>115.35555555555766</v>
      </c>
      <c r="AE253" s="446">
        <f t="shared" si="155"/>
        <v>-45751</v>
      </c>
      <c r="AF253" s="160">
        <f t="shared" si="169"/>
        <v>45649.687880228135</v>
      </c>
      <c r="AG253" s="160">
        <f t="shared" si="170"/>
        <v>45658.634648288971</v>
      </c>
      <c r="AH253" s="159">
        <f t="shared" si="171"/>
        <v>45680.387499999997</v>
      </c>
      <c r="AI253" s="162">
        <f t="shared" si="131"/>
        <v>4.0564050511509926</v>
      </c>
      <c r="AJ253" s="224">
        <f t="shared" si="172"/>
        <v>-762.51666666666665</v>
      </c>
      <c r="AK253" s="225">
        <f t="shared" si="132"/>
        <v>23</v>
      </c>
      <c r="AL253" s="170">
        <f t="shared" si="133"/>
        <v>34</v>
      </c>
      <c r="AM253" s="170">
        <f t="shared" si="134"/>
        <v>22.300380228136884</v>
      </c>
      <c r="AN253" s="170">
        <f t="shared" si="135"/>
        <v>28.247148288973385</v>
      </c>
      <c r="AO253" s="226">
        <f t="shared" si="136"/>
        <v>19.300380228136884</v>
      </c>
      <c r="AP253" s="227">
        <v>60</v>
      </c>
      <c r="AQ253" s="228">
        <f t="shared" si="137"/>
        <v>57</v>
      </c>
      <c r="AR253" s="228">
        <f t="shared" si="173"/>
        <v>52</v>
      </c>
      <c r="AS253" s="229">
        <f t="shared" si="139"/>
        <v>45811</v>
      </c>
      <c r="AT253" s="982">
        <f t="shared" ca="1" si="140"/>
        <v>144</v>
      </c>
      <c r="AU253" s="1077"/>
      <c r="AV253" s="1078"/>
      <c r="AW253" s="1079"/>
      <c r="AX253" s="1079"/>
      <c r="AY253" s="1079"/>
      <c r="AZ253" s="1080"/>
      <c r="BA253" s="1081"/>
      <c r="BB253" s="1091"/>
      <c r="BC253" s="231" t="s">
        <v>13</v>
      </c>
      <c r="BD253" s="232"/>
      <c r="BE253" s="222">
        <f t="shared" si="166"/>
        <v>45766</v>
      </c>
      <c r="BF253" s="233" t="e">
        <f t="shared" si="174"/>
        <v>#VALUE!</v>
      </c>
      <c r="BG253" s="248"/>
      <c r="BH253" s="235"/>
      <c r="BI253" s="234"/>
      <c r="BJ253" s="236"/>
      <c r="BK253" s="222"/>
      <c r="BL253" s="222"/>
      <c r="BM253" s="238"/>
      <c r="BN253" s="222"/>
      <c r="BO253" s="222"/>
      <c r="BP253" s="243"/>
      <c r="BQ253" s="244" t="s">
        <v>247</v>
      </c>
      <c r="BR253" s="238">
        <v>45747</v>
      </c>
      <c r="BS253" s="67"/>
      <c r="BT253" s="66"/>
      <c r="BU253" s="66"/>
      <c r="BV253" s="66"/>
      <c r="BW253" s="74"/>
      <c r="BX253" s="81"/>
      <c r="BY253" s="66">
        <v>45349</v>
      </c>
      <c r="BZ253" s="944" t="s">
        <v>1700</v>
      </c>
      <c r="CA253" s="42" t="str">
        <f t="shared" si="141"/>
        <v>0</v>
      </c>
      <c r="CB253" s="62">
        <f t="shared" si="142"/>
        <v>120.61250000000291</v>
      </c>
      <c r="CC253" s="42">
        <f t="shared" si="143"/>
        <v>0</v>
      </c>
      <c r="CD253" s="62">
        <f t="shared" si="144"/>
        <v>120.61250000000291</v>
      </c>
      <c r="CE253" s="62">
        <f t="shared" si="145"/>
        <v>4.0564050511509926</v>
      </c>
      <c r="CF253" s="1059">
        <f t="shared" si="146"/>
        <v>118</v>
      </c>
      <c r="CH253" s="1082">
        <f t="shared" si="147"/>
        <v>8.0249472506394834</v>
      </c>
      <c r="CI253" s="1083">
        <f t="shared" si="148"/>
        <v>8.0249472506394834</v>
      </c>
      <c r="CJ253" s="1084">
        <f t="shared" si="149"/>
        <v>1.9666666666666666</v>
      </c>
      <c r="CK253" s="1085" t="str">
        <f t="shared" si="150"/>
        <v/>
      </c>
      <c r="CL253" s="1057" t="str">
        <f t="shared" si="151"/>
        <v>REV</v>
      </c>
      <c r="CM253" s="1057" t="str">
        <f t="shared" si="152"/>
        <v/>
      </c>
      <c r="CN253" s="1086"/>
      <c r="CO253" s="1087"/>
      <c r="CP253" s="629" t="str">
        <f t="shared" si="167"/>
        <v>FOR ISSUANCE</v>
      </c>
      <c r="CQ253" s="1086"/>
      <c r="CR253" s="1088"/>
      <c r="CS253" s="1089" t="str">
        <f t="shared" ca="1" si="153"/>
        <v>0</v>
      </c>
      <c r="CT253" s="1086"/>
      <c r="CU253" s="1087"/>
      <c r="CV253" s="1090"/>
      <c r="CW253" s="156" t="s">
        <v>1701</v>
      </c>
      <c r="CX253" s="156" t="str">
        <f>VLOOKUP(E253,'[1]List of Work Orders'!$A:$I,9,FALSE)</f>
        <v>ME184184</v>
      </c>
      <c r="CY253" s="156"/>
      <c r="DC253" s="1057" t="str">
        <f>VLOOKUP(E253,'[2]List of Work Orders'!$A:$F,6,FALSE)</f>
        <v>FCOMP</v>
      </c>
      <c r="DS253" s="156" t="s">
        <v>381</v>
      </c>
    </row>
    <row r="254" spans="1:123" ht="15" customHeight="1" x14ac:dyDescent="0.2">
      <c r="A254" s="242">
        <v>45638</v>
      </c>
      <c r="B254" s="222"/>
      <c r="C254" s="223"/>
      <c r="D254" s="66" t="s">
        <v>284</v>
      </c>
      <c r="E254" s="404" t="s">
        <v>1702</v>
      </c>
      <c r="F254" s="95" t="s">
        <v>1703</v>
      </c>
      <c r="G254" s="95" t="s">
        <v>1704</v>
      </c>
      <c r="H254" s="95" t="s">
        <v>253</v>
      </c>
      <c r="I254" s="95" t="s">
        <v>254</v>
      </c>
      <c r="J254" s="163"/>
      <c r="K254" s="101"/>
      <c r="L254" s="101" t="s">
        <v>255</v>
      </c>
      <c r="M254" s="345" t="s">
        <v>272</v>
      </c>
      <c r="N254" s="442" t="s">
        <v>381</v>
      </c>
      <c r="O254" s="165">
        <v>341.17270000000002</v>
      </c>
      <c r="P254" s="933">
        <v>341.17</v>
      </c>
      <c r="Q254" s="157">
        <v>624</v>
      </c>
      <c r="R254" s="109" t="s">
        <v>244</v>
      </c>
      <c r="S254" s="141">
        <v>2236672.58</v>
      </c>
      <c r="T254" s="110">
        <v>274874.86</v>
      </c>
      <c r="U254" s="141">
        <v>100960.52</v>
      </c>
      <c r="V254" s="158">
        <f t="shared" si="129"/>
        <v>0.36729630348879488</v>
      </c>
      <c r="W254" s="159">
        <v>45630.711805555555</v>
      </c>
      <c r="X254" s="159">
        <v>45636.37777777778</v>
      </c>
      <c r="Y254" s="160">
        <v>45643</v>
      </c>
      <c r="Z254" s="470"/>
      <c r="AA254" s="470">
        <v>45663</v>
      </c>
      <c r="AB254" s="470"/>
      <c r="AC254" s="161">
        <f t="shared" si="130"/>
        <v>32.288194444445253</v>
      </c>
      <c r="AD254" s="161">
        <f t="shared" si="168"/>
        <v>26.622222222220444</v>
      </c>
      <c r="AE254" s="446">
        <f t="shared" si="155"/>
        <v>-45663</v>
      </c>
      <c r="AF254" s="160">
        <f t="shared" si="169"/>
        <v>45646.260192652328</v>
      </c>
      <c r="AG254" s="160">
        <f t="shared" si="170"/>
        <v>45654.206429211466</v>
      </c>
      <c r="AH254" s="159">
        <f t="shared" si="171"/>
        <v>45680.711805555555</v>
      </c>
      <c r="AI254" s="162">
        <f t="shared" si="131"/>
        <v>1.3055661231884383</v>
      </c>
      <c r="AJ254" s="224">
        <f t="shared" si="172"/>
        <v>-761.05</v>
      </c>
      <c r="AK254" s="225">
        <f t="shared" si="132"/>
        <v>30</v>
      </c>
      <c r="AL254" s="170">
        <f t="shared" si="133"/>
        <v>23</v>
      </c>
      <c r="AM254" s="170">
        <f t="shared" si="134"/>
        <v>18.548387096774192</v>
      </c>
      <c r="AN254" s="170">
        <f t="shared" si="135"/>
        <v>23.494623655913976</v>
      </c>
      <c r="AO254" s="226">
        <f t="shared" si="136"/>
        <v>15.548387096774192</v>
      </c>
      <c r="AP254" s="227">
        <v>60</v>
      </c>
      <c r="AQ254" s="228">
        <f t="shared" si="137"/>
        <v>57</v>
      </c>
      <c r="AR254" s="228">
        <f t="shared" si="173"/>
        <v>52</v>
      </c>
      <c r="AS254" s="229">
        <f t="shared" si="139"/>
        <v>45723</v>
      </c>
      <c r="AT254" s="982">
        <f t="shared" ca="1" si="140"/>
        <v>232</v>
      </c>
      <c r="AU254" s="1077"/>
      <c r="AV254" s="1078"/>
      <c r="AW254" s="1079"/>
      <c r="AX254" s="1079"/>
      <c r="AY254" s="1079"/>
      <c r="AZ254" s="1080"/>
      <c r="BA254" s="1081"/>
      <c r="BB254" s="1091"/>
      <c r="BC254" s="231" t="s">
        <v>12</v>
      </c>
      <c r="BD254" s="232"/>
      <c r="BE254" s="222">
        <f t="shared" si="166"/>
        <v>45678</v>
      </c>
      <c r="BF254" s="233">
        <f t="shared" si="174"/>
        <v>63</v>
      </c>
      <c r="BG254" s="248">
        <v>45664</v>
      </c>
      <c r="BH254" s="235">
        <v>45741</v>
      </c>
      <c r="BI254" s="234"/>
      <c r="BJ254" s="236"/>
      <c r="BK254" s="222"/>
      <c r="BL254" s="222"/>
      <c r="BM254" s="238"/>
      <c r="BN254" s="222"/>
      <c r="BO254" s="222"/>
      <c r="BP254" s="243"/>
      <c r="BQ254" s="244" t="s">
        <v>247</v>
      </c>
      <c r="BR254" s="238"/>
      <c r="BS254" s="67"/>
      <c r="BT254" s="66"/>
      <c r="BU254" s="66"/>
      <c r="BV254" s="66"/>
      <c r="BW254" s="74"/>
      <c r="BX254" s="81"/>
      <c r="BY254" s="66">
        <v>45642</v>
      </c>
      <c r="BZ254" s="944" t="s">
        <v>1705</v>
      </c>
      <c r="CA254" s="42" t="str">
        <f t="shared" si="141"/>
        <v>0</v>
      </c>
      <c r="CB254" s="62">
        <f t="shared" si="142"/>
        <v>32.288194444445253</v>
      </c>
      <c r="CC254" s="42">
        <f t="shared" si="143"/>
        <v>0</v>
      </c>
      <c r="CD254" s="62">
        <f t="shared" si="144"/>
        <v>32.288194444445253</v>
      </c>
      <c r="CE254" s="62">
        <f t="shared" si="145"/>
        <v>1.3055661231884383</v>
      </c>
      <c r="CF254" s="1059">
        <f t="shared" si="146"/>
        <v>206</v>
      </c>
      <c r="CH254" s="1082">
        <f t="shared" si="147"/>
        <v>9.6351313405797416</v>
      </c>
      <c r="CI254" s="1083">
        <f t="shared" si="148"/>
        <v>9.6351313405797416</v>
      </c>
      <c r="CJ254" s="1084">
        <f t="shared" si="149"/>
        <v>3.4333333333333331</v>
      </c>
      <c r="CK254" s="1085" t="str">
        <f t="shared" si="150"/>
        <v/>
      </c>
      <c r="CL254" s="1057" t="str">
        <f t="shared" si="151"/>
        <v>REV</v>
      </c>
      <c r="CM254" s="1057" t="str">
        <f t="shared" si="152"/>
        <v/>
      </c>
      <c r="CN254" s="1086"/>
      <c r="CO254" s="1087"/>
      <c r="CP254" s="629" t="str">
        <f t="shared" si="167"/>
        <v>FOR ISSUANCE</v>
      </c>
      <c r="CQ254" s="1086"/>
      <c r="CR254" s="1088"/>
      <c r="CS254" s="1089" t="str">
        <f t="shared" ca="1" si="153"/>
        <v>0</v>
      </c>
      <c r="CT254" s="1086"/>
      <c r="CU254" s="1087"/>
      <c r="CV254" s="1090"/>
      <c r="CW254" s="156" t="s">
        <v>1706</v>
      </c>
      <c r="CX254" s="156" t="str">
        <f>VLOOKUP(E254,'[1]List of Work Orders'!$A:$I,9,FALSE)</f>
        <v>ME185284</v>
      </c>
      <c r="CY254" s="156"/>
      <c r="DC254" s="1057" t="str">
        <f>VLOOKUP(E254,'[2]List of Work Orders'!$A:$F,6,FALSE)</f>
        <v>FCOMP</v>
      </c>
      <c r="DS254" s="156" t="s">
        <v>381</v>
      </c>
    </row>
    <row r="255" spans="1:123" customFormat="1" ht="15" customHeight="1" x14ac:dyDescent="0.25">
      <c r="A255" s="242">
        <v>45642</v>
      </c>
      <c r="B255" s="222"/>
      <c r="C255" s="223"/>
      <c r="D255" s="66" t="s">
        <v>320</v>
      </c>
      <c r="E255" s="404" t="s">
        <v>1707</v>
      </c>
      <c r="F255" s="95" t="s">
        <v>1708</v>
      </c>
      <c r="G255" s="95" t="s">
        <v>1709</v>
      </c>
      <c r="H255" s="95" t="s">
        <v>238</v>
      </c>
      <c r="I255" s="95" t="s">
        <v>239</v>
      </c>
      <c r="J255" s="163" t="s">
        <v>1710</v>
      </c>
      <c r="K255" s="101"/>
      <c r="L255" s="101" t="s">
        <v>242</v>
      </c>
      <c r="M255" s="345" t="s">
        <v>272</v>
      </c>
      <c r="N255" s="442" t="s">
        <v>467</v>
      </c>
      <c r="O255" s="165">
        <v>144.56</v>
      </c>
      <c r="P255" s="933">
        <v>145.04</v>
      </c>
      <c r="Q255" s="157">
        <v>69</v>
      </c>
      <c r="R255" s="109" t="s">
        <v>244</v>
      </c>
      <c r="S255" s="141">
        <v>655324.42000000004</v>
      </c>
      <c r="T255" s="110">
        <v>116411.06</v>
      </c>
      <c r="U255" s="141">
        <v>32061.14</v>
      </c>
      <c r="V255" s="158">
        <f t="shared" si="129"/>
        <v>0.2754131780949336</v>
      </c>
      <c r="W255" s="159">
        <v>45630.724999999999</v>
      </c>
      <c r="X255" s="159">
        <v>45636.378472222219</v>
      </c>
      <c r="Y255" s="160">
        <v>45643</v>
      </c>
      <c r="Z255" s="470"/>
      <c r="AA255" s="470">
        <v>45672</v>
      </c>
      <c r="AB255" s="470"/>
      <c r="AC255" s="161">
        <f t="shared" si="130"/>
        <v>41.275000000001455</v>
      </c>
      <c r="AD255" s="161">
        <f t="shared" si="168"/>
        <v>35.621527777781012</v>
      </c>
      <c r="AE255" s="446">
        <f t="shared" si="155"/>
        <v>-45672</v>
      </c>
      <c r="AF255" s="160">
        <f t="shared" si="169"/>
        <v>45651.070070422531</v>
      </c>
      <c r="AG255" s="160">
        <f t="shared" si="170"/>
        <v>45660.295422535208</v>
      </c>
      <c r="AH255" s="159">
        <f t="shared" si="171"/>
        <v>45680.724999999999</v>
      </c>
      <c r="AI255" s="162">
        <f t="shared" si="131"/>
        <v>1.3260294117647526</v>
      </c>
      <c r="AJ255" s="224">
        <f t="shared" si="172"/>
        <v>-761.2</v>
      </c>
      <c r="AK255" s="225">
        <f t="shared" si="132"/>
        <v>26</v>
      </c>
      <c r="AL255" s="170">
        <f t="shared" si="133"/>
        <v>34</v>
      </c>
      <c r="AM255" s="170">
        <f t="shared" si="134"/>
        <v>23.345070422535212</v>
      </c>
      <c r="AN255" s="170">
        <f t="shared" si="135"/>
        <v>29.570422535211268</v>
      </c>
      <c r="AO255" s="226">
        <f t="shared" si="136"/>
        <v>20.345070422535212</v>
      </c>
      <c r="AP255" s="227">
        <v>60</v>
      </c>
      <c r="AQ255" s="228">
        <f t="shared" si="137"/>
        <v>57</v>
      </c>
      <c r="AR255" s="228">
        <f t="shared" si="173"/>
        <v>52</v>
      </c>
      <c r="AS255" s="229">
        <f t="shared" si="139"/>
        <v>45732</v>
      </c>
      <c r="AT255" s="982">
        <f t="shared" ca="1" si="140"/>
        <v>223</v>
      </c>
      <c r="AU255" s="50"/>
      <c r="AV255" s="118"/>
      <c r="AW255" s="49"/>
      <c r="AX255" s="49"/>
      <c r="AY255" s="49"/>
      <c r="AZ255" s="300"/>
      <c r="BA255" s="119"/>
      <c r="BB255" s="304"/>
      <c r="BC255" s="231" t="s">
        <v>12</v>
      </c>
      <c r="BD255" s="232" t="s">
        <v>601</v>
      </c>
      <c r="BE255" s="222">
        <f t="shared" si="166"/>
        <v>45687</v>
      </c>
      <c r="BF255" s="233">
        <f t="shared" si="174"/>
        <v>-8</v>
      </c>
      <c r="BG255" s="248">
        <v>45669</v>
      </c>
      <c r="BH255" s="235">
        <v>45679</v>
      </c>
      <c r="BI255" s="234"/>
      <c r="BJ255" s="236"/>
      <c r="BK255" s="222"/>
      <c r="BL255" s="222"/>
      <c r="BM255" s="238"/>
      <c r="BN255" s="222"/>
      <c r="BO255" s="222"/>
      <c r="BP255" s="243"/>
      <c r="BQ255" s="244" t="s">
        <v>247</v>
      </c>
      <c r="BR255" s="238"/>
      <c r="BS255" s="67"/>
      <c r="BT255" s="66"/>
      <c r="BU255" s="66"/>
      <c r="BV255" s="66"/>
      <c r="BW255" s="74"/>
      <c r="BX255" s="81"/>
      <c r="BY255" s="66">
        <v>45642</v>
      </c>
      <c r="BZ255" s="944" t="s">
        <v>1711</v>
      </c>
      <c r="CA255" s="42" t="str">
        <f t="shared" si="141"/>
        <v>0</v>
      </c>
      <c r="CB255" s="62">
        <f t="shared" si="142"/>
        <v>41.275000000001455</v>
      </c>
      <c r="CC255" s="42">
        <f t="shared" si="143"/>
        <v>0</v>
      </c>
      <c r="CD255" s="62">
        <f t="shared" si="144"/>
        <v>41.275000000001455</v>
      </c>
      <c r="CE255" s="62">
        <f t="shared" si="145"/>
        <v>1.3260294117647526</v>
      </c>
      <c r="CF255" s="145">
        <f t="shared" si="146"/>
        <v>197</v>
      </c>
      <c r="CG255" s="145"/>
      <c r="CH255" s="443">
        <f t="shared" si="147"/>
        <v>7.6549886877828506</v>
      </c>
      <c r="CI255" s="996">
        <f t="shared" si="148"/>
        <v>7.6549886877828506</v>
      </c>
      <c r="CJ255" s="261">
        <f t="shared" si="149"/>
        <v>3.2833333333333332</v>
      </c>
      <c r="CK255" s="458" t="str">
        <f t="shared" si="150"/>
        <v/>
      </c>
      <c r="CL255" t="str">
        <f t="shared" si="151"/>
        <v>REV</v>
      </c>
      <c r="CM255" t="str">
        <f t="shared" si="152"/>
        <v/>
      </c>
      <c r="CN255" s="635"/>
      <c r="CO255" s="631"/>
      <c r="CP255" s="629" t="str">
        <f t="shared" si="167"/>
        <v>FOR ISSUANCE</v>
      </c>
      <c r="CQ255" s="635"/>
      <c r="CR255" s="697"/>
      <c r="CS255" s="633" t="str">
        <f t="shared" ca="1" si="153"/>
        <v>0</v>
      </c>
      <c r="CT255" s="635"/>
      <c r="CU255" s="631"/>
      <c r="CV255" s="638"/>
      <c r="CW255" s="156" t="s">
        <v>1712</v>
      </c>
      <c r="CX255" s="156" t="str">
        <f>VLOOKUP(E255,'[1]List of Work Orders'!$A:$I,9,FALSE)</f>
        <v>ME155242</v>
      </c>
      <c r="CY255" s="156"/>
      <c r="CZ255" s="63"/>
      <c r="DC255" t="str">
        <f>VLOOKUP(E255,'[2]List of Work Orders'!$A:$F,6,FALSE)</f>
        <v>FCOMP</v>
      </c>
      <c r="DS255" s="156" t="s">
        <v>397</v>
      </c>
    </row>
    <row r="256" spans="1:123" customFormat="1" ht="15" customHeight="1" x14ac:dyDescent="0.25">
      <c r="A256" s="242">
        <v>45637</v>
      </c>
      <c r="B256" s="222"/>
      <c r="C256" s="223"/>
      <c r="D256" s="66" t="s">
        <v>284</v>
      </c>
      <c r="E256" s="404" t="s">
        <v>1713</v>
      </c>
      <c r="F256" s="95" t="s">
        <v>1714</v>
      </c>
      <c r="G256" s="95" t="s">
        <v>1715</v>
      </c>
      <c r="H256" s="95" t="s">
        <v>238</v>
      </c>
      <c r="I256" s="95" t="s">
        <v>239</v>
      </c>
      <c r="J256" s="163"/>
      <c r="K256" s="101"/>
      <c r="L256" s="101" t="s">
        <v>288</v>
      </c>
      <c r="M256" s="345" t="s">
        <v>256</v>
      </c>
      <c r="N256" s="442" t="s">
        <v>381</v>
      </c>
      <c r="O256" s="165">
        <v>17.430299999999999</v>
      </c>
      <c r="P256" s="933">
        <v>21.38</v>
      </c>
      <c r="Q256" s="157">
        <v>23</v>
      </c>
      <c r="R256" s="109" t="s">
        <v>244</v>
      </c>
      <c r="S256" s="141">
        <v>178449.2</v>
      </c>
      <c r="T256" s="110">
        <v>14036.19</v>
      </c>
      <c r="U256" s="141">
        <v>9864.61</v>
      </c>
      <c r="V256" s="158">
        <f t="shared" si="129"/>
        <v>0.70279826648114629</v>
      </c>
      <c r="W256" s="159">
        <v>45630.734027777777</v>
      </c>
      <c r="X256" s="159">
        <v>45636.375</v>
      </c>
      <c r="Y256" s="160">
        <v>45643</v>
      </c>
      <c r="Z256" s="470">
        <v>45668</v>
      </c>
      <c r="AA256" s="470">
        <v>45668</v>
      </c>
      <c r="AB256" s="470">
        <v>45797.453472222223</v>
      </c>
      <c r="AC256" s="161">
        <f t="shared" si="130"/>
        <v>37.265972222223354</v>
      </c>
      <c r="AD256" s="161">
        <f t="shared" si="168"/>
        <v>31.625</v>
      </c>
      <c r="AE256" s="446">
        <f t="shared" si="155"/>
        <v>129.45347222222335</v>
      </c>
      <c r="AF256" s="160">
        <f t="shared" si="169"/>
        <v>45649.508221326163</v>
      </c>
      <c r="AG256" s="160">
        <f t="shared" si="170"/>
        <v>45658.314672939065</v>
      </c>
      <c r="AH256" s="159">
        <f t="shared" si="171"/>
        <v>45680.734027777777</v>
      </c>
      <c r="AI256" s="162">
        <f t="shared" si="131"/>
        <v>1.2836057098765823</v>
      </c>
      <c r="AJ256" s="224">
        <f t="shared" si="172"/>
        <v>2.1575578703703893</v>
      </c>
      <c r="AK256" s="225">
        <f t="shared" si="132"/>
        <v>20</v>
      </c>
      <c r="AL256" s="170">
        <f t="shared" si="133"/>
        <v>36</v>
      </c>
      <c r="AM256" s="170">
        <f t="shared" si="134"/>
        <v>21.774193548387096</v>
      </c>
      <c r="AN256" s="170">
        <f t="shared" si="135"/>
        <v>27.58064516129032</v>
      </c>
      <c r="AO256" s="226">
        <f t="shared" si="136"/>
        <v>18.774193548387096</v>
      </c>
      <c r="AP256" s="227">
        <v>60</v>
      </c>
      <c r="AQ256" s="228">
        <f t="shared" si="137"/>
        <v>57</v>
      </c>
      <c r="AR256" s="228">
        <f t="shared" si="173"/>
        <v>52</v>
      </c>
      <c r="AS256" s="229">
        <f t="shared" si="139"/>
        <v>45728</v>
      </c>
      <c r="AT256" s="982">
        <f t="shared" ca="1" si="140"/>
        <v>227</v>
      </c>
      <c r="AU256" s="50"/>
      <c r="AV256" s="118"/>
      <c r="AW256" s="49"/>
      <c r="AX256" s="49"/>
      <c r="AY256" s="49"/>
      <c r="AZ256" s="300"/>
      <c r="BA256" s="119"/>
      <c r="BB256" s="304"/>
      <c r="BC256" s="231" t="s">
        <v>14</v>
      </c>
      <c r="BD256" s="232" t="s">
        <v>265</v>
      </c>
      <c r="BE256" s="222">
        <f t="shared" si="166"/>
        <v>45683</v>
      </c>
      <c r="BF256" s="233">
        <f t="shared" si="174"/>
        <v>36</v>
      </c>
      <c r="BG256" s="248">
        <v>45668</v>
      </c>
      <c r="BH256" s="235">
        <v>45719</v>
      </c>
      <c r="BI256" s="234">
        <v>45743</v>
      </c>
      <c r="BJ256" s="236" t="s">
        <v>1119</v>
      </c>
      <c r="BK256" s="222" t="s">
        <v>247</v>
      </c>
      <c r="BL256" s="222"/>
      <c r="BM256" s="238"/>
      <c r="BN256" s="222"/>
      <c r="BO256" s="222">
        <v>45757</v>
      </c>
      <c r="BP256" s="243" t="s">
        <v>1084</v>
      </c>
      <c r="BQ256" s="244" t="s">
        <v>247</v>
      </c>
      <c r="BR256" s="238"/>
      <c r="BS256" s="67"/>
      <c r="BT256" s="66"/>
      <c r="BU256" s="66"/>
      <c r="BV256" s="66"/>
      <c r="BW256" s="74"/>
      <c r="BX256" s="81"/>
      <c r="BY256" s="66" t="s">
        <v>308</v>
      </c>
      <c r="BZ256" s="944" t="s">
        <v>1716</v>
      </c>
      <c r="CA256" s="42" t="str">
        <f t="shared" si="141"/>
        <v>0</v>
      </c>
      <c r="CB256" s="62">
        <f t="shared" si="142"/>
        <v>37.265972222223354</v>
      </c>
      <c r="CC256" s="42">
        <f t="shared" si="143"/>
        <v>0</v>
      </c>
      <c r="CD256" s="62">
        <f t="shared" si="144"/>
        <v>37.265972222223354</v>
      </c>
      <c r="CE256" s="62">
        <f t="shared" si="145"/>
        <v>1.2836057098765823</v>
      </c>
      <c r="CF256" s="145">
        <f t="shared" si="146"/>
        <v>201</v>
      </c>
      <c r="CG256" s="145"/>
      <c r="CH256" s="443">
        <f t="shared" si="147"/>
        <v>8.2069390432099141</v>
      </c>
      <c r="CI256" s="996">
        <f t="shared" si="148"/>
        <v>8.2069390432099141</v>
      </c>
      <c r="CJ256" s="261">
        <f t="shared" si="149"/>
        <v>3.35</v>
      </c>
      <c r="CK256" s="458" t="str">
        <f t="shared" si="150"/>
        <v/>
      </c>
      <c r="CL256" t="str">
        <f t="shared" si="151"/>
        <v>REV</v>
      </c>
      <c r="CM256" t="str">
        <f t="shared" si="152"/>
        <v/>
      </c>
      <c r="CN256" s="635"/>
      <c r="CO256" s="631"/>
      <c r="CP256" s="629" t="s">
        <v>1330</v>
      </c>
      <c r="CQ256" s="635"/>
      <c r="CR256" s="697"/>
      <c r="CS256" s="633" t="str">
        <f t="shared" ca="1" si="153"/>
        <v>0</v>
      </c>
      <c r="CT256" s="635"/>
      <c r="CU256" s="631"/>
      <c r="CV256" s="638"/>
      <c r="CW256" s="156" t="s">
        <v>1717</v>
      </c>
      <c r="CX256" s="156" t="str">
        <f>VLOOKUP(E256,'[1]List of Work Orders'!$A:$I,9,FALSE)</f>
        <v>ME185284</v>
      </c>
      <c r="CY256" s="156"/>
      <c r="DC256" t="str">
        <f>VLOOKUP(E256,'[2]List of Work Orders'!$A:$F,6,FALSE)</f>
        <v>FCOMP</v>
      </c>
      <c r="DS256" s="156" t="s">
        <v>397</v>
      </c>
    </row>
    <row r="257" spans="1:123" customFormat="1" ht="15" customHeight="1" x14ac:dyDescent="0.25">
      <c r="A257" s="242">
        <v>45639</v>
      </c>
      <c r="B257" s="222"/>
      <c r="C257" s="223"/>
      <c r="D257" s="66" t="s">
        <v>234</v>
      </c>
      <c r="E257" s="404" t="s">
        <v>1718</v>
      </c>
      <c r="F257" s="95" t="s">
        <v>1719</v>
      </c>
      <c r="G257" s="95" t="s">
        <v>1720</v>
      </c>
      <c r="H257" s="95" t="s">
        <v>378</v>
      </c>
      <c r="I257" s="95" t="s">
        <v>239</v>
      </c>
      <c r="J257" s="163"/>
      <c r="K257" s="101"/>
      <c r="L257" s="101" t="s">
        <v>288</v>
      </c>
      <c r="M257" s="345" t="s">
        <v>272</v>
      </c>
      <c r="N257" s="442" t="s">
        <v>381</v>
      </c>
      <c r="O257" s="165">
        <v>43.93</v>
      </c>
      <c r="P257" s="933">
        <v>43.93</v>
      </c>
      <c r="Q257" s="157">
        <v>0</v>
      </c>
      <c r="R257" s="109" t="s">
        <v>548</v>
      </c>
      <c r="S257" s="141">
        <v>100355.03</v>
      </c>
      <c r="T257" s="110">
        <v>35399.870000000003</v>
      </c>
      <c r="U257" s="141"/>
      <c r="V257" s="158">
        <f t="shared" si="129"/>
        <v>0</v>
      </c>
      <c r="W257" s="159">
        <v>45631.52847222222</v>
      </c>
      <c r="X257" s="159">
        <v>45638.448611111111</v>
      </c>
      <c r="Y257" s="160">
        <v>45643</v>
      </c>
      <c r="Z257" s="470"/>
      <c r="AA257" s="470">
        <v>45675</v>
      </c>
      <c r="AB257" s="470"/>
      <c r="AC257" s="161">
        <f t="shared" si="130"/>
        <v>43.471527777779556</v>
      </c>
      <c r="AD257" s="161">
        <f t="shared" si="168"/>
        <v>36.551388888889051</v>
      </c>
      <c r="AE257" s="446">
        <f t="shared" si="155"/>
        <v>-45675</v>
      </c>
      <c r="AF257" s="160">
        <f t="shared" si="169"/>
        <v>45650.302665770607</v>
      </c>
      <c r="AG257" s="160">
        <f t="shared" si="170"/>
        <v>45659.109117383508</v>
      </c>
      <c r="AH257" s="159">
        <f t="shared" si="171"/>
        <v>45681.52847222222</v>
      </c>
      <c r="AI257" s="162">
        <f t="shared" si="131"/>
        <v>1.4973526234568513</v>
      </c>
      <c r="AJ257" s="224">
        <f t="shared" si="172"/>
        <v>-761.25</v>
      </c>
      <c r="AK257" s="225">
        <f t="shared" si="132"/>
        <v>20</v>
      </c>
      <c r="AL257" s="170">
        <f t="shared" si="133"/>
        <v>36</v>
      </c>
      <c r="AM257" s="170">
        <f t="shared" si="134"/>
        <v>21.774193548387096</v>
      </c>
      <c r="AN257" s="170">
        <f t="shared" si="135"/>
        <v>27.58064516129032</v>
      </c>
      <c r="AO257" s="226">
        <f t="shared" si="136"/>
        <v>18.774193548387096</v>
      </c>
      <c r="AP257" s="227">
        <v>60</v>
      </c>
      <c r="AQ257" s="228">
        <f t="shared" si="137"/>
        <v>57</v>
      </c>
      <c r="AR257" s="228">
        <f t="shared" si="173"/>
        <v>52</v>
      </c>
      <c r="AS257" s="229">
        <f t="shared" si="139"/>
        <v>45735</v>
      </c>
      <c r="AT257" s="982">
        <f t="shared" ca="1" si="140"/>
        <v>220</v>
      </c>
      <c r="AU257" s="50"/>
      <c r="AV257" s="118"/>
      <c r="AW257" s="49"/>
      <c r="AX257" s="49"/>
      <c r="AY257" s="49"/>
      <c r="AZ257" s="300"/>
      <c r="BA257" s="119"/>
      <c r="BB257" s="304"/>
      <c r="BC257" s="231" t="s">
        <v>264</v>
      </c>
      <c r="BD257" s="232"/>
      <c r="BE257" s="222">
        <f t="shared" si="166"/>
        <v>45690</v>
      </c>
      <c r="BF257" s="233">
        <f t="shared" si="174"/>
        <v>78</v>
      </c>
      <c r="BG257" s="248">
        <v>45675</v>
      </c>
      <c r="BH257" s="235">
        <v>45768</v>
      </c>
      <c r="BI257" s="234"/>
      <c r="BJ257" s="236"/>
      <c r="BK257" s="222"/>
      <c r="BL257" s="222"/>
      <c r="BM257" s="238"/>
      <c r="BN257" s="222"/>
      <c r="BO257" s="222">
        <v>45881</v>
      </c>
      <c r="BP257" s="243" t="s">
        <v>1084</v>
      </c>
      <c r="BQ257" s="244" t="s">
        <v>247</v>
      </c>
      <c r="BR257" s="238">
        <v>45674</v>
      </c>
      <c r="BS257" s="67"/>
      <c r="BT257" s="66"/>
      <c r="BU257" s="66"/>
      <c r="BV257" s="66"/>
      <c r="BW257" s="74"/>
      <c r="BX257" s="81"/>
      <c r="BY257" s="66" t="s">
        <v>308</v>
      </c>
      <c r="BZ257" s="944" t="s">
        <v>1721</v>
      </c>
      <c r="CA257" s="42" t="str">
        <f t="shared" si="141"/>
        <v>0</v>
      </c>
      <c r="CB257" s="62">
        <f t="shared" si="142"/>
        <v>43.471527777779556</v>
      </c>
      <c r="CC257" s="42">
        <f t="shared" si="143"/>
        <v>0</v>
      </c>
      <c r="CD257" s="62">
        <f t="shared" si="144"/>
        <v>43.471527777779556</v>
      </c>
      <c r="CE257" s="62">
        <f t="shared" si="145"/>
        <v>1.4973526234568513</v>
      </c>
      <c r="CF257" s="145">
        <f t="shared" si="146"/>
        <v>194</v>
      </c>
      <c r="CG257" s="145"/>
      <c r="CH257" s="443">
        <f t="shared" si="147"/>
        <v>8.179574845679074</v>
      </c>
      <c r="CI257" s="996">
        <f t="shared" si="148"/>
        <v>8.179574845679074</v>
      </c>
      <c r="CJ257" s="261">
        <f t="shared" si="149"/>
        <v>3.2333333333333334</v>
      </c>
      <c r="CK257" s="458" t="str">
        <f t="shared" si="150"/>
        <v/>
      </c>
      <c r="CL257" t="str">
        <f t="shared" si="151"/>
        <v>NON-REV</v>
      </c>
      <c r="CM257" t="str">
        <f t="shared" si="152"/>
        <v/>
      </c>
      <c r="CN257" s="635">
        <v>45881</v>
      </c>
      <c r="CO257" s="631">
        <v>19630.580000000002</v>
      </c>
      <c r="CP257" s="629" t="str">
        <f t="shared" ref="CP257:CP320" si="175">IF(CQ257,"NTC ISSUED","FOR ISSUANCE")</f>
        <v>NTC ISSUED</v>
      </c>
      <c r="CQ257" s="635">
        <v>45884</v>
      </c>
      <c r="CR257" s="697"/>
      <c r="CS257" s="633">
        <f t="shared" ca="1" si="153"/>
        <v>11</v>
      </c>
      <c r="CT257" s="635"/>
      <c r="CU257" s="631"/>
      <c r="CV257" s="638"/>
      <c r="CW257" s="156" t="s">
        <v>1722</v>
      </c>
      <c r="CX257" s="156" t="str">
        <f>VLOOKUP(E257,'[1]List of Work Orders'!$A:$I,9,FALSE)</f>
        <v>ME185284</v>
      </c>
      <c r="CY257" s="156"/>
      <c r="DC257" t="str">
        <f>VLOOKUP(E257,'[2]List of Work Orders'!$A:$F,6,FALSE)</f>
        <v>FCOMP</v>
      </c>
      <c r="DS257" s="156" t="s">
        <v>397</v>
      </c>
    </row>
    <row r="258" spans="1:123" customFormat="1" ht="15" customHeight="1" x14ac:dyDescent="0.25">
      <c r="A258" s="242">
        <v>45646</v>
      </c>
      <c r="B258" s="222"/>
      <c r="C258" s="223"/>
      <c r="D258" s="66" t="s">
        <v>320</v>
      </c>
      <c r="E258" s="404" t="s">
        <v>1723</v>
      </c>
      <c r="F258" s="95" t="s">
        <v>1724</v>
      </c>
      <c r="G258" s="95" t="s">
        <v>1725</v>
      </c>
      <c r="H258" s="95" t="s">
        <v>253</v>
      </c>
      <c r="I258" s="95" t="s">
        <v>254</v>
      </c>
      <c r="J258" s="163"/>
      <c r="K258" s="101"/>
      <c r="L258" s="101" t="s">
        <v>263</v>
      </c>
      <c r="M258" s="345" t="s">
        <v>256</v>
      </c>
      <c r="N258" s="442" t="s">
        <v>467</v>
      </c>
      <c r="O258" s="165">
        <v>24.133299999999998</v>
      </c>
      <c r="P258" s="933">
        <v>24.13</v>
      </c>
      <c r="Q258" s="157">
        <v>48</v>
      </c>
      <c r="R258" s="109" t="s">
        <v>548</v>
      </c>
      <c r="S258" s="141">
        <v>207326.18</v>
      </c>
      <c r="T258" s="110">
        <v>19433.91</v>
      </c>
      <c r="U258" s="141">
        <v>22138.38</v>
      </c>
      <c r="V258" s="158">
        <f t="shared" si="129"/>
        <v>1.1391624227960302</v>
      </c>
      <c r="W258" s="159">
        <v>45631.591666666667</v>
      </c>
      <c r="X258" s="159">
        <v>45638.412499999999</v>
      </c>
      <c r="Y258" s="160">
        <v>45643</v>
      </c>
      <c r="Z258" s="470">
        <v>45696</v>
      </c>
      <c r="AA258" s="470">
        <v>45696</v>
      </c>
      <c r="AB258" s="470">
        <v>45875.904861111114</v>
      </c>
      <c r="AC258" s="161">
        <f t="shared" si="130"/>
        <v>64.408333333332848</v>
      </c>
      <c r="AD258" s="161">
        <f t="shared" si="168"/>
        <v>57.587500000001455</v>
      </c>
      <c r="AE258" s="446">
        <f t="shared" si="155"/>
        <v>179.90486111111386</v>
      </c>
      <c r="AF258" s="160">
        <f t="shared" si="169"/>
        <v>45650.365860215054</v>
      </c>
      <c r="AG258" s="160">
        <f t="shared" si="170"/>
        <v>45659.172311827955</v>
      </c>
      <c r="AH258" s="159">
        <f t="shared" si="171"/>
        <v>45681.591666666667</v>
      </c>
      <c r="AI258" s="162">
        <f t="shared" si="131"/>
        <v>2.2185092592592426</v>
      </c>
      <c r="AJ258" s="224">
        <f t="shared" si="172"/>
        <v>2.9984143518518978</v>
      </c>
      <c r="AK258" s="225">
        <f t="shared" si="132"/>
        <v>20</v>
      </c>
      <c r="AL258" s="170">
        <f t="shared" si="133"/>
        <v>36</v>
      </c>
      <c r="AM258" s="170">
        <f t="shared" si="134"/>
        <v>21.774193548387096</v>
      </c>
      <c r="AN258" s="170">
        <f t="shared" si="135"/>
        <v>27.58064516129032</v>
      </c>
      <c r="AO258" s="226">
        <f t="shared" si="136"/>
        <v>18.774193548387096</v>
      </c>
      <c r="AP258" s="227">
        <v>60</v>
      </c>
      <c r="AQ258" s="228">
        <f t="shared" si="137"/>
        <v>57</v>
      </c>
      <c r="AR258" s="228">
        <f t="shared" si="173"/>
        <v>52</v>
      </c>
      <c r="AS258" s="229">
        <f t="shared" si="139"/>
        <v>45756</v>
      </c>
      <c r="AT258" s="982">
        <f t="shared" ca="1" si="140"/>
        <v>199</v>
      </c>
      <c r="AU258" s="50"/>
      <c r="AV258" s="118"/>
      <c r="AW258" s="49"/>
      <c r="AX258" s="49"/>
      <c r="AY258" s="49"/>
      <c r="AZ258" s="300"/>
      <c r="BA258" s="119"/>
      <c r="BB258" s="304"/>
      <c r="BC258" s="231" t="s">
        <v>14</v>
      </c>
      <c r="BD258" s="232"/>
      <c r="BE258" s="222">
        <f t="shared" si="166"/>
        <v>45711</v>
      </c>
      <c r="BF258" s="233">
        <f t="shared" si="174"/>
        <v>-16</v>
      </c>
      <c r="BG258" s="248">
        <v>45654</v>
      </c>
      <c r="BH258" s="235">
        <v>45695</v>
      </c>
      <c r="BI258" s="234">
        <v>45839</v>
      </c>
      <c r="BJ258" s="236" t="s">
        <v>1119</v>
      </c>
      <c r="BK258" s="222" t="s">
        <v>246</v>
      </c>
      <c r="BL258" s="222"/>
      <c r="BM258" s="238"/>
      <c r="BN258" s="222"/>
      <c r="BO258" s="222">
        <v>45847</v>
      </c>
      <c r="BP258" s="243" t="s">
        <v>1084</v>
      </c>
      <c r="BQ258" s="244"/>
      <c r="BR258" s="238"/>
      <c r="BS258" s="67"/>
      <c r="BT258" s="66"/>
      <c r="BU258" s="66"/>
      <c r="BV258" s="66"/>
      <c r="BW258" s="74"/>
      <c r="BX258" s="81"/>
      <c r="BY258" s="66">
        <v>45646</v>
      </c>
      <c r="BZ258" s="944" t="s">
        <v>1726</v>
      </c>
      <c r="CA258" s="42" t="str">
        <f t="shared" si="141"/>
        <v>0</v>
      </c>
      <c r="CB258" s="62">
        <f t="shared" si="142"/>
        <v>64.408333333332848</v>
      </c>
      <c r="CC258" s="42">
        <f t="shared" si="143"/>
        <v>0</v>
      </c>
      <c r="CD258" s="62">
        <f t="shared" si="144"/>
        <v>64.408333333332848</v>
      </c>
      <c r="CE258" s="62">
        <f t="shared" si="145"/>
        <v>2.2185092592592426</v>
      </c>
      <c r="CF258" s="145">
        <f t="shared" si="146"/>
        <v>173</v>
      </c>
      <c r="CG258" s="145"/>
      <c r="CH258" s="443">
        <f t="shared" si="147"/>
        <v>8.1773981481481322</v>
      </c>
      <c r="CI258" s="996">
        <f t="shared" si="148"/>
        <v>8.1773981481481322</v>
      </c>
      <c r="CJ258" s="261">
        <f t="shared" si="149"/>
        <v>2.8833333333333333</v>
      </c>
      <c r="CK258" s="458" t="str">
        <f t="shared" si="150"/>
        <v/>
      </c>
      <c r="CL258" t="str">
        <f t="shared" si="151"/>
        <v>NON-REV</v>
      </c>
      <c r="CM258" t="str">
        <f t="shared" si="152"/>
        <v/>
      </c>
      <c r="CN258" s="635">
        <v>45848</v>
      </c>
      <c r="CO258" s="631">
        <v>4159.74</v>
      </c>
      <c r="CP258" s="629" t="str">
        <f t="shared" si="175"/>
        <v>NTC ISSUED</v>
      </c>
      <c r="CQ258" s="635">
        <v>45848</v>
      </c>
      <c r="CR258" s="697"/>
      <c r="CS258" s="633">
        <f t="shared" ca="1" si="153"/>
        <v>47</v>
      </c>
      <c r="CT258" s="635"/>
      <c r="CU258" s="631"/>
      <c r="CV258" s="638"/>
      <c r="CW258" s="156" t="s">
        <v>1727</v>
      </c>
      <c r="CX258" s="156" t="str">
        <f>VLOOKUP(E258,'[1]List of Work Orders'!$A:$I,9,FALSE)</f>
        <v>ME155242</v>
      </c>
      <c r="CY258" s="156"/>
      <c r="DC258" t="str">
        <f>VLOOKUP(E258,'[2]List of Work Orders'!$A:$F,6,FALSE)</f>
        <v>FCOMP</v>
      </c>
      <c r="DS258" s="156" t="s">
        <v>397</v>
      </c>
    </row>
    <row r="259" spans="1:123" customFormat="1" ht="15" customHeight="1" x14ac:dyDescent="0.25">
      <c r="A259" s="242">
        <v>45715</v>
      </c>
      <c r="B259" s="222"/>
      <c r="C259" s="223"/>
      <c r="D259" s="66" t="s">
        <v>320</v>
      </c>
      <c r="E259" s="404" t="s">
        <v>1728</v>
      </c>
      <c r="F259" s="95" t="s">
        <v>1729</v>
      </c>
      <c r="G259" s="95" t="s">
        <v>1730</v>
      </c>
      <c r="H259" s="95" t="s">
        <v>253</v>
      </c>
      <c r="I259" s="95" t="s">
        <v>254</v>
      </c>
      <c r="J259" s="163"/>
      <c r="K259" s="101"/>
      <c r="L259" s="101" t="s">
        <v>263</v>
      </c>
      <c r="M259" s="345" t="s">
        <v>272</v>
      </c>
      <c r="N259" s="442" t="s">
        <v>467</v>
      </c>
      <c r="O259" s="165">
        <v>73.844999999999999</v>
      </c>
      <c r="P259" s="933">
        <v>152.13</v>
      </c>
      <c r="Q259" s="157">
        <v>20</v>
      </c>
      <c r="R259" s="109" t="s">
        <v>244</v>
      </c>
      <c r="S259" s="141">
        <v>367358.69</v>
      </c>
      <c r="T259" s="110">
        <v>59466.29</v>
      </c>
      <c r="U259" s="141"/>
      <c r="V259" s="158">
        <f t="shared" ref="V259:V322" si="176">U259/T259</f>
        <v>0</v>
      </c>
      <c r="W259" s="159">
        <v>45631.67291666667</v>
      </c>
      <c r="X259" s="159">
        <v>45638.413888888892</v>
      </c>
      <c r="Y259" s="160">
        <v>45642</v>
      </c>
      <c r="Z259" s="470"/>
      <c r="AA259" s="470">
        <v>45695</v>
      </c>
      <c r="AB259" s="470"/>
      <c r="AC259" s="161">
        <f t="shared" ref="AC259:AC322" si="177">AA259-W259</f>
        <v>63.327083333329938</v>
      </c>
      <c r="AD259" s="161">
        <f t="shared" si="168"/>
        <v>56.586111111108039</v>
      </c>
      <c r="AE259" s="446">
        <f t="shared" si="155"/>
        <v>-45695</v>
      </c>
      <c r="AF259" s="160">
        <f t="shared" si="169"/>
        <v>45652.879813218395</v>
      </c>
      <c r="AG259" s="160">
        <f t="shared" si="170"/>
        <v>45662.334985632187</v>
      </c>
      <c r="AH259" s="159">
        <f t="shared" si="171"/>
        <v>45681.67291666667</v>
      </c>
      <c r="AI259" s="162">
        <f t="shared" ref="AI259:AI322" si="178" xml:space="preserve"> (0.3)*(AC259/AK259)+(0.7)*(AC259/AL259)</f>
        <v>1.962057069088214</v>
      </c>
      <c r="AJ259" s="224">
        <f t="shared" si="172"/>
        <v>-761.58333333333337</v>
      </c>
      <c r="AK259" s="225">
        <f t="shared" ref="AK259:AK322" si="179">IF(P259&lt;51,20,(IF(P259&lt;101,23,(IF(P259&lt;201,26,IF(P259&lt;301,28,IF(P259&lt;401,30,(IF(P259&lt;501,32,(IF(P259&lt;1001,40,50)))))))))))</f>
        <v>26</v>
      </c>
      <c r="AL259" s="170">
        <f t="shared" ref="AL259:AL322" si="180">IF(Q259&lt;51,36,(IF(Q259&lt;101,34,(IF(Q259&lt;201,32,IF(Q259&lt;301,30,IF(Q259&lt;401,28,(IF(Q259&lt;501,26,(IF(Q259&lt;1001,23,20)))))))))))</f>
        <v>36</v>
      </c>
      <c r="AM259" s="170">
        <f t="shared" ref="AM259:AM322" si="181">(0.75)/((0.3/AK259)+(0.7/AL259))</f>
        <v>24.206896551724139</v>
      </c>
      <c r="AN259" s="170">
        <f t="shared" ref="AN259:AN322" si="182">(0.95)/((0.3/AK259)+(0.7/AL259))</f>
        <v>30.662068965517239</v>
      </c>
      <c r="AO259" s="226">
        <f t="shared" ref="AO259:AO322" si="183">AM259-3</f>
        <v>21.206896551724139</v>
      </c>
      <c r="AP259" s="227">
        <v>60</v>
      </c>
      <c r="AQ259" s="228">
        <f t="shared" ref="AQ259:AQ322" si="184">0.95*AP259</f>
        <v>57</v>
      </c>
      <c r="AR259" s="228">
        <f t="shared" si="173"/>
        <v>52</v>
      </c>
      <c r="AS259" s="229">
        <f t="shared" ref="AS259:AS322" si="185">AA259+AP259</f>
        <v>45755</v>
      </c>
      <c r="AT259" s="982">
        <f t="shared" ref="AT259:AT322" ca="1" si="186">IFERROR(TODAY()-AA259,"")</f>
        <v>200</v>
      </c>
      <c r="AU259" s="50"/>
      <c r="AV259" s="118"/>
      <c r="AW259" s="49"/>
      <c r="AX259" s="49"/>
      <c r="AY259" s="49"/>
      <c r="AZ259" s="300"/>
      <c r="BA259" s="119"/>
      <c r="BB259" s="304"/>
      <c r="BC259" s="231" t="s">
        <v>13</v>
      </c>
      <c r="BD259" s="232"/>
      <c r="BE259" s="222">
        <f t="shared" si="166"/>
        <v>45710</v>
      </c>
      <c r="BF259" s="233" t="e">
        <f t="shared" si="174"/>
        <v>#VALUE!</v>
      </c>
      <c r="BG259" s="248"/>
      <c r="BH259" s="235"/>
      <c r="BI259" s="234"/>
      <c r="BJ259" s="236"/>
      <c r="BK259" s="222"/>
      <c r="BL259" s="222"/>
      <c r="BM259" s="238"/>
      <c r="BN259" s="222"/>
      <c r="BO259" s="222"/>
      <c r="BP259" s="243"/>
      <c r="BQ259" s="244" t="s">
        <v>247</v>
      </c>
      <c r="BR259" s="238">
        <v>45694</v>
      </c>
      <c r="BS259" s="67"/>
      <c r="BT259" s="66"/>
      <c r="BU259" s="66"/>
      <c r="BV259" s="66"/>
      <c r="BW259" s="74"/>
      <c r="BX259" s="81"/>
      <c r="BY259" s="66">
        <v>45715</v>
      </c>
      <c r="BZ259" s="944" t="s">
        <v>1731</v>
      </c>
      <c r="CA259" s="42" t="str">
        <f t="shared" ref="CA259:CA322" si="187">IF(AY259="Y",BA259,"0")</f>
        <v>0</v>
      </c>
      <c r="CB259" s="62">
        <f t="shared" ref="CB259:CB322" si="188">AC259-CA259</f>
        <v>63.327083333329938</v>
      </c>
      <c r="CC259" s="42">
        <f t="shared" ref="CC259:CC322" si="189">BA259</f>
        <v>0</v>
      </c>
      <c r="CD259" s="62">
        <f t="shared" ref="CD259:CD322" si="190">AC259-BA259</f>
        <v>63.327083333329938</v>
      </c>
      <c r="CE259" s="62">
        <f t="shared" ref="CE259:CE322" si="191" xml:space="preserve"> (0.3)*(CD259/AK259)+(0.7)*(CD259/AL259)</f>
        <v>1.962057069088214</v>
      </c>
      <c r="CF259" s="145">
        <f t="shared" ref="CF259:CF322" si="192">IF(AA259="","0",$CF$1-AA259)</f>
        <v>174</v>
      </c>
      <c r="CG259" s="145"/>
      <c r="CH259" s="443">
        <f t="shared" ref="CH259:CH322" si="193" xml:space="preserve"> (0.3)*(($CF$1-W259)/AK259)+(0.7)*(($CF$1-W259)/AL259)</f>
        <v>7.3530827101138545</v>
      </c>
      <c r="CI259" s="996">
        <f t="shared" ref="CI259:CI322" si="194">CH259-CG259</f>
        <v>7.3530827101138545</v>
      </c>
      <c r="CJ259" s="261">
        <f t="shared" ref="CJ259:CJ322" si="195">CF259/AP259</f>
        <v>2.9</v>
      </c>
      <c r="CK259" s="458" t="str">
        <f t="shared" ref="CK259:CK322" si="196">IF(AA259&gt;0,"",$CK$1-W259)</f>
        <v/>
      </c>
      <c r="CL259" t="str">
        <f t="shared" ref="CL259:CL322" si="197">IF(R259="NEW","REV","NON-REV")</f>
        <v>REV</v>
      </c>
      <c r="CM259" t="str">
        <f t="shared" ref="CM259:CM322" si="198">IF(CK259="","",IF(CK259&lt;91,"0-3 MONTHS",(IF(CK259&lt;181,"4-6 MONTHS",(IF(CK259&lt;271,"7-9 MONTHS",IF(CK259&gt;270,"10 MONTHS AND ABOVE",)))))))</f>
        <v/>
      </c>
      <c r="CN259" s="635"/>
      <c r="CO259" s="631"/>
      <c r="CP259" s="629" t="str">
        <f t="shared" si="175"/>
        <v>FOR ISSUANCE</v>
      </c>
      <c r="CQ259" s="635"/>
      <c r="CR259" s="697"/>
      <c r="CS259" s="633" t="str">
        <f t="shared" ref="CS259:CS322" ca="1" si="199">IF(AND(CQ259=0,CR259=0), "0",IF(CR259,(CR259-CQ259),TODAY()-CQ259))</f>
        <v>0</v>
      </c>
      <c r="CT259" s="635"/>
      <c r="CU259" s="631"/>
      <c r="CV259" s="638"/>
      <c r="CW259" s="156" t="s">
        <v>1732</v>
      </c>
      <c r="CX259" s="156" t="str">
        <f>VLOOKUP(E259,'[1]List of Work Orders'!$A:$I,9,FALSE)</f>
        <v>ME155242</v>
      </c>
      <c r="CY259" s="156"/>
      <c r="DC259" t="str">
        <f>VLOOKUP(E259,'[2]List of Work Orders'!$A:$F,6,FALSE)</f>
        <v>FCOMP</v>
      </c>
      <c r="DS259" s="156" t="s">
        <v>381</v>
      </c>
    </row>
    <row r="260" spans="1:123" ht="15" customHeight="1" x14ac:dyDescent="0.2">
      <c r="A260" s="242">
        <v>45639</v>
      </c>
      <c r="B260" s="242"/>
      <c r="C260" s="223" t="s">
        <v>247</v>
      </c>
      <c r="D260" s="66" t="s">
        <v>320</v>
      </c>
      <c r="E260" s="404" t="s">
        <v>1733</v>
      </c>
      <c r="F260" s="95" t="s">
        <v>1734</v>
      </c>
      <c r="G260" s="95" t="s">
        <v>1735</v>
      </c>
      <c r="H260" s="95" t="s">
        <v>269</v>
      </c>
      <c r="I260" s="95" t="s">
        <v>239</v>
      </c>
      <c r="J260" s="163"/>
      <c r="K260" s="101"/>
      <c r="L260" s="101" t="s">
        <v>255</v>
      </c>
      <c r="M260" s="345" t="s">
        <v>272</v>
      </c>
      <c r="N260" s="442" t="s">
        <v>381</v>
      </c>
      <c r="O260" s="165">
        <v>167.39709999999999</v>
      </c>
      <c r="P260" s="933">
        <v>167.4</v>
      </c>
      <c r="Q260" s="157">
        <v>131.5</v>
      </c>
      <c r="R260" s="109" t="s">
        <v>244</v>
      </c>
      <c r="S260" s="141">
        <v>833252.11</v>
      </c>
      <c r="T260" s="110">
        <v>134801.60999999999</v>
      </c>
      <c r="U260" s="141"/>
      <c r="V260" s="158">
        <f t="shared" si="176"/>
        <v>0</v>
      </c>
      <c r="W260" s="159">
        <v>45632.538888888892</v>
      </c>
      <c r="X260" s="159">
        <v>45638.45</v>
      </c>
      <c r="Y260" s="160">
        <v>45643</v>
      </c>
      <c r="Z260" s="470"/>
      <c r="AA260" s="470">
        <v>45668</v>
      </c>
      <c r="AB260" s="470"/>
      <c r="AC260" s="161">
        <f t="shared" si="177"/>
        <v>35.461111111108039</v>
      </c>
      <c r="AD260" s="161">
        <f t="shared" si="168"/>
        <v>29.55000000000291</v>
      </c>
      <c r="AE260" s="446">
        <f t="shared" si="155"/>
        <v>-45668</v>
      </c>
      <c r="AF260" s="160">
        <f t="shared" si="169"/>
        <v>45651.984932054358</v>
      </c>
      <c r="AG260" s="160">
        <f t="shared" si="170"/>
        <v>45660.970543565149</v>
      </c>
      <c r="AH260" s="159">
        <f t="shared" si="171"/>
        <v>45682.538888888892</v>
      </c>
      <c r="AI260" s="162">
        <f t="shared" si="178"/>
        <v>1.1848784722221195</v>
      </c>
      <c r="AJ260" s="224">
        <f t="shared" si="172"/>
        <v>-761.13333333333333</v>
      </c>
      <c r="AK260" s="225">
        <f t="shared" si="179"/>
        <v>26</v>
      </c>
      <c r="AL260" s="170">
        <f t="shared" si="180"/>
        <v>32</v>
      </c>
      <c r="AM260" s="170">
        <f t="shared" si="181"/>
        <v>22.446043165467625</v>
      </c>
      <c r="AN260" s="170">
        <f t="shared" si="182"/>
        <v>28.431654676258994</v>
      </c>
      <c r="AO260" s="226">
        <f t="shared" si="183"/>
        <v>19.446043165467625</v>
      </c>
      <c r="AP260" s="227">
        <v>60</v>
      </c>
      <c r="AQ260" s="228">
        <f t="shared" si="184"/>
        <v>57</v>
      </c>
      <c r="AR260" s="228">
        <f t="shared" si="173"/>
        <v>52</v>
      </c>
      <c r="AS260" s="229">
        <f t="shared" si="185"/>
        <v>45728</v>
      </c>
      <c r="AT260" s="982">
        <f t="shared" ca="1" si="186"/>
        <v>227</v>
      </c>
      <c r="AU260" s="1077"/>
      <c r="AV260" s="1078"/>
      <c r="AW260" s="1079"/>
      <c r="AX260" s="1079"/>
      <c r="AY260" s="1079"/>
      <c r="AZ260" s="1080"/>
      <c r="BA260" s="1081"/>
      <c r="BB260" s="1091"/>
      <c r="BC260" s="231" t="s">
        <v>13</v>
      </c>
      <c r="BD260" s="232"/>
      <c r="BE260" s="222">
        <f t="shared" si="166"/>
        <v>45683</v>
      </c>
      <c r="BF260" s="233" t="e">
        <f t="shared" si="174"/>
        <v>#VALUE!</v>
      </c>
      <c r="BG260" s="248"/>
      <c r="BH260" s="235"/>
      <c r="BI260" s="234"/>
      <c r="BJ260" s="236"/>
      <c r="BK260" s="222"/>
      <c r="BL260" s="222"/>
      <c r="BM260" s="238"/>
      <c r="BN260" s="222"/>
      <c r="BO260" s="222"/>
      <c r="BP260" s="243"/>
      <c r="BQ260" s="244" t="s">
        <v>247</v>
      </c>
      <c r="BR260" s="238">
        <v>45667</v>
      </c>
      <c r="BS260" s="67"/>
      <c r="BT260" s="66"/>
      <c r="BU260" s="66"/>
      <c r="BV260" s="66"/>
      <c r="BW260" s="74"/>
      <c r="BX260" s="81"/>
      <c r="BY260" s="66">
        <v>45642</v>
      </c>
      <c r="BZ260" s="944" t="s">
        <v>1736</v>
      </c>
      <c r="CA260" s="42" t="str">
        <f t="shared" si="187"/>
        <v>0</v>
      </c>
      <c r="CB260" s="62">
        <f t="shared" si="188"/>
        <v>35.461111111108039</v>
      </c>
      <c r="CC260" s="42">
        <f t="shared" si="189"/>
        <v>0</v>
      </c>
      <c r="CD260" s="62">
        <f t="shared" si="190"/>
        <v>35.461111111108039</v>
      </c>
      <c r="CE260" s="62">
        <f t="shared" si="191"/>
        <v>1.1848784722221195</v>
      </c>
      <c r="CF260" s="1059">
        <f t="shared" si="192"/>
        <v>201</v>
      </c>
      <c r="CH260" s="1082">
        <f t="shared" si="193"/>
        <v>7.900984241452889</v>
      </c>
      <c r="CI260" s="1083">
        <f t="shared" si="194"/>
        <v>7.900984241452889</v>
      </c>
      <c r="CJ260" s="1084">
        <f t="shared" si="195"/>
        <v>3.35</v>
      </c>
      <c r="CK260" s="1085" t="str">
        <f t="shared" si="196"/>
        <v/>
      </c>
      <c r="CL260" s="1057" t="str">
        <f t="shared" si="197"/>
        <v>REV</v>
      </c>
      <c r="CM260" s="1057" t="str">
        <f t="shared" si="198"/>
        <v/>
      </c>
      <c r="CN260" s="1086"/>
      <c r="CO260" s="1087"/>
      <c r="CP260" s="629" t="str">
        <f t="shared" si="175"/>
        <v>FOR ISSUANCE</v>
      </c>
      <c r="CQ260" s="1086"/>
      <c r="CR260" s="1088"/>
      <c r="CS260" s="1089" t="str">
        <f t="shared" ca="1" si="199"/>
        <v>0</v>
      </c>
      <c r="CT260" s="1086"/>
      <c r="CU260" s="1087"/>
      <c r="CV260" s="1090"/>
      <c r="CW260" s="156" t="s">
        <v>1737</v>
      </c>
      <c r="CX260" s="156" t="str">
        <f>VLOOKUP(E260,'[1]List of Work Orders'!$A:$I,9,FALSE)</f>
        <v>ME185284</v>
      </c>
      <c r="CY260" s="156"/>
      <c r="DC260" s="1057" t="str">
        <f>VLOOKUP(E260,'[2]List of Work Orders'!$A:$F,6,FALSE)</f>
        <v>FCOMP</v>
      </c>
      <c r="DS260" s="156" t="s">
        <v>381</v>
      </c>
    </row>
    <row r="261" spans="1:123" customFormat="1" ht="15" customHeight="1" x14ac:dyDescent="0.25">
      <c r="A261" s="242">
        <v>45649</v>
      </c>
      <c r="B261" s="222"/>
      <c r="C261" s="223"/>
      <c r="D261" s="66" t="s">
        <v>320</v>
      </c>
      <c r="E261" s="404" t="s">
        <v>1738</v>
      </c>
      <c r="F261" s="95" t="s">
        <v>1739</v>
      </c>
      <c r="G261" s="95" t="s">
        <v>1740</v>
      </c>
      <c r="H261" s="95" t="s">
        <v>253</v>
      </c>
      <c r="I261" s="95" t="s">
        <v>254</v>
      </c>
      <c r="J261" s="163"/>
      <c r="K261" s="101"/>
      <c r="L261" s="101" t="s">
        <v>263</v>
      </c>
      <c r="M261" s="345" t="s">
        <v>272</v>
      </c>
      <c r="N261" s="442" t="s">
        <v>467</v>
      </c>
      <c r="O261" s="165">
        <v>222.44659999999999</v>
      </c>
      <c r="P261" s="933">
        <v>611.05999999999995</v>
      </c>
      <c r="Q261" s="157">
        <v>43.69</v>
      </c>
      <c r="R261" s="109" t="s">
        <v>244</v>
      </c>
      <c r="S261" s="141">
        <v>1006242.08</v>
      </c>
      <c r="T261" s="110">
        <v>179131.86</v>
      </c>
      <c r="U261" s="141"/>
      <c r="V261" s="158">
        <f t="shared" si="176"/>
        <v>0</v>
      </c>
      <c r="W261" s="159">
        <v>45632.645138888889</v>
      </c>
      <c r="X261" s="159">
        <v>45638.450694444444</v>
      </c>
      <c r="Y261" s="160">
        <v>45643</v>
      </c>
      <c r="Z261" s="470"/>
      <c r="AA261" s="470">
        <v>45808</v>
      </c>
      <c r="AB261" s="470"/>
      <c r="AC261" s="161">
        <f t="shared" si="177"/>
        <v>175.35486111111095</v>
      </c>
      <c r="AD261" s="161">
        <f t="shared" si="168"/>
        <v>169.5493055555562</v>
      </c>
      <c r="AE261" s="446">
        <f t="shared" si="155"/>
        <v>-45808</v>
      </c>
      <c r="AF261" s="160">
        <f t="shared" si="169"/>
        <v>45657.480190435279</v>
      </c>
      <c r="AG261" s="160">
        <f t="shared" si="170"/>
        <v>45667.902870847654</v>
      </c>
      <c r="AH261" s="159">
        <f t="shared" si="171"/>
        <v>45682.645138888889</v>
      </c>
      <c r="AI261" s="162">
        <f t="shared" si="178"/>
        <v>4.7248393132716</v>
      </c>
      <c r="AJ261" s="224">
        <f t="shared" si="172"/>
        <v>-763.4666666666667</v>
      </c>
      <c r="AK261" s="225">
        <f t="shared" si="179"/>
        <v>40</v>
      </c>
      <c r="AL261" s="170">
        <f t="shared" si="180"/>
        <v>36</v>
      </c>
      <c r="AM261" s="170">
        <f t="shared" si="181"/>
        <v>27.835051546391753</v>
      </c>
      <c r="AN261" s="170">
        <f t="shared" si="182"/>
        <v>35.257731958762882</v>
      </c>
      <c r="AO261" s="226">
        <f t="shared" si="183"/>
        <v>24.835051546391753</v>
      </c>
      <c r="AP261" s="227">
        <v>60</v>
      </c>
      <c r="AQ261" s="228">
        <f t="shared" si="184"/>
        <v>57</v>
      </c>
      <c r="AR261" s="228">
        <f t="shared" si="173"/>
        <v>52</v>
      </c>
      <c r="AS261" s="229">
        <f t="shared" si="185"/>
        <v>45868</v>
      </c>
      <c r="AT261" s="982">
        <f t="shared" ca="1" si="186"/>
        <v>87</v>
      </c>
      <c r="AU261" s="50"/>
      <c r="AV261" s="118"/>
      <c r="AW261" s="49"/>
      <c r="AX261" s="49"/>
      <c r="AY261" s="49"/>
      <c r="AZ261" s="300"/>
      <c r="BA261" s="119"/>
      <c r="BB261" s="304"/>
      <c r="BC261" s="231" t="s">
        <v>13</v>
      </c>
      <c r="BD261" s="232"/>
      <c r="BE261" s="222">
        <f t="shared" si="166"/>
        <v>45823</v>
      </c>
      <c r="BF261" s="233" t="e">
        <f t="shared" si="174"/>
        <v>#VALUE!</v>
      </c>
      <c r="BG261" s="248"/>
      <c r="BH261" s="235"/>
      <c r="BI261" s="234"/>
      <c r="BJ261" s="236"/>
      <c r="BK261" s="222"/>
      <c r="BL261" s="222"/>
      <c r="BM261" s="238"/>
      <c r="BN261" s="222"/>
      <c r="BO261" s="222"/>
      <c r="BP261" s="243"/>
      <c r="BQ261" s="244" t="s">
        <v>247</v>
      </c>
      <c r="BR261" s="238">
        <v>45833</v>
      </c>
      <c r="BS261" s="67"/>
      <c r="BT261" s="66"/>
      <c r="BU261" s="66"/>
      <c r="BV261" s="66"/>
      <c r="BW261" s="74"/>
      <c r="BX261" s="81"/>
      <c r="BY261" s="66">
        <v>45649</v>
      </c>
      <c r="BZ261" s="944" t="s">
        <v>1741</v>
      </c>
      <c r="CA261" s="42" t="str">
        <f t="shared" si="187"/>
        <v>0</v>
      </c>
      <c r="CB261" s="62">
        <f t="shared" si="188"/>
        <v>175.35486111111095</v>
      </c>
      <c r="CC261" s="42">
        <f t="shared" si="189"/>
        <v>0</v>
      </c>
      <c r="CD261" s="62">
        <f t="shared" si="190"/>
        <v>175.35486111111095</v>
      </c>
      <c r="CE261" s="62">
        <f t="shared" si="191"/>
        <v>4.7248393132716</v>
      </c>
      <c r="CF261" s="145">
        <f t="shared" si="192"/>
        <v>61</v>
      </c>
      <c r="CG261" s="145"/>
      <c r="CH261" s="443">
        <f t="shared" si="193"/>
        <v>6.3684504243827114</v>
      </c>
      <c r="CI261" s="996">
        <f t="shared" si="194"/>
        <v>6.3684504243827114</v>
      </c>
      <c r="CJ261" s="261">
        <f t="shared" si="195"/>
        <v>1.0166666666666666</v>
      </c>
      <c r="CK261" s="458" t="str">
        <f t="shared" si="196"/>
        <v/>
      </c>
      <c r="CL261" t="str">
        <f t="shared" si="197"/>
        <v>REV</v>
      </c>
      <c r="CM261" t="str">
        <f t="shared" si="198"/>
        <v/>
      </c>
      <c r="CN261" s="635"/>
      <c r="CO261" s="631"/>
      <c r="CP261" s="629" t="str">
        <f t="shared" si="175"/>
        <v>FOR ISSUANCE</v>
      </c>
      <c r="CQ261" s="635"/>
      <c r="CR261" s="697"/>
      <c r="CS261" s="633" t="str">
        <f t="shared" ca="1" si="199"/>
        <v>0</v>
      </c>
      <c r="CT261" s="635"/>
      <c r="CU261" s="631"/>
      <c r="CV261" s="638"/>
      <c r="CW261" s="156" t="s">
        <v>1742</v>
      </c>
      <c r="CX261" s="156" t="str">
        <f>VLOOKUP(E261,'[1]List of Work Orders'!$A:$I,9,FALSE)</f>
        <v>ME155242</v>
      </c>
      <c r="CY261" s="156"/>
      <c r="DC261" t="str">
        <f>VLOOKUP(E261,'[2]List of Work Orders'!$A:$F,6,FALSE)</f>
        <v>SCHED</v>
      </c>
      <c r="DS261" s="156" t="s">
        <v>381</v>
      </c>
    </row>
    <row r="262" spans="1:123" ht="15" customHeight="1" x14ac:dyDescent="0.2">
      <c r="A262" s="242">
        <v>45641</v>
      </c>
      <c r="B262" s="222"/>
      <c r="C262" s="223"/>
      <c r="D262" s="66" t="s">
        <v>320</v>
      </c>
      <c r="E262" s="404" t="s">
        <v>1743</v>
      </c>
      <c r="F262" s="95" t="s">
        <v>1744</v>
      </c>
      <c r="G262" s="95" t="s">
        <v>1745</v>
      </c>
      <c r="H262" s="95" t="s">
        <v>269</v>
      </c>
      <c r="I262" s="95" t="s">
        <v>239</v>
      </c>
      <c r="J262" s="163"/>
      <c r="K262" s="101"/>
      <c r="L262" s="101" t="s">
        <v>255</v>
      </c>
      <c r="M262" s="345" t="s">
        <v>272</v>
      </c>
      <c r="N262" s="442" t="s">
        <v>381</v>
      </c>
      <c r="O262" s="165">
        <v>4.2366999999999999</v>
      </c>
      <c r="P262" s="933">
        <v>342.89</v>
      </c>
      <c r="Q262" s="157">
        <v>40.1</v>
      </c>
      <c r="R262" s="109" t="s">
        <v>548</v>
      </c>
      <c r="S262" s="141">
        <v>63407.7</v>
      </c>
      <c r="T262" s="110">
        <v>3411.92</v>
      </c>
      <c r="U262" s="141"/>
      <c r="V262" s="158">
        <f t="shared" si="176"/>
        <v>0</v>
      </c>
      <c r="W262" s="159">
        <v>45635.630555555559</v>
      </c>
      <c r="X262" s="159">
        <v>45677.625</v>
      </c>
      <c r="Y262" s="160">
        <v>45643</v>
      </c>
      <c r="Z262" s="470"/>
      <c r="AA262" s="470">
        <v>45806.615972222222</v>
      </c>
      <c r="AB262" s="470"/>
      <c r="AC262" s="161">
        <f t="shared" si="177"/>
        <v>170.98541666666279</v>
      </c>
      <c r="AD262" s="161">
        <f t="shared" si="168"/>
        <v>128.9909722222219</v>
      </c>
      <c r="AE262" s="446">
        <f t="shared" si="155"/>
        <v>-45806.615972222222</v>
      </c>
      <c r="AF262" s="160">
        <f t="shared" si="169"/>
        <v>45658.102253668767</v>
      </c>
      <c r="AG262" s="160">
        <f t="shared" si="170"/>
        <v>45667.894706498955</v>
      </c>
      <c r="AH262" s="159">
        <f t="shared" si="171"/>
        <v>45685.630555555559</v>
      </c>
      <c r="AI262" s="162">
        <f t="shared" si="178"/>
        <v>5.0345706018517378</v>
      </c>
      <c r="AJ262" s="224">
        <f t="shared" si="172"/>
        <v>-763.44359953703702</v>
      </c>
      <c r="AK262" s="225">
        <f t="shared" si="179"/>
        <v>30</v>
      </c>
      <c r="AL262" s="170">
        <f t="shared" si="180"/>
        <v>36</v>
      </c>
      <c r="AM262" s="170">
        <f t="shared" si="181"/>
        <v>25.471698113207545</v>
      </c>
      <c r="AN262" s="170">
        <f t="shared" si="182"/>
        <v>32.264150943396224</v>
      </c>
      <c r="AO262" s="226">
        <f t="shared" si="183"/>
        <v>22.471698113207545</v>
      </c>
      <c r="AP262" s="227">
        <v>60</v>
      </c>
      <c r="AQ262" s="228">
        <f t="shared" si="184"/>
        <v>57</v>
      </c>
      <c r="AR262" s="228">
        <f t="shared" si="173"/>
        <v>52</v>
      </c>
      <c r="AS262" s="229">
        <f t="shared" si="185"/>
        <v>45866.615972222222</v>
      </c>
      <c r="AT262" s="982">
        <f t="shared" ca="1" si="186"/>
        <v>88.384027777778101</v>
      </c>
      <c r="AU262" s="1077" t="s">
        <v>1746</v>
      </c>
      <c r="AV262" s="1078" t="s">
        <v>247</v>
      </c>
      <c r="AW262" s="1079" t="s">
        <v>247</v>
      </c>
      <c r="AX262" s="1079"/>
      <c r="AY262" s="1079"/>
      <c r="AZ262" s="1080">
        <v>45646</v>
      </c>
      <c r="BA262" s="1081">
        <f>BB262-AZ262</f>
        <v>18</v>
      </c>
      <c r="BB262" s="1091">
        <v>45664</v>
      </c>
      <c r="BC262" s="231" t="s">
        <v>13</v>
      </c>
      <c r="BD262" s="232"/>
      <c r="BE262" s="222">
        <f t="shared" si="166"/>
        <v>45821.615972222222</v>
      </c>
      <c r="BF262" s="233" t="e">
        <f t="shared" si="174"/>
        <v>#VALUE!</v>
      </c>
      <c r="BG262" s="248"/>
      <c r="BH262" s="235"/>
      <c r="BI262" s="234"/>
      <c r="BJ262" s="236"/>
      <c r="BK262" s="222"/>
      <c r="BL262" s="222"/>
      <c r="BM262" s="238"/>
      <c r="BN262" s="222"/>
      <c r="BO262" s="222"/>
      <c r="BP262" s="243"/>
      <c r="BQ262" s="244" t="s">
        <v>247</v>
      </c>
      <c r="BR262" s="238">
        <v>45806</v>
      </c>
      <c r="BS262" s="67"/>
      <c r="BT262" s="66"/>
      <c r="BU262" s="66"/>
      <c r="BV262" s="66"/>
      <c r="BW262" s="74"/>
      <c r="BX262" s="81"/>
      <c r="BY262" s="66">
        <v>45349</v>
      </c>
      <c r="BZ262" s="944" t="s">
        <v>1747</v>
      </c>
      <c r="CA262" s="42" t="str">
        <f t="shared" si="187"/>
        <v>0</v>
      </c>
      <c r="CB262" s="62">
        <f t="shared" si="188"/>
        <v>170.98541666666279</v>
      </c>
      <c r="CC262" s="42">
        <f t="shared" si="189"/>
        <v>18</v>
      </c>
      <c r="CD262" s="62">
        <f t="shared" si="190"/>
        <v>152.98541666666279</v>
      </c>
      <c r="CE262" s="62">
        <f t="shared" si="191"/>
        <v>4.5045706018517375</v>
      </c>
      <c r="CF262" s="1059">
        <f t="shared" si="192"/>
        <v>62.384027777778101</v>
      </c>
      <c r="CH262" s="1082">
        <f t="shared" si="193"/>
        <v>6.8714336419752033</v>
      </c>
      <c r="CI262" s="1083">
        <f t="shared" si="194"/>
        <v>6.8714336419752033</v>
      </c>
      <c r="CJ262" s="1084">
        <f t="shared" si="195"/>
        <v>1.0397337962963016</v>
      </c>
      <c r="CK262" s="1085" t="str">
        <f t="shared" si="196"/>
        <v/>
      </c>
      <c r="CL262" s="1057" t="str">
        <f t="shared" si="197"/>
        <v>NON-REV</v>
      </c>
      <c r="CM262" s="1057" t="str">
        <f t="shared" si="198"/>
        <v/>
      </c>
      <c r="CN262" s="1086"/>
      <c r="CO262" s="1087"/>
      <c r="CP262" s="629" t="str">
        <f t="shared" si="175"/>
        <v>FOR ISSUANCE</v>
      </c>
      <c r="CQ262" s="1086"/>
      <c r="CR262" s="1088"/>
      <c r="CS262" s="1089" t="str">
        <f t="shared" ca="1" si="199"/>
        <v>0</v>
      </c>
      <c r="CT262" s="1086"/>
      <c r="CU262" s="1087"/>
      <c r="CV262" s="1090"/>
      <c r="CW262" s="156" t="s">
        <v>1748</v>
      </c>
      <c r="CX262" s="156" t="str">
        <f>VLOOKUP(E262,'[1]List of Work Orders'!$A:$I,9,FALSE)</f>
        <v>ME185284</v>
      </c>
      <c r="CY262" s="156"/>
      <c r="DC262" s="1057" t="str">
        <f>VLOOKUP(E262,'[2]List of Work Orders'!$A:$F,6,FALSE)</f>
        <v>SCHED</v>
      </c>
      <c r="DS262" s="156" t="s">
        <v>397</v>
      </c>
    </row>
    <row r="263" spans="1:123" customFormat="1" ht="15" customHeight="1" x14ac:dyDescent="0.25">
      <c r="A263" s="242">
        <v>45645</v>
      </c>
      <c r="B263" s="222"/>
      <c r="C263" s="223"/>
      <c r="D263" s="66" t="s">
        <v>284</v>
      </c>
      <c r="E263" s="404" t="s">
        <v>1749</v>
      </c>
      <c r="F263" s="95" t="s">
        <v>1750</v>
      </c>
      <c r="G263" s="95" t="s">
        <v>1751</v>
      </c>
      <c r="H263" s="95" t="s">
        <v>378</v>
      </c>
      <c r="I263" s="95" t="s">
        <v>239</v>
      </c>
      <c r="J263" s="163"/>
      <c r="K263" s="101" t="s">
        <v>271</v>
      </c>
      <c r="L263" s="101" t="s">
        <v>288</v>
      </c>
      <c r="M263" s="345" t="s">
        <v>272</v>
      </c>
      <c r="N263" s="442" t="s">
        <v>381</v>
      </c>
      <c r="O263" s="165">
        <v>60.284599999999998</v>
      </c>
      <c r="P263" s="933">
        <v>143.57</v>
      </c>
      <c r="Q263" s="157">
        <v>63</v>
      </c>
      <c r="R263" s="109" t="s">
        <v>244</v>
      </c>
      <c r="S263" s="141">
        <v>525751.37</v>
      </c>
      <c r="T263" s="110">
        <v>52572.05</v>
      </c>
      <c r="U263" s="141"/>
      <c r="V263" s="158">
        <f t="shared" si="176"/>
        <v>0</v>
      </c>
      <c r="W263" s="159">
        <v>45636.389085648145</v>
      </c>
      <c r="X263" s="159">
        <v>45642.59652777778</v>
      </c>
      <c r="Y263" s="160">
        <v>45645</v>
      </c>
      <c r="Z263" s="470">
        <v>45668</v>
      </c>
      <c r="AA263" s="470">
        <v>45668</v>
      </c>
      <c r="AB263" s="470"/>
      <c r="AC263" s="161">
        <f t="shared" si="177"/>
        <v>31.610914351855172</v>
      </c>
      <c r="AD263" s="161">
        <f t="shared" si="168"/>
        <v>25.403472222220444</v>
      </c>
      <c r="AE263" s="446">
        <f t="shared" si="155"/>
        <v>-45668</v>
      </c>
      <c r="AF263" s="160">
        <f t="shared" si="169"/>
        <v>45656.734156070677</v>
      </c>
      <c r="AG263" s="160">
        <f t="shared" si="170"/>
        <v>45665.959508183354</v>
      </c>
      <c r="AH263" s="159">
        <f t="shared" si="171"/>
        <v>45686.389085648145</v>
      </c>
      <c r="AI263" s="162">
        <f t="shared" si="178"/>
        <v>1.0155542619826774</v>
      </c>
      <c r="AJ263" s="224">
        <f t="shared" si="172"/>
        <v>-761.13333333333333</v>
      </c>
      <c r="AK263" s="225">
        <f t="shared" si="179"/>
        <v>26</v>
      </c>
      <c r="AL263" s="170">
        <f t="shared" si="180"/>
        <v>34</v>
      </c>
      <c r="AM263" s="170">
        <f t="shared" si="181"/>
        <v>23.345070422535212</v>
      </c>
      <c r="AN263" s="170">
        <f t="shared" si="182"/>
        <v>29.570422535211268</v>
      </c>
      <c r="AO263" s="226">
        <f t="shared" si="183"/>
        <v>20.345070422535212</v>
      </c>
      <c r="AP263" s="227">
        <v>60</v>
      </c>
      <c r="AQ263" s="228">
        <f t="shared" si="184"/>
        <v>57</v>
      </c>
      <c r="AR263" s="228">
        <f t="shared" si="173"/>
        <v>52</v>
      </c>
      <c r="AS263" s="229">
        <f t="shared" si="185"/>
        <v>45728</v>
      </c>
      <c r="AT263" s="982">
        <f t="shared" ca="1" si="186"/>
        <v>227</v>
      </c>
      <c r="AU263" s="50"/>
      <c r="AV263" s="118"/>
      <c r="AW263" s="49"/>
      <c r="AX263" s="49"/>
      <c r="AY263" s="49"/>
      <c r="AZ263" s="300"/>
      <c r="BA263" s="119"/>
      <c r="BB263" s="304"/>
      <c r="BC263" s="231" t="s">
        <v>12</v>
      </c>
      <c r="BD263" s="232"/>
      <c r="BE263" s="222">
        <f t="shared" si="166"/>
        <v>45683</v>
      </c>
      <c r="BF263" s="233">
        <f t="shared" si="174"/>
        <v>173</v>
      </c>
      <c r="BG263" s="248">
        <v>45668</v>
      </c>
      <c r="BH263" s="235">
        <v>45856</v>
      </c>
      <c r="BI263" s="234"/>
      <c r="BJ263" s="236"/>
      <c r="BK263" s="222"/>
      <c r="BL263" s="222"/>
      <c r="BM263" s="238"/>
      <c r="BN263" s="222"/>
      <c r="BO263" s="222"/>
      <c r="BP263" s="243"/>
      <c r="BQ263" s="244"/>
      <c r="BR263" s="238"/>
      <c r="BS263" s="67"/>
      <c r="BT263" s="66"/>
      <c r="BU263" s="66"/>
      <c r="BV263" s="66"/>
      <c r="BW263" s="74"/>
      <c r="BX263" s="81"/>
      <c r="BY263" s="66">
        <v>45645</v>
      </c>
      <c r="BZ263" s="944" t="s">
        <v>1752</v>
      </c>
      <c r="CA263" s="42" t="str">
        <f t="shared" si="187"/>
        <v>0</v>
      </c>
      <c r="CB263" s="62">
        <f t="shared" si="188"/>
        <v>31.610914351855172</v>
      </c>
      <c r="CC263" s="42">
        <f t="shared" si="189"/>
        <v>0</v>
      </c>
      <c r="CD263" s="62">
        <f t="shared" si="190"/>
        <v>31.610914351855172</v>
      </c>
      <c r="CE263" s="62">
        <f t="shared" si="191"/>
        <v>1.0155542619826774</v>
      </c>
      <c r="CF263" s="145">
        <f t="shared" si="192"/>
        <v>201</v>
      </c>
      <c r="CG263" s="145"/>
      <c r="CH263" s="443">
        <f t="shared" si="193"/>
        <v>7.4730203253310936</v>
      </c>
      <c r="CI263" s="996">
        <f t="shared" si="194"/>
        <v>7.4730203253310936</v>
      </c>
      <c r="CJ263" s="261">
        <f t="shared" si="195"/>
        <v>3.35</v>
      </c>
      <c r="CK263" s="458" t="str">
        <f t="shared" si="196"/>
        <v/>
      </c>
      <c r="CL263" t="str">
        <f t="shared" si="197"/>
        <v>REV</v>
      </c>
      <c r="CM263" t="str">
        <f t="shared" si="198"/>
        <v/>
      </c>
      <c r="CN263" s="635"/>
      <c r="CO263" s="631"/>
      <c r="CP263" s="629" t="str">
        <f t="shared" si="175"/>
        <v>FOR ISSUANCE</v>
      </c>
      <c r="CQ263" s="635"/>
      <c r="CR263" s="697"/>
      <c r="CS263" s="633" t="str">
        <f t="shared" ca="1" si="199"/>
        <v>0</v>
      </c>
      <c r="CT263" s="635"/>
      <c r="CU263" s="631"/>
      <c r="CV263" s="638"/>
      <c r="CW263" s="156" t="s">
        <v>1753</v>
      </c>
      <c r="CX263" s="156" t="str">
        <f>VLOOKUP(E263,'[1]List of Work Orders'!$A:$I,9,FALSE)</f>
        <v>ME185284</v>
      </c>
      <c r="CY263" s="156"/>
      <c r="DC263" t="e">
        <f>VLOOKUP(E263,'[2]List of Work Orders'!$A:$F,6,FALSE)</f>
        <v>#N/A</v>
      </c>
      <c r="DS263" s="156" t="s">
        <v>397</v>
      </c>
    </row>
    <row r="264" spans="1:123" customFormat="1" ht="15" customHeight="1" x14ac:dyDescent="0.25">
      <c r="A264" s="242">
        <v>45649</v>
      </c>
      <c r="B264" s="222">
        <v>45647</v>
      </c>
      <c r="C264" s="223"/>
      <c r="D264" s="66" t="s">
        <v>234</v>
      </c>
      <c r="E264" s="404" t="s">
        <v>1754</v>
      </c>
      <c r="F264" s="95" t="s">
        <v>1755</v>
      </c>
      <c r="G264" s="95" t="s">
        <v>1756</v>
      </c>
      <c r="H264" s="95" t="s">
        <v>269</v>
      </c>
      <c r="I264" s="95" t="s">
        <v>239</v>
      </c>
      <c r="J264" s="163"/>
      <c r="K264" s="101" t="s">
        <v>271</v>
      </c>
      <c r="L264" s="101" t="s">
        <v>263</v>
      </c>
      <c r="M264" s="345" t="s">
        <v>331</v>
      </c>
      <c r="N264" s="442" t="s">
        <v>467</v>
      </c>
      <c r="O264" s="165">
        <v>99.840699999999998</v>
      </c>
      <c r="P264" s="165">
        <v>99.84</v>
      </c>
      <c r="Q264" s="157">
        <v>0</v>
      </c>
      <c r="R264" s="109" t="s">
        <v>319</v>
      </c>
      <c r="S264" s="141">
        <v>89332.4</v>
      </c>
      <c r="T264" s="110">
        <v>80399.210000000006</v>
      </c>
      <c r="U264" s="141"/>
      <c r="V264" s="158">
        <f t="shared" si="176"/>
        <v>0</v>
      </c>
      <c r="W264" s="159">
        <v>45636.39166666667</v>
      </c>
      <c r="X264" s="159">
        <v>45642.595833333333</v>
      </c>
      <c r="Y264" s="160">
        <v>45643</v>
      </c>
      <c r="Z264" s="470"/>
      <c r="AA264" s="470"/>
      <c r="AB264" s="470"/>
      <c r="AC264" s="161">
        <f t="shared" si="177"/>
        <v>-45636.39166666667</v>
      </c>
      <c r="AD264" s="161">
        <f t="shared" si="168"/>
        <v>-45642.595833333333</v>
      </c>
      <c r="AE264" s="446">
        <f t="shared" si="155"/>
        <v>0</v>
      </c>
      <c r="AF264" s="160">
        <f t="shared" si="169"/>
        <v>45656.477168525409</v>
      </c>
      <c r="AG264" s="160">
        <f t="shared" si="170"/>
        <v>45665.633302354399</v>
      </c>
      <c r="AH264" s="159">
        <f t="shared" si="171"/>
        <v>45686.39166666667</v>
      </c>
      <c r="AI264" s="162">
        <f t="shared" si="178"/>
        <v>-1482.6315650161032</v>
      </c>
      <c r="AJ264" s="224">
        <f t="shared" si="172"/>
        <v>0</v>
      </c>
      <c r="AK264" s="225">
        <f t="shared" si="179"/>
        <v>23</v>
      </c>
      <c r="AL264" s="170">
        <f t="shared" si="180"/>
        <v>36</v>
      </c>
      <c r="AM264" s="170">
        <f t="shared" si="181"/>
        <v>23.085501858736059</v>
      </c>
      <c r="AN264" s="170">
        <f t="shared" si="182"/>
        <v>29.241635687732341</v>
      </c>
      <c r="AO264" s="226">
        <f t="shared" si="183"/>
        <v>20.085501858736059</v>
      </c>
      <c r="AP264" s="227">
        <v>60</v>
      </c>
      <c r="AQ264" s="228">
        <f t="shared" si="184"/>
        <v>57</v>
      </c>
      <c r="AR264" s="228">
        <f t="shared" si="173"/>
        <v>52</v>
      </c>
      <c r="AS264" s="229">
        <f t="shared" si="185"/>
        <v>60</v>
      </c>
      <c r="AT264" s="982">
        <f t="shared" ca="1" si="186"/>
        <v>45895</v>
      </c>
      <c r="AU264" s="50"/>
      <c r="AV264" s="118"/>
      <c r="AW264" s="49"/>
      <c r="AX264" s="49"/>
      <c r="AY264" s="49"/>
      <c r="AZ264" s="300"/>
      <c r="BA264" s="119"/>
      <c r="BB264" s="304"/>
      <c r="BC264" s="231"/>
      <c r="BD264" s="232"/>
      <c r="BE264" s="222">
        <f t="shared" si="166"/>
        <v>15</v>
      </c>
      <c r="BF264" s="233">
        <f t="shared" si="174"/>
        <v>0</v>
      </c>
      <c r="BG264" s="248"/>
      <c r="BH264" s="235"/>
      <c r="BI264" s="234"/>
      <c r="BJ264" s="236"/>
      <c r="BK264" s="222"/>
      <c r="BL264" s="222"/>
      <c r="BM264" s="238"/>
      <c r="BN264" s="222"/>
      <c r="BO264" s="222"/>
      <c r="BP264" s="243"/>
      <c r="BQ264" s="244"/>
      <c r="BR264" s="238"/>
      <c r="BS264" s="67"/>
      <c r="BT264" s="66"/>
      <c r="BU264" s="66"/>
      <c r="BV264" s="66"/>
      <c r="BW264" s="74"/>
      <c r="BX264" s="81"/>
      <c r="BY264" s="66" t="s">
        <v>308</v>
      </c>
      <c r="BZ264" s="944"/>
      <c r="CA264" s="42" t="str">
        <f t="shared" si="187"/>
        <v>0</v>
      </c>
      <c r="CB264" s="62">
        <f t="shared" si="188"/>
        <v>-45636.39166666667</v>
      </c>
      <c r="CC264" s="42">
        <f t="shared" si="189"/>
        <v>0</v>
      </c>
      <c r="CD264" s="62">
        <f t="shared" si="190"/>
        <v>-45636.39166666667</v>
      </c>
      <c r="CE264" s="62">
        <f t="shared" si="191"/>
        <v>-1482.6315650161032</v>
      </c>
      <c r="CF264" s="145" t="str">
        <f t="shared" si="192"/>
        <v>0</v>
      </c>
      <c r="CG264" s="145"/>
      <c r="CH264" s="443">
        <f t="shared" si="193"/>
        <v>7.5569615539451389</v>
      </c>
      <c r="CI264" s="996">
        <f t="shared" si="194"/>
        <v>7.5569615539451389</v>
      </c>
      <c r="CJ264" s="261">
        <f t="shared" si="195"/>
        <v>0</v>
      </c>
      <c r="CK264" s="458">
        <f t="shared" si="196"/>
        <v>219.60833333332994</v>
      </c>
      <c r="CL264" t="str">
        <f t="shared" si="197"/>
        <v>NON-REV</v>
      </c>
      <c r="CM264" t="str">
        <f t="shared" si="198"/>
        <v>7-9 MONTHS</v>
      </c>
      <c r="CN264" s="635"/>
      <c r="CO264" s="631"/>
      <c r="CP264" s="629" t="str">
        <f t="shared" si="175"/>
        <v>FOR ISSUANCE</v>
      </c>
      <c r="CQ264" s="635"/>
      <c r="CR264" s="697"/>
      <c r="CS264" s="633" t="str">
        <f t="shared" ca="1" si="199"/>
        <v>0</v>
      </c>
      <c r="CT264" s="635"/>
      <c r="CU264" s="631"/>
      <c r="CV264" s="638"/>
      <c r="CW264" s="156" t="s">
        <v>1757</v>
      </c>
      <c r="CX264" s="156" t="str">
        <f>VLOOKUP(E264,'[1]List of Work Orders'!$A:$I,9,FALSE)</f>
        <v>ME155242</v>
      </c>
      <c r="CY264" s="156"/>
      <c r="DC264" t="str">
        <f>VLOOKUP(E264,'[2]List of Work Orders'!$A:$F,6,FALSE)</f>
        <v>SCHED</v>
      </c>
      <c r="DS264" s="156" t="s">
        <v>397</v>
      </c>
    </row>
    <row r="265" spans="1:123" customFormat="1" ht="15" customHeight="1" x14ac:dyDescent="0.25">
      <c r="A265" s="242">
        <v>45642</v>
      </c>
      <c r="B265" s="222"/>
      <c r="C265" s="223"/>
      <c r="D265" s="66" t="s">
        <v>234</v>
      </c>
      <c r="E265" s="404" t="s">
        <v>1758</v>
      </c>
      <c r="F265" s="95" t="s">
        <v>275</v>
      </c>
      <c r="G265" s="95" t="s">
        <v>276</v>
      </c>
      <c r="H265" s="95" t="s">
        <v>238</v>
      </c>
      <c r="I265" s="95" t="s">
        <v>239</v>
      </c>
      <c r="J265" s="163"/>
      <c r="K265" s="101" t="s">
        <v>271</v>
      </c>
      <c r="L265" s="101" t="s">
        <v>288</v>
      </c>
      <c r="M265" s="345" t="s">
        <v>272</v>
      </c>
      <c r="N265" s="442" t="s">
        <v>338</v>
      </c>
      <c r="O265" s="165">
        <v>41.711100000000002</v>
      </c>
      <c r="P265" s="933">
        <v>133.03</v>
      </c>
      <c r="Q265" s="157">
        <v>4999</v>
      </c>
      <c r="R265" s="109" t="s">
        <v>244</v>
      </c>
      <c r="S265" s="141">
        <v>810419.94</v>
      </c>
      <c r="T265" s="110">
        <v>33589.199999999997</v>
      </c>
      <c r="U265" s="141"/>
      <c r="V265" s="158">
        <f t="shared" si="176"/>
        <v>0</v>
      </c>
      <c r="W265" s="159">
        <v>45636.401655092595</v>
      </c>
      <c r="X265" s="159">
        <v>45643.629166666666</v>
      </c>
      <c r="Y265" s="160">
        <v>45643</v>
      </c>
      <c r="Z265" s="470"/>
      <c r="AA265" s="470">
        <v>45726</v>
      </c>
      <c r="AB265" s="470"/>
      <c r="AC265" s="161">
        <f t="shared" si="177"/>
        <v>89.59834490740468</v>
      </c>
      <c r="AD265" s="161">
        <f t="shared" si="168"/>
        <v>82.370833333334303</v>
      </c>
      <c r="AE265" s="446">
        <f t="shared" ref="AE265:AE328" si="200">AB265-AA265</f>
        <v>-45726</v>
      </c>
      <c r="AF265" s="160">
        <f t="shared" si="169"/>
        <v>45649.517357571931</v>
      </c>
      <c r="AG265" s="160">
        <f t="shared" si="170"/>
        <v>45656.81487823309</v>
      </c>
      <c r="AH265" s="159">
        <f t="shared" si="171"/>
        <v>45686.401655092595</v>
      </c>
      <c r="AI265" s="162">
        <f t="shared" si="178"/>
        <v>4.1697691283830638</v>
      </c>
      <c r="AJ265" s="224">
        <f t="shared" si="172"/>
        <v>-762.1</v>
      </c>
      <c r="AK265" s="225">
        <f t="shared" si="179"/>
        <v>26</v>
      </c>
      <c r="AL265" s="170">
        <f t="shared" si="180"/>
        <v>20</v>
      </c>
      <c r="AM265" s="170">
        <f t="shared" si="181"/>
        <v>16.115702479338843</v>
      </c>
      <c r="AN265" s="170">
        <f t="shared" si="182"/>
        <v>20.41322314049587</v>
      </c>
      <c r="AO265" s="226">
        <f t="shared" si="183"/>
        <v>13.115702479338843</v>
      </c>
      <c r="AP265" s="227">
        <v>60</v>
      </c>
      <c r="AQ265" s="228">
        <f t="shared" si="184"/>
        <v>57</v>
      </c>
      <c r="AR265" s="228">
        <f t="shared" si="173"/>
        <v>52</v>
      </c>
      <c r="AS265" s="229">
        <f t="shared" si="185"/>
        <v>45786</v>
      </c>
      <c r="AT265" s="982">
        <f t="shared" ca="1" si="186"/>
        <v>169</v>
      </c>
      <c r="AU265" s="50"/>
      <c r="AV265" s="118"/>
      <c r="AW265" s="49"/>
      <c r="AX265" s="49"/>
      <c r="AY265" s="49"/>
      <c r="AZ265" s="300"/>
      <c r="BA265" s="119"/>
      <c r="BB265" s="304"/>
      <c r="BC265" s="231" t="s">
        <v>13</v>
      </c>
      <c r="BD265" s="232"/>
      <c r="BE265" s="222">
        <f t="shared" si="166"/>
        <v>45741</v>
      </c>
      <c r="BF265" s="233" t="e">
        <f t="shared" si="174"/>
        <v>#VALUE!</v>
      </c>
      <c r="BG265" s="248"/>
      <c r="BH265" s="235"/>
      <c r="BI265" s="234"/>
      <c r="BJ265" s="236"/>
      <c r="BK265" s="222"/>
      <c r="BL265" s="222"/>
      <c r="BM265" s="238"/>
      <c r="BN265" s="222"/>
      <c r="BO265" s="222"/>
      <c r="BP265" s="243"/>
      <c r="BQ265" s="244" t="s">
        <v>247</v>
      </c>
      <c r="BR265" s="238"/>
      <c r="BS265" s="67"/>
      <c r="BT265" s="66"/>
      <c r="BU265" s="66"/>
      <c r="BV265" s="66"/>
      <c r="BW265" s="74"/>
      <c r="BX265" s="81"/>
      <c r="BY265" s="66" t="s">
        <v>308</v>
      </c>
      <c r="BZ265" s="944" t="s">
        <v>1759</v>
      </c>
      <c r="CA265" s="42" t="str">
        <f t="shared" si="187"/>
        <v>0</v>
      </c>
      <c r="CB265" s="62">
        <f t="shared" si="188"/>
        <v>89.59834490740468</v>
      </c>
      <c r="CC265" s="42">
        <f t="shared" si="189"/>
        <v>0</v>
      </c>
      <c r="CD265" s="62">
        <f t="shared" si="190"/>
        <v>89.59834490740468</v>
      </c>
      <c r="CE265" s="62">
        <f t="shared" si="191"/>
        <v>4.1697691283830638</v>
      </c>
      <c r="CF265" s="145">
        <f t="shared" si="192"/>
        <v>143</v>
      </c>
      <c r="CG265" s="145"/>
      <c r="CH265" s="443">
        <f t="shared" si="193"/>
        <v>10.824769128383064</v>
      </c>
      <c r="CI265" s="996">
        <f t="shared" si="194"/>
        <v>10.824769128383064</v>
      </c>
      <c r="CJ265" s="261">
        <f t="shared" si="195"/>
        <v>2.3833333333333333</v>
      </c>
      <c r="CK265" s="458" t="str">
        <f t="shared" si="196"/>
        <v/>
      </c>
      <c r="CL265" t="str">
        <f t="shared" si="197"/>
        <v>REV</v>
      </c>
      <c r="CM265" t="str">
        <f t="shared" si="198"/>
        <v/>
      </c>
      <c r="CN265" s="635"/>
      <c r="CO265" s="631"/>
      <c r="CP265" s="629" t="str">
        <f t="shared" si="175"/>
        <v>FOR ISSUANCE</v>
      </c>
      <c r="CQ265" s="635"/>
      <c r="CR265" s="697"/>
      <c r="CS265" s="633" t="str">
        <f t="shared" ca="1" si="199"/>
        <v>0</v>
      </c>
      <c r="CT265" s="635"/>
      <c r="CU265" s="631"/>
      <c r="CV265" s="638"/>
      <c r="CW265" s="156" t="s">
        <v>1760</v>
      </c>
      <c r="CX265" s="156" t="str">
        <f>VLOOKUP(E265,'[1]List of Work Orders'!$A:$I,9,FALSE)</f>
        <v>ME171160</v>
      </c>
      <c r="CY265" s="156"/>
      <c r="DC265" t="e">
        <f>VLOOKUP(E265,'[2]List of Work Orders'!$A:$F,6,FALSE)</f>
        <v>#N/A</v>
      </c>
      <c r="DS265" s="156" t="s">
        <v>397</v>
      </c>
    </row>
    <row r="266" spans="1:123" customFormat="1" ht="15" customHeight="1" x14ac:dyDescent="0.25">
      <c r="A266" s="242">
        <v>45715</v>
      </c>
      <c r="B266" s="222"/>
      <c r="C266" s="223"/>
      <c r="D266" s="66" t="s">
        <v>234</v>
      </c>
      <c r="E266" s="404" t="s">
        <v>1761</v>
      </c>
      <c r="F266" s="95" t="s">
        <v>926</v>
      </c>
      <c r="G266" s="95" t="s">
        <v>969</v>
      </c>
      <c r="H266" s="95" t="s">
        <v>378</v>
      </c>
      <c r="I266" s="95" t="s">
        <v>239</v>
      </c>
      <c r="J266" s="168" t="s">
        <v>1762</v>
      </c>
      <c r="K266" s="101" t="s">
        <v>299</v>
      </c>
      <c r="L266" s="101" t="s">
        <v>288</v>
      </c>
      <c r="M266" s="345" t="s">
        <v>272</v>
      </c>
      <c r="N266" s="442" t="s">
        <v>381</v>
      </c>
      <c r="O266" s="165">
        <v>80.927599999999998</v>
      </c>
      <c r="P266" s="933">
        <v>456.41</v>
      </c>
      <c r="Q266" s="157">
        <v>31</v>
      </c>
      <c r="R266" s="109" t="s">
        <v>244</v>
      </c>
      <c r="S266" s="141">
        <v>644480.06999999995</v>
      </c>
      <c r="T266" s="110">
        <v>65169.08</v>
      </c>
      <c r="U266" s="141"/>
      <c r="V266" s="158">
        <f t="shared" si="176"/>
        <v>0</v>
      </c>
      <c r="W266" s="159">
        <v>45636.423587962963</v>
      </c>
      <c r="X266" s="159">
        <v>45642.595138888886</v>
      </c>
      <c r="Y266" s="160">
        <v>45642</v>
      </c>
      <c r="Z266" s="470"/>
      <c r="AA266" s="470">
        <v>45759</v>
      </c>
      <c r="AB266" s="470"/>
      <c r="AC266" s="161">
        <f t="shared" si="177"/>
        <v>122.57641203703679</v>
      </c>
      <c r="AD266" s="161">
        <f t="shared" si="168"/>
        <v>116.40486111111386</v>
      </c>
      <c r="AE266" s="446">
        <f t="shared" si="200"/>
        <v>-45759</v>
      </c>
      <c r="AF266" s="160">
        <f t="shared" si="169"/>
        <v>45659.447684348503</v>
      </c>
      <c r="AG266" s="160">
        <f t="shared" si="170"/>
        <v>45669.38744338465</v>
      </c>
      <c r="AH266" s="159">
        <f t="shared" si="171"/>
        <v>45686.423587962963</v>
      </c>
      <c r="AI266" s="162">
        <f t="shared" si="178"/>
        <v>3.5325840969007132</v>
      </c>
      <c r="AJ266" s="224">
        <f t="shared" si="172"/>
        <v>-762.65</v>
      </c>
      <c r="AK266" s="225">
        <f t="shared" si="179"/>
        <v>32</v>
      </c>
      <c r="AL266" s="170">
        <f t="shared" si="180"/>
        <v>36</v>
      </c>
      <c r="AM266" s="170">
        <f t="shared" si="181"/>
        <v>26.024096385542165</v>
      </c>
      <c r="AN266" s="170">
        <f t="shared" si="182"/>
        <v>32.963855421686745</v>
      </c>
      <c r="AO266" s="226">
        <f t="shared" si="183"/>
        <v>23.024096385542165</v>
      </c>
      <c r="AP266" s="227">
        <v>60</v>
      </c>
      <c r="AQ266" s="228">
        <f t="shared" si="184"/>
        <v>57</v>
      </c>
      <c r="AR266" s="228">
        <f t="shared" si="173"/>
        <v>52</v>
      </c>
      <c r="AS266" s="229">
        <f t="shared" si="185"/>
        <v>45819</v>
      </c>
      <c r="AT266" s="982">
        <f t="shared" ca="1" si="186"/>
        <v>136</v>
      </c>
      <c r="AU266" s="50"/>
      <c r="AV266" s="118"/>
      <c r="AW266" s="49"/>
      <c r="AX266" s="49"/>
      <c r="AY266" s="49"/>
      <c r="AZ266" s="300"/>
      <c r="BA266" s="119"/>
      <c r="BB266" s="304"/>
      <c r="BC266" s="231" t="s">
        <v>13</v>
      </c>
      <c r="BD266" s="232"/>
      <c r="BE266" s="222">
        <f t="shared" si="166"/>
        <v>45774</v>
      </c>
      <c r="BF266" s="233" t="e">
        <f t="shared" si="174"/>
        <v>#VALUE!</v>
      </c>
      <c r="BG266" s="248"/>
      <c r="BH266" s="235"/>
      <c r="BI266" s="234"/>
      <c r="BJ266" s="236"/>
      <c r="BK266" s="222"/>
      <c r="BL266" s="222"/>
      <c r="BM266" s="238"/>
      <c r="BN266" s="222"/>
      <c r="BO266" s="222"/>
      <c r="BP266" s="243"/>
      <c r="BQ266" s="244" t="s">
        <v>247</v>
      </c>
      <c r="BR266" s="238">
        <v>45768</v>
      </c>
      <c r="BS266" s="67"/>
      <c r="BT266" s="66"/>
      <c r="BU266" s="66"/>
      <c r="BV266" s="66"/>
      <c r="BW266" s="74"/>
      <c r="BX266" s="81"/>
      <c r="BY266" s="66">
        <v>45653</v>
      </c>
      <c r="BZ266" s="944" t="s">
        <v>1763</v>
      </c>
      <c r="CA266" s="42" t="str">
        <f t="shared" si="187"/>
        <v>0</v>
      </c>
      <c r="CB266" s="62">
        <f t="shared" si="188"/>
        <v>122.57641203703679</v>
      </c>
      <c r="CC266" s="42">
        <f t="shared" si="189"/>
        <v>0</v>
      </c>
      <c r="CD266" s="62">
        <f t="shared" si="190"/>
        <v>122.57641203703679</v>
      </c>
      <c r="CE266" s="62">
        <f t="shared" si="191"/>
        <v>3.5325840969007132</v>
      </c>
      <c r="CF266" s="145">
        <f t="shared" si="192"/>
        <v>110</v>
      </c>
      <c r="CG266" s="145"/>
      <c r="CH266" s="443">
        <f t="shared" si="193"/>
        <v>6.7027229857896025</v>
      </c>
      <c r="CI266" s="996">
        <f t="shared" si="194"/>
        <v>6.7027229857896025</v>
      </c>
      <c r="CJ266" s="261">
        <f t="shared" si="195"/>
        <v>1.8333333333333333</v>
      </c>
      <c r="CK266" s="458" t="str">
        <f t="shared" si="196"/>
        <v/>
      </c>
      <c r="CL266" t="str">
        <f t="shared" si="197"/>
        <v>REV</v>
      </c>
      <c r="CM266" t="str">
        <f t="shared" si="198"/>
        <v/>
      </c>
      <c r="CN266" s="635"/>
      <c r="CO266" s="631"/>
      <c r="CP266" s="629" t="str">
        <f t="shared" si="175"/>
        <v>FOR ISSUANCE</v>
      </c>
      <c r="CQ266" s="635"/>
      <c r="CR266" s="697"/>
      <c r="CS266" s="633" t="str">
        <f t="shared" ca="1" si="199"/>
        <v>0</v>
      </c>
      <c r="CT266" s="635"/>
      <c r="CU266" s="631"/>
      <c r="CV266" s="638"/>
      <c r="CW266" s="156" t="s">
        <v>1764</v>
      </c>
      <c r="CX266" s="156" t="str">
        <f>VLOOKUP(E266,'[1]List of Work Orders'!$A:$I,9,FALSE)</f>
        <v>ME185284</v>
      </c>
      <c r="CY266" s="156"/>
      <c r="DC266" t="e">
        <f>VLOOKUP(E266,'[2]List of Work Orders'!$A:$F,6,FALSE)</f>
        <v>#N/A</v>
      </c>
      <c r="DS266" s="156" t="s">
        <v>397</v>
      </c>
    </row>
    <row r="267" spans="1:123" customFormat="1" ht="15" customHeight="1" x14ac:dyDescent="0.25">
      <c r="A267" s="242">
        <v>45645</v>
      </c>
      <c r="B267" s="222"/>
      <c r="C267" s="223"/>
      <c r="D267" s="66" t="s">
        <v>320</v>
      </c>
      <c r="E267" s="404" t="s">
        <v>1765</v>
      </c>
      <c r="F267" s="95" t="s">
        <v>1766</v>
      </c>
      <c r="G267" s="95" t="s">
        <v>1767</v>
      </c>
      <c r="H267" s="95" t="s">
        <v>318</v>
      </c>
      <c r="I267" s="95" t="s">
        <v>239</v>
      </c>
      <c r="J267" s="163" t="s">
        <v>1768</v>
      </c>
      <c r="K267" s="101"/>
      <c r="L267" s="101" t="s">
        <v>5</v>
      </c>
      <c r="M267" s="345" t="s">
        <v>272</v>
      </c>
      <c r="N267" s="442" t="s">
        <v>403</v>
      </c>
      <c r="O267" s="165">
        <v>72.207949999999997</v>
      </c>
      <c r="P267" s="933">
        <v>72.209999999999994</v>
      </c>
      <c r="Q267" s="157">
        <v>0</v>
      </c>
      <c r="R267" s="109" t="s">
        <v>548</v>
      </c>
      <c r="S267" s="141">
        <v>73744.25</v>
      </c>
      <c r="T267" s="110">
        <v>58147.16</v>
      </c>
      <c r="U267" s="141"/>
      <c r="V267" s="158">
        <f t="shared" si="176"/>
        <v>0</v>
      </c>
      <c r="W267" s="159">
        <v>45636.498761574076</v>
      </c>
      <c r="X267" s="159">
        <v>45642.597222222219</v>
      </c>
      <c r="Y267" s="160">
        <v>45643</v>
      </c>
      <c r="Z267" s="470">
        <v>45802</v>
      </c>
      <c r="AA267" s="470">
        <v>45772</v>
      </c>
      <c r="AB267" s="470"/>
      <c r="AC267" s="161">
        <f t="shared" si="177"/>
        <v>135.50123842592438</v>
      </c>
      <c r="AD267" s="161">
        <f t="shared" si="168"/>
        <v>129.40277777778101</v>
      </c>
      <c r="AE267" s="446">
        <f t="shared" si="200"/>
        <v>-45772</v>
      </c>
      <c r="AF267" s="160">
        <f t="shared" si="169"/>
        <v>45656.584263432815</v>
      </c>
      <c r="AG267" s="160">
        <f t="shared" si="170"/>
        <v>45665.740397261805</v>
      </c>
      <c r="AH267" s="159">
        <f t="shared" si="171"/>
        <v>45686.498761574076</v>
      </c>
      <c r="AI267" s="162">
        <f t="shared" si="178"/>
        <v>4.4021537604557555</v>
      </c>
      <c r="AJ267" s="224">
        <f t="shared" si="172"/>
        <v>-762.86666666666667</v>
      </c>
      <c r="AK267" s="225">
        <f t="shared" si="179"/>
        <v>23</v>
      </c>
      <c r="AL267" s="170">
        <f t="shared" si="180"/>
        <v>36</v>
      </c>
      <c r="AM267" s="170">
        <f t="shared" si="181"/>
        <v>23.085501858736059</v>
      </c>
      <c r="AN267" s="170">
        <f t="shared" si="182"/>
        <v>29.241635687732341</v>
      </c>
      <c r="AO267" s="226">
        <f t="shared" si="183"/>
        <v>20.085501858736059</v>
      </c>
      <c r="AP267" s="227">
        <v>60</v>
      </c>
      <c r="AQ267" s="228">
        <f t="shared" si="184"/>
        <v>57</v>
      </c>
      <c r="AR267" s="228">
        <f t="shared" si="173"/>
        <v>52</v>
      </c>
      <c r="AS267" s="229">
        <f t="shared" si="185"/>
        <v>45832</v>
      </c>
      <c r="AT267" s="982">
        <f t="shared" ca="1" si="186"/>
        <v>123</v>
      </c>
      <c r="AU267" s="50"/>
      <c r="AV267" s="118"/>
      <c r="AW267" s="49"/>
      <c r="AX267" s="49"/>
      <c r="AY267" s="49"/>
      <c r="AZ267" s="300"/>
      <c r="BA267" s="119"/>
      <c r="BB267" s="304"/>
      <c r="BC267" s="231" t="s">
        <v>12</v>
      </c>
      <c r="BD267" s="232"/>
      <c r="BE267" s="222">
        <f t="shared" si="166"/>
        <v>45787</v>
      </c>
      <c r="BF267" s="233">
        <f t="shared" si="174"/>
        <v>5</v>
      </c>
      <c r="BG267" s="248">
        <v>45772.45</v>
      </c>
      <c r="BH267" s="235">
        <v>45792</v>
      </c>
      <c r="BI267" s="234"/>
      <c r="BJ267" s="236"/>
      <c r="BK267" s="222"/>
      <c r="BL267" s="222"/>
      <c r="BM267" s="238"/>
      <c r="BN267" s="222"/>
      <c r="BO267" s="222"/>
      <c r="BP267" s="243"/>
      <c r="BQ267" s="244" t="s">
        <v>247</v>
      </c>
      <c r="BR267" s="238"/>
      <c r="BS267" s="67"/>
      <c r="BT267" s="66"/>
      <c r="BU267" s="66"/>
      <c r="BV267" s="66"/>
      <c r="BW267" s="74"/>
      <c r="BX267" s="81"/>
      <c r="BY267" s="66" t="s">
        <v>308</v>
      </c>
      <c r="BZ267" s="944"/>
      <c r="CA267" s="42" t="str">
        <f t="shared" si="187"/>
        <v>0</v>
      </c>
      <c r="CB267" s="62">
        <f t="shared" si="188"/>
        <v>135.50123842592438</v>
      </c>
      <c r="CC267" s="42">
        <f t="shared" si="189"/>
        <v>0</v>
      </c>
      <c r="CD267" s="62">
        <f t="shared" si="190"/>
        <v>135.50123842592438</v>
      </c>
      <c r="CE267" s="62">
        <f t="shared" si="191"/>
        <v>4.4021537604557555</v>
      </c>
      <c r="CF267" s="145">
        <f t="shared" si="192"/>
        <v>97</v>
      </c>
      <c r="CG267" s="145"/>
      <c r="CH267" s="443">
        <f t="shared" si="193"/>
        <v>7.5534822628712144</v>
      </c>
      <c r="CI267" s="996">
        <f t="shared" si="194"/>
        <v>7.5534822628712144</v>
      </c>
      <c r="CJ267" s="261">
        <f t="shared" si="195"/>
        <v>1.6166666666666667</v>
      </c>
      <c r="CK267" s="458" t="str">
        <f t="shared" si="196"/>
        <v/>
      </c>
      <c r="CL267" t="str">
        <f t="shared" si="197"/>
        <v>NON-REV</v>
      </c>
      <c r="CM267" t="str">
        <f t="shared" si="198"/>
        <v/>
      </c>
      <c r="CN267" s="635"/>
      <c r="CO267" s="631"/>
      <c r="CP267" s="629" t="str">
        <f t="shared" si="175"/>
        <v>FOR ISSUANCE</v>
      </c>
      <c r="CQ267" s="635"/>
      <c r="CR267" s="697"/>
      <c r="CS267" s="633" t="str">
        <f t="shared" ca="1" si="199"/>
        <v>0</v>
      </c>
      <c r="CT267" s="635"/>
      <c r="CU267" s="631"/>
      <c r="CV267" s="638"/>
      <c r="CW267" s="156" t="s">
        <v>1769</v>
      </c>
      <c r="CX267" s="156" t="str">
        <f>VLOOKUP(E267,'[1]List of Work Orders'!$A:$I,9,FALSE)</f>
        <v>ME166067</v>
      </c>
      <c r="CY267" s="156"/>
      <c r="DS267" s="156" t="s">
        <v>397</v>
      </c>
    </row>
    <row r="268" spans="1:123" ht="15" customHeight="1" x14ac:dyDescent="0.2">
      <c r="A268" s="242">
        <v>45642</v>
      </c>
      <c r="B268" s="222"/>
      <c r="C268" s="223"/>
      <c r="D268" s="66" t="s">
        <v>284</v>
      </c>
      <c r="E268" s="404" t="s">
        <v>1770</v>
      </c>
      <c r="F268" s="95" t="s">
        <v>1771</v>
      </c>
      <c r="G268" s="95" t="s">
        <v>1772</v>
      </c>
      <c r="H268" s="95" t="s">
        <v>238</v>
      </c>
      <c r="I268" s="95" t="s">
        <v>239</v>
      </c>
      <c r="J268" s="163"/>
      <c r="K268" s="101" t="s">
        <v>271</v>
      </c>
      <c r="L268" s="101" t="s">
        <v>255</v>
      </c>
      <c r="M268" s="345" t="s">
        <v>272</v>
      </c>
      <c r="N268" s="442" t="s">
        <v>381</v>
      </c>
      <c r="O268" s="165">
        <v>52.078499999999998</v>
      </c>
      <c r="P268" s="933">
        <v>52.08</v>
      </c>
      <c r="Q268" s="157">
        <v>80</v>
      </c>
      <c r="R268" s="109" t="s">
        <v>244</v>
      </c>
      <c r="S268" s="141">
        <v>393602.3</v>
      </c>
      <c r="T268" s="110">
        <v>41961.69</v>
      </c>
      <c r="U268" s="141"/>
      <c r="V268" s="158">
        <f t="shared" si="176"/>
        <v>0</v>
      </c>
      <c r="W268" s="159">
        <v>45636.654722222222</v>
      </c>
      <c r="X268" s="159">
        <v>45642.588888888888</v>
      </c>
      <c r="Y268" s="160">
        <v>45643</v>
      </c>
      <c r="Z268" s="470"/>
      <c r="AA268" s="470">
        <v>45733</v>
      </c>
      <c r="AB268" s="470"/>
      <c r="AC268" s="161">
        <f t="shared" si="177"/>
        <v>96.345277777778392</v>
      </c>
      <c r="AD268" s="161">
        <f t="shared" si="168"/>
        <v>90.411111111112405</v>
      </c>
      <c r="AE268" s="446">
        <f t="shared" si="200"/>
        <v>-45733</v>
      </c>
      <c r="AF268" s="160">
        <f t="shared" si="169"/>
        <v>45655.95510245036</v>
      </c>
      <c r="AG268" s="160">
        <f t="shared" si="170"/>
        <v>45664.901870511196</v>
      </c>
      <c r="AH268" s="159">
        <f t="shared" si="171"/>
        <v>45686.654722222222</v>
      </c>
      <c r="AI268" s="162">
        <f t="shared" si="178"/>
        <v>3.2402567845979173</v>
      </c>
      <c r="AJ268" s="224">
        <f t="shared" si="172"/>
        <v>-762.2166666666667</v>
      </c>
      <c r="AK268" s="225">
        <f t="shared" si="179"/>
        <v>23</v>
      </c>
      <c r="AL268" s="170">
        <f t="shared" si="180"/>
        <v>34</v>
      </c>
      <c r="AM268" s="170">
        <f t="shared" si="181"/>
        <v>22.300380228136884</v>
      </c>
      <c r="AN268" s="170">
        <f t="shared" si="182"/>
        <v>28.247148288973385</v>
      </c>
      <c r="AO268" s="226">
        <f t="shared" si="183"/>
        <v>19.300380228136884</v>
      </c>
      <c r="AP268" s="227">
        <v>60</v>
      </c>
      <c r="AQ268" s="228">
        <f t="shared" si="184"/>
        <v>57</v>
      </c>
      <c r="AR268" s="228">
        <f t="shared" si="173"/>
        <v>52</v>
      </c>
      <c r="AS268" s="229">
        <f t="shared" si="185"/>
        <v>45793</v>
      </c>
      <c r="AT268" s="982">
        <f t="shared" ca="1" si="186"/>
        <v>162</v>
      </c>
      <c r="AU268" s="1077"/>
      <c r="AV268" s="1078"/>
      <c r="AW268" s="1079"/>
      <c r="AX268" s="1079"/>
      <c r="AY268" s="1079"/>
      <c r="AZ268" s="1080"/>
      <c r="BA268" s="1081"/>
      <c r="BB268" s="1091"/>
      <c r="BC268" s="231" t="s">
        <v>13</v>
      </c>
      <c r="BD268" s="232"/>
      <c r="BE268" s="222">
        <f t="shared" si="166"/>
        <v>45748</v>
      </c>
      <c r="BF268" s="233" t="e">
        <f t="shared" si="174"/>
        <v>#VALUE!</v>
      </c>
      <c r="BG268" s="248"/>
      <c r="BH268" s="235"/>
      <c r="BI268" s="234"/>
      <c r="BJ268" s="236"/>
      <c r="BK268" s="222"/>
      <c r="BL268" s="222"/>
      <c r="BM268" s="238"/>
      <c r="BN268" s="222"/>
      <c r="BO268" s="222"/>
      <c r="BP268" s="243"/>
      <c r="BQ268" s="244" t="s">
        <v>247</v>
      </c>
      <c r="BR268" s="238"/>
      <c r="BS268" s="67"/>
      <c r="BT268" s="66"/>
      <c r="BU268" s="66"/>
      <c r="BV268" s="66"/>
      <c r="BW268" s="74"/>
      <c r="BX268" s="81"/>
      <c r="BY268" s="66">
        <v>45642</v>
      </c>
      <c r="BZ268" s="944" t="s">
        <v>1773</v>
      </c>
      <c r="CA268" s="42" t="str">
        <f t="shared" si="187"/>
        <v>0</v>
      </c>
      <c r="CB268" s="62">
        <f t="shared" si="188"/>
        <v>96.345277777778392</v>
      </c>
      <c r="CC268" s="42">
        <f t="shared" si="189"/>
        <v>0</v>
      </c>
      <c r="CD268" s="62">
        <f t="shared" si="190"/>
        <v>96.345277777778392</v>
      </c>
      <c r="CE268" s="62">
        <f t="shared" si="191"/>
        <v>3.2402567845979173</v>
      </c>
      <c r="CF268" s="1059">
        <f t="shared" si="192"/>
        <v>136</v>
      </c>
      <c r="CH268" s="1082">
        <f t="shared" si="193"/>
        <v>7.814169828076178</v>
      </c>
      <c r="CI268" s="1083">
        <f t="shared" si="194"/>
        <v>7.814169828076178</v>
      </c>
      <c r="CJ268" s="1084">
        <f t="shared" si="195"/>
        <v>2.2666666666666666</v>
      </c>
      <c r="CK268" s="1085" t="str">
        <f t="shared" si="196"/>
        <v/>
      </c>
      <c r="CL268" s="1057" t="str">
        <f t="shared" si="197"/>
        <v>REV</v>
      </c>
      <c r="CM268" s="1057" t="str">
        <f t="shared" si="198"/>
        <v/>
      </c>
      <c r="CN268" s="1086"/>
      <c r="CO268" s="1087"/>
      <c r="CP268" s="629" t="str">
        <f t="shared" si="175"/>
        <v>FOR ISSUANCE</v>
      </c>
      <c r="CQ268" s="1086"/>
      <c r="CR268" s="1088"/>
      <c r="CS268" s="1089" t="str">
        <f t="shared" ca="1" si="199"/>
        <v>0</v>
      </c>
      <c r="CT268" s="1086"/>
      <c r="CU268" s="1087"/>
      <c r="CV268" s="1090"/>
      <c r="CW268" s="156" t="s">
        <v>1774</v>
      </c>
      <c r="CX268" s="156" t="str">
        <f>VLOOKUP(E268,'[1]List of Work Orders'!$A:$I,9,FALSE)</f>
        <v>ME185284</v>
      </c>
      <c r="CY268" s="156"/>
      <c r="DS268" s="156" t="s">
        <v>397</v>
      </c>
    </row>
    <row r="269" spans="1:123" ht="15" customHeight="1" x14ac:dyDescent="0.2">
      <c r="A269" s="242">
        <v>45680</v>
      </c>
      <c r="B269" s="222"/>
      <c r="C269" s="223"/>
      <c r="D269" s="66" t="s">
        <v>234</v>
      </c>
      <c r="E269" s="404" t="s">
        <v>1775</v>
      </c>
      <c r="F269" s="95" t="s">
        <v>926</v>
      </c>
      <c r="G269" s="95" t="s">
        <v>1776</v>
      </c>
      <c r="H269" s="95" t="s">
        <v>253</v>
      </c>
      <c r="I269" s="95" t="s">
        <v>254</v>
      </c>
      <c r="J269" s="168"/>
      <c r="K269" s="101" t="s">
        <v>271</v>
      </c>
      <c r="L269" s="101" t="s">
        <v>255</v>
      </c>
      <c r="M269" s="345" t="s">
        <v>272</v>
      </c>
      <c r="N269" s="442" t="s">
        <v>381</v>
      </c>
      <c r="O269" s="165">
        <v>288.62920000000003</v>
      </c>
      <c r="P269" s="933">
        <v>288.63</v>
      </c>
      <c r="Q269" s="157">
        <v>22</v>
      </c>
      <c r="R269" s="109" t="s">
        <v>244</v>
      </c>
      <c r="S269" s="141">
        <v>1649653.47</v>
      </c>
      <c r="T269" s="110">
        <v>231671.38</v>
      </c>
      <c r="U269" s="141"/>
      <c r="V269" s="158">
        <f t="shared" si="176"/>
        <v>0</v>
      </c>
      <c r="W269" s="159">
        <v>45636.665752314817</v>
      </c>
      <c r="X269" s="159">
        <v>45642.594444444447</v>
      </c>
      <c r="Y269" s="160">
        <v>45643</v>
      </c>
      <c r="Z269" s="470">
        <v>45681</v>
      </c>
      <c r="AA269" s="470">
        <v>45687</v>
      </c>
      <c r="AB269" s="470"/>
      <c r="AC269" s="161">
        <f t="shared" si="177"/>
        <v>50.334247685183072</v>
      </c>
      <c r="AD269" s="161">
        <f t="shared" si="168"/>
        <v>44.405555555553292</v>
      </c>
      <c r="AE269" s="446">
        <f t="shared" si="200"/>
        <v>-45687</v>
      </c>
      <c r="AF269" s="160">
        <f t="shared" si="169"/>
        <v>45658.53417336745</v>
      </c>
      <c r="AG269" s="160">
        <f t="shared" si="170"/>
        <v>45668.165752314817</v>
      </c>
      <c r="AH269" s="159">
        <f t="shared" si="171"/>
        <v>45686.665752314817</v>
      </c>
      <c r="AI269" s="162">
        <f t="shared" si="178"/>
        <v>1.5180169936801242</v>
      </c>
      <c r="AJ269" s="224">
        <f t="shared" si="172"/>
        <v>-761.45</v>
      </c>
      <c r="AK269" s="225">
        <f t="shared" si="179"/>
        <v>28</v>
      </c>
      <c r="AL269" s="170">
        <f t="shared" si="180"/>
        <v>36</v>
      </c>
      <c r="AM269" s="170">
        <f t="shared" si="181"/>
        <v>24.868421052631579</v>
      </c>
      <c r="AN269" s="170">
        <f t="shared" si="182"/>
        <v>31.499999999999996</v>
      </c>
      <c r="AO269" s="226">
        <f t="shared" si="183"/>
        <v>21.868421052631579</v>
      </c>
      <c r="AP269" s="227">
        <v>60</v>
      </c>
      <c r="AQ269" s="228">
        <f t="shared" si="184"/>
        <v>57</v>
      </c>
      <c r="AR269" s="228">
        <f t="shared" si="173"/>
        <v>52</v>
      </c>
      <c r="AS269" s="229">
        <f t="shared" si="185"/>
        <v>45747</v>
      </c>
      <c r="AT269" s="982">
        <f t="shared" ca="1" si="186"/>
        <v>208</v>
      </c>
      <c r="AU269" s="1077"/>
      <c r="AV269" s="1078"/>
      <c r="AW269" s="1079"/>
      <c r="AX269" s="1079"/>
      <c r="AY269" s="1079"/>
      <c r="AZ269" s="1080"/>
      <c r="BA269" s="1081"/>
      <c r="BB269" s="1091"/>
      <c r="BC269" s="231" t="s">
        <v>12</v>
      </c>
      <c r="BD269" s="232"/>
      <c r="BE269" s="222">
        <f t="shared" si="166"/>
        <v>45702</v>
      </c>
      <c r="BF269" s="233">
        <f t="shared" si="174"/>
        <v>167</v>
      </c>
      <c r="BG269" s="248">
        <v>45681</v>
      </c>
      <c r="BH269" s="235">
        <v>45869</v>
      </c>
      <c r="BI269" s="234"/>
      <c r="BJ269" s="236"/>
      <c r="BK269" s="222"/>
      <c r="BL269" s="222"/>
      <c r="BM269" s="238"/>
      <c r="BN269" s="222"/>
      <c r="BO269" s="222"/>
      <c r="BP269" s="243"/>
      <c r="BQ269" s="244"/>
      <c r="BR269" s="238"/>
      <c r="BS269" s="67"/>
      <c r="BT269" s="66"/>
      <c r="BU269" s="66"/>
      <c r="BV269" s="66"/>
      <c r="BW269" s="74"/>
      <c r="BX269" s="81"/>
      <c r="BY269" s="66">
        <v>45680</v>
      </c>
      <c r="BZ269" s="944" t="s">
        <v>1777</v>
      </c>
      <c r="CA269" s="42" t="str">
        <f t="shared" si="187"/>
        <v>0</v>
      </c>
      <c r="CB269" s="62">
        <f t="shared" si="188"/>
        <v>50.334247685183072</v>
      </c>
      <c r="CC269" s="42">
        <f t="shared" si="189"/>
        <v>0</v>
      </c>
      <c r="CD269" s="62">
        <f t="shared" si="190"/>
        <v>50.334247685183072</v>
      </c>
      <c r="CE269" s="62">
        <f t="shared" si="191"/>
        <v>1.5180169936801242</v>
      </c>
      <c r="CF269" s="1059">
        <f t="shared" si="192"/>
        <v>182</v>
      </c>
      <c r="CH269" s="1082">
        <f t="shared" si="193"/>
        <v>7.0069058825690131</v>
      </c>
      <c r="CI269" s="1083">
        <f t="shared" si="194"/>
        <v>7.0069058825690131</v>
      </c>
      <c r="CJ269" s="1084">
        <f t="shared" si="195"/>
        <v>3.0333333333333332</v>
      </c>
      <c r="CK269" s="1085" t="str">
        <f t="shared" si="196"/>
        <v/>
      </c>
      <c r="CL269" s="1057" t="str">
        <f t="shared" si="197"/>
        <v>REV</v>
      </c>
      <c r="CM269" s="1057" t="str">
        <f t="shared" si="198"/>
        <v/>
      </c>
      <c r="CN269" s="1086"/>
      <c r="CO269" s="1087"/>
      <c r="CP269" s="629" t="str">
        <f t="shared" si="175"/>
        <v>FOR ISSUANCE</v>
      </c>
      <c r="CQ269" s="1086"/>
      <c r="CR269" s="1088"/>
      <c r="CS269" s="1089" t="str">
        <f t="shared" ca="1" si="199"/>
        <v>0</v>
      </c>
      <c r="CT269" s="1086"/>
      <c r="CU269" s="1087"/>
      <c r="CV269" s="1090"/>
      <c r="CW269" s="156" t="s">
        <v>1778</v>
      </c>
      <c r="CX269" s="156" t="str">
        <f>VLOOKUP(E269,'[1]List of Work Orders'!$A:$I,9,FALSE)</f>
        <v>ME185284</v>
      </c>
      <c r="CY269" s="156"/>
      <c r="DS269" s="156" t="s">
        <v>397</v>
      </c>
    </row>
    <row r="270" spans="1:123" ht="15" customHeight="1" x14ac:dyDescent="0.2">
      <c r="A270" s="242">
        <v>45649</v>
      </c>
      <c r="B270" s="222"/>
      <c r="C270" s="223"/>
      <c r="D270" s="66" t="s">
        <v>284</v>
      </c>
      <c r="E270" s="404" t="s">
        <v>1779</v>
      </c>
      <c r="F270" s="95" t="s">
        <v>1780</v>
      </c>
      <c r="G270" s="95" t="s">
        <v>1588</v>
      </c>
      <c r="H270" s="95" t="s">
        <v>269</v>
      </c>
      <c r="I270" s="95" t="s">
        <v>239</v>
      </c>
      <c r="J270" s="163"/>
      <c r="K270" s="101" t="s">
        <v>271</v>
      </c>
      <c r="L270" s="101" t="s">
        <v>255</v>
      </c>
      <c r="M270" s="345" t="s">
        <v>272</v>
      </c>
      <c r="N270" s="442" t="s">
        <v>381</v>
      </c>
      <c r="O270" s="165">
        <v>29.504999999999999</v>
      </c>
      <c r="P270" s="933">
        <v>29.51</v>
      </c>
      <c r="Q270" s="157">
        <v>139</v>
      </c>
      <c r="R270" s="109" t="s">
        <v>244</v>
      </c>
      <c r="S270" s="141">
        <v>810419.94</v>
      </c>
      <c r="T270" s="110">
        <v>23759.63</v>
      </c>
      <c r="U270" s="141"/>
      <c r="V270" s="158">
        <f t="shared" si="176"/>
        <v>0</v>
      </c>
      <c r="W270" s="159">
        <v>45637.516006944446</v>
      </c>
      <c r="X270" s="159">
        <v>45644.406944444447</v>
      </c>
      <c r="Y270" s="160">
        <v>45643</v>
      </c>
      <c r="Z270" s="470"/>
      <c r="AA270" s="470">
        <v>45677</v>
      </c>
      <c r="AB270" s="470"/>
      <c r="AC270" s="161">
        <f t="shared" si="177"/>
        <v>39.483993055553583</v>
      </c>
      <c r="AD270" s="161">
        <f t="shared" si="168"/>
        <v>32.593055555553292</v>
      </c>
      <c r="AE270" s="446">
        <f t="shared" si="200"/>
        <v>-45677</v>
      </c>
      <c r="AF270" s="160">
        <f t="shared" si="169"/>
        <v>45654.854989995292</v>
      </c>
      <c r="AG270" s="160">
        <f t="shared" si="170"/>
        <v>45663.278718808855</v>
      </c>
      <c r="AH270" s="159">
        <f t="shared" si="171"/>
        <v>45687.516006944446</v>
      </c>
      <c r="AI270" s="162">
        <f t="shared" si="178"/>
        <v>1.4559722439235383</v>
      </c>
      <c r="AJ270" s="224">
        <f t="shared" si="172"/>
        <v>-761.2833333333333</v>
      </c>
      <c r="AK270" s="225">
        <f t="shared" si="179"/>
        <v>20</v>
      </c>
      <c r="AL270" s="170">
        <f t="shared" si="180"/>
        <v>32</v>
      </c>
      <c r="AM270" s="170">
        <f t="shared" si="181"/>
        <v>20.33898305084746</v>
      </c>
      <c r="AN270" s="170">
        <f t="shared" si="182"/>
        <v>25.762711864406779</v>
      </c>
      <c r="AO270" s="226">
        <f t="shared" si="183"/>
        <v>17.33898305084746</v>
      </c>
      <c r="AP270" s="227">
        <v>60</v>
      </c>
      <c r="AQ270" s="228">
        <f t="shared" si="184"/>
        <v>57</v>
      </c>
      <c r="AR270" s="228">
        <f t="shared" si="173"/>
        <v>52</v>
      </c>
      <c r="AS270" s="229">
        <f t="shared" si="185"/>
        <v>45737</v>
      </c>
      <c r="AT270" s="982">
        <f t="shared" ca="1" si="186"/>
        <v>218</v>
      </c>
      <c r="AU270" s="1077"/>
      <c r="AV270" s="1078"/>
      <c r="AW270" s="1079"/>
      <c r="AX270" s="1079"/>
      <c r="AY270" s="1079"/>
      <c r="AZ270" s="1080"/>
      <c r="BA270" s="1081"/>
      <c r="BB270" s="1091"/>
      <c r="BC270" s="231" t="s">
        <v>13</v>
      </c>
      <c r="BD270" s="232"/>
      <c r="BE270" s="222">
        <f t="shared" si="166"/>
        <v>45692</v>
      </c>
      <c r="BF270" s="233" t="e">
        <f t="shared" si="174"/>
        <v>#VALUE!</v>
      </c>
      <c r="BG270" s="248"/>
      <c r="BH270" s="235"/>
      <c r="BI270" s="234"/>
      <c r="BJ270" s="236"/>
      <c r="BK270" s="222"/>
      <c r="BL270" s="222"/>
      <c r="BM270" s="238"/>
      <c r="BN270" s="222"/>
      <c r="BO270" s="222"/>
      <c r="BP270" s="243"/>
      <c r="BQ270" s="244" t="s">
        <v>247</v>
      </c>
      <c r="BR270" s="238">
        <v>45671</v>
      </c>
      <c r="BS270" s="67"/>
      <c r="BT270" s="66"/>
      <c r="BU270" s="66"/>
      <c r="BV270" s="66"/>
      <c r="BW270" s="74"/>
      <c r="BX270" s="81"/>
      <c r="BY270" s="66" t="s">
        <v>308</v>
      </c>
      <c r="BZ270" s="944" t="s">
        <v>1781</v>
      </c>
      <c r="CA270" s="42" t="str">
        <f t="shared" si="187"/>
        <v>0</v>
      </c>
      <c r="CB270" s="62">
        <f t="shared" si="188"/>
        <v>39.483993055553583</v>
      </c>
      <c r="CC270" s="42">
        <f t="shared" si="189"/>
        <v>0</v>
      </c>
      <c r="CD270" s="62">
        <f t="shared" si="190"/>
        <v>39.483993055553583</v>
      </c>
      <c r="CE270" s="62">
        <f t="shared" si="191"/>
        <v>1.4559722439235383</v>
      </c>
      <c r="CF270" s="1059">
        <f t="shared" si="192"/>
        <v>192</v>
      </c>
      <c r="CH270" s="1082">
        <f t="shared" si="193"/>
        <v>8.5359722439235384</v>
      </c>
      <c r="CI270" s="1083">
        <f t="shared" si="194"/>
        <v>8.5359722439235384</v>
      </c>
      <c r="CJ270" s="1084">
        <f t="shared" si="195"/>
        <v>3.2</v>
      </c>
      <c r="CK270" s="1085" t="str">
        <f t="shared" si="196"/>
        <v/>
      </c>
      <c r="CL270" s="1057" t="str">
        <f t="shared" si="197"/>
        <v>REV</v>
      </c>
      <c r="CM270" s="1057" t="str">
        <f t="shared" si="198"/>
        <v/>
      </c>
      <c r="CN270" s="1086"/>
      <c r="CO270" s="1087"/>
      <c r="CP270" s="629" t="str">
        <f t="shared" si="175"/>
        <v>FOR ISSUANCE</v>
      </c>
      <c r="CQ270" s="1086"/>
      <c r="CR270" s="1088"/>
      <c r="CS270" s="1089" t="str">
        <f t="shared" ca="1" si="199"/>
        <v>0</v>
      </c>
      <c r="CT270" s="1086"/>
      <c r="CU270" s="1087"/>
      <c r="CV270" s="1090"/>
      <c r="CW270" s="156" t="s">
        <v>1782</v>
      </c>
      <c r="CX270" s="156" t="str">
        <f>VLOOKUP(E270,'[1]List of Work Orders'!$A:$I,9,FALSE)</f>
        <v>ME185284</v>
      </c>
      <c r="CY270" s="156"/>
      <c r="DS270" s="156" t="s">
        <v>397</v>
      </c>
    </row>
    <row r="271" spans="1:123" customFormat="1" ht="15" customHeight="1" x14ac:dyDescent="0.25">
      <c r="A271" s="242">
        <v>45642</v>
      </c>
      <c r="B271" s="222">
        <v>45653</v>
      </c>
      <c r="C271" s="223"/>
      <c r="D271" s="66" t="s">
        <v>284</v>
      </c>
      <c r="E271" s="404" t="s">
        <v>1783</v>
      </c>
      <c r="F271" s="95" t="s">
        <v>1784</v>
      </c>
      <c r="G271" s="95" t="s">
        <v>237</v>
      </c>
      <c r="H271" s="95" t="s">
        <v>238</v>
      </c>
      <c r="I271" s="95" t="s">
        <v>239</v>
      </c>
      <c r="J271" s="163"/>
      <c r="K271" s="101" t="s">
        <v>271</v>
      </c>
      <c r="L271" s="101" t="s">
        <v>242</v>
      </c>
      <c r="M271" s="345" t="s">
        <v>256</v>
      </c>
      <c r="N271" s="442" t="s">
        <v>467</v>
      </c>
      <c r="O271" s="165">
        <v>144.6317</v>
      </c>
      <c r="P271" s="933">
        <v>144.63</v>
      </c>
      <c r="Q271" s="157">
        <v>247</v>
      </c>
      <c r="R271" s="109" t="s">
        <v>244</v>
      </c>
      <c r="S271" s="141">
        <v>975572.44</v>
      </c>
      <c r="T271" s="110">
        <v>116492.84</v>
      </c>
      <c r="U271" s="141">
        <f>46048.84+9988.03</f>
        <v>56036.869999999995</v>
      </c>
      <c r="V271" s="158">
        <f t="shared" si="176"/>
        <v>0.48103273986624412</v>
      </c>
      <c r="W271" s="159">
        <v>45637.557581018518</v>
      </c>
      <c r="X271" s="159">
        <v>45642.591666666667</v>
      </c>
      <c r="Y271" s="160">
        <v>45643</v>
      </c>
      <c r="Z271" s="470">
        <v>45694</v>
      </c>
      <c r="AA271" s="470">
        <v>45694</v>
      </c>
      <c r="AB271" s="470">
        <v>45855.866666666669</v>
      </c>
      <c r="AC271" s="161">
        <f t="shared" si="177"/>
        <v>56.442418981481751</v>
      </c>
      <c r="AD271" s="161">
        <f t="shared" si="168"/>
        <v>51.408333333332848</v>
      </c>
      <c r="AE271" s="446">
        <f t="shared" si="200"/>
        <v>161.86666666666861</v>
      </c>
      <c r="AF271" s="160">
        <f t="shared" si="169"/>
        <v>45656.064933959693</v>
      </c>
      <c r="AG271" s="160">
        <f t="shared" si="170"/>
        <v>45664.800228077343</v>
      </c>
      <c r="AH271" s="159">
        <f t="shared" si="171"/>
        <v>45687.557581018518</v>
      </c>
      <c r="AI271" s="162">
        <f t="shared" si="178"/>
        <v>1.9682484567901328</v>
      </c>
      <c r="AJ271" s="224">
        <f t="shared" si="172"/>
        <v>2.69777777777781</v>
      </c>
      <c r="AK271" s="225">
        <f t="shared" si="179"/>
        <v>26</v>
      </c>
      <c r="AL271" s="170">
        <f t="shared" si="180"/>
        <v>30</v>
      </c>
      <c r="AM271" s="170">
        <f t="shared" si="181"/>
        <v>21.507352941176471</v>
      </c>
      <c r="AN271" s="170">
        <f t="shared" si="182"/>
        <v>27.242647058823529</v>
      </c>
      <c r="AO271" s="226">
        <f t="shared" si="183"/>
        <v>18.507352941176471</v>
      </c>
      <c r="AP271" s="227">
        <v>60</v>
      </c>
      <c r="AQ271" s="228">
        <f t="shared" si="184"/>
        <v>57</v>
      </c>
      <c r="AR271" s="228">
        <f t="shared" si="173"/>
        <v>52</v>
      </c>
      <c r="AS271" s="229">
        <f t="shared" si="185"/>
        <v>45754</v>
      </c>
      <c r="AT271" s="982">
        <f t="shared" ca="1" si="186"/>
        <v>201</v>
      </c>
      <c r="AU271" s="50"/>
      <c r="AV271" s="118"/>
      <c r="AW271" s="49"/>
      <c r="AX271" s="49"/>
      <c r="AY271" s="49"/>
      <c r="AZ271" s="300"/>
      <c r="BA271" s="119"/>
      <c r="BB271" s="304"/>
      <c r="BC271" s="231" t="s">
        <v>14</v>
      </c>
      <c r="BD271" s="232"/>
      <c r="BE271" s="222">
        <f t="shared" si="166"/>
        <v>45709</v>
      </c>
      <c r="BF271" s="233">
        <f t="shared" si="174"/>
        <v>14</v>
      </c>
      <c r="BG271" s="248">
        <v>45694</v>
      </c>
      <c r="BH271" s="235">
        <v>45723</v>
      </c>
      <c r="BI271" s="234">
        <v>45820</v>
      </c>
      <c r="BJ271" s="236" t="s">
        <v>245</v>
      </c>
      <c r="BK271" s="222" t="s">
        <v>247</v>
      </c>
      <c r="BL271" s="222"/>
      <c r="BM271" s="238"/>
      <c r="BN271" s="222"/>
      <c r="BO271" s="222">
        <v>45847</v>
      </c>
      <c r="BP271" s="243" t="s">
        <v>1084</v>
      </c>
      <c r="BQ271" s="244" t="s">
        <v>247</v>
      </c>
      <c r="BR271" s="238">
        <v>45693</v>
      </c>
      <c r="BS271" s="67"/>
      <c r="BT271" s="66"/>
      <c r="BU271" s="66"/>
      <c r="BV271" s="66"/>
      <c r="BW271" s="74"/>
      <c r="BX271" s="81"/>
      <c r="BY271" s="66">
        <v>45642</v>
      </c>
      <c r="BZ271" s="944" t="s">
        <v>1785</v>
      </c>
      <c r="CA271" s="42" t="str">
        <f t="shared" si="187"/>
        <v>0</v>
      </c>
      <c r="CB271" s="62">
        <f t="shared" si="188"/>
        <v>56.442418981481751</v>
      </c>
      <c r="CC271" s="42">
        <f t="shared" si="189"/>
        <v>0</v>
      </c>
      <c r="CD271" s="62">
        <f t="shared" si="190"/>
        <v>56.442418981481751</v>
      </c>
      <c r="CE271" s="62">
        <f t="shared" si="191"/>
        <v>1.9682484567901328</v>
      </c>
      <c r="CF271" s="145">
        <f t="shared" si="192"/>
        <v>175</v>
      </c>
      <c r="CG271" s="145"/>
      <c r="CH271" s="443">
        <f t="shared" si="193"/>
        <v>8.0708125593542341</v>
      </c>
      <c r="CI271" s="996">
        <f t="shared" si="194"/>
        <v>8.0708125593542341</v>
      </c>
      <c r="CJ271" s="261">
        <f t="shared" si="195"/>
        <v>2.9166666666666665</v>
      </c>
      <c r="CK271" s="458" t="str">
        <f t="shared" si="196"/>
        <v/>
      </c>
      <c r="CL271" t="str">
        <f t="shared" si="197"/>
        <v>REV</v>
      </c>
      <c r="CM271" t="str">
        <f t="shared" si="198"/>
        <v/>
      </c>
      <c r="CN271" s="635"/>
      <c r="CO271" s="631"/>
      <c r="CP271" s="629" t="str">
        <f t="shared" si="175"/>
        <v>FOR ISSUANCE</v>
      </c>
      <c r="CQ271" s="635"/>
      <c r="CR271" s="697"/>
      <c r="CS271" s="633" t="str">
        <f t="shared" ca="1" si="199"/>
        <v>0</v>
      </c>
      <c r="CT271" s="635"/>
      <c r="CU271" s="631"/>
      <c r="CV271" s="638"/>
      <c r="CW271" s="156" t="s">
        <v>1786</v>
      </c>
      <c r="CX271" s="156" t="str">
        <f>VLOOKUP(E271,'[1]List of Work Orders'!$A:$I,9,FALSE)</f>
        <v>ME155242</v>
      </c>
      <c r="CY271" s="156"/>
      <c r="CZ271" s="63"/>
      <c r="DS271" s="156" t="s">
        <v>397</v>
      </c>
    </row>
    <row r="272" spans="1:123" customFormat="1" ht="15" customHeight="1" x14ac:dyDescent="0.25">
      <c r="A272" s="242">
        <v>45642</v>
      </c>
      <c r="B272" s="222">
        <v>45647</v>
      </c>
      <c r="C272" s="223" t="s">
        <v>247</v>
      </c>
      <c r="D272" s="66" t="s">
        <v>284</v>
      </c>
      <c r="E272" s="404" t="s">
        <v>1787</v>
      </c>
      <c r="F272" s="95" t="s">
        <v>1788</v>
      </c>
      <c r="G272" s="95" t="s">
        <v>237</v>
      </c>
      <c r="H272" s="95" t="s">
        <v>238</v>
      </c>
      <c r="I272" s="95" t="s">
        <v>239</v>
      </c>
      <c r="J272" s="163"/>
      <c r="K272" s="101" t="s">
        <v>271</v>
      </c>
      <c r="L272" s="101" t="s">
        <v>263</v>
      </c>
      <c r="M272" s="345" t="s">
        <v>272</v>
      </c>
      <c r="N272" s="442" t="s">
        <v>467</v>
      </c>
      <c r="O272" s="165">
        <v>187.60159999999999</v>
      </c>
      <c r="P272" s="933">
        <v>228.97</v>
      </c>
      <c r="Q272" s="157">
        <v>395</v>
      </c>
      <c r="R272" s="109" t="s">
        <v>244</v>
      </c>
      <c r="S272" s="141">
        <v>1391926.53</v>
      </c>
      <c r="T272" s="110">
        <v>151199.6</v>
      </c>
      <c r="U272" s="141"/>
      <c r="V272" s="158">
        <f t="shared" si="176"/>
        <v>0</v>
      </c>
      <c r="W272" s="159">
        <v>45637.558240740742</v>
      </c>
      <c r="X272" s="159">
        <v>45642.593055555553</v>
      </c>
      <c r="Y272" s="160">
        <v>45643</v>
      </c>
      <c r="Z272" s="470">
        <v>45751</v>
      </c>
      <c r="AA272" s="470">
        <v>45751</v>
      </c>
      <c r="AB272" s="470"/>
      <c r="AC272" s="161">
        <f t="shared" si="177"/>
        <v>113.44175925925811</v>
      </c>
      <c r="AD272" s="161">
        <f t="shared" si="168"/>
        <v>108.40694444444671</v>
      </c>
      <c r="AE272" s="446">
        <f t="shared" si="200"/>
        <v>-45751</v>
      </c>
      <c r="AF272" s="160">
        <f t="shared" si="169"/>
        <v>45655.558240740742</v>
      </c>
      <c r="AG272" s="160">
        <f t="shared" si="170"/>
        <v>45664.15824074074</v>
      </c>
      <c r="AH272" s="159">
        <f t="shared" si="171"/>
        <v>45687.558240740742</v>
      </c>
      <c r="AI272" s="162">
        <f t="shared" si="178"/>
        <v>4.0514914021163611</v>
      </c>
      <c r="AJ272" s="224">
        <f t="shared" si="172"/>
        <v>-762.51666666666665</v>
      </c>
      <c r="AK272" s="225">
        <f t="shared" si="179"/>
        <v>28</v>
      </c>
      <c r="AL272" s="170">
        <f t="shared" si="180"/>
        <v>28</v>
      </c>
      <c r="AM272" s="170">
        <f t="shared" si="181"/>
        <v>21</v>
      </c>
      <c r="AN272" s="170">
        <f t="shared" si="182"/>
        <v>26.6</v>
      </c>
      <c r="AO272" s="226">
        <f t="shared" si="183"/>
        <v>18</v>
      </c>
      <c r="AP272" s="227">
        <v>60</v>
      </c>
      <c r="AQ272" s="228">
        <f t="shared" si="184"/>
        <v>57</v>
      </c>
      <c r="AR272" s="228">
        <f t="shared" si="173"/>
        <v>52</v>
      </c>
      <c r="AS272" s="229">
        <f t="shared" si="185"/>
        <v>45811</v>
      </c>
      <c r="AT272" s="982">
        <f t="shared" ca="1" si="186"/>
        <v>144</v>
      </c>
      <c r="AU272" s="50"/>
      <c r="AV272" s="118"/>
      <c r="AW272" s="49"/>
      <c r="AX272" s="49"/>
      <c r="AY272" s="49"/>
      <c r="AZ272" s="300"/>
      <c r="BA272" s="119"/>
      <c r="BB272" s="304"/>
      <c r="BC272" s="231" t="s">
        <v>13</v>
      </c>
      <c r="BD272" s="232"/>
      <c r="BE272" s="222">
        <f t="shared" si="166"/>
        <v>45766</v>
      </c>
      <c r="BF272" s="233" t="e">
        <f t="shared" si="174"/>
        <v>#VALUE!</v>
      </c>
      <c r="BG272" s="248"/>
      <c r="BH272" s="235"/>
      <c r="BI272" s="234"/>
      <c r="BJ272" s="236"/>
      <c r="BK272" s="222"/>
      <c r="BL272" s="222"/>
      <c r="BM272" s="238"/>
      <c r="BN272" s="222"/>
      <c r="BO272" s="222"/>
      <c r="BP272" s="243"/>
      <c r="BQ272" s="244" t="s">
        <v>247</v>
      </c>
      <c r="BR272" s="238">
        <v>45769</v>
      </c>
      <c r="BS272" s="67"/>
      <c r="BT272" s="66"/>
      <c r="BU272" s="66"/>
      <c r="BV272" s="66"/>
      <c r="BW272" s="74"/>
      <c r="BX272" s="81"/>
      <c r="BY272" s="66">
        <v>45642</v>
      </c>
      <c r="BZ272" s="944" t="s">
        <v>1789</v>
      </c>
      <c r="CA272" s="42" t="str">
        <f t="shared" si="187"/>
        <v>0</v>
      </c>
      <c r="CB272" s="62">
        <f t="shared" si="188"/>
        <v>113.44175925925811</v>
      </c>
      <c r="CC272" s="42">
        <f t="shared" si="189"/>
        <v>0</v>
      </c>
      <c r="CD272" s="62">
        <f t="shared" si="190"/>
        <v>113.44175925925811</v>
      </c>
      <c r="CE272" s="62">
        <f t="shared" si="191"/>
        <v>4.0514914021163611</v>
      </c>
      <c r="CF272" s="145">
        <f t="shared" si="192"/>
        <v>118</v>
      </c>
      <c r="CG272" s="145"/>
      <c r="CH272" s="443">
        <f t="shared" si="193"/>
        <v>8.2657771164020755</v>
      </c>
      <c r="CI272" s="996">
        <f t="shared" si="194"/>
        <v>8.2657771164020755</v>
      </c>
      <c r="CJ272" s="261">
        <f t="shared" si="195"/>
        <v>1.9666666666666666</v>
      </c>
      <c r="CK272" s="458" t="str">
        <f t="shared" si="196"/>
        <v/>
      </c>
      <c r="CL272" t="str">
        <f t="shared" si="197"/>
        <v>REV</v>
      </c>
      <c r="CM272" t="str">
        <f t="shared" si="198"/>
        <v/>
      </c>
      <c r="CN272" s="635"/>
      <c r="CO272" s="631"/>
      <c r="CP272" s="629" t="str">
        <f t="shared" si="175"/>
        <v>FOR ISSUANCE</v>
      </c>
      <c r="CQ272" s="635"/>
      <c r="CR272" s="697"/>
      <c r="CS272" s="633" t="str">
        <f t="shared" ca="1" si="199"/>
        <v>0</v>
      </c>
      <c r="CT272" s="635"/>
      <c r="CU272" s="631"/>
      <c r="CV272" s="638"/>
      <c r="CW272" s="156" t="s">
        <v>1790</v>
      </c>
      <c r="CX272" s="156" t="str">
        <f>VLOOKUP(E272,'[1]List of Work Orders'!$A:$I,9,FALSE)</f>
        <v>ME155242</v>
      </c>
      <c r="CY272" s="156"/>
      <c r="DS272" s="156" t="s">
        <v>397</v>
      </c>
    </row>
    <row r="273" spans="1:123" customFormat="1" ht="15" customHeight="1" x14ac:dyDescent="0.25">
      <c r="A273" s="242">
        <v>45645</v>
      </c>
      <c r="B273" s="222"/>
      <c r="C273" s="223"/>
      <c r="D273" s="66" t="s">
        <v>320</v>
      </c>
      <c r="E273" s="404" t="s">
        <v>1791</v>
      </c>
      <c r="F273" s="95" t="s">
        <v>1792</v>
      </c>
      <c r="G273" s="95" t="s">
        <v>1793</v>
      </c>
      <c r="H273" s="95" t="s">
        <v>318</v>
      </c>
      <c r="I273" s="95" t="s">
        <v>239</v>
      </c>
      <c r="J273" s="163" t="s">
        <v>1794</v>
      </c>
      <c r="K273" s="101" t="s">
        <v>271</v>
      </c>
      <c r="L273" s="101" t="s">
        <v>5</v>
      </c>
      <c r="M273" s="345" t="s">
        <v>256</v>
      </c>
      <c r="N273" s="442" t="s">
        <v>475</v>
      </c>
      <c r="O273" s="165">
        <v>283.27319999999997</v>
      </c>
      <c r="P273" s="933">
        <v>273.20999999999998</v>
      </c>
      <c r="Q273" s="157">
        <v>890.5</v>
      </c>
      <c r="R273" s="109" t="s">
        <v>244</v>
      </c>
      <c r="S273" s="141">
        <v>1564214.32</v>
      </c>
      <c r="T273" s="110">
        <v>227012.78</v>
      </c>
      <c r="U273" s="141">
        <v>219336.99</v>
      </c>
      <c r="V273" s="158">
        <f t="shared" si="176"/>
        <v>0.96618785074567159</v>
      </c>
      <c r="W273" s="159">
        <v>45637.599039351851</v>
      </c>
      <c r="X273" s="159">
        <v>45644.411805555559</v>
      </c>
      <c r="Y273" s="160">
        <v>45643</v>
      </c>
      <c r="Z273" s="470"/>
      <c r="AA273" s="470">
        <v>45666</v>
      </c>
      <c r="AB273" s="470">
        <v>45820</v>
      </c>
      <c r="AC273" s="161">
        <f t="shared" si="177"/>
        <v>28.400960648148612</v>
      </c>
      <c r="AD273" s="161">
        <f t="shared" si="168"/>
        <v>21.588194444440887</v>
      </c>
      <c r="AE273" s="446">
        <f t="shared" si="200"/>
        <v>154</v>
      </c>
      <c r="AF273" s="160">
        <f t="shared" si="169"/>
        <v>45652.825454446189</v>
      </c>
      <c r="AG273" s="160">
        <f t="shared" si="170"/>
        <v>45660.68583180468</v>
      </c>
      <c r="AH273" s="159">
        <f t="shared" si="171"/>
        <v>45687.599039351851</v>
      </c>
      <c r="AI273" s="162">
        <f t="shared" si="178"/>
        <v>1.1686730701489725</v>
      </c>
      <c r="AJ273" s="224">
        <f t="shared" si="172"/>
        <v>2.5666666666666669</v>
      </c>
      <c r="AK273" s="225">
        <f t="shared" si="179"/>
        <v>28</v>
      </c>
      <c r="AL273" s="170">
        <f t="shared" si="180"/>
        <v>23</v>
      </c>
      <c r="AM273" s="170">
        <f t="shared" si="181"/>
        <v>18.226415094339625</v>
      </c>
      <c r="AN273" s="170">
        <f t="shared" si="182"/>
        <v>23.086792452830192</v>
      </c>
      <c r="AO273" s="226">
        <f t="shared" si="183"/>
        <v>15.226415094339625</v>
      </c>
      <c r="AP273" s="227">
        <v>60</v>
      </c>
      <c r="AQ273" s="228">
        <f t="shared" si="184"/>
        <v>57</v>
      </c>
      <c r="AR273" s="228">
        <f t="shared" si="173"/>
        <v>52</v>
      </c>
      <c r="AS273" s="229">
        <f t="shared" si="185"/>
        <v>45726</v>
      </c>
      <c r="AT273" s="982">
        <f t="shared" ca="1" si="186"/>
        <v>229</v>
      </c>
      <c r="AU273" s="50"/>
      <c r="AV273" s="118"/>
      <c r="AW273" s="49"/>
      <c r="AX273" s="49"/>
      <c r="AY273" s="49"/>
      <c r="AZ273" s="300"/>
      <c r="BA273" s="119"/>
      <c r="BB273" s="304"/>
      <c r="BC273" s="231" t="s">
        <v>14</v>
      </c>
      <c r="BD273" s="232"/>
      <c r="BE273" s="222">
        <f t="shared" si="166"/>
        <v>45681</v>
      </c>
      <c r="BF273" s="233">
        <f t="shared" si="174"/>
        <v>25</v>
      </c>
      <c r="BG273" s="248">
        <v>45666</v>
      </c>
      <c r="BH273" s="235">
        <v>45706</v>
      </c>
      <c r="BI273" s="234">
        <v>45789</v>
      </c>
      <c r="BJ273" s="236" t="s">
        <v>1488</v>
      </c>
      <c r="BK273" s="222"/>
      <c r="BL273" s="222"/>
      <c r="BM273" s="238"/>
      <c r="BN273" s="222"/>
      <c r="BO273" s="222">
        <v>45801</v>
      </c>
      <c r="BP273" s="243" t="s">
        <v>1084</v>
      </c>
      <c r="BQ273" s="244" t="s">
        <v>247</v>
      </c>
      <c r="BR273" s="238">
        <v>45665</v>
      </c>
      <c r="BS273" s="67"/>
      <c r="BT273" s="66"/>
      <c r="BU273" s="66"/>
      <c r="BV273" s="66"/>
      <c r="BW273" s="74"/>
      <c r="BX273" s="81"/>
      <c r="BY273" s="66">
        <v>45645</v>
      </c>
      <c r="BZ273" s="944" t="s">
        <v>1795</v>
      </c>
      <c r="CA273" s="42" t="str">
        <f t="shared" si="187"/>
        <v>0</v>
      </c>
      <c r="CB273" s="62">
        <f t="shared" si="188"/>
        <v>28.400960648148612</v>
      </c>
      <c r="CC273" s="42">
        <f t="shared" si="189"/>
        <v>0</v>
      </c>
      <c r="CD273" s="62">
        <f t="shared" si="190"/>
        <v>28.400960648148612</v>
      </c>
      <c r="CE273" s="62">
        <f t="shared" si="191"/>
        <v>1.1686730701489725</v>
      </c>
      <c r="CF273" s="145">
        <f t="shared" si="192"/>
        <v>203</v>
      </c>
      <c r="CG273" s="145"/>
      <c r="CH273" s="443">
        <f t="shared" si="193"/>
        <v>9.5219339397141898</v>
      </c>
      <c r="CI273" s="996">
        <f t="shared" si="194"/>
        <v>9.5219339397141898</v>
      </c>
      <c r="CJ273" s="261">
        <f t="shared" si="195"/>
        <v>3.3833333333333333</v>
      </c>
      <c r="CK273" s="458" t="str">
        <f t="shared" si="196"/>
        <v/>
      </c>
      <c r="CL273" t="str">
        <f t="shared" si="197"/>
        <v>REV</v>
      </c>
      <c r="CM273" t="str">
        <f t="shared" si="198"/>
        <v/>
      </c>
      <c r="CN273" s="635"/>
      <c r="CO273" s="631"/>
      <c r="CP273" s="629" t="str">
        <f t="shared" si="175"/>
        <v>FOR ISSUANCE</v>
      </c>
      <c r="CQ273" s="635"/>
      <c r="CR273" s="697"/>
      <c r="CS273" s="633" t="str">
        <f t="shared" ca="1" si="199"/>
        <v>0</v>
      </c>
      <c r="CT273" s="635"/>
      <c r="CU273" s="631"/>
      <c r="CV273" s="638"/>
      <c r="CW273" s="156" t="s">
        <v>1796</v>
      </c>
      <c r="CX273" s="156" t="str">
        <f>VLOOKUP(E273,'[1]List of Work Orders'!$A:$I,9,FALSE)</f>
        <v>ME185130</v>
      </c>
      <c r="CY273" s="156"/>
      <c r="DS273" s="156" t="s">
        <v>397</v>
      </c>
    </row>
    <row r="274" spans="1:123" customFormat="1" ht="15" customHeight="1" x14ac:dyDescent="0.25">
      <c r="A274" s="242">
        <v>45641</v>
      </c>
      <c r="B274" s="222"/>
      <c r="C274" s="223" t="s">
        <v>247</v>
      </c>
      <c r="D274" s="66" t="s">
        <v>284</v>
      </c>
      <c r="E274" s="404" t="s">
        <v>1797</v>
      </c>
      <c r="F274" s="95" t="s">
        <v>1798</v>
      </c>
      <c r="G274" s="95" t="s">
        <v>1799</v>
      </c>
      <c r="H274" s="95" t="s">
        <v>318</v>
      </c>
      <c r="I274" s="95" t="s">
        <v>239</v>
      </c>
      <c r="J274" s="163"/>
      <c r="K274" s="101"/>
      <c r="L274" s="101" t="s">
        <v>242</v>
      </c>
      <c r="M274" s="345" t="s">
        <v>272</v>
      </c>
      <c r="N274" s="442" t="s">
        <v>467</v>
      </c>
      <c r="O274" s="165">
        <v>55.05</v>
      </c>
      <c r="P274" s="933">
        <v>55.05</v>
      </c>
      <c r="Q274" s="157">
        <v>177</v>
      </c>
      <c r="R274" s="109" t="s">
        <v>244</v>
      </c>
      <c r="S274" s="141">
        <v>141821.41</v>
      </c>
      <c r="T274" s="110">
        <v>44330.400000000001</v>
      </c>
      <c r="U274" s="141">
        <v>4026.35</v>
      </c>
      <c r="V274" s="158">
        <f t="shared" si="176"/>
        <v>9.0825934347535775E-2</v>
      </c>
      <c r="W274" s="159">
        <v>45637.603865740741</v>
      </c>
      <c r="X274" s="159">
        <v>45639.407638888886</v>
      </c>
      <c r="Y274" s="160">
        <v>45642</v>
      </c>
      <c r="Z274" s="470">
        <v>45735</v>
      </c>
      <c r="AA274" s="470">
        <v>45735.393750000003</v>
      </c>
      <c r="AB274" s="470"/>
      <c r="AC274" s="161">
        <f t="shared" si="177"/>
        <v>97.78988425926218</v>
      </c>
      <c r="AD274" s="161">
        <f t="shared" si="168"/>
        <v>95.98611111111677</v>
      </c>
      <c r="AE274" s="446">
        <f t="shared" si="200"/>
        <v>-45735.393750000003</v>
      </c>
      <c r="AF274" s="160">
        <f t="shared" si="169"/>
        <v>45656.082464962528</v>
      </c>
      <c r="AG274" s="160">
        <f t="shared" si="170"/>
        <v>45664.810091421677</v>
      </c>
      <c r="AH274" s="159">
        <f t="shared" si="171"/>
        <v>45687.603865740741</v>
      </c>
      <c r="AI274" s="162">
        <f t="shared" si="178"/>
        <v>3.4146739476399972</v>
      </c>
      <c r="AJ274" s="224">
        <f t="shared" si="172"/>
        <v>-762.25656250000009</v>
      </c>
      <c r="AK274" s="225">
        <f t="shared" si="179"/>
        <v>23</v>
      </c>
      <c r="AL274" s="170">
        <f t="shared" si="180"/>
        <v>32</v>
      </c>
      <c r="AM274" s="170">
        <f t="shared" si="181"/>
        <v>21.478599221789885</v>
      </c>
      <c r="AN274" s="170">
        <f t="shared" si="182"/>
        <v>27.206225680933851</v>
      </c>
      <c r="AO274" s="226">
        <f t="shared" si="183"/>
        <v>18.478599221789885</v>
      </c>
      <c r="AP274" s="227">
        <v>60</v>
      </c>
      <c r="AQ274" s="228">
        <f t="shared" si="184"/>
        <v>57</v>
      </c>
      <c r="AR274" s="228">
        <f t="shared" si="173"/>
        <v>52</v>
      </c>
      <c r="AS274" s="229">
        <f t="shared" si="185"/>
        <v>45795.393750000003</v>
      </c>
      <c r="AT274" s="982">
        <f t="shared" ca="1" si="186"/>
        <v>159.60624999999709</v>
      </c>
      <c r="AU274" s="50"/>
      <c r="AV274" s="118"/>
      <c r="AW274" s="49"/>
      <c r="AX274" s="49"/>
      <c r="AY274" s="49"/>
      <c r="AZ274" s="300"/>
      <c r="BA274" s="119"/>
      <c r="BB274" s="304"/>
      <c r="BC274" s="231" t="s">
        <v>12</v>
      </c>
      <c r="BD274" s="232" t="s">
        <v>601</v>
      </c>
      <c r="BE274" s="222">
        <f t="shared" si="166"/>
        <v>45750.393750000003</v>
      </c>
      <c r="BF274" s="233">
        <f t="shared" si="174"/>
        <v>40.60624999999709</v>
      </c>
      <c r="BG274" s="248">
        <v>45734</v>
      </c>
      <c r="BH274" s="235">
        <v>45791</v>
      </c>
      <c r="BI274" s="234"/>
      <c r="BJ274" s="236"/>
      <c r="BK274" s="222"/>
      <c r="BL274" s="222"/>
      <c r="BM274" s="238"/>
      <c r="BN274" s="222"/>
      <c r="BO274" s="222"/>
      <c r="BP274" s="243"/>
      <c r="BQ274" s="244" t="s">
        <v>247</v>
      </c>
      <c r="BR274" s="238">
        <v>45733</v>
      </c>
      <c r="BS274" s="67"/>
      <c r="BT274" s="66"/>
      <c r="BU274" s="66"/>
      <c r="BV274" s="66"/>
      <c r="BW274" s="74"/>
      <c r="BX274" s="81"/>
      <c r="BY274" s="66" t="s">
        <v>308</v>
      </c>
      <c r="BZ274" s="944">
        <v>262402</v>
      </c>
      <c r="CA274" s="42" t="str">
        <f t="shared" si="187"/>
        <v>0</v>
      </c>
      <c r="CB274" s="62">
        <f t="shared" si="188"/>
        <v>97.78988425926218</v>
      </c>
      <c r="CC274" s="42">
        <f t="shared" si="189"/>
        <v>0</v>
      </c>
      <c r="CD274" s="62">
        <f t="shared" si="190"/>
        <v>97.78988425926218</v>
      </c>
      <c r="CE274" s="62">
        <f t="shared" si="191"/>
        <v>3.4146739476399972</v>
      </c>
      <c r="CF274" s="145">
        <f t="shared" si="192"/>
        <v>133.60624999999709</v>
      </c>
      <c r="CG274" s="145"/>
      <c r="CH274" s="443">
        <f t="shared" si="193"/>
        <v>8.0800008837811994</v>
      </c>
      <c r="CI274" s="996">
        <f t="shared" si="194"/>
        <v>8.0800008837811994</v>
      </c>
      <c r="CJ274" s="261">
        <f t="shared" si="195"/>
        <v>2.2267708333332847</v>
      </c>
      <c r="CK274" s="458" t="str">
        <f t="shared" si="196"/>
        <v/>
      </c>
      <c r="CL274" t="str">
        <f t="shared" si="197"/>
        <v>REV</v>
      </c>
      <c r="CM274" t="str">
        <f t="shared" si="198"/>
        <v/>
      </c>
      <c r="CN274" s="635"/>
      <c r="CO274" s="631"/>
      <c r="CP274" s="629" t="str">
        <f t="shared" si="175"/>
        <v>FOR ISSUANCE</v>
      </c>
      <c r="CQ274" s="635"/>
      <c r="CR274" s="697"/>
      <c r="CS274" s="633" t="str">
        <f t="shared" ca="1" si="199"/>
        <v>0</v>
      </c>
      <c r="CT274" s="635"/>
      <c r="CU274" s="631"/>
      <c r="CV274" s="638"/>
      <c r="CW274" s="156" t="s">
        <v>1800</v>
      </c>
      <c r="CX274" s="156" t="str">
        <f>VLOOKUP(E274,'[1]List of Work Orders'!$A:$I,9,FALSE)</f>
        <v>ME155242</v>
      </c>
      <c r="CY274" s="156"/>
      <c r="CZ274" s="63"/>
      <c r="DS274" s="156" t="s">
        <v>403</v>
      </c>
    </row>
    <row r="275" spans="1:123" customFormat="1" ht="15" customHeight="1" x14ac:dyDescent="0.25">
      <c r="A275" s="242">
        <v>45642</v>
      </c>
      <c r="B275" s="222"/>
      <c r="C275" s="223"/>
      <c r="D275" s="66" t="s">
        <v>320</v>
      </c>
      <c r="E275" s="404" t="s">
        <v>1801</v>
      </c>
      <c r="F275" s="95" t="s">
        <v>1802</v>
      </c>
      <c r="G275" s="95" t="s">
        <v>546</v>
      </c>
      <c r="H275" s="95" t="s">
        <v>238</v>
      </c>
      <c r="I275" s="95" t="s">
        <v>239</v>
      </c>
      <c r="J275" s="163" t="s">
        <v>1794</v>
      </c>
      <c r="K275" s="101" t="s">
        <v>271</v>
      </c>
      <c r="L275" s="101" t="s">
        <v>5</v>
      </c>
      <c r="M275" s="345" t="s">
        <v>272</v>
      </c>
      <c r="N275" s="442" t="s">
        <v>403</v>
      </c>
      <c r="O275" s="165">
        <v>52.731000000000002</v>
      </c>
      <c r="P275" s="933">
        <v>52.73</v>
      </c>
      <c r="Q275" s="157">
        <v>63</v>
      </c>
      <c r="R275" s="109" t="s">
        <v>244</v>
      </c>
      <c r="S275" s="141">
        <v>428089.39</v>
      </c>
      <c r="T275" s="110">
        <v>42462.879999999997</v>
      </c>
      <c r="U275" s="141"/>
      <c r="V275" s="158">
        <f t="shared" si="176"/>
        <v>0</v>
      </c>
      <c r="W275" s="159">
        <v>45637.652604166666</v>
      </c>
      <c r="X275" s="159">
        <v>45642.59097222222</v>
      </c>
      <c r="Y275" s="160">
        <v>45643</v>
      </c>
      <c r="Z275" s="470"/>
      <c r="AA275" s="470">
        <v>45712</v>
      </c>
      <c r="AB275" s="470"/>
      <c r="AC275" s="161">
        <f t="shared" si="177"/>
        <v>74.347395833334303</v>
      </c>
      <c r="AD275" s="161">
        <f t="shared" ref="AD275:AD286" si="201">AA275-X275</f>
        <v>69.409027777779556</v>
      </c>
      <c r="AE275" s="446">
        <f t="shared" si="200"/>
        <v>-45712</v>
      </c>
      <c r="AF275" s="160">
        <f t="shared" ref="AF275:AF286" si="202">W275+AO275</f>
        <v>45656.952984394804</v>
      </c>
      <c r="AG275" s="160">
        <f t="shared" ref="AG275:AG286" si="203">W275+AN275</f>
        <v>45665.89975245564</v>
      </c>
      <c r="AH275" s="159">
        <f t="shared" ref="AH275:AH286" si="204">W275+50</f>
        <v>45687.652604166666</v>
      </c>
      <c r="AI275" s="162">
        <f t="shared" si="178"/>
        <v>2.500430320225949</v>
      </c>
      <c r="AJ275" s="224">
        <f t="shared" ref="AJ275:AJ286" si="205">AE275/AP275</f>
        <v>-761.86666666666667</v>
      </c>
      <c r="AK275" s="225">
        <f t="shared" si="179"/>
        <v>23</v>
      </c>
      <c r="AL275" s="170">
        <f t="shared" si="180"/>
        <v>34</v>
      </c>
      <c r="AM275" s="170">
        <f t="shared" si="181"/>
        <v>22.300380228136884</v>
      </c>
      <c r="AN275" s="170">
        <f t="shared" si="182"/>
        <v>28.247148288973385</v>
      </c>
      <c r="AO275" s="226">
        <f t="shared" si="183"/>
        <v>19.300380228136884</v>
      </c>
      <c r="AP275" s="227">
        <v>60</v>
      </c>
      <c r="AQ275" s="228">
        <f t="shared" si="184"/>
        <v>57</v>
      </c>
      <c r="AR275" s="228">
        <f t="shared" ref="AR275:AR286" si="206">AQ275-5</f>
        <v>52</v>
      </c>
      <c r="AS275" s="229">
        <f t="shared" si="185"/>
        <v>45772</v>
      </c>
      <c r="AT275" s="982">
        <f t="shared" ca="1" si="186"/>
        <v>183</v>
      </c>
      <c r="AU275" s="50"/>
      <c r="AV275" s="118"/>
      <c r="AW275" s="49"/>
      <c r="AX275" s="49"/>
      <c r="AY275" s="49"/>
      <c r="AZ275" s="300"/>
      <c r="BA275" s="119"/>
      <c r="BB275" s="304"/>
      <c r="BC275" s="231" t="s">
        <v>264</v>
      </c>
      <c r="BD275" s="232"/>
      <c r="BE275" s="222">
        <f t="shared" si="166"/>
        <v>45727</v>
      </c>
      <c r="BF275" s="233">
        <f t="shared" si="174"/>
        <v>2</v>
      </c>
      <c r="BG275" s="234">
        <v>45712</v>
      </c>
      <c r="BH275" s="234">
        <v>45729</v>
      </c>
      <c r="BI275" s="234">
        <v>45741</v>
      </c>
      <c r="BJ275" s="236" t="s">
        <v>1119</v>
      </c>
      <c r="BK275" s="222" t="s">
        <v>246</v>
      </c>
      <c r="BL275" s="222"/>
      <c r="BM275" s="238"/>
      <c r="BN275" s="222"/>
      <c r="BO275" s="222">
        <v>45818</v>
      </c>
      <c r="BP275" s="243" t="s">
        <v>1084</v>
      </c>
      <c r="BQ275" s="244" t="s">
        <v>247</v>
      </c>
      <c r="BR275" s="238">
        <v>45709</v>
      </c>
      <c r="BS275" s="67"/>
      <c r="BT275" s="66"/>
      <c r="BU275" s="66"/>
      <c r="BV275" s="66"/>
      <c r="BW275" s="74"/>
      <c r="BX275" s="81"/>
      <c r="BY275" s="66">
        <v>45642</v>
      </c>
      <c r="BZ275" s="944" t="s">
        <v>1803</v>
      </c>
      <c r="CA275" s="42" t="str">
        <f t="shared" si="187"/>
        <v>0</v>
      </c>
      <c r="CB275" s="62">
        <f t="shared" si="188"/>
        <v>74.347395833334303</v>
      </c>
      <c r="CC275" s="42">
        <f t="shared" si="189"/>
        <v>0</v>
      </c>
      <c r="CD275" s="62">
        <f t="shared" si="190"/>
        <v>74.347395833334303</v>
      </c>
      <c r="CE275" s="62">
        <f t="shared" si="191"/>
        <v>2.500430320225949</v>
      </c>
      <c r="CF275" s="145">
        <f t="shared" si="192"/>
        <v>157</v>
      </c>
      <c r="CG275" s="145"/>
      <c r="CH275" s="443">
        <f t="shared" si="193"/>
        <v>7.7806093483589418</v>
      </c>
      <c r="CI275" s="996">
        <f t="shared" si="194"/>
        <v>7.7806093483589418</v>
      </c>
      <c r="CJ275" s="261">
        <f t="shared" si="195"/>
        <v>2.6166666666666667</v>
      </c>
      <c r="CK275" s="458" t="str">
        <f t="shared" si="196"/>
        <v/>
      </c>
      <c r="CL275" t="str">
        <f t="shared" si="197"/>
        <v>REV</v>
      </c>
      <c r="CM275" t="str">
        <f t="shared" si="198"/>
        <v/>
      </c>
      <c r="CN275" s="635">
        <v>45818</v>
      </c>
      <c r="CO275" s="631">
        <v>4001.31</v>
      </c>
      <c r="CP275" s="629" t="str">
        <f t="shared" si="175"/>
        <v>NTC ISSUED</v>
      </c>
      <c r="CQ275" s="635">
        <v>45818</v>
      </c>
      <c r="CR275" s="697"/>
      <c r="CS275" s="633">
        <f t="shared" ca="1" si="199"/>
        <v>77</v>
      </c>
      <c r="CT275" s="635">
        <v>45847</v>
      </c>
      <c r="CU275" s="631">
        <v>4001.31</v>
      </c>
      <c r="CV275" s="638">
        <v>45853</v>
      </c>
      <c r="CW275" s="156" t="s">
        <v>1804</v>
      </c>
      <c r="CX275" s="156" t="str">
        <f>VLOOKUP(E275,'[1]List of Work Orders'!$A:$I,9,FALSE)</f>
        <v>ME166067</v>
      </c>
      <c r="CY275" s="156"/>
      <c r="DS275" s="156" t="s">
        <v>478</v>
      </c>
    </row>
    <row r="276" spans="1:123" customFormat="1" ht="15" customHeight="1" x14ac:dyDescent="0.25">
      <c r="A276" s="242">
        <v>45642</v>
      </c>
      <c r="B276" s="222">
        <v>45647</v>
      </c>
      <c r="C276" s="223"/>
      <c r="D276" s="66" t="s">
        <v>320</v>
      </c>
      <c r="E276" s="404" t="s">
        <v>1805</v>
      </c>
      <c r="F276" s="95" t="s">
        <v>1806</v>
      </c>
      <c r="G276" s="95" t="s">
        <v>1807</v>
      </c>
      <c r="H276" s="95" t="s">
        <v>238</v>
      </c>
      <c r="I276" s="95" t="s">
        <v>239</v>
      </c>
      <c r="J276" s="163"/>
      <c r="K276" s="101" t="s">
        <v>271</v>
      </c>
      <c r="L276" s="101" t="s">
        <v>263</v>
      </c>
      <c r="M276" s="345" t="s">
        <v>272</v>
      </c>
      <c r="N276" s="442" t="s">
        <v>467</v>
      </c>
      <c r="O276" s="165">
        <v>64.906999999999996</v>
      </c>
      <c r="P276" s="933">
        <v>152.37</v>
      </c>
      <c r="Q276" s="157">
        <v>117</v>
      </c>
      <c r="R276" s="109" t="s">
        <v>548</v>
      </c>
      <c r="S276" s="141">
        <v>410179.91</v>
      </c>
      <c r="T276" s="110">
        <v>51914.54</v>
      </c>
      <c r="U276" s="141"/>
      <c r="V276" s="158">
        <f t="shared" si="176"/>
        <v>0</v>
      </c>
      <c r="W276" s="159">
        <v>45637.652916666666</v>
      </c>
      <c r="X276" s="159">
        <v>45642.590277777781</v>
      </c>
      <c r="Y276" s="160">
        <v>45643</v>
      </c>
      <c r="Z276" s="470"/>
      <c r="AA276" s="470">
        <v>45799</v>
      </c>
      <c r="AB276" s="470"/>
      <c r="AC276" s="161">
        <f t="shared" si="177"/>
        <v>161.34708333333401</v>
      </c>
      <c r="AD276" s="161">
        <f t="shared" si="201"/>
        <v>156.40972222221899</v>
      </c>
      <c r="AE276" s="446">
        <f t="shared" si="200"/>
        <v>-45799</v>
      </c>
      <c r="AF276" s="160">
        <f t="shared" si="202"/>
        <v>45657.098959832132</v>
      </c>
      <c r="AG276" s="160">
        <f t="shared" si="203"/>
        <v>45666.084571342923</v>
      </c>
      <c r="AH276" s="159">
        <f t="shared" si="204"/>
        <v>45687.652916666666</v>
      </c>
      <c r="AI276" s="162">
        <f t="shared" si="178"/>
        <v>5.3911645633013041</v>
      </c>
      <c r="AJ276" s="224">
        <f t="shared" si="205"/>
        <v>-763.31666666666672</v>
      </c>
      <c r="AK276" s="225">
        <f t="shared" si="179"/>
        <v>26</v>
      </c>
      <c r="AL276" s="170">
        <f t="shared" si="180"/>
        <v>32</v>
      </c>
      <c r="AM276" s="170">
        <f t="shared" si="181"/>
        <v>22.446043165467625</v>
      </c>
      <c r="AN276" s="170">
        <f t="shared" si="182"/>
        <v>28.431654676258994</v>
      </c>
      <c r="AO276" s="226">
        <f t="shared" si="183"/>
        <v>19.446043165467625</v>
      </c>
      <c r="AP276" s="227">
        <v>60</v>
      </c>
      <c r="AQ276" s="228">
        <f t="shared" si="184"/>
        <v>57</v>
      </c>
      <c r="AR276" s="228">
        <f t="shared" si="206"/>
        <v>52</v>
      </c>
      <c r="AS276" s="229">
        <f t="shared" si="185"/>
        <v>45859</v>
      </c>
      <c r="AT276" s="982">
        <f t="shared" ca="1" si="186"/>
        <v>96</v>
      </c>
      <c r="AU276" s="50"/>
      <c r="AV276" s="118"/>
      <c r="AW276" s="49"/>
      <c r="AX276" s="49"/>
      <c r="AY276" s="49"/>
      <c r="AZ276" s="300"/>
      <c r="BA276" s="119"/>
      <c r="BB276" s="304"/>
      <c r="BC276" s="231" t="s">
        <v>13</v>
      </c>
      <c r="BD276" s="232"/>
      <c r="BE276" s="222">
        <f t="shared" si="166"/>
        <v>45814</v>
      </c>
      <c r="BF276" s="233" t="e">
        <f t="shared" si="174"/>
        <v>#VALUE!</v>
      </c>
      <c r="BG276" s="248"/>
      <c r="BH276" s="235"/>
      <c r="BI276" s="234"/>
      <c r="BJ276" s="236"/>
      <c r="BK276" s="222"/>
      <c r="BL276" s="222"/>
      <c r="BM276" s="238"/>
      <c r="BN276" s="222"/>
      <c r="BO276" s="222"/>
      <c r="BP276" s="243"/>
      <c r="BQ276" s="244" t="s">
        <v>247</v>
      </c>
      <c r="BR276" s="238"/>
      <c r="BS276" s="67"/>
      <c r="BT276" s="66"/>
      <c r="BU276" s="66"/>
      <c r="BV276" s="66"/>
      <c r="BW276" s="74"/>
      <c r="BX276" s="81"/>
      <c r="BY276" s="66">
        <v>45642</v>
      </c>
      <c r="BZ276" s="944" t="s">
        <v>1808</v>
      </c>
      <c r="CA276" s="42" t="str">
        <f t="shared" si="187"/>
        <v>0</v>
      </c>
      <c r="CB276" s="62">
        <f t="shared" si="188"/>
        <v>161.34708333333401</v>
      </c>
      <c r="CC276" s="42">
        <f t="shared" si="189"/>
        <v>0</v>
      </c>
      <c r="CD276" s="62">
        <f t="shared" si="190"/>
        <v>161.34708333333401</v>
      </c>
      <c r="CE276" s="62">
        <f t="shared" si="191"/>
        <v>5.3911645633013041</v>
      </c>
      <c r="CF276" s="145">
        <f t="shared" si="192"/>
        <v>70</v>
      </c>
      <c r="CG276" s="145"/>
      <c r="CH276" s="443">
        <f t="shared" si="193"/>
        <v>7.7301068709936116</v>
      </c>
      <c r="CI276" s="996">
        <f t="shared" si="194"/>
        <v>7.7301068709936116</v>
      </c>
      <c r="CJ276" s="261">
        <f t="shared" si="195"/>
        <v>1.1666666666666667</v>
      </c>
      <c r="CK276" s="458" t="str">
        <f t="shared" si="196"/>
        <v/>
      </c>
      <c r="CL276" t="str">
        <f t="shared" si="197"/>
        <v>NON-REV</v>
      </c>
      <c r="CM276" t="str">
        <f t="shared" si="198"/>
        <v/>
      </c>
      <c r="CN276" s="635"/>
      <c r="CO276" s="631"/>
      <c r="CP276" s="629" t="str">
        <f t="shared" si="175"/>
        <v>FOR ISSUANCE</v>
      </c>
      <c r="CQ276" s="635"/>
      <c r="CR276" s="697"/>
      <c r="CS276" s="633" t="str">
        <f t="shared" ca="1" si="199"/>
        <v>0</v>
      </c>
      <c r="CT276" s="635"/>
      <c r="CU276" s="631"/>
      <c r="CV276" s="638"/>
      <c r="CW276" s="156" t="s">
        <v>1809</v>
      </c>
      <c r="CX276" s="156" t="str">
        <f>VLOOKUP(E276,'[1]List of Work Orders'!$A:$I,9,FALSE)</f>
        <v>ME155242</v>
      </c>
      <c r="CY276" s="156"/>
      <c r="DS276" s="156" t="s">
        <v>403</v>
      </c>
    </row>
    <row r="277" spans="1:123" customFormat="1" ht="15" customHeight="1" x14ac:dyDescent="0.25">
      <c r="A277" s="242">
        <v>45645</v>
      </c>
      <c r="B277" s="222"/>
      <c r="C277" s="223"/>
      <c r="D277" s="66" t="s">
        <v>320</v>
      </c>
      <c r="E277" s="746" t="s">
        <v>1810</v>
      </c>
      <c r="F277" s="95" t="s">
        <v>943</v>
      </c>
      <c r="G277" s="95" t="s">
        <v>944</v>
      </c>
      <c r="H277" s="95" t="s">
        <v>378</v>
      </c>
      <c r="I277" s="95" t="s">
        <v>239</v>
      </c>
      <c r="J277" s="163"/>
      <c r="K277" s="101" t="s">
        <v>271</v>
      </c>
      <c r="L277" s="101" t="s">
        <v>288</v>
      </c>
      <c r="M277" s="345" t="s">
        <v>534</v>
      </c>
      <c r="N277" s="442" t="s">
        <v>381</v>
      </c>
      <c r="O277" s="165">
        <v>394.32159999999999</v>
      </c>
      <c r="P277" s="165" t="e">
        <v>#N/A</v>
      </c>
      <c r="Q277" s="157">
        <v>225</v>
      </c>
      <c r="R277" s="109" t="s">
        <v>244</v>
      </c>
      <c r="S277" s="141">
        <v>2711379.35</v>
      </c>
      <c r="T277" s="110">
        <v>317538.48</v>
      </c>
      <c r="U277" s="141"/>
      <c r="V277" s="158">
        <f t="shared" si="176"/>
        <v>0</v>
      </c>
      <c r="W277" s="159">
        <v>45637.668449074074</v>
      </c>
      <c r="X277" s="159">
        <v>45644.40902777778</v>
      </c>
      <c r="Y277" s="160">
        <v>45643</v>
      </c>
      <c r="Z277" s="470"/>
      <c r="AA277" s="470" t="s">
        <v>534</v>
      </c>
      <c r="AB277" s="470"/>
      <c r="AC277" s="161" t="e">
        <f t="shared" si="177"/>
        <v>#VALUE!</v>
      </c>
      <c r="AD277" s="161" t="e">
        <f t="shared" si="201"/>
        <v>#VALUE!</v>
      </c>
      <c r="AE277" s="446" t="e">
        <f t="shared" si="200"/>
        <v>#VALUE!</v>
      </c>
      <c r="AF277" s="160" t="e">
        <f t="shared" si="202"/>
        <v>#N/A</v>
      </c>
      <c r="AG277" s="160" t="e">
        <f t="shared" si="203"/>
        <v>#N/A</v>
      </c>
      <c r="AH277" s="159">
        <f t="shared" si="204"/>
        <v>45687.668449074074</v>
      </c>
      <c r="AI277" s="162" t="e">
        <f t="shared" si="178"/>
        <v>#VALUE!</v>
      </c>
      <c r="AJ277" s="224" t="e">
        <f t="shared" si="205"/>
        <v>#VALUE!</v>
      </c>
      <c r="AK277" s="225" t="e">
        <f t="shared" si="179"/>
        <v>#N/A</v>
      </c>
      <c r="AL277" s="170">
        <f t="shared" si="180"/>
        <v>30</v>
      </c>
      <c r="AM277" s="170" t="e">
        <f t="shared" si="181"/>
        <v>#N/A</v>
      </c>
      <c r="AN277" s="170" t="e">
        <f t="shared" si="182"/>
        <v>#N/A</v>
      </c>
      <c r="AO277" s="226" t="e">
        <f t="shared" si="183"/>
        <v>#N/A</v>
      </c>
      <c r="AP277" s="227">
        <v>60</v>
      </c>
      <c r="AQ277" s="228">
        <f t="shared" si="184"/>
        <v>57</v>
      </c>
      <c r="AR277" s="228">
        <f t="shared" si="206"/>
        <v>52</v>
      </c>
      <c r="AS277" s="229" t="e">
        <f t="shared" si="185"/>
        <v>#VALUE!</v>
      </c>
      <c r="AT277" s="982" t="str">
        <f t="shared" ca="1" si="186"/>
        <v/>
      </c>
      <c r="AU277" s="50"/>
      <c r="AV277" s="118"/>
      <c r="AW277" s="49"/>
      <c r="AX277" s="49"/>
      <c r="AY277" s="49"/>
      <c r="AZ277" s="300"/>
      <c r="BA277" s="119"/>
      <c r="BB277" s="304"/>
      <c r="BC277" s="231"/>
      <c r="BD277" s="232"/>
      <c r="BE277" s="222" t="e">
        <f t="shared" ref="BE277:BE340" si="207">AA277+15</f>
        <v>#VALUE!</v>
      </c>
      <c r="BF277" s="233" t="e">
        <f t="shared" si="174"/>
        <v>#VALUE!</v>
      </c>
      <c r="BG277" s="248"/>
      <c r="BH277" s="235"/>
      <c r="BI277" s="234"/>
      <c r="BJ277" s="236"/>
      <c r="BK277" s="222"/>
      <c r="BL277" s="222"/>
      <c r="BM277" s="238"/>
      <c r="BN277" s="222"/>
      <c r="BO277" s="222"/>
      <c r="BP277" s="243"/>
      <c r="BQ277" s="244"/>
      <c r="BR277" s="238"/>
      <c r="BS277" s="67"/>
      <c r="BT277" s="66"/>
      <c r="BU277" s="66"/>
      <c r="BV277" s="66"/>
      <c r="BW277" s="74"/>
      <c r="BX277" s="81"/>
      <c r="BY277" s="66">
        <v>45645</v>
      </c>
      <c r="BZ277" s="944" t="s">
        <v>1811</v>
      </c>
      <c r="CA277" s="42" t="str">
        <f t="shared" si="187"/>
        <v>0</v>
      </c>
      <c r="CB277" s="62" t="e">
        <f t="shared" si="188"/>
        <v>#VALUE!</v>
      </c>
      <c r="CC277" s="42">
        <f t="shared" si="189"/>
        <v>0</v>
      </c>
      <c r="CD277" s="62" t="e">
        <f t="shared" si="190"/>
        <v>#VALUE!</v>
      </c>
      <c r="CE277" s="62" t="e">
        <f t="shared" si="191"/>
        <v>#VALUE!</v>
      </c>
      <c r="CF277" s="145" t="e">
        <f t="shared" si="192"/>
        <v>#VALUE!</v>
      </c>
      <c r="CG277" s="145"/>
      <c r="CH277" s="443" t="e">
        <f t="shared" si="193"/>
        <v>#N/A</v>
      </c>
      <c r="CI277" s="996" t="e">
        <f t="shared" si="194"/>
        <v>#N/A</v>
      </c>
      <c r="CJ277" s="261" t="e">
        <f t="shared" si="195"/>
        <v>#VALUE!</v>
      </c>
      <c r="CK277" s="458" t="str">
        <f t="shared" si="196"/>
        <v/>
      </c>
      <c r="CL277" t="str">
        <f t="shared" si="197"/>
        <v>REV</v>
      </c>
      <c r="CM277" t="str">
        <f t="shared" si="198"/>
        <v/>
      </c>
      <c r="CN277" s="635"/>
      <c r="CO277" s="631"/>
      <c r="CP277" s="629" t="str">
        <f t="shared" si="175"/>
        <v>FOR ISSUANCE</v>
      </c>
      <c r="CQ277" s="635"/>
      <c r="CR277" s="697"/>
      <c r="CS277" s="633" t="str">
        <f t="shared" ca="1" si="199"/>
        <v>0</v>
      </c>
      <c r="CT277" s="635"/>
      <c r="CU277" s="631"/>
      <c r="CV277" s="638"/>
      <c r="CW277" s="156" t="s">
        <v>1812</v>
      </c>
      <c r="CX277" s="156" t="str">
        <f>VLOOKUP(E277,'[1]List of Work Orders'!$A:$I,9,FALSE)</f>
        <v>ME185284</v>
      </c>
      <c r="CY277" s="156"/>
      <c r="DS277" s="156" t="s">
        <v>403</v>
      </c>
    </row>
    <row r="278" spans="1:123" customFormat="1" ht="15" customHeight="1" x14ac:dyDescent="0.25">
      <c r="A278" s="242">
        <v>45645</v>
      </c>
      <c r="B278" s="222"/>
      <c r="C278" s="223"/>
      <c r="D278" s="66" t="s">
        <v>320</v>
      </c>
      <c r="E278" s="404" t="s">
        <v>1813</v>
      </c>
      <c r="F278" s="95" t="s">
        <v>1814</v>
      </c>
      <c r="G278" s="95" t="s">
        <v>1815</v>
      </c>
      <c r="H278" s="95" t="s">
        <v>318</v>
      </c>
      <c r="I278" s="95" t="s">
        <v>239</v>
      </c>
      <c r="J278" s="163" t="s">
        <v>1816</v>
      </c>
      <c r="K278" s="101"/>
      <c r="L278" s="101" t="s">
        <v>5</v>
      </c>
      <c r="M278" s="345" t="s">
        <v>272</v>
      </c>
      <c r="N278" s="442" t="s">
        <v>403</v>
      </c>
      <c r="O278" s="165">
        <v>222.63659999999999</v>
      </c>
      <c r="P278" s="933">
        <v>222.64</v>
      </c>
      <c r="Q278" s="157">
        <v>20</v>
      </c>
      <c r="R278" s="109" t="s">
        <v>548</v>
      </c>
      <c r="S278" s="141">
        <v>693321.27</v>
      </c>
      <c r="T278" s="110">
        <v>179284.96</v>
      </c>
      <c r="U278" s="141"/>
      <c r="V278" s="158">
        <f t="shared" si="176"/>
        <v>0</v>
      </c>
      <c r="W278" s="159">
        <v>45637.710196759261</v>
      </c>
      <c r="X278" s="159">
        <v>45644.404861111114</v>
      </c>
      <c r="Y278" s="160">
        <v>45643</v>
      </c>
      <c r="Z278" s="470"/>
      <c r="AA278" s="470">
        <v>45817</v>
      </c>
      <c r="AB278" s="470"/>
      <c r="AC278" s="161">
        <f t="shared" si="177"/>
        <v>179.28980324073927</v>
      </c>
      <c r="AD278" s="161">
        <f t="shared" si="201"/>
        <v>172.59513888888614</v>
      </c>
      <c r="AE278" s="446">
        <f t="shared" si="200"/>
        <v>-45817</v>
      </c>
      <c r="AF278" s="160">
        <f t="shared" si="202"/>
        <v>45659.578617811894</v>
      </c>
      <c r="AG278" s="160">
        <f t="shared" si="203"/>
        <v>45669.210196759261</v>
      </c>
      <c r="AH278" s="159">
        <f t="shared" si="204"/>
        <v>45687.710196759261</v>
      </c>
      <c r="AI278" s="162">
        <f t="shared" si="178"/>
        <v>5.4071527961492798</v>
      </c>
      <c r="AJ278" s="224">
        <f t="shared" si="205"/>
        <v>-763.61666666666667</v>
      </c>
      <c r="AK278" s="225">
        <f t="shared" si="179"/>
        <v>28</v>
      </c>
      <c r="AL278" s="170">
        <f t="shared" si="180"/>
        <v>36</v>
      </c>
      <c r="AM278" s="170">
        <f t="shared" si="181"/>
        <v>24.868421052631579</v>
      </c>
      <c r="AN278" s="170">
        <f t="shared" si="182"/>
        <v>31.499999999999996</v>
      </c>
      <c r="AO278" s="226">
        <f t="shared" si="183"/>
        <v>21.868421052631579</v>
      </c>
      <c r="AP278" s="227">
        <v>60</v>
      </c>
      <c r="AQ278" s="228">
        <f t="shared" si="184"/>
        <v>57</v>
      </c>
      <c r="AR278" s="228">
        <f t="shared" si="206"/>
        <v>52</v>
      </c>
      <c r="AS278" s="229">
        <f t="shared" si="185"/>
        <v>45877</v>
      </c>
      <c r="AT278" s="982">
        <f t="shared" ca="1" si="186"/>
        <v>78</v>
      </c>
      <c r="AU278" s="50"/>
      <c r="AV278" s="118"/>
      <c r="AW278" s="49"/>
      <c r="AX278" s="49"/>
      <c r="AY278" s="49"/>
      <c r="AZ278" s="300"/>
      <c r="BA278" s="119"/>
      <c r="BB278" s="304"/>
      <c r="BC278" s="231" t="s">
        <v>13</v>
      </c>
      <c r="BD278" s="232"/>
      <c r="BE278" s="222">
        <f t="shared" si="207"/>
        <v>45832</v>
      </c>
      <c r="BF278" s="233" t="e">
        <f t="shared" si="174"/>
        <v>#VALUE!</v>
      </c>
      <c r="BG278" s="248"/>
      <c r="BH278" s="235"/>
      <c r="BI278" s="234"/>
      <c r="BJ278" s="236"/>
      <c r="BK278" s="222"/>
      <c r="BL278" s="222"/>
      <c r="BM278" s="238"/>
      <c r="BN278" s="222"/>
      <c r="BO278" s="222"/>
      <c r="BP278" s="243"/>
      <c r="BQ278" s="244" t="s">
        <v>247</v>
      </c>
      <c r="BR278" s="238">
        <v>45824</v>
      </c>
      <c r="BS278" s="67"/>
      <c r="BT278" s="66"/>
      <c r="BU278" s="66"/>
      <c r="BV278" s="66"/>
      <c r="BW278" s="74"/>
      <c r="BX278" s="81"/>
      <c r="BY278" s="66">
        <v>45645</v>
      </c>
      <c r="BZ278" s="944" t="s">
        <v>1817</v>
      </c>
      <c r="CA278" s="42" t="str">
        <f t="shared" si="187"/>
        <v>0</v>
      </c>
      <c r="CB278" s="62">
        <f t="shared" si="188"/>
        <v>179.28980324073927</v>
      </c>
      <c r="CC278" s="42">
        <f t="shared" si="189"/>
        <v>0</v>
      </c>
      <c r="CD278" s="62">
        <f t="shared" si="190"/>
        <v>179.28980324073927</v>
      </c>
      <c r="CE278" s="62">
        <f t="shared" si="191"/>
        <v>5.4071527961492798</v>
      </c>
      <c r="CF278" s="145">
        <f t="shared" si="192"/>
        <v>52</v>
      </c>
      <c r="CG278" s="145"/>
      <c r="CH278" s="443">
        <f t="shared" si="193"/>
        <v>6.9754067644032478</v>
      </c>
      <c r="CI278" s="996">
        <f t="shared" si="194"/>
        <v>6.9754067644032478</v>
      </c>
      <c r="CJ278" s="261">
        <f t="shared" si="195"/>
        <v>0.8666666666666667</v>
      </c>
      <c r="CK278" s="458" t="str">
        <f t="shared" si="196"/>
        <v/>
      </c>
      <c r="CL278" t="str">
        <f t="shared" si="197"/>
        <v>NON-REV</v>
      </c>
      <c r="CM278" t="str">
        <f t="shared" si="198"/>
        <v/>
      </c>
      <c r="CN278" s="635"/>
      <c r="CO278" s="631"/>
      <c r="CP278" s="629" t="str">
        <f t="shared" si="175"/>
        <v>FOR ISSUANCE</v>
      </c>
      <c r="CQ278" s="635"/>
      <c r="CR278" s="697"/>
      <c r="CS278" s="633" t="str">
        <f t="shared" ca="1" si="199"/>
        <v>0</v>
      </c>
      <c r="CT278" s="635"/>
      <c r="CU278" s="631"/>
      <c r="CV278" s="638"/>
      <c r="CW278" s="156" t="s">
        <v>1818</v>
      </c>
      <c r="CX278" s="156" t="str">
        <f>VLOOKUP(E278,'[1]List of Work Orders'!$A:$I,9,FALSE)</f>
        <v>ME166067</v>
      </c>
      <c r="CY278" s="156"/>
      <c r="DS278" s="156" t="s">
        <v>478</v>
      </c>
    </row>
    <row r="279" spans="1:123" customFormat="1" ht="15" customHeight="1" x14ac:dyDescent="0.25">
      <c r="A279" s="242">
        <v>45720</v>
      </c>
      <c r="B279" s="222">
        <v>45647</v>
      </c>
      <c r="C279" s="223"/>
      <c r="D279" s="66" t="s">
        <v>284</v>
      </c>
      <c r="E279" s="404" t="s">
        <v>1819</v>
      </c>
      <c r="F279" s="95" t="s">
        <v>1820</v>
      </c>
      <c r="G279" s="95" t="s">
        <v>1821</v>
      </c>
      <c r="H279" s="95" t="s">
        <v>253</v>
      </c>
      <c r="I279" s="95" t="s">
        <v>254</v>
      </c>
      <c r="J279" s="163"/>
      <c r="K279" s="101" t="s">
        <v>1822</v>
      </c>
      <c r="L279" s="101" t="s">
        <v>263</v>
      </c>
      <c r="M279" s="345" t="s">
        <v>256</v>
      </c>
      <c r="N279" s="442" t="s">
        <v>467</v>
      </c>
      <c r="O279" s="165">
        <v>27.452799999999996</v>
      </c>
      <c r="P279" s="933">
        <v>59.46</v>
      </c>
      <c r="Q279" s="157">
        <v>196</v>
      </c>
      <c r="R279" s="109" t="s">
        <v>244</v>
      </c>
      <c r="S279" s="141">
        <v>647847.98</v>
      </c>
      <c r="T279" s="110">
        <v>41915.619999999995</v>
      </c>
      <c r="U279" s="141">
        <v>50099.08</v>
      </c>
      <c r="V279" s="158">
        <f t="shared" si="176"/>
        <v>1.1952365251903707</v>
      </c>
      <c r="W279" s="159">
        <v>45638</v>
      </c>
      <c r="X279" s="159">
        <v>45659.518055555556</v>
      </c>
      <c r="Y279" s="160">
        <v>45645</v>
      </c>
      <c r="Z279" s="470">
        <v>45671</v>
      </c>
      <c r="AA279" s="470">
        <v>45671</v>
      </c>
      <c r="AB279" s="470">
        <v>45853</v>
      </c>
      <c r="AC279" s="161">
        <f t="shared" si="177"/>
        <v>33</v>
      </c>
      <c r="AD279" s="161">
        <f t="shared" si="201"/>
        <v>11.481944444443798</v>
      </c>
      <c r="AE279" s="446">
        <f t="shared" si="200"/>
        <v>182</v>
      </c>
      <c r="AF279" s="160">
        <f t="shared" si="202"/>
        <v>45656.478599221788</v>
      </c>
      <c r="AG279" s="160">
        <f t="shared" si="203"/>
        <v>45665.206225680937</v>
      </c>
      <c r="AH279" s="159">
        <f t="shared" si="204"/>
        <v>45688</v>
      </c>
      <c r="AI279" s="162">
        <f t="shared" si="178"/>
        <v>1.1523097826086954</v>
      </c>
      <c r="AJ279" s="224">
        <f t="shared" si="205"/>
        <v>3.0333333333333332</v>
      </c>
      <c r="AK279" s="225">
        <f t="shared" si="179"/>
        <v>23</v>
      </c>
      <c r="AL279" s="170">
        <f t="shared" si="180"/>
        <v>32</v>
      </c>
      <c r="AM279" s="170">
        <f t="shared" si="181"/>
        <v>21.478599221789885</v>
      </c>
      <c r="AN279" s="170">
        <f t="shared" si="182"/>
        <v>27.206225680933851</v>
      </c>
      <c r="AO279" s="226">
        <f t="shared" si="183"/>
        <v>18.478599221789885</v>
      </c>
      <c r="AP279" s="227">
        <v>60</v>
      </c>
      <c r="AQ279" s="228">
        <f t="shared" si="184"/>
        <v>57</v>
      </c>
      <c r="AR279" s="228">
        <f t="shared" si="206"/>
        <v>52</v>
      </c>
      <c r="AS279" s="229">
        <f t="shared" si="185"/>
        <v>45731</v>
      </c>
      <c r="AT279" s="982">
        <f t="shared" ca="1" si="186"/>
        <v>224</v>
      </c>
      <c r="AU279" s="50"/>
      <c r="AV279" s="118"/>
      <c r="AW279" s="49"/>
      <c r="AX279" s="49"/>
      <c r="AY279" s="49"/>
      <c r="AZ279" s="300"/>
      <c r="BA279" s="119"/>
      <c r="BB279" s="304"/>
      <c r="BC279" s="231" t="s">
        <v>14</v>
      </c>
      <c r="BD279" s="232"/>
      <c r="BE279" s="222">
        <f t="shared" si="207"/>
        <v>45686</v>
      </c>
      <c r="BF279" s="233">
        <f t="shared" si="174"/>
        <v>-6</v>
      </c>
      <c r="BG279" s="248">
        <v>45674</v>
      </c>
      <c r="BH279" s="235">
        <v>45680</v>
      </c>
      <c r="BI279" s="234">
        <v>45831</v>
      </c>
      <c r="BJ279" s="236" t="s">
        <v>1119</v>
      </c>
      <c r="BK279" s="222" t="s">
        <v>247</v>
      </c>
      <c r="BL279" s="222"/>
      <c r="BM279" s="238"/>
      <c r="BN279" s="222"/>
      <c r="BO279" s="222"/>
      <c r="BP279" s="243"/>
      <c r="BQ279" s="244" t="s">
        <v>247</v>
      </c>
      <c r="BR279" s="238">
        <v>45670</v>
      </c>
      <c r="BS279" s="67"/>
      <c r="BT279" s="66"/>
      <c r="BU279" s="66"/>
      <c r="BV279" s="66"/>
      <c r="BW279" s="74"/>
      <c r="BX279" s="81"/>
      <c r="BY279" s="66">
        <v>45720</v>
      </c>
      <c r="BZ279" s="944" t="s">
        <v>1823</v>
      </c>
      <c r="CA279" s="42" t="str">
        <f t="shared" si="187"/>
        <v>0</v>
      </c>
      <c r="CB279" s="62">
        <f t="shared" si="188"/>
        <v>33</v>
      </c>
      <c r="CC279" s="42">
        <f t="shared" si="189"/>
        <v>0</v>
      </c>
      <c r="CD279" s="62">
        <f t="shared" si="190"/>
        <v>33</v>
      </c>
      <c r="CE279" s="62">
        <f t="shared" si="191"/>
        <v>1.1523097826086954</v>
      </c>
      <c r="CF279" s="145">
        <f t="shared" si="192"/>
        <v>198</v>
      </c>
      <c r="CG279" s="145"/>
      <c r="CH279" s="443">
        <f t="shared" si="193"/>
        <v>8.0661684782608685</v>
      </c>
      <c r="CI279" s="996">
        <f t="shared" si="194"/>
        <v>8.0661684782608685</v>
      </c>
      <c r="CJ279" s="261">
        <f t="shared" si="195"/>
        <v>3.3</v>
      </c>
      <c r="CK279" s="458" t="str">
        <f t="shared" si="196"/>
        <v/>
      </c>
      <c r="CL279" t="str">
        <f t="shared" si="197"/>
        <v>REV</v>
      </c>
      <c r="CM279" t="str">
        <f t="shared" si="198"/>
        <v/>
      </c>
      <c r="CN279" s="635"/>
      <c r="CO279" s="631"/>
      <c r="CP279" s="629" t="str">
        <f t="shared" si="175"/>
        <v>FOR ISSUANCE</v>
      </c>
      <c r="CQ279" s="635"/>
      <c r="CR279" s="697"/>
      <c r="CS279" s="633" t="str">
        <f t="shared" ca="1" si="199"/>
        <v>0</v>
      </c>
      <c r="CT279" s="635"/>
      <c r="CU279" s="631"/>
      <c r="CV279" s="638"/>
      <c r="CW279" s="156" t="s">
        <v>1824</v>
      </c>
      <c r="CX279" s="156" t="str">
        <f>VLOOKUP(E279,'[1]List of Work Orders'!$A:$I,9,FALSE)</f>
        <v>ME155242</v>
      </c>
      <c r="CY279" s="156"/>
      <c r="DS279" s="156" t="s">
        <v>397</v>
      </c>
    </row>
    <row r="280" spans="1:123" ht="15" customHeight="1" x14ac:dyDescent="0.2">
      <c r="A280" s="242">
        <v>45649</v>
      </c>
      <c r="B280" s="222">
        <v>45647</v>
      </c>
      <c r="C280" s="223"/>
      <c r="D280" s="66" t="s">
        <v>234</v>
      </c>
      <c r="E280" s="404" t="s">
        <v>1825</v>
      </c>
      <c r="F280" s="95" t="s">
        <v>926</v>
      </c>
      <c r="G280" s="95" t="s">
        <v>1826</v>
      </c>
      <c r="H280" s="95" t="s">
        <v>238</v>
      </c>
      <c r="I280" s="95" t="s">
        <v>239</v>
      </c>
      <c r="J280" s="163" t="s">
        <v>1827</v>
      </c>
      <c r="K280" s="101"/>
      <c r="L280" s="101" t="s">
        <v>255</v>
      </c>
      <c r="M280" s="345" t="s">
        <v>438</v>
      </c>
      <c r="N280" s="442" t="s">
        <v>403</v>
      </c>
      <c r="O280" s="165">
        <v>134.78100000000001</v>
      </c>
      <c r="P280" s="165" t="e">
        <v>#N/A</v>
      </c>
      <c r="Q280" s="157">
        <v>22</v>
      </c>
      <c r="R280" s="109" t="s">
        <v>244</v>
      </c>
      <c r="S280" s="141">
        <v>567073.31999999995</v>
      </c>
      <c r="T280" s="110">
        <v>108536.04</v>
      </c>
      <c r="U280" s="141"/>
      <c r="V280" s="158">
        <f t="shared" si="176"/>
        <v>0</v>
      </c>
      <c r="W280" s="159">
        <v>45639</v>
      </c>
      <c r="X280" s="159">
        <v>45646.547222222223</v>
      </c>
      <c r="Y280" s="160">
        <v>45645</v>
      </c>
      <c r="Z280" s="470"/>
      <c r="AA280" s="470"/>
      <c r="AB280" s="470"/>
      <c r="AC280" s="161">
        <f t="shared" si="177"/>
        <v>-45639</v>
      </c>
      <c r="AD280" s="161">
        <f t="shared" si="201"/>
        <v>-45646.547222222223</v>
      </c>
      <c r="AE280" s="446">
        <f t="shared" si="200"/>
        <v>0</v>
      </c>
      <c r="AF280" s="160" t="e">
        <f t="shared" si="202"/>
        <v>#N/A</v>
      </c>
      <c r="AG280" s="160" t="e">
        <f t="shared" si="203"/>
        <v>#N/A</v>
      </c>
      <c r="AH280" s="159">
        <f t="shared" si="204"/>
        <v>45689</v>
      </c>
      <c r="AI280" s="162" t="e">
        <f t="shared" si="178"/>
        <v>#N/A</v>
      </c>
      <c r="AJ280" s="224">
        <f t="shared" si="205"/>
        <v>0</v>
      </c>
      <c r="AK280" s="225" t="e">
        <f t="shared" si="179"/>
        <v>#N/A</v>
      </c>
      <c r="AL280" s="170">
        <f t="shared" si="180"/>
        <v>36</v>
      </c>
      <c r="AM280" s="170" t="e">
        <f t="shared" si="181"/>
        <v>#N/A</v>
      </c>
      <c r="AN280" s="170" t="e">
        <f t="shared" si="182"/>
        <v>#N/A</v>
      </c>
      <c r="AO280" s="226" t="e">
        <f t="shared" si="183"/>
        <v>#N/A</v>
      </c>
      <c r="AP280" s="227">
        <v>60</v>
      </c>
      <c r="AQ280" s="228">
        <f t="shared" si="184"/>
        <v>57</v>
      </c>
      <c r="AR280" s="228">
        <f t="shared" si="206"/>
        <v>52</v>
      </c>
      <c r="AS280" s="229">
        <f t="shared" si="185"/>
        <v>60</v>
      </c>
      <c r="AT280" s="982">
        <f t="shared" ca="1" si="186"/>
        <v>45895</v>
      </c>
      <c r="AU280" s="1077"/>
      <c r="AV280" s="1092"/>
      <c r="AW280" s="1079"/>
      <c r="AX280" s="1079"/>
      <c r="AY280" s="1079"/>
      <c r="AZ280" s="1080"/>
      <c r="BA280" s="1081"/>
      <c r="BB280" s="1091"/>
      <c r="BC280" s="231"/>
      <c r="BD280" s="232"/>
      <c r="BE280" s="222">
        <f t="shared" si="207"/>
        <v>15</v>
      </c>
      <c r="BF280" s="233">
        <f t="shared" si="174"/>
        <v>0</v>
      </c>
      <c r="BG280" s="248"/>
      <c r="BH280" s="235"/>
      <c r="BI280" s="234"/>
      <c r="BJ280" s="236"/>
      <c r="BK280" s="222"/>
      <c r="BL280" s="222"/>
      <c r="BM280" s="238"/>
      <c r="BN280" s="222"/>
      <c r="BO280" s="222"/>
      <c r="BP280" s="243"/>
      <c r="BQ280" s="244"/>
      <c r="BR280" s="238"/>
      <c r="BS280" s="67"/>
      <c r="BT280" s="66"/>
      <c r="BU280" s="66"/>
      <c r="BV280" s="66"/>
      <c r="BW280" s="74"/>
      <c r="BX280" s="81"/>
      <c r="BY280" s="66">
        <v>45649</v>
      </c>
      <c r="BZ280" s="944" t="s">
        <v>1828</v>
      </c>
      <c r="CA280" s="42" t="str">
        <f t="shared" si="187"/>
        <v>0</v>
      </c>
      <c r="CB280" s="62">
        <f t="shared" si="188"/>
        <v>-45639</v>
      </c>
      <c r="CC280" s="42">
        <f t="shared" si="189"/>
        <v>0</v>
      </c>
      <c r="CD280" s="62">
        <f t="shared" si="190"/>
        <v>-45639</v>
      </c>
      <c r="CE280" s="62" t="e">
        <f t="shared" si="191"/>
        <v>#N/A</v>
      </c>
      <c r="CF280" s="1059" t="str">
        <f t="shared" si="192"/>
        <v>0</v>
      </c>
      <c r="CH280" s="1082" t="e">
        <f t="shared" si="193"/>
        <v>#N/A</v>
      </c>
      <c r="CI280" s="1083" t="e">
        <f t="shared" si="194"/>
        <v>#N/A</v>
      </c>
      <c r="CJ280" s="1084">
        <f t="shared" si="195"/>
        <v>0</v>
      </c>
      <c r="CK280" s="1085">
        <f t="shared" si="196"/>
        <v>217</v>
      </c>
      <c r="CL280" s="1057" t="str">
        <f t="shared" si="197"/>
        <v>REV</v>
      </c>
      <c r="CM280" s="1057" t="str">
        <f t="shared" si="198"/>
        <v>7-9 MONTHS</v>
      </c>
      <c r="CN280" s="1086"/>
      <c r="CO280" s="1087"/>
      <c r="CP280" s="629" t="str">
        <f t="shared" si="175"/>
        <v>FOR ISSUANCE</v>
      </c>
      <c r="CQ280" s="1086"/>
      <c r="CR280" s="1088"/>
      <c r="CS280" s="1089" t="str">
        <f t="shared" ca="1" si="199"/>
        <v>0</v>
      </c>
      <c r="CT280" s="1086"/>
      <c r="CU280" s="1087"/>
      <c r="CV280" s="1090"/>
      <c r="CW280" s="156" t="s">
        <v>1829</v>
      </c>
      <c r="CX280" s="156" t="str">
        <f>VLOOKUP(E280,'[1]List of Work Orders'!$A:$I,9,FALSE)</f>
        <v>ME185284</v>
      </c>
      <c r="CY280" s="156"/>
      <c r="DS280" s="156" t="s">
        <v>397</v>
      </c>
    </row>
    <row r="281" spans="1:123" customFormat="1" ht="15" customHeight="1" x14ac:dyDescent="0.25">
      <c r="A281" s="242">
        <v>45649</v>
      </c>
      <c r="B281" s="222">
        <v>45647</v>
      </c>
      <c r="C281" s="223"/>
      <c r="D281" s="66" t="s">
        <v>320</v>
      </c>
      <c r="E281" s="404" t="s">
        <v>1830</v>
      </c>
      <c r="F281" s="95" t="s">
        <v>1831</v>
      </c>
      <c r="G281" s="95" t="s">
        <v>1832</v>
      </c>
      <c r="H281" s="95" t="s">
        <v>269</v>
      </c>
      <c r="I281" s="95" t="s">
        <v>239</v>
      </c>
      <c r="J281" s="163"/>
      <c r="K281" s="101"/>
      <c r="L281" s="101" t="s">
        <v>5</v>
      </c>
      <c r="M281" s="345" t="s">
        <v>1549</v>
      </c>
      <c r="N281" s="442" t="s">
        <v>475</v>
      </c>
      <c r="O281" s="165">
        <v>24.940300000000001</v>
      </c>
      <c r="P281" s="933">
        <v>26.37</v>
      </c>
      <c r="Q281" s="157">
        <v>87.25</v>
      </c>
      <c r="R281" s="109" t="s">
        <v>244</v>
      </c>
      <c r="S281" s="141">
        <v>211369.87</v>
      </c>
      <c r="T281" s="110">
        <v>20083.77</v>
      </c>
      <c r="U281" s="141">
        <v>21352.49</v>
      </c>
      <c r="V281" s="158">
        <f t="shared" si="176"/>
        <v>1.0631714065636084</v>
      </c>
      <c r="W281" s="159">
        <v>45642</v>
      </c>
      <c r="X281" s="159">
        <v>45646.55</v>
      </c>
      <c r="Y281" s="160">
        <v>45645</v>
      </c>
      <c r="Z281" s="470"/>
      <c r="AA281" s="470">
        <v>45672</v>
      </c>
      <c r="AB281" s="470">
        <v>45746</v>
      </c>
      <c r="AC281" s="161">
        <f t="shared" si="177"/>
        <v>30</v>
      </c>
      <c r="AD281" s="161">
        <f t="shared" si="201"/>
        <v>25.44999999999709</v>
      </c>
      <c r="AE281" s="446">
        <f t="shared" si="200"/>
        <v>74</v>
      </c>
      <c r="AF281" s="160">
        <f t="shared" si="202"/>
        <v>45660.074380165286</v>
      </c>
      <c r="AG281" s="160">
        <f t="shared" si="203"/>
        <v>45668.694214876035</v>
      </c>
      <c r="AH281" s="159">
        <f t="shared" si="204"/>
        <v>45692</v>
      </c>
      <c r="AI281" s="162">
        <f t="shared" si="178"/>
        <v>1.0676470588235292</v>
      </c>
      <c r="AJ281" s="224">
        <f t="shared" si="205"/>
        <v>1.2333333333333334</v>
      </c>
      <c r="AK281" s="225">
        <f t="shared" si="179"/>
        <v>20</v>
      </c>
      <c r="AL281" s="170">
        <f t="shared" si="180"/>
        <v>34</v>
      </c>
      <c r="AM281" s="170">
        <f t="shared" si="181"/>
        <v>21.074380165289259</v>
      </c>
      <c r="AN281" s="170">
        <f t="shared" si="182"/>
        <v>26.694214876033058</v>
      </c>
      <c r="AO281" s="226">
        <f t="shared" si="183"/>
        <v>18.074380165289259</v>
      </c>
      <c r="AP281" s="227">
        <v>60</v>
      </c>
      <c r="AQ281" s="228">
        <f t="shared" si="184"/>
        <v>57</v>
      </c>
      <c r="AR281" s="228">
        <f t="shared" si="206"/>
        <v>52</v>
      </c>
      <c r="AS281" s="229">
        <f t="shared" si="185"/>
        <v>45732</v>
      </c>
      <c r="AT281" s="982">
        <f t="shared" ca="1" si="186"/>
        <v>223</v>
      </c>
      <c r="AU281" s="50"/>
      <c r="AV281" s="118"/>
      <c r="AW281" s="49"/>
      <c r="AX281" s="49"/>
      <c r="AY281" s="49"/>
      <c r="AZ281" s="300"/>
      <c r="BA281" s="119"/>
      <c r="BB281" s="304"/>
      <c r="BC281" s="231" t="s">
        <v>14</v>
      </c>
      <c r="BD281" s="247"/>
      <c r="BE281" s="222">
        <f t="shared" si="207"/>
        <v>45687</v>
      </c>
      <c r="BF281" s="233">
        <f t="shared" si="174"/>
        <v>-5</v>
      </c>
      <c r="BG281" s="248">
        <v>45672</v>
      </c>
      <c r="BH281" s="235">
        <v>45682</v>
      </c>
      <c r="BI281" s="234">
        <v>45694</v>
      </c>
      <c r="BJ281" s="236" t="s">
        <v>245</v>
      </c>
      <c r="BK281" s="222" t="s">
        <v>247</v>
      </c>
      <c r="BL281" s="222"/>
      <c r="BM281" s="238"/>
      <c r="BN281" s="222"/>
      <c r="BO281" s="222">
        <v>45695</v>
      </c>
      <c r="BP281" s="243" t="s">
        <v>1084</v>
      </c>
      <c r="BQ281" s="244" t="s">
        <v>247</v>
      </c>
      <c r="BR281" s="238">
        <v>45671</v>
      </c>
      <c r="BS281" s="67"/>
      <c r="BT281" s="66"/>
      <c r="BU281" s="66"/>
      <c r="BV281" s="66"/>
      <c r="BW281" s="74"/>
      <c r="BX281" s="81"/>
      <c r="BY281" s="66">
        <v>45649</v>
      </c>
      <c r="BZ281" s="944" t="s">
        <v>1833</v>
      </c>
      <c r="CA281" s="42" t="str">
        <f t="shared" si="187"/>
        <v>0</v>
      </c>
      <c r="CB281" s="62">
        <f t="shared" si="188"/>
        <v>30</v>
      </c>
      <c r="CC281" s="42">
        <f t="shared" si="189"/>
        <v>0</v>
      </c>
      <c r="CD281" s="62">
        <f t="shared" si="190"/>
        <v>30</v>
      </c>
      <c r="CE281" s="62">
        <f t="shared" si="191"/>
        <v>1.0676470588235292</v>
      </c>
      <c r="CF281" s="145">
        <f t="shared" si="192"/>
        <v>197</v>
      </c>
      <c r="CG281" s="145"/>
      <c r="CH281" s="443">
        <f t="shared" si="193"/>
        <v>8.0785294117647055</v>
      </c>
      <c r="CI281" s="996">
        <f t="shared" si="194"/>
        <v>8.0785294117647055</v>
      </c>
      <c r="CJ281" s="261">
        <f t="shared" si="195"/>
        <v>3.2833333333333332</v>
      </c>
      <c r="CK281" s="458" t="str">
        <f t="shared" si="196"/>
        <v/>
      </c>
      <c r="CL281" t="str">
        <f t="shared" si="197"/>
        <v>REV</v>
      </c>
      <c r="CM281" t="str">
        <f t="shared" si="198"/>
        <v/>
      </c>
      <c r="CN281" s="635"/>
      <c r="CO281" s="631"/>
      <c r="CP281" s="629" t="str">
        <f t="shared" si="175"/>
        <v>FOR ISSUANCE</v>
      </c>
      <c r="CQ281" s="635"/>
      <c r="CR281" s="699"/>
      <c r="CS281" s="633" t="str">
        <f t="shared" ca="1" si="199"/>
        <v>0</v>
      </c>
      <c r="CT281" s="635"/>
      <c r="CU281" s="631"/>
      <c r="CV281" s="638"/>
      <c r="CW281" s="156" t="s">
        <v>1834</v>
      </c>
      <c r="CX281" s="156" t="str">
        <f>VLOOKUP(E281,'[1]List of Work Orders'!$A:$I,9,FALSE)</f>
        <v>ME185130</v>
      </c>
      <c r="CY281" s="156"/>
      <c r="DS281" s="156" t="s">
        <v>397</v>
      </c>
    </row>
    <row r="282" spans="1:123" customFormat="1" ht="15" customHeight="1" x14ac:dyDescent="0.25">
      <c r="A282" s="242">
        <v>45649</v>
      </c>
      <c r="B282" s="222">
        <v>45647</v>
      </c>
      <c r="C282" s="223"/>
      <c r="D282" s="66" t="s">
        <v>320</v>
      </c>
      <c r="E282" s="404" t="s">
        <v>1835</v>
      </c>
      <c r="F282" s="95" t="s">
        <v>1831</v>
      </c>
      <c r="G282" s="95" t="s">
        <v>1832</v>
      </c>
      <c r="H282" s="95" t="s">
        <v>269</v>
      </c>
      <c r="I282" s="95" t="s">
        <v>239</v>
      </c>
      <c r="J282" s="163"/>
      <c r="K282" s="101"/>
      <c r="L282" s="101" t="s">
        <v>5</v>
      </c>
      <c r="M282" s="345" t="s">
        <v>1549</v>
      </c>
      <c r="N282" s="442" t="s">
        <v>475</v>
      </c>
      <c r="O282" s="165">
        <v>22.520299999999999</v>
      </c>
      <c r="P282" s="933">
        <v>24.15</v>
      </c>
      <c r="Q282" s="157">
        <v>87.25</v>
      </c>
      <c r="R282" s="109" t="s">
        <v>244</v>
      </c>
      <c r="S282" s="141">
        <v>206120.13</v>
      </c>
      <c r="T282" s="110">
        <v>18135.009999999998</v>
      </c>
      <c r="U282" s="141">
        <v>19564.78</v>
      </c>
      <c r="V282" s="158">
        <f t="shared" si="176"/>
        <v>1.0788403204630161</v>
      </c>
      <c r="W282" s="159">
        <v>45642</v>
      </c>
      <c r="X282" s="159">
        <v>45646.559027777781</v>
      </c>
      <c r="Y282" s="160">
        <v>45645</v>
      </c>
      <c r="Z282" s="470"/>
      <c r="AA282" s="470">
        <v>45672</v>
      </c>
      <c r="AB282" s="470">
        <v>45746</v>
      </c>
      <c r="AC282" s="161">
        <f t="shared" si="177"/>
        <v>30</v>
      </c>
      <c r="AD282" s="161">
        <f t="shared" si="201"/>
        <v>25.440972222218988</v>
      </c>
      <c r="AE282" s="446">
        <f t="shared" si="200"/>
        <v>74</v>
      </c>
      <c r="AF282" s="160">
        <f t="shared" si="202"/>
        <v>45660.074380165286</v>
      </c>
      <c r="AG282" s="160">
        <f t="shared" si="203"/>
        <v>45668.694214876035</v>
      </c>
      <c r="AH282" s="159">
        <f t="shared" si="204"/>
        <v>45692</v>
      </c>
      <c r="AI282" s="162">
        <f t="shared" si="178"/>
        <v>1.0676470588235292</v>
      </c>
      <c r="AJ282" s="224">
        <f t="shared" si="205"/>
        <v>1.2333333333333334</v>
      </c>
      <c r="AK282" s="225">
        <f t="shared" si="179"/>
        <v>20</v>
      </c>
      <c r="AL282" s="170">
        <f t="shared" si="180"/>
        <v>34</v>
      </c>
      <c r="AM282" s="170">
        <f t="shared" si="181"/>
        <v>21.074380165289259</v>
      </c>
      <c r="AN282" s="170">
        <f t="shared" si="182"/>
        <v>26.694214876033058</v>
      </c>
      <c r="AO282" s="226">
        <f t="shared" si="183"/>
        <v>18.074380165289259</v>
      </c>
      <c r="AP282" s="227">
        <v>60</v>
      </c>
      <c r="AQ282" s="228">
        <f t="shared" si="184"/>
        <v>57</v>
      </c>
      <c r="AR282" s="228">
        <f t="shared" si="206"/>
        <v>52</v>
      </c>
      <c r="AS282" s="229">
        <f t="shared" si="185"/>
        <v>45732</v>
      </c>
      <c r="AT282" s="982">
        <f t="shared" ca="1" si="186"/>
        <v>223</v>
      </c>
      <c r="AU282" s="50"/>
      <c r="AV282" s="118"/>
      <c r="AW282" s="49"/>
      <c r="AX282" s="49"/>
      <c r="AY282" s="49"/>
      <c r="AZ282" s="300"/>
      <c r="BA282" s="119"/>
      <c r="BB282" s="304"/>
      <c r="BC282" s="231" t="s">
        <v>14</v>
      </c>
      <c r="BD282" s="247"/>
      <c r="BE282" s="222">
        <f t="shared" si="207"/>
        <v>45687</v>
      </c>
      <c r="BF282" s="233">
        <f t="shared" si="174"/>
        <v>-5</v>
      </c>
      <c r="BG282" s="248">
        <v>45672</v>
      </c>
      <c r="BH282" s="235">
        <v>45682</v>
      </c>
      <c r="BI282" s="234">
        <v>45694</v>
      </c>
      <c r="BJ282" s="236" t="s">
        <v>245</v>
      </c>
      <c r="BK282" s="222" t="s">
        <v>247</v>
      </c>
      <c r="BL282" s="222"/>
      <c r="BM282" s="238"/>
      <c r="BN282" s="222"/>
      <c r="BO282" s="222">
        <v>45695</v>
      </c>
      <c r="BP282" s="243" t="s">
        <v>1084</v>
      </c>
      <c r="BQ282" s="244" t="s">
        <v>247</v>
      </c>
      <c r="BR282" s="238">
        <v>45671</v>
      </c>
      <c r="BS282" s="67"/>
      <c r="BT282" s="66"/>
      <c r="BU282" s="66"/>
      <c r="BV282" s="66"/>
      <c r="BW282" s="74"/>
      <c r="BX282" s="81"/>
      <c r="BY282" s="66">
        <v>45649</v>
      </c>
      <c r="BZ282" s="944" t="s">
        <v>1836</v>
      </c>
      <c r="CA282" s="42" t="str">
        <f t="shared" si="187"/>
        <v>0</v>
      </c>
      <c r="CB282" s="62">
        <f t="shared" si="188"/>
        <v>30</v>
      </c>
      <c r="CC282" s="42">
        <f t="shared" si="189"/>
        <v>0</v>
      </c>
      <c r="CD282" s="62">
        <f t="shared" si="190"/>
        <v>30</v>
      </c>
      <c r="CE282" s="62">
        <f t="shared" si="191"/>
        <v>1.0676470588235292</v>
      </c>
      <c r="CF282" s="145">
        <f t="shared" si="192"/>
        <v>197</v>
      </c>
      <c r="CG282" s="145"/>
      <c r="CH282" s="443">
        <f t="shared" si="193"/>
        <v>8.0785294117647055</v>
      </c>
      <c r="CI282" s="996">
        <f t="shared" si="194"/>
        <v>8.0785294117647055</v>
      </c>
      <c r="CJ282" s="261">
        <f t="shared" si="195"/>
        <v>3.2833333333333332</v>
      </c>
      <c r="CK282" s="458" t="str">
        <f t="shared" si="196"/>
        <v/>
      </c>
      <c r="CL282" t="str">
        <f t="shared" si="197"/>
        <v>REV</v>
      </c>
      <c r="CM282" t="str">
        <f t="shared" si="198"/>
        <v/>
      </c>
      <c r="CN282" s="635"/>
      <c r="CO282" s="631"/>
      <c r="CP282" s="629" t="str">
        <f t="shared" si="175"/>
        <v>FOR ISSUANCE</v>
      </c>
      <c r="CQ282" s="635"/>
      <c r="CR282" s="699"/>
      <c r="CS282" s="633" t="str">
        <f t="shared" ca="1" si="199"/>
        <v>0</v>
      </c>
      <c r="CT282" s="635"/>
      <c r="CU282" s="631"/>
      <c r="CV282" s="638"/>
      <c r="CW282" s="156" t="s">
        <v>1837</v>
      </c>
      <c r="CX282" s="156" t="str">
        <f>VLOOKUP(E282,'[1]List of Work Orders'!$A:$I,9,FALSE)</f>
        <v>ME185130</v>
      </c>
      <c r="CY282" s="156"/>
      <c r="DS282" s="156" t="s">
        <v>381</v>
      </c>
    </row>
    <row r="283" spans="1:123" customFormat="1" ht="15" customHeight="1" x14ac:dyDescent="0.25">
      <c r="A283" s="242">
        <v>45649</v>
      </c>
      <c r="B283" s="222">
        <v>45653</v>
      </c>
      <c r="C283" s="223"/>
      <c r="D283" s="66" t="s">
        <v>320</v>
      </c>
      <c r="E283" s="404" t="s">
        <v>1838</v>
      </c>
      <c r="F283" s="95" t="s">
        <v>1839</v>
      </c>
      <c r="G283" s="95" t="s">
        <v>1840</v>
      </c>
      <c r="H283" s="95" t="s">
        <v>238</v>
      </c>
      <c r="I283" s="95" t="s">
        <v>239</v>
      </c>
      <c r="J283" s="163"/>
      <c r="K283" s="101"/>
      <c r="L283" s="101" t="s">
        <v>242</v>
      </c>
      <c r="M283" s="345" t="s">
        <v>331</v>
      </c>
      <c r="N283" s="442" t="s">
        <v>467</v>
      </c>
      <c r="O283" s="165">
        <v>69.344099999999997</v>
      </c>
      <c r="P283" s="165">
        <v>147.63</v>
      </c>
      <c r="Q283" s="157">
        <v>31</v>
      </c>
      <c r="R283" s="109" t="s">
        <v>548</v>
      </c>
      <c r="S283" s="141">
        <v>324019.03000000003</v>
      </c>
      <c r="T283" s="110">
        <v>55841.25</v>
      </c>
      <c r="U283" s="141"/>
      <c r="V283" s="158">
        <f t="shared" si="176"/>
        <v>0</v>
      </c>
      <c r="W283" s="159">
        <v>45642</v>
      </c>
      <c r="X283" s="159">
        <v>45646.5625</v>
      </c>
      <c r="Y283" s="160">
        <v>45653</v>
      </c>
      <c r="Z283" s="470"/>
      <c r="AA283" s="470"/>
      <c r="AB283" s="470"/>
      <c r="AC283" s="161">
        <f t="shared" si="177"/>
        <v>-45642</v>
      </c>
      <c r="AD283" s="161">
        <f t="shared" si="201"/>
        <v>-45646.5625</v>
      </c>
      <c r="AE283" s="446">
        <f t="shared" si="200"/>
        <v>0</v>
      </c>
      <c r="AF283" s="160">
        <f t="shared" si="202"/>
        <v>45663.206896551725</v>
      </c>
      <c r="AG283" s="160">
        <f t="shared" si="203"/>
        <v>45672.662068965517</v>
      </c>
      <c r="AH283" s="159">
        <f t="shared" si="204"/>
        <v>45692</v>
      </c>
      <c r="AI283" s="162">
        <f t="shared" si="178"/>
        <v>-1414.1217948717949</v>
      </c>
      <c r="AJ283" s="224">
        <f t="shared" si="205"/>
        <v>0</v>
      </c>
      <c r="AK283" s="225">
        <f t="shared" si="179"/>
        <v>26</v>
      </c>
      <c r="AL283" s="170">
        <f t="shared" si="180"/>
        <v>36</v>
      </c>
      <c r="AM283" s="170">
        <f t="shared" si="181"/>
        <v>24.206896551724139</v>
      </c>
      <c r="AN283" s="170">
        <f t="shared" si="182"/>
        <v>30.662068965517239</v>
      </c>
      <c r="AO283" s="226">
        <f t="shared" si="183"/>
        <v>21.206896551724139</v>
      </c>
      <c r="AP283" s="227">
        <v>60</v>
      </c>
      <c r="AQ283" s="228">
        <f t="shared" si="184"/>
        <v>57</v>
      </c>
      <c r="AR283" s="228">
        <f t="shared" si="206"/>
        <v>52</v>
      </c>
      <c r="AS283" s="229">
        <f t="shared" si="185"/>
        <v>60</v>
      </c>
      <c r="AT283" s="982">
        <f t="shared" ca="1" si="186"/>
        <v>45895</v>
      </c>
      <c r="AU283" s="50"/>
      <c r="AV283" s="118"/>
      <c r="AW283" s="49"/>
      <c r="AX283" s="49"/>
      <c r="AY283" s="49"/>
      <c r="AZ283" s="300"/>
      <c r="BA283" s="119"/>
      <c r="BB283" s="304"/>
      <c r="BC283" s="231"/>
      <c r="BD283" s="232"/>
      <c r="BE283" s="222">
        <f t="shared" si="207"/>
        <v>15</v>
      </c>
      <c r="BF283" s="233">
        <f t="shared" si="174"/>
        <v>0</v>
      </c>
      <c r="BG283" s="248"/>
      <c r="BH283" s="235"/>
      <c r="BI283" s="234"/>
      <c r="BJ283" s="236"/>
      <c r="BK283" s="222"/>
      <c r="BL283" s="222"/>
      <c r="BM283" s="238"/>
      <c r="BN283" s="222"/>
      <c r="BO283" s="222"/>
      <c r="BP283" s="243"/>
      <c r="BQ283" s="244"/>
      <c r="BR283" s="238"/>
      <c r="BS283" s="67"/>
      <c r="BT283" s="66"/>
      <c r="BU283" s="66"/>
      <c r="BV283" s="66"/>
      <c r="BW283" s="74"/>
      <c r="BX283" s="81"/>
      <c r="BY283" s="66">
        <v>45653</v>
      </c>
      <c r="BZ283" s="944" t="s">
        <v>1841</v>
      </c>
      <c r="CA283" s="42" t="str">
        <f t="shared" si="187"/>
        <v>0</v>
      </c>
      <c r="CB283" s="62">
        <f t="shared" si="188"/>
        <v>-45642</v>
      </c>
      <c r="CC283" s="42">
        <f t="shared" si="189"/>
        <v>0</v>
      </c>
      <c r="CD283" s="62">
        <f t="shared" si="190"/>
        <v>-45642</v>
      </c>
      <c r="CE283" s="62">
        <f t="shared" si="191"/>
        <v>-1414.1217948717949</v>
      </c>
      <c r="CF283" s="145" t="str">
        <f t="shared" si="192"/>
        <v>0</v>
      </c>
      <c r="CG283" s="145"/>
      <c r="CH283" s="443">
        <f t="shared" si="193"/>
        <v>7.0331196581196576</v>
      </c>
      <c r="CI283" s="996">
        <f t="shared" si="194"/>
        <v>7.0331196581196576</v>
      </c>
      <c r="CJ283" s="261">
        <f t="shared" si="195"/>
        <v>0</v>
      </c>
      <c r="CK283" s="458">
        <f t="shared" si="196"/>
        <v>214</v>
      </c>
      <c r="CL283" t="str">
        <f t="shared" si="197"/>
        <v>NON-REV</v>
      </c>
      <c r="CM283" t="str">
        <f t="shared" si="198"/>
        <v>7-9 MONTHS</v>
      </c>
      <c r="CN283" s="635"/>
      <c r="CO283" s="631"/>
      <c r="CP283" s="629" t="str">
        <f t="shared" si="175"/>
        <v>FOR ISSUANCE</v>
      </c>
      <c r="CQ283" s="635"/>
      <c r="CR283" s="697"/>
      <c r="CS283" s="633" t="str">
        <f t="shared" ca="1" si="199"/>
        <v>0</v>
      </c>
      <c r="CT283" s="635"/>
      <c r="CU283" s="631"/>
      <c r="CV283" s="638"/>
      <c r="CW283" s="156" t="s">
        <v>1842</v>
      </c>
      <c r="CX283" s="156" t="str">
        <f>VLOOKUP(E283,'[1]List of Work Orders'!$A:$I,9,FALSE)</f>
        <v>ME155242</v>
      </c>
      <c r="CY283" s="156"/>
      <c r="CZ283" s="63"/>
      <c r="DS283" s="156" t="s">
        <v>381</v>
      </c>
    </row>
    <row r="284" spans="1:123" ht="15" customHeight="1" x14ac:dyDescent="0.2">
      <c r="A284" s="242">
        <v>45660</v>
      </c>
      <c r="B284" s="222">
        <v>45647</v>
      </c>
      <c r="C284" s="223"/>
      <c r="D284" s="66" t="s">
        <v>320</v>
      </c>
      <c r="E284" s="404" t="s">
        <v>1843</v>
      </c>
      <c r="F284" s="95" t="s">
        <v>1844</v>
      </c>
      <c r="G284" s="95" t="s">
        <v>1845</v>
      </c>
      <c r="H284" s="95" t="s">
        <v>318</v>
      </c>
      <c r="I284" s="95" t="s">
        <v>239</v>
      </c>
      <c r="J284" s="163"/>
      <c r="K284" s="101"/>
      <c r="L284" s="101" t="s">
        <v>255</v>
      </c>
      <c r="M284" s="345" t="s">
        <v>272</v>
      </c>
      <c r="N284" s="442" t="s">
        <v>381</v>
      </c>
      <c r="O284" s="165">
        <v>193.60149999999999</v>
      </c>
      <c r="P284" s="933">
        <v>193.6</v>
      </c>
      <c r="Q284" s="157">
        <v>83</v>
      </c>
      <c r="R284" s="109" t="s">
        <v>548</v>
      </c>
      <c r="S284" s="141">
        <v>746852.49</v>
      </c>
      <c r="T284" s="110">
        <v>155928.48000000001</v>
      </c>
      <c r="U284" s="141"/>
      <c r="V284" s="158">
        <f t="shared" si="176"/>
        <v>0</v>
      </c>
      <c r="W284" s="159">
        <v>45642</v>
      </c>
      <c r="X284" s="159">
        <v>45646.561805555553</v>
      </c>
      <c r="Y284" s="160">
        <v>45645</v>
      </c>
      <c r="Z284" s="470"/>
      <c r="AA284" s="470">
        <v>45806.619444444441</v>
      </c>
      <c r="AB284" s="470"/>
      <c r="AC284" s="161">
        <f t="shared" si="177"/>
        <v>164.61944444444089</v>
      </c>
      <c r="AD284" s="161">
        <f t="shared" si="201"/>
        <v>160.0576388888876</v>
      </c>
      <c r="AE284" s="446">
        <f t="shared" si="200"/>
        <v>-45806.619444444441</v>
      </c>
      <c r="AF284" s="160">
        <f t="shared" si="202"/>
        <v>45662.345070422532</v>
      </c>
      <c r="AG284" s="160">
        <f t="shared" si="203"/>
        <v>45671.570422535209</v>
      </c>
      <c r="AH284" s="159">
        <f t="shared" si="204"/>
        <v>45692</v>
      </c>
      <c r="AI284" s="162">
        <f t="shared" si="178"/>
        <v>5.2886789844141635</v>
      </c>
      <c r="AJ284" s="224">
        <f t="shared" si="205"/>
        <v>-763.44365740740739</v>
      </c>
      <c r="AK284" s="225">
        <f t="shared" si="179"/>
        <v>26</v>
      </c>
      <c r="AL284" s="170">
        <f t="shared" si="180"/>
        <v>34</v>
      </c>
      <c r="AM284" s="170">
        <f t="shared" si="181"/>
        <v>23.345070422535212</v>
      </c>
      <c r="AN284" s="170">
        <f t="shared" si="182"/>
        <v>29.570422535211268</v>
      </c>
      <c r="AO284" s="226">
        <f t="shared" si="183"/>
        <v>20.345070422535212</v>
      </c>
      <c r="AP284" s="227">
        <v>60</v>
      </c>
      <c r="AQ284" s="228">
        <f t="shared" si="184"/>
        <v>57</v>
      </c>
      <c r="AR284" s="228">
        <f t="shared" si="206"/>
        <v>52</v>
      </c>
      <c r="AS284" s="229">
        <f t="shared" si="185"/>
        <v>45866.619444444441</v>
      </c>
      <c r="AT284" s="982">
        <f t="shared" ca="1" si="186"/>
        <v>88.380555555559113</v>
      </c>
      <c r="AU284" s="1077"/>
      <c r="AV284" s="1078"/>
      <c r="AW284" s="1079"/>
      <c r="AX284" s="1079"/>
      <c r="AY284" s="1079"/>
      <c r="AZ284" s="1080"/>
      <c r="BA284" s="1081"/>
      <c r="BB284" s="1091"/>
      <c r="BC284" s="231" t="s">
        <v>13</v>
      </c>
      <c r="BD284" s="232"/>
      <c r="BE284" s="222">
        <f t="shared" si="207"/>
        <v>45821.619444444441</v>
      </c>
      <c r="BF284" s="233" t="e">
        <f t="shared" si="174"/>
        <v>#VALUE!</v>
      </c>
      <c r="BG284" s="248"/>
      <c r="BH284" s="235"/>
      <c r="BI284" s="234"/>
      <c r="BJ284" s="236"/>
      <c r="BK284" s="222"/>
      <c r="BL284" s="222"/>
      <c r="BM284" s="238"/>
      <c r="BN284" s="222"/>
      <c r="BO284" s="222"/>
      <c r="BP284" s="243"/>
      <c r="BQ284" s="244" t="s">
        <v>247</v>
      </c>
      <c r="BR284" s="238">
        <v>45806</v>
      </c>
      <c r="BS284" s="67"/>
      <c r="BT284" s="66"/>
      <c r="BU284" s="66"/>
      <c r="BV284" s="66"/>
      <c r="BW284" s="74"/>
      <c r="BX284" s="81"/>
      <c r="BY284" s="66">
        <v>45660</v>
      </c>
      <c r="BZ284" s="944" t="s">
        <v>1846</v>
      </c>
      <c r="CA284" s="42" t="str">
        <f t="shared" si="187"/>
        <v>0</v>
      </c>
      <c r="CB284" s="62">
        <f t="shared" si="188"/>
        <v>164.61944444444089</v>
      </c>
      <c r="CC284" s="42">
        <f t="shared" si="189"/>
        <v>0</v>
      </c>
      <c r="CD284" s="62">
        <f t="shared" si="190"/>
        <v>164.61944444444089</v>
      </c>
      <c r="CE284" s="62">
        <f t="shared" si="191"/>
        <v>5.2886789844141635</v>
      </c>
      <c r="CF284" s="1059">
        <f t="shared" si="192"/>
        <v>62.380555555559113</v>
      </c>
      <c r="CH284" s="1082">
        <f t="shared" si="193"/>
        <v>7.292760180995475</v>
      </c>
      <c r="CI284" s="1083">
        <f t="shared" si="194"/>
        <v>7.292760180995475</v>
      </c>
      <c r="CJ284" s="1084">
        <f t="shared" si="195"/>
        <v>1.0396759259259851</v>
      </c>
      <c r="CK284" s="1085" t="str">
        <f t="shared" si="196"/>
        <v/>
      </c>
      <c r="CL284" s="1057" t="str">
        <f t="shared" si="197"/>
        <v>NON-REV</v>
      </c>
      <c r="CM284" s="1057" t="str">
        <f t="shared" si="198"/>
        <v/>
      </c>
      <c r="CN284" s="1086"/>
      <c r="CO284" s="1087"/>
      <c r="CP284" s="629" t="str">
        <f t="shared" si="175"/>
        <v>FOR ISSUANCE</v>
      </c>
      <c r="CQ284" s="1086"/>
      <c r="CR284" s="1088"/>
      <c r="CS284" s="1089" t="str">
        <f t="shared" ca="1" si="199"/>
        <v>0</v>
      </c>
      <c r="CT284" s="1086"/>
      <c r="CU284" s="1087"/>
      <c r="CV284" s="1090"/>
      <c r="CW284" s="156" t="s">
        <v>1847</v>
      </c>
      <c r="CX284" s="156" t="str">
        <f>VLOOKUP(E284,'[1]List of Work Orders'!$A:$I,9,FALSE)</f>
        <v>ME185284</v>
      </c>
      <c r="CY284" s="156"/>
      <c r="DS284" s="156" t="s">
        <v>397</v>
      </c>
    </row>
    <row r="285" spans="1:123" customFormat="1" ht="15" customHeight="1" x14ac:dyDescent="0.25">
      <c r="A285" s="242">
        <v>45660</v>
      </c>
      <c r="B285" s="222">
        <v>45653</v>
      </c>
      <c r="C285" s="223"/>
      <c r="D285" s="66" t="s">
        <v>320</v>
      </c>
      <c r="E285" s="404" t="s">
        <v>1848</v>
      </c>
      <c r="F285" s="95" t="s">
        <v>1849</v>
      </c>
      <c r="G285" s="95" t="s">
        <v>1850</v>
      </c>
      <c r="H285" s="95" t="s">
        <v>238</v>
      </c>
      <c r="I285" s="95" t="s">
        <v>239</v>
      </c>
      <c r="J285" s="163"/>
      <c r="K285" s="101"/>
      <c r="L285" s="101" t="s">
        <v>242</v>
      </c>
      <c r="M285" s="345" t="s">
        <v>272</v>
      </c>
      <c r="N285" s="442" t="s">
        <v>467</v>
      </c>
      <c r="O285" s="165">
        <v>132.87139999999999</v>
      </c>
      <c r="P285" s="933">
        <v>166.07</v>
      </c>
      <c r="Q285" s="157">
        <v>140</v>
      </c>
      <c r="R285" s="109" t="s">
        <v>548</v>
      </c>
      <c r="S285" s="141">
        <v>613121.03</v>
      </c>
      <c r="T285" s="110">
        <v>106644.8</v>
      </c>
      <c r="U285" s="141">
        <v>85085.01</v>
      </c>
      <c r="V285" s="158">
        <f t="shared" si="176"/>
        <v>0.79783552503263166</v>
      </c>
      <c r="W285" s="159">
        <v>45643</v>
      </c>
      <c r="X285" s="159">
        <v>45649.532638888886</v>
      </c>
      <c r="Y285" s="160">
        <v>45653</v>
      </c>
      <c r="Z285" s="470">
        <v>45710</v>
      </c>
      <c r="AA285" s="470">
        <v>45710</v>
      </c>
      <c r="AB285" s="470"/>
      <c r="AC285" s="161">
        <f t="shared" si="177"/>
        <v>67</v>
      </c>
      <c r="AD285" s="161">
        <f t="shared" si="201"/>
        <v>60.46736111111386</v>
      </c>
      <c r="AE285" s="446">
        <f t="shared" si="200"/>
        <v>-45710</v>
      </c>
      <c r="AF285" s="160">
        <f t="shared" si="202"/>
        <v>45662.446043165466</v>
      </c>
      <c r="AG285" s="160">
        <f t="shared" si="203"/>
        <v>45671.431654676257</v>
      </c>
      <c r="AH285" s="159">
        <f t="shared" si="204"/>
        <v>45693</v>
      </c>
      <c r="AI285" s="162">
        <f t="shared" si="178"/>
        <v>2.2387019230769232</v>
      </c>
      <c r="AJ285" s="224">
        <f t="shared" si="205"/>
        <v>-761.83333333333337</v>
      </c>
      <c r="AK285" s="225">
        <f t="shared" si="179"/>
        <v>26</v>
      </c>
      <c r="AL285" s="170">
        <f t="shared" si="180"/>
        <v>32</v>
      </c>
      <c r="AM285" s="170">
        <f t="shared" si="181"/>
        <v>22.446043165467625</v>
      </c>
      <c r="AN285" s="170">
        <f t="shared" si="182"/>
        <v>28.431654676258994</v>
      </c>
      <c r="AO285" s="226">
        <f t="shared" si="183"/>
        <v>19.446043165467625</v>
      </c>
      <c r="AP285" s="227">
        <v>60</v>
      </c>
      <c r="AQ285" s="228">
        <f t="shared" si="184"/>
        <v>57</v>
      </c>
      <c r="AR285" s="228">
        <f t="shared" si="206"/>
        <v>52</v>
      </c>
      <c r="AS285" s="229">
        <f t="shared" si="185"/>
        <v>45770</v>
      </c>
      <c r="AT285" s="982">
        <f t="shared" ca="1" si="186"/>
        <v>185</v>
      </c>
      <c r="AU285" s="50"/>
      <c r="AV285" s="118"/>
      <c r="AW285" s="49"/>
      <c r="AX285" s="49"/>
      <c r="AY285" s="49"/>
      <c r="AZ285" s="300"/>
      <c r="BA285" s="119"/>
      <c r="BB285" s="304"/>
      <c r="BC285" s="231" t="s">
        <v>12</v>
      </c>
      <c r="BD285" s="232" t="s">
        <v>601</v>
      </c>
      <c r="BE285" s="222">
        <f t="shared" si="207"/>
        <v>45725</v>
      </c>
      <c r="BF285" s="233">
        <f t="shared" si="174"/>
        <v>-17</v>
      </c>
      <c r="BG285" s="248">
        <v>45758</v>
      </c>
      <c r="BH285" s="235">
        <v>45708</v>
      </c>
      <c r="BI285" s="234"/>
      <c r="BJ285" s="236"/>
      <c r="BK285" s="222"/>
      <c r="BL285" s="222"/>
      <c r="BM285" s="238"/>
      <c r="BN285" s="222"/>
      <c r="BO285" s="222"/>
      <c r="BP285" s="243"/>
      <c r="BQ285" s="244" t="s">
        <v>247</v>
      </c>
      <c r="BR285" s="238">
        <v>45708</v>
      </c>
      <c r="BS285" s="67"/>
      <c r="BT285" s="66"/>
      <c r="BU285" s="66"/>
      <c r="BV285" s="66"/>
      <c r="BW285" s="74"/>
      <c r="BX285" s="81"/>
      <c r="BY285" s="66">
        <v>45660</v>
      </c>
      <c r="BZ285" s="944" t="s">
        <v>1851</v>
      </c>
      <c r="CA285" s="42" t="str">
        <f t="shared" si="187"/>
        <v>0</v>
      </c>
      <c r="CB285" s="62">
        <f t="shared" si="188"/>
        <v>67</v>
      </c>
      <c r="CC285" s="42">
        <f t="shared" si="189"/>
        <v>0</v>
      </c>
      <c r="CD285" s="62">
        <f t="shared" si="190"/>
        <v>67</v>
      </c>
      <c r="CE285" s="62">
        <f t="shared" si="191"/>
        <v>2.2387019230769232</v>
      </c>
      <c r="CF285" s="145">
        <f t="shared" si="192"/>
        <v>159</v>
      </c>
      <c r="CG285" s="145"/>
      <c r="CH285" s="443">
        <f t="shared" si="193"/>
        <v>7.551442307692307</v>
      </c>
      <c r="CI285" s="996">
        <f t="shared" si="194"/>
        <v>7.551442307692307</v>
      </c>
      <c r="CJ285" s="261">
        <f t="shared" si="195"/>
        <v>2.65</v>
      </c>
      <c r="CK285" s="458" t="str">
        <f t="shared" si="196"/>
        <v/>
      </c>
      <c r="CL285" t="str">
        <f t="shared" si="197"/>
        <v>NON-REV</v>
      </c>
      <c r="CM285" t="str">
        <f t="shared" si="198"/>
        <v/>
      </c>
      <c r="CN285" s="635"/>
      <c r="CO285" s="631"/>
      <c r="CP285" s="629" t="str">
        <f t="shared" si="175"/>
        <v>FOR ISSUANCE</v>
      </c>
      <c r="CQ285" s="635"/>
      <c r="CR285" s="697"/>
      <c r="CS285" s="633" t="str">
        <f t="shared" ca="1" si="199"/>
        <v>0</v>
      </c>
      <c r="CT285" s="635"/>
      <c r="CU285" s="631"/>
      <c r="CV285" s="638"/>
      <c r="CW285" s="156" t="s">
        <v>1852</v>
      </c>
      <c r="CX285" s="156" t="str">
        <f>VLOOKUP(E285,'[1]List of Work Orders'!$A:$I,9,FALSE)</f>
        <v>ME155242</v>
      </c>
      <c r="CY285" s="156"/>
      <c r="CZ285" s="63"/>
      <c r="DS285" s="156" t="s">
        <v>381</v>
      </c>
    </row>
    <row r="286" spans="1:123" customFormat="1" ht="15" customHeight="1" x14ac:dyDescent="0.25">
      <c r="A286" s="242">
        <v>45660</v>
      </c>
      <c r="B286" s="222">
        <v>45647</v>
      </c>
      <c r="C286" s="223"/>
      <c r="D286" s="66" t="s">
        <v>284</v>
      </c>
      <c r="E286" s="404" t="s">
        <v>1853</v>
      </c>
      <c r="F286" s="95" t="s">
        <v>1854</v>
      </c>
      <c r="G286" s="95" t="s">
        <v>1855</v>
      </c>
      <c r="H286" s="95" t="s">
        <v>378</v>
      </c>
      <c r="I286" s="95" t="s">
        <v>239</v>
      </c>
      <c r="J286" s="163"/>
      <c r="K286" s="101"/>
      <c r="L286" s="101" t="s">
        <v>288</v>
      </c>
      <c r="M286" s="345" t="s">
        <v>243</v>
      </c>
      <c r="N286" s="442" t="s">
        <v>381</v>
      </c>
      <c r="O286" s="165">
        <v>39.92</v>
      </c>
      <c r="P286" s="933">
        <v>39.92</v>
      </c>
      <c r="Q286" s="157">
        <v>21</v>
      </c>
      <c r="R286" s="109" t="s">
        <v>548</v>
      </c>
      <c r="S286" s="141">
        <v>78921.539999999994</v>
      </c>
      <c r="T286" s="110">
        <v>32146.36</v>
      </c>
      <c r="U286" s="141">
        <v>15300.13</v>
      </c>
      <c r="V286" s="158">
        <f t="shared" si="176"/>
        <v>0.47595217623394992</v>
      </c>
      <c r="W286" s="159">
        <v>45643</v>
      </c>
      <c r="X286" s="159">
        <v>45649.529861111114</v>
      </c>
      <c r="Y286" s="160">
        <v>45645</v>
      </c>
      <c r="Z286" s="470">
        <v>45683</v>
      </c>
      <c r="AA286" s="470">
        <v>45683</v>
      </c>
      <c r="AB286" s="470">
        <v>45888</v>
      </c>
      <c r="AC286" s="161">
        <f t="shared" si="177"/>
        <v>40</v>
      </c>
      <c r="AD286" s="161">
        <f t="shared" si="201"/>
        <v>33.47013888888614</v>
      </c>
      <c r="AE286" s="446">
        <f t="shared" si="200"/>
        <v>205</v>
      </c>
      <c r="AF286" s="160">
        <f t="shared" si="202"/>
        <v>45661.774193548386</v>
      </c>
      <c r="AG286" s="160">
        <f t="shared" si="203"/>
        <v>45670.580645161288</v>
      </c>
      <c r="AH286" s="159">
        <f t="shared" si="204"/>
        <v>45693</v>
      </c>
      <c r="AI286" s="162">
        <f t="shared" si="178"/>
        <v>1.3777777777777778</v>
      </c>
      <c r="AJ286" s="224">
        <f t="shared" si="205"/>
        <v>3.4166666666666665</v>
      </c>
      <c r="AK286" s="225">
        <f t="shared" si="179"/>
        <v>20</v>
      </c>
      <c r="AL286" s="170">
        <f t="shared" si="180"/>
        <v>36</v>
      </c>
      <c r="AM286" s="170">
        <f t="shared" si="181"/>
        <v>21.774193548387096</v>
      </c>
      <c r="AN286" s="170">
        <f t="shared" si="182"/>
        <v>27.58064516129032</v>
      </c>
      <c r="AO286" s="226">
        <f t="shared" si="183"/>
        <v>18.774193548387096</v>
      </c>
      <c r="AP286" s="227">
        <v>60</v>
      </c>
      <c r="AQ286" s="228">
        <f t="shared" si="184"/>
        <v>57</v>
      </c>
      <c r="AR286" s="228">
        <f t="shared" si="206"/>
        <v>52</v>
      </c>
      <c r="AS286" s="229">
        <f t="shared" si="185"/>
        <v>45743</v>
      </c>
      <c r="AT286" s="982">
        <f t="shared" ca="1" si="186"/>
        <v>212</v>
      </c>
      <c r="AU286" s="50"/>
      <c r="AV286" s="118"/>
      <c r="AW286" s="49"/>
      <c r="AX286" s="49"/>
      <c r="AY286" s="49"/>
      <c r="AZ286" s="300"/>
      <c r="BA286" s="119"/>
      <c r="BB286" s="304"/>
      <c r="BC286" s="231" t="s">
        <v>14</v>
      </c>
      <c r="BD286" s="232"/>
      <c r="BE286" s="222">
        <f t="shared" si="207"/>
        <v>45698</v>
      </c>
      <c r="BF286" s="233">
        <f t="shared" si="174"/>
        <v>25</v>
      </c>
      <c r="BG286" s="248">
        <v>45742</v>
      </c>
      <c r="BH286" s="235">
        <v>45723</v>
      </c>
      <c r="BI286" s="234">
        <v>45848</v>
      </c>
      <c r="BJ286" s="236" t="s">
        <v>1083</v>
      </c>
      <c r="BK286" s="222"/>
      <c r="BL286" s="222"/>
      <c r="BM286" s="238"/>
      <c r="BN286" s="222"/>
      <c r="BO286" s="222">
        <v>45885</v>
      </c>
      <c r="BP286" s="243" t="s">
        <v>1084</v>
      </c>
      <c r="BQ286" s="244" t="s">
        <v>247</v>
      </c>
      <c r="BR286" s="238">
        <v>45680</v>
      </c>
      <c r="BS286" s="67"/>
      <c r="BT286" s="66"/>
      <c r="BU286" s="66"/>
      <c r="BV286" s="66"/>
      <c r="BW286" s="74"/>
      <c r="BX286" s="81"/>
      <c r="BY286" s="66" t="s">
        <v>308</v>
      </c>
      <c r="BZ286" s="944" t="s">
        <v>1856</v>
      </c>
      <c r="CA286" s="42" t="str">
        <f t="shared" si="187"/>
        <v>0</v>
      </c>
      <c r="CB286" s="62">
        <f t="shared" si="188"/>
        <v>40</v>
      </c>
      <c r="CC286" s="42">
        <f t="shared" si="189"/>
        <v>0</v>
      </c>
      <c r="CD286" s="62">
        <f t="shared" si="190"/>
        <v>40</v>
      </c>
      <c r="CE286" s="62">
        <f t="shared" si="191"/>
        <v>1.3777777777777778</v>
      </c>
      <c r="CF286" s="145">
        <f t="shared" si="192"/>
        <v>186</v>
      </c>
      <c r="CG286" s="145"/>
      <c r="CH286" s="443">
        <f t="shared" si="193"/>
        <v>7.7844444444444445</v>
      </c>
      <c r="CI286" s="996">
        <f t="shared" si="194"/>
        <v>7.7844444444444445</v>
      </c>
      <c r="CJ286" s="261">
        <f t="shared" si="195"/>
        <v>3.1</v>
      </c>
      <c r="CK286" s="458" t="str">
        <f t="shared" si="196"/>
        <v/>
      </c>
      <c r="CL286" t="str">
        <f t="shared" si="197"/>
        <v>NON-REV</v>
      </c>
      <c r="CM286" t="str">
        <f t="shared" si="198"/>
        <v/>
      </c>
      <c r="CN286" s="635">
        <v>45887</v>
      </c>
      <c r="CO286" s="631">
        <v>26877.279999999999</v>
      </c>
      <c r="CP286" s="629" t="str">
        <f t="shared" si="175"/>
        <v>NTC ISSUED</v>
      </c>
      <c r="CQ286" s="635">
        <v>45887</v>
      </c>
      <c r="CR286" s="697"/>
      <c r="CS286" s="633">
        <f t="shared" ca="1" si="199"/>
        <v>8</v>
      </c>
      <c r="CT286" s="635"/>
      <c r="CU286" s="631"/>
      <c r="CV286" s="638"/>
      <c r="CW286" s="156" t="s">
        <v>1857</v>
      </c>
      <c r="CX286" s="156" t="str">
        <f>VLOOKUP(E286,'[1]List of Work Orders'!$A:$I,9,FALSE)</f>
        <v>ME185284</v>
      </c>
      <c r="CY286" s="156"/>
      <c r="DS286" s="156" t="s">
        <v>403</v>
      </c>
    </row>
    <row r="287" spans="1:123" customFormat="1" ht="15" customHeight="1" x14ac:dyDescent="0.25">
      <c r="A287" s="242">
        <v>45663</v>
      </c>
      <c r="B287" s="222">
        <v>45659</v>
      </c>
      <c r="C287" s="223"/>
      <c r="D287" s="66" t="s">
        <v>320</v>
      </c>
      <c r="E287" s="404" t="s">
        <v>1858</v>
      </c>
      <c r="F287" s="95" t="s">
        <v>1859</v>
      </c>
      <c r="G287" s="95" t="s">
        <v>1860</v>
      </c>
      <c r="H287" s="95" t="s">
        <v>269</v>
      </c>
      <c r="I287" s="95" t="s">
        <v>239</v>
      </c>
      <c r="J287" s="163"/>
      <c r="K287" s="101"/>
      <c r="L287" s="101" t="s">
        <v>5</v>
      </c>
      <c r="M287" s="345" t="s">
        <v>272</v>
      </c>
      <c r="N287" s="442" t="s">
        <v>403</v>
      </c>
      <c r="O287" s="165">
        <v>124.15810000000002</v>
      </c>
      <c r="P287" s="933">
        <v>146.68</v>
      </c>
      <c r="Q287" s="157">
        <v>17.8</v>
      </c>
      <c r="R287" s="109" t="s">
        <v>244</v>
      </c>
      <c r="S287" s="141">
        <v>650762.17000000004</v>
      </c>
      <c r="T287" s="110">
        <v>117362.26000000004</v>
      </c>
      <c r="U287" s="141"/>
      <c r="V287" s="158">
        <f t="shared" si="176"/>
        <v>0</v>
      </c>
      <c r="W287" s="159">
        <v>45645</v>
      </c>
      <c r="X287" s="159">
        <v>45649.536111111112</v>
      </c>
      <c r="Y287" s="160">
        <v>45647</v>
      </c>
      <c r="Z287" s="470">
        <v>45764</v>
      </c>
      <c r="AA287" s="470">
        <v>45797.450694444444</v>
      </c>
      <c r="AB287" s="470"/>
      <c r="AC287" s="161">
        <f t="shared" si="177"/>
        <v>152.4506944444438</v>
      </c>
      <c r="AD287" s="161">
        <v>0</v>
      </c>
      <c r="AE287" s="446">
        <f t="shared" si="200"/>
        <v>-45797.450694444444</v>
      </c>
      <c r="AF287" s="160">
        <v>45663.085501858739</v>
      </c>
      <c r="AG287" s="160">
        <v>45672.241635687729</v>
      </c>
      <c r="AH287" s="159">
        <v>45693</v>
      </c>
      <c r="AI287" s="162">
        <f t="shared" si="178"/>
        <v>4.723365533000929</v>
      </c>
      <c r="AJ287" s="224">
        <v>0</v>
      </c>
      <c r="AK287" s="225">
        <f t="shared" si="179"/>
        <v>26</v>
      </c>
      <c r="AL287" s="170">
        <f t="shared" si="180"/>
        <v>36</v>
      </c>
      <c r="AM287" s="170">
        <f t="shared" si="181"/>
        <v>24.206896551724139</v>
      </c>
      <c r="AN287" s="170">
        <f t="shared" si="182"/>
        <v>30.662068965517239</v>
      </c>
      <c r="AO287" s="226">
        <f t="shared" si="183"/>
        <v>21.206896551724139</v>
      </c>
      <c r="AP287" s="227">
        <v>60</v>
      </c>
      <c r="AQ287" s="228">
        <f t="shared" si="184"/>
        <v>57</v>
      </c>
      <c r="AR287" s="228">
        <v>28.6</v>
      </c>
      <c r="AS287" s="229">
        <f t="shared" si="185"/>
        <v>45857.450694444444</v>
      </c>
      <c r="AT287" s="982">
        <f t="shared" ca="1" si="186"/>
        <v>97.549305555556202</v>
      </c>
      <c r="AU287" s="50"/>
      <c r="AV287" s="118"/>
      <c r="AW287" s="49"/>
      <c r="AX287" s="49"/>
      <c r="AY287" s="49"/>
      <c r="AZ287" s="300"/>
      <c r="BA287" s="119"/>
      <c r="BB287" s="304"/>
      <c r="BC287" s="231" t="s">
        <v>12</v>
      </c>
      <c r="BD287" s="232"/>
      <c r="BE287" s="222">
        <f t="shared" si="207"/>
        <v>45812.450694444444</v>
      </c>
      <c r="BF287" s="233">
        <f t="shared" si="174"/>
        <v>32.549305555556202</v>
      </c>
      <c r="BG287" s="248">
        <v>45764</v>
      </c>
      <c r="BH287" s="235">
        <v>45845</v>
      </c>
      <c r="BI287" s="234"/>
      <c r="BJ287" s="236"/>
      <c r="BK287" s="222"/>
      <c r="BL287" s="222"/>
      <c r="BM287" s="238"/>
      <c r="BN287" s="222"/>
      <c r="BO287" s="222"/>
      <c r="BP287" s="243"/>
      <c r="BQ287" s="244" t="s">
        <v>247</v>
      </c>
      <c r="BR287" s="238">
        <v>45793</v>
      </c>
      <c r="BS287" s="67"/>
      <c r="BT287" s="66"/>
      <c r="BU287" s="66"/>
      <c r="BV287" s="66"/>
      <c r="BW287" s="74"/>
      <c r="BX287" s="81"/>
      <c r="BY287" s="66">
        <v>45663</v>
      </c>
      <c r="BZ287" s="944" t="s">
        <v>1861</v>
      </c>
      <c r="CA287" s="42" t="str">
        <f t="shared" si="187"/>
        <v>0</v>
      </c>
      <c r="CB287" s="62">
        <f t="shared" si="188"/>
        <v>152.4506944444438</v>
      </c>
      <c r="CC287" s="42">
        <f t="shared" si="189"/>
        <v>0</v>
      </c>
      <c r="CD287" s="62">
        <f t="shared" si="190"/>
        <v>152.4506944444438</v>
      </c>
      <c r="CE287" s="62">
        <f t="shared" si="191"/>
        <v>4.723365533000929</v>
      </c>
      <c r="CF287" s="145">
        <f t="shared" si="192"/>
        <v>71.549305555556202</v>
      </c>
      <c r="CG287" s="145"/>
      <c r="CH287" s="443">
        <f t="shared" si="193"/>
        <v>6.9401709401709395</v>
      </c>
      <c r="CI287" s="996">
        <f t="shared" si="194"/>
        <v>6.9401709401709395</v>
      </c>
      <c r="CJ287" s="261">
        <f t="shared" si="195"/>
        <v>1.1924884259259367</v>
      </c>
      <c r="CK287" s="458" t="str">
        <f t="shared" si="196"/>
        <v/>
      </c>
      <c r="CL287" t="str">
        <f t="shared" si="197"/>
        <v>REV</v>
      </c>
      <c r="CM287" t="str">
        <f t="shared" si="198"/>
        <v/>
      </c>
      <c r="CN287" s="635"/>
      <c r="CO287" s="631"/>
      <c r="CP287" s="629" t="str">
        <f t="shared" si="175"/>
        <v>FOR ISSUANCE</v>
      </c>
      <c r="CQ287" s="635"/>
      <c r="CR287" s="697"/>
      <c r="CS287" s="633" t="str">
        <f t="shared" ca="1" si="199"/>
        <v>0</v>
      </c>
      <c r="CT287" s="635"/>
      <c r="CU287" s="631"/>
      <c r="CV287" s="638"/>
      <c r="CW287" s="156" t="s">
        <v>1862</v>
      </c>
      <c r="CX287" s="156" t="str">
        <f>VLOOKUP(E287,'[1]List of Work Orders'!$A:$I,9,FALSE)</f>
        <v>ME166067</v>
      </c>
      <c r="CY287" s="156"/>
      <c r="DS287" s="156" t="s">
        <v>381</v>
      </c>
    </row>
    <row r="288" spans="1:123" customFormat="1" ht="15" customHeight="1" x14ac:dyDescent="0.25">
      <c r="A288" s="242">
        <v>45660</v>
      </c>
      <c r="B288" s="222">
        <v>45663</v>
      </c>
      <c r="C288" s="223"/>
      <c r="D288" s="66" t="s">
        <v>320</v>
      </c>
      <c r="E288" s="404" t="s">
        <v>1863</v>
      </c>
      <c r="F288" s="95" t="s">
        <v>1864</v>
      </c>
      <c r="G288" s="95" t="s">
        <v>1865</v>
      </c>
      <c r="H288" s="95" t="s">
        <v>378</v>
      </c>
      <c r="I288" s="95" t="s">
        <v>239</v>
      </c>
      <c r="J288" s="163"/>
      <c r="K288" s="101"/>
      <c r="L288" s="101" t="s">
        <v>288</v>
      </c>
      <c r="M288" s="345" t="s">
        <v>243</v>
      </c>
      <c r="N288" s="442" t="s">
        <v>381</v>
      </c>
      <c r="O288" s="165">
        <v>3.58</v>
      </c>
      <c r="P288" s="933">
        <v>11.56</v>
      </c>
      <c r="Q288" s="157">
        <v>42</v>
      </c>
      <c r="R288" s="109" t="s">
        <v>548</v>
      </c>
      <c r="S288" s="141">
        <v>41516.720000000001</v>
      </c>
      <c r="T288" s="110">
        <v>9308.9499999999989</v>
      </c>
      <c r="U288" s="141"/>
      <c r="V288" s="158">
        <f t="shared" si="176"/>
        <v>0</v>
      </c>
      <c r="W288" s="159">
        <v>45645</v>
      </c>
      <c r="X288" s="159">
        <v>45649.530555555553</v>
      </c>
      <c r="Y288" s="160">
        <v>45647</v>
      </c>
      <c r="Z288" s="470">
        <v>45668</v>
      </c>
      <c r="AA288" s="470">
        <v>45668</v>
      </c>
      <c r="AB288" s="470">
        <v>45890</v>
      </c>
      <c r="AC288" s="161">
        <f t="shared" si="177"/>
        <v>23</v>
      </c>
      <c r="AD288" s="161">
        <v>0</v>
      </c>
      <c r="AE288" s="446">
        <f t="shared" si="200"/>
        <v>222</v>
      </c>
      <c r="AF288" s="160">
        <v>45663.085501858739</v>
      </c>
      <c r="AG288" s="160">
        <v>45672.241635687729</v>
      </c>
      <c r="AH288" s="159">
        <v>45693</v>
      </c>
      <c r="AI288" s="162">
        <f t="shared" si="178"/>
        <v>0.79222222222222216</v>
      </c>
      <c r="AJ288" s="224">
        <v>0</v>
      </c>
      <c r="AK288" s="225">
        <f t="shared" si="179"/>
        <v>20</v>
      </c>
      <c r="AL288" s="170">
        <f t="shared" si="180"/>
        <v>36</v>
      </c>
      <c r="AM288" s="170">
        <f t="shared" si="181"/>
        <v>21.774193548387096</v>
      </c>
      <c r="AN288" s="170">
        <f t="shared" si="182"/>
        <v>27.58064516129032</v>
      </c>
      <c r="AO288" s="226">
        <f t="shared" si="183"/>
        <v>18.774193548387096</v>
      </c>
      <c r="AP288" s="227">
        <v>60</v>
      </c>
      <c r="AQ288" s="228">
        <f t="shared" si="184"/>
        <v>57</v>
      </c>
      <c r="AR288" s="228">
        <v>28.6</v>
      </c>
      <c r="AS288" s="229">
        <f t="shared" si="185"/>
        <v>45728</v>
      </c>
      <c r="AT288" s="982">
        <f t="shared" ca="1" si="186"/>
        <v>227</v>
      </c>
      <c r="AU288" s="50"/>
      <c r="AV288" s="118"/>
      <c r="AW288" s="49"/>
      <c r="AX288" s="49"/>
      <c r="AY288" s="49"/>
      <c r="AZ288" s="300"/>
      <c r="BA288" s="119"/>
      <c r="BB288" s="304"/>
      <c r="BC288" s="231" t="s">
        <v>14</v>
      </c>
      <c r="BD288" s="232"/>
      <c r="BE288" s="222">
        <f t="shared" si="207"/>
        <v>45683</v>
      </c>
      <c r="BF288" s="233">
        <f t="shared" si="174"/>
        <v>40</v>
      </c>
      <c r="BG288" s="248">
        <v>45668</v>
      </c>
      <c r="BH288" s="235">
        <v>45723</v>
      </c>
      <c r="BI288" s="234"/>
      <c r="BJ288" s="236"/>
      <c r="BK288" s="222"/>
      <c r="BL288" s="222"/>
      <c r="BM288" s="238"/>
      <c r="BN288" s="222"/>
      <c r="BO288" s="222">
        <v>45881</v>
      </c>
      <c r="BP288" s="243" t="s">
        <v>1084</v>
      </c>
      <c r="BQ288" s="244" t="s">
        <v>247</v>
      </c>
      <c r="BR288" s="238">
        <v>45664</v>
      </c>
      <c r="BS288" s="67"/>
      <c r="BT288" s="66"/>
      <c r="BU288" s="66"/>
      <c r="BV288" s="66"/>
      <c r="BW288" s="74"/>
      <c r="BX288" s="81"/>
      <c r="BY288" s="66" t="s">
        <v>308</v>
      </c>
      <c r="BZ288" s="944" t="s">
        <v>1866</v>
      </c>
      <c r="CA288" s="42" t="str">
        <f t="shared" si="187"/>
        <v>0</v>
      </c>
      <c r="CB288" s="62">
        <f t="shared" si="188"/>
        <v>23</v>
      </c>
      <c r="CC288" s="42">
        <f t="shared" si="189"/>
        <v>0</v>
      </c>
      <c r="CD288" s="62">
        <f t="shared" si="190"/>
        <v>23</v>
      </c>
      <c r="CE288" s="62">
        <f t="shared" si="191"/>
        <v>0.79222222222222216</v>
      </c>
      <c r="CF288" s="145">
        <f t="shared" si="192"/>
        <v>201</v>
      </c>
      <c r="CG288" s="145"/>
      <c r="CH288" s="443">
        <f t="shared" si="193"/>
        <v>7.7155555555555555</v>
      </c>
      <c r="CI288" s="996">
        <f t="shared" si="194"/>
        <v>7.7155555555555555</v>
      </c>
      <c r="CJ288" s="261">
        <f t="shared" si="195"/>
        <v>3.35</v>
      </c>
      <c r="CK288" s="458" t="str">
        <f t="shared" si="196"/>
        <v/>
      </c>
      <c r="CL288" t="str">
        <f t="shared" si="197"/>
        <v>NON-REV</v>
      </c>
      <c r="CM288" t="str">
        <f t="shared" si="198"/>
        <v/>
      </c>
      <c r="CN288" s="635">
        <v>45881</v>
      </c>
      <c r="CO288" s="631">
        <v>7540.14</v>
      </c>
      <c r="CP288" s="629" t="str">
        <f t="shared" si="175"/>
        <v>NTC ISSUED</v>
      </c>
      <c r="CQ288" s="635">
        <v>45884</v>
      </c>
      <c r="CR288" s="697"/>
      <c r="CS288" s="633">
        <f t="shared" ca="1" si="199"/>
        <v>11</v>
      </c>
      <c r="CT288" s="635"/>
      <c r="CU288" s="631"/>
      <c r="CV288" s="638"/>
      <c r="CW288" s="156" t="s">
        <v>1867</v>
      </c>
      <c r="CX288" s="156" t="str">
        <f>VLOOKUP(E288,'[1]List of Work Orders'!$A:$I,9,FALSE)</f>
        <v>ME185284</v>
      </c>
      <c r="CY288" s="156"/>
      <c r="DS288" s="156" t="s">
        <v>381</v>
      </c>
    </row>
    <row r="289" spans="1:123" customFormat="1" ht="15" customHeight="1" x14ac:dyDescent="0.25">
      <c r="A289" s="242">
        <v>45660</v>
      </c>
      <c r="B289" s="222">
        <v>45660</v>
      </c>
      <c r="C289" s="223"/>
      <c r="D289" s="66" t="s">
        <v>284</v>
      </c>
      <c r="E289" s="404" t="s">
        <v>1868</v>
      </c>
      <c r="F289" s="95" t="s">
        <v>1869</v>
      </c>
      <c r="G289" s="95" t="s">
        <v>1870</v>
      </c>
      <c r="H289" s="95" t="s">
        <v>253</v>
      </c>
      <c r="I289" s="95" t="s">
        <v>254</v>
      </c>
      <c r="J289" s="163"/>
      <c r="K289" s="101"/>
      <c r="L289" s="101" t="s">
        <v>263</v>
      </c>
      <c r="M289" s="345" t="s">
        <v>272</v>
      </c>
      <c r="N289" s="442" t="s">
        <v>467</v>
      </c>
      <c r="O289" s="165">
        <v>47.618499999999997</v>
      </c>
      <c r="P289" s="933">
        <v>149.93</v>
      </c>
      <c r="Q289" s="157">
        <v>54</v>
      </c>
      <c r="R289" s="109" t="s">
        <v>244</v>
      </c>
      <c r="S289" s="141">
        <v>434824.49</v>
      </c>
      <c r="T289" s="110">
        <v>57699.09</v>
      </c>
      <c r="U289" s="141"/>
      <c r="V289" s="158">
        <f t="shared" si="176"/>
        <v>0</v>
      </c>
      <c r="W289" s="159">
        <v>45645</v>
      </c>
      <c r="X289" s="159">
        <v>45649.52847222222</v>
      </c>
      <c r="Y289" s="160">
        <v>45647</v>
      </c>
      <c r="Z289" s="470"/>
      <c r="AA289" s="470">
        <v>45769</v>
      </c>
      <c r="AB289" s="470"/>
      <c r="AC289" s="161">
        <f t="shared" si="177"/>
        <v>124</v>
      </c>
      <c r="AD289" s="161">
        <v>0</v>
      </c>
      <c r="AE289" s="446">
        <f t="shared" si="200"/>
        <v>-45769</v>
      </c>
      <c r="AF289" s="160">
        <v>45663.085501858739</v>
      </c>
      <c r="AG289" s="160">
        <v>45672.241635687729</v>
      </c>
      <c r="AH289" s="159">
        <v>45693</v>
      </c>
      <c r="AI289" s="162">
        <f t="shared" si="178"/>
        <v>3.9837104072398191</v>
      </c>
      <c r="AJ289" s="224">
        <v>0</v>
      </c>
      <c r="AK289" s="225">
        <f t="shared" si="179"/>
        <v>26</v>
      </c>
      <c r="AL289" s="170">
        <f t="shared" si="180"/>
        <v>34</v>
      </c>
      <c r="AM289" s="170">
        <f t="shared" si="181"/>
        <v>23.345070422535212</v>
      </c>
      <c r="AN289" s="170">
        <f t="shared" si="182"/>
        <v>29.570422535211268</v>
      </c>
      <c r="AO289" s="226">
        <f t="shared" si="183"/>
        <v>20.345070422535212</v>
      </c>
      <c r="AP289" s="227">
        <v>60</v>
      </c>
      <c r="AQ289" s="228">
        <f t="shared" si="184"/>
        <v>57</v>
      </c>
      <c r="AR289" s="228">
        <v>28.6</v>
      </c>
      <c r="AS289" s="229">
        <f t="shared" si="185"/>
        <v>45829</v>
      </c>
      <c r="AT289" s="982">
        <f t="shared" ca="1" si="186"/>
        <v>126</v>
      </c>
      <c r="AU289" s="50"/>
      <c r="AV289" s="118"/>
      <c r="AW289" s="49"/>
      <c r="AX289" s="49"/>
      <c r="AY289" s="49"/>
      <c r="AZ289" s="300"/>
      <c r="BA289" s="119"/>
      <c r="BB289" s="304"/>
      <c r="BC289" s="231" t="s">
        <v>13</v>
      </c>
      <c r="BD289" s="232"/>
      <c r="BE289" s="222">
        <f t="shared" si="207"/>
        <v>45784</v>
      </c>
      <c r="BF289" s="233" t="e">
        <f t="shared" si="174"/>
        <v>#VALUE!</v>
      </c>
      <c r="BG289" s="248"/>
      <c r="BH289" s="235"/>
      <c r="BI289" s="234"/>
      <c r="BJ289" s="236"/>
      <c r="BK289" s="222"/>
      <c r="BL289" s="222"/>
      <c r="BM289" s="238"/>
      <c r="BN289" s="222"/>
      <c r="BO289" s="222"/>
      <c r="BP289" s="243"/>
      <c r="BQ289" s="244" t="s">
        <v>247</v>
      </c>
      <c r="BR289" s="238">
        <v>45763</v>
      </c>
      <c r="BS289" s="67"/>
      <c r="BT289" s="66"/>
      <c r="BU289" s="66"/>
      <c r="BV289" s="66"/>
      <c r="BW289" s="74"/>
      <c r="BX289" s="81"/>
      <c r="BY289" s="66">
        <v>45660</v>
      </c>
      <c r="BZ289" s="944" t="s">
        <v>1871</v>
      </c>
      <c r="CA289" s="42" t="str">
        <f t="shared" si="187"/>
        <v>0</v>
      </c>
      <c r="CB289" s="62">
        <f t="shared" si="188"/>
        <v>124</v>
      </c>
      <c r="CC289" s="42">
        <f t="shared" si="189"/>
        <v>0</v>
      </c>
      <c r="CD289" s="62">
        <f t="shared" si="190"/>
        <v>124</v>
      </c>
      <c r="CE289" s="62">
        <f t="shared" si="191"/>
        <v>3.9837104072398191</v>
      </c>
      <c r="CF289" s="145">
        <f t="shared" si="192"/>
        <v>100</v>
      </c>
      <c r="CG289" s="145"/>
      <c r="CH289" s="443">
        <f t="shared" si="193"/>
        <v>7.1963800904977369</v>
      </c>
      <c r="CI289" s="996">
        <f t="shared" si="194"/>
        <v>7.1963800904977369</v>
      </c>
      <c r="CJ289" s="261">
        <f t="shared" si="195"/>
        <v>1.6666666666666667</v>
      </c>
      <c r="CK289" s="458" t="str">
        <f t="shared" si="196"/>
        <v/>
      </c>
      <c r="CL289" t="str">
        <f t="shared" si="197"/>
        <v>REV</v>
      </c>
      <c r="CM289" t="str">
        <f t="shared" si="198"/>
        <v/>
      </c>
      <c r="CN289" s="635"/>
      <c r="CO289" s="631"/>
      <c r="CP289" s="629" t="str">
        <f t="shared" si="175"/>
        <v>FOR ISSUANCE</v>
      </c>
      <c r="CQ289" s="635"/>
      <c r="CR289" s="697"/>
      <c r="CS289" s="633" t="str">
        <f t="shared" ca="1" si="199"/>
        <v>0</v>
      </c>
      <c r="CT289" s="635"/>
      <c r="CU289" s="631"/>
      <c r="CV289" s="638"/>
      <c r="CW289" s="156" t="s">
        <v>1872</v>
      </c>
      <c r="CX289" s="156" t="str">
        <f>VLOOKUP(E289,'[1]List of Work Orders'!$A:$I,9,FALSE)</f>
        <v>ME155242</v>
      </c>
      <c r="CY289" s="156"/>
      <c r="DS289" s="156" t="s">
        <v>397</v>
      </c>
    </row>
    <row r="290" spans="1:123" ht="15" customHeight="1" x14ac:dyDescent="0.2">
      <c r="A290" s="242">
        <v>45660</v>
      </c>
      <c r="B290" s="66">
        <v>45659</v>
      </c>
      <c r="C290" s="223"/>
      <c r="D290" s="66" t="s">
        <v>320</v>
      </c>
      <c r="E290" s="404" t="s">
        <v>1873</v>
      </c>
      <c r="F290" s="95" t="s">
        <v>1874</v>
      </c>
      <c r="G290" s="95" t="s">
        <v>1875</v>
      </c>
      <c r="H290" s="95" t="s">
        <v>253</v>
      </c>
      <c r="I290" s="95" t="s">
        <v>254</v>
      </c>
      <c r="J290" s="163"/>
      <c r="K290" s="101"/>
      <c r="L290" s="101" t="s">
        <v>255</v>
      </c>
      <c r="M290" s="345" t="s">
        <v>272</v>
      </c>
      <c r="N290" s="442" t="s">
        <v>381</v>
      </c>
      <c r="O290" s="165">
        <v>125.09089999999999</v>
      </c>
      <c r="P290" s="933">
        <v>162.27000000000001</v>
      </c>
      <c r="Q290" s="157">
        <v>20</v>
      </c>
      <c r="R290" s="109" t="s">
        <v>244</v>
      </c>
      <c r="S290" s="141">
        <v>796877.5</v>
      </c>
      <c r="T290" s="110">
        <v>130293.83</v>
      </c>
      <c r="U290" s="141"/>
      <c r="V290" s="158">
        <f t="shared" si="176"/>
        <v>0</v>
      </c>
      <c r="W290" s="159">
        <v>45646</v>
      </c>
      <c r="X290" s="159">
        <v>45649.527083333334</v>
      </c>
      <c r="Y290" s="160">
        <v>45647</v>
      </c>
      <c r="Z290" s="470">
        <v>45738</v>
      </c>
      <c r="AA290" s="470">
        <v>45789</v>
      </c>
      <c r="AB290" s="470"/>
      <c r="AC290" s="161">
        <f t="shared" si="177"/>
        <v>143</v>
      </c>
      <c r="AD290" s="161">
        <v>0</v>
      </c>
      <c r="AE290" s="446">
        <f t="shared" si="200"/>
        <v>-45789</v>
      </c>
      <c r="AF290" s="160">
        <v>45663.085501858739</v>
      </c>
      <c r="AG290" s="160">
        <v>45672.241635687729</v>
      </c>
      <c r="AH290" s="159">
        <v>45693</v>
      </c>
      <c r="AI290" s="162">
        <f t="shared" si="178"/>
        <v>4.4305555555555554</v>
      </c>
      <c r="AJ290" s="224">
        <v>0</v>
      </c>
      <c r="AK290" s="225">
        <f t="shared" si="179"/>
        <v>26</v>
      </c>
      <c r="AL290" s="170">
        <f t="shared" si="180"/>
        <v>36</v>
      </c>
      <c r="AM290" s="170">
        <f t="shared" si="181"/>
        <v>24.206896551724139</v>
      </c>
      <c r="AN290" s="170">
        <f t="shared" si="182"/>
        <v>30.662068965517239</v>
      </c>
      <c r="AO290" s="226">
        <f t="shared" si="183"/>
        <v>21.206896551724139</v>
      </c>
      <c r="AP290" s="227">
        <v>60</v>
      </c>
      <c r="AQ290" s="228">
        <f t="shared" si="184"/>
        <v>57</v>
      </c>
      <c r="AR290" s="228">
        <v>28.6</v>
      </c>
      <c r="AS290" s="229">
        <f t="shared" si="185"/>
        <v>45849</v>
      </c>
      <c r="AT290" s="982">
        <f t="shared" ca="1" si="186"/>
        <v>106</v>
      </c>
      <c r="AU290" s="1077"/>
      <c r="AV290" s="1078"/>
      <c r="AW290" s="1079"/>
      <c r="AX290" s="1079"/>
      <c r="AY290" s="1079"/>
      <c r="AZ290" s="1080"/>
      <c r="BA290" s="1081"/>
      <c r="BB290" s="1091"/>
      <c r="BC290" s="231" t="s">
        <v>12</v>
      </c>
      <c r="BD290" s="232"/>
      <c r="BE290" s="222">
        <f t="shared" si="207"/>
        <v>45804</v>
      </c>
      <c r="BF290" s="233">
        <f t="shared" si="174"/>
        <v>62</v>
      </c>
      <c r="BG290" s="248">
        <v>45738</v>
      </c>
      <c r="BH290" s="235">
        <v>45866</v>
      </c>
      <c r="BI290" s="234"/>
      <c r="BJ290" s="236"/>
      <c r="BK290" s="222"/>
      <c r="BL290" s="222"/>
      <c r="BM290" s="238"/>
      <c r="BN290" s="222"/>
      <c r="BO290" s="222"/>
      <c r="BP290" s="243"/>
      <c r="BQ290" s="244" t="s">
        <v>247</v>
      </c>
      <c r="BR290" s="238">
        <v>45804</v>
      </c>
      <c r="BS290" s="67"/>
      <c r="BT290" s="66"/>
      <c r="BU290" s="66"/>
      <c r="BV290" s="66"/>
      <c r="BW290" s="74"/>
      <c r="BX290" s="81"/>
      <c r="BY290" s="66">
        <v>45660</v>
      </c>
      <c r="BZ290" s="944" t="s">
        <v>1876</v>
      </c>
      <c r="CA290" s="42" t="str">
        <f t="shared" si="187"/>
        <v>0</v>
      </c>
      <c r="CB290" s="62">
        <f t="shared" si="188"/>
        <v>143</v>
      </c>
      <c r="CC290" s="42">
        <f t="shared" si="189"/>
        <v>0</v>
      </c>
      <c r="CD290" s="62">
        <f t="shared" si="190"/>
        <v>143</v>
      </c>
      <c r="CE290" s="62">
        <f t="shared" si="191"/>
        <v>4.4305555555555554</v>
      </c>
      <c r="CF290" s="1059">
        <f t="shared" si="192"/>
        <v>80</v>
      </c>
      <c r="CH290" s="1082">
        <f t="shared" si="193"/>
        <v>6.9091880341880341</v>
      </c>
      <c r="CI290" s="1083">
        <f t="shared" si="194"/>
        <v>6.9091880341880341</v>
      </c>
      <c r="CJ290" s="1084">
        <f t="shared" si="195"/>
        <v>1.3333333333333333</v>
      </c>
      <c r="CK290" s="1085" t="str">
        <f t="shared" si="196"/>
        <v/>
      </c>
      <c r="CL290" s="1057" t="str">
        <f t="shared" si="197"/>
        <v>REV</v>
      </c>
      <c r="CM290" s="1057" t="str">
        <f t="shared" si="198"/>
        <v/>
      </c>
      <c r="CN290" s="1086"/>
      <c r="CO290" s="1087"/>
      <c r="CP290" s="629" t="str">
        <f t="shared" si="175"/>
        <v>FOR ISSUANCE</v>
      </c>
      <c r="CQ290" s="1086"/>
      <c r="CR290" s="1088"/>
      <c r="CS290" s="1089" t="str">
        <f t="shared" ca="1" si="199"/>
        <v>0</v>
      </c>
      <c r="CT290" s="1086"/>
      <c r="CU290" s="1087"/>
      <c r="CV290" s="1090"/>
      <c r="CW290" s="156" t="s">
        <v>1877</v>
      </c>
      <c r="CX290" s="156" t="str">
        <f>VLOOKUP(E290,'[1]List of Work Orders'!$A:$I,9,FALSE)</f>
        <v>ME185284</v>
      </c>
      <c r="CY290" s="156"/>
      <c r="DS290" s="156" t="s">
        <v>397</v>
      </c>
    </row>
    <row r="291" spans="1:123" customFormat="1" ht="15" customHeight="1" x14ac:dyDescent="0.25">
      <c r="A291" s="242">
        <v>45666</v>
      </c>
      <c r="B291" s="1008">
        <v>45664</v>
      </c>
      <c r="C291" s="223"/>
      <c r="D291" s="66" t="s">
        <v>284</v>
      </c>
      <c r="E291" s="404" t="s">
        <v>1878</v>
      </c>
      <c r="F291" s="95" t="s">
        <v>1879</v>
      </c>
      <c r="G291" s="95" t="s">
        <v>1880</v>
      </c>
      <c r="H291" s="95" t="s">
        <v>378</v>
      </c>
      <c r="I291" s="95" t="s">
        <v>239</v>
      </c>
      <c r="J291" s="163"/>
      <c r="K291" s="101" t="s">
        <v>271</v>
      </c>
      <c r="L291" s="101" t="s">
        <v>242</v>
      </c>
      <c r="M291" s="345" t="s">
        <v>272</v>
      </c>
      <c r="N291" s="442" t="s">
        <v>467</v>
      </c>
      <c r="O291" s="165">
        <v>6.79</v>
      </c>
      <c r="P291" s="933">
        <v>33.96</v>
      </c>
      <c r="Q291" s="157">
        <v>115</v>
      </c>
      <c r="R291" s="109" t="s">
        <v>244</v>
      </c>
      <c r="S291" s="141">
        <v>73436.03</v>
      </c>
      <c r="T291" s="110">
        <v>27371.280000000002</v>
      </c>
      <c r="U291" s="141"/>
      <c r="V291" s="158">
        <f t="shared" si="176"/>
        <v>0</v>
      </c>
      <c r="W291" s="159">
        <v>45646.75</v>
      </c>
      <c r="X291" s="159">
        <v>45652.59652777778</v>
      </c>
      <c r="Y291" s="160">
        <v>45653</v>
      </c>
      <c r="Z291" s="470"/>
      <c r="AA291" s="470">
        <v>45668</v>
      </c>
      <c r="AB291" s="470"/>
      <c r="AC291" s="161">
        <f t="shared" si="177"/>
        <v>21.25</v>
      </c>
      <c r="AD291" s="161">
        <v>0</v>
      </c>
      <c r="AE291" s="446">
        <f t="shared" si="200"/>
        <v>-45668</v>
      </c>
      <c r="AF291" s="160">
        <v>45663.085501858739</v>
      </c>
      <c r="AG291" s="160">
        <v>45672.241635687729</v>
      </c>
      <c r="AH291" s="159">
        <v>45693</v>
      </c>
      <c r="AI291" s="162">
        <f t="shared" si="178"/>
        <v>0.78359374999999987</v>
      </c>
      <c r="AJ291" s="224">
        <v>0</v>
      </c>
      <c r="AK291" s="225">
        <f t="shared" si="179"/>
        <v>20</v>
      </c>
      <c r="AL291" s="170">
        <f t="shared" si="180"/>
        <v>32</v>
      </c>
      <c r="AM291" s="170">
        <f t="shared" si="181"/>
        <v>20.33898305084746</v>
      </c>
      <c r="AN291" s="170">
        <f t="shared" si="182"/>
        <v>25.762711864406779</v>
      </c>
      <c r="AO291" s="226">
        <f t="shared" si="183"/>
        <v>17.33898305084746</v>
      </c>
      <c r="AP291" s="227">
        <v>60</v>
      </c>
      <c r="AQ291" s="228">
        <f t="shared" si="184"/>
        <v>57</v>
      </c>
      <c r="AR291" s="228">
        <v>28.6</v>
      </c>
      <c r="AS291" s="229">
        <f t="shared" si="185"/>
        <v>45728</v>
      </c>
      <c r="AT291" s="982">
        <f t="shared" ca="1" si="186"/>
        <v>227</v>
      </c>
      <c r="AU291" s="50"/>
      <c r="AV291" s="118"/>
      <c r="AW291" s="49"/>
      <c r="AX291" s="49"/>
      <c r="AY291" s="49"/>
      <c r="AZ291" s="300"/>
      <c r="BA291" s="119"/>
      <c r="BB291" s="304"/>
      <c r="BC291" s="231" t="s">
        <v>12</v>
      </c>
      <c r="BD291" s="232"/>
      <c r="BE291" s="222">
        <f t="shared" si="207"/>
        <v>45683</v>
      </c>
      <c r="BF291" s="233">
        <f t="shared" si="174"/>
        <v>-15</v>
      </c>
      <c r="BG291" s="248">
        <v>45833</v>
      </c>
      <c r="BH291" s="235">
        <v>45668</v>
      </c>
      <c r="BI291" s="234"/>
      <c r="BJ291" s="236"/>
      <c r="BK291" s="222"/>
      <c r="BL291" s="222"/>
      <c r="BM291" s="238"/>
      <c r="BN291" s="222"/>
      <c r="BO291" s="222"/>
      <c r="BP291" s="243"/>
      <c r="BQ291" s="244" t="s">
        <v>247</v>
      </c>
      <c r="BR291" s="238">
        <v>45667</v>
      </c>
      <c r="BS291" s="67"/>
      <c r="BT291" s="66"/>
      <c r="BU291" s="66"/>
      <c r="BV291" s="66"/>
      <c r="BW291" s="74"/>
      <c r="BX291" s="81"/>
      <c r="BY291" s="66" t="s">
        <v>308</v>
      </c>
      <c r="BZ291" s="944" t="s">
        <v>1881</v>
      </c>
      <c r="CA291" s="42" t="str">
        <f t="shared" si="187"/>
        <v>0</v>
      </c>
      <c r="CB291" s="62">
        <f t="shared" si="188"/>
        <v>21.25</v>
      </c>
      <c r="CC291" s="42">
        <f t="shared" si="189"/>
        <v>0</v>
      </c>
      <c r="CD291" s="62">
        <f t="shared" si="190"/>
        <v>21.25</v>
      </c>
      <c r="CE291" s="62">
        <f t="shared" si="191"/>
        <v>0.78359374999999987</v>
      </c>
      <c r="CF291" s="145">
        <f t="shared" si="192"/>
        <v>201</v>
      </c>
      <c r="CG291" s="145"/>
      <c r="CH291" s="443">
        <f t="shared" si="193"/>
        <v>8.1954687499999999</v>
      </c>
      <c r="CI291" s="996">
        <f t="shared" si="194"/>
        <v>8.1954687499999999</v>
      </c>
      <c r="CJ291" s="261">
        <f t="shared" si="195"/>
        <v>3.35</v>
      </c>
      <c r="CK291" s="458" t="str">
        <f t="shared" si="196"/>
        <v/>
      </c>
      <c r="CL291" t="str">
        <f t="shared" si="197"/>
        <v>REV</v>
      </c>
      <c r="CM291" t="str">
        <f t="shared" si="198"/>
        <v/>
      </c>
      <c r="CN291" s="635"/>
      <c r="CO291" s="631"/>
      <c r="CP291" s="629" t="str">
        <f t="shared" si="175"/>
        <v>FOR ISSUANCE</v>
      </c>
      <c r="CQ291" s="635"/>
      <c r="CR291" s="697"/>
      <c r="CS291" s="633" t="str">
        <f t="shared" ca="1" si="199"/>
        <v>0</v>
      </c>
      <c r="CT291" s="635"/>
      <c r="CU291" s="631"/>
      <c r="CV291" s="638"/>
      <c r="CW291" s="156" t="s">
        <v>1882</v>
      </c>
      <c r="CX291" s="156" t="str">
        <f>VLOOKUP(E291,'[1]List of Work Orders'!$A:$I,9,FALSE)</f>
        <v>ME155242</v>
      </c>
      <c r="CY291" s="156"/>
      <c r="CZ291" s="63"/>
      <c r="DS291" s="156" t="s">
        <v>381</v>
      </c>
    </row>
    <row r="292" spans="1:123" ht="15" customHeight="1" x14ac:dyDescent="0.2">
      <c r="A292" s="242">
        <v>45663</v>
      </c>
      <c r="B292" s="222">
        <v>45659</v>
      </c>
      <c r="C292" s="223"/>
      <c r="D292" s="66" t="s">
        <v>284</v>
      </c>
      <c r="E292" s="404" t="s">
        <v>1883</v>
      </c>
      <c r="F292" s="95" t="s">
        <v>1884</v>
      </c>
      <c r="G292" s="95" t="s">
        <v>933</v>
      </c>
      <c r="H292" s="95" t="s">
        <v>253</v>
      </c>
      <c r="I292" s="95" t="s">
        <v>254</v>
      </c>
      <c r="J292" s="163"/>
      <c r="K292" s="101"/>
      <c r="L292" s="101" t="s">
        <v>255</v>
      </c>
      <c r="M292" s="345" t="s">
        <v>272</v>
      </c>
      <c r="N292" s="442" t="s">
        <v>381</v>
      </c>
      <c r="O292" s="165">
        <v>42.734700000000004</v>
      </c>
      <c r="P292" s="933">
        <v>56.38</v>
      </c>
      <c r="Q292" s="157">
        <v>40</v>
      </c>
      <c r="R292" s="109" t="s">
        <v>244</v>
      </c>
      <c r="S292" s="110">
        <v>376178.98</v>
      </c>
      <c r="T292" s="93">
        <v>45404.779999999992</v>
      </c>
      <c r="U292" s="141"/>
      <c r="V292" s="158">
        <f t="shared" si="176"/>
        <v>0</v>
      </c>
      <c r="W292" s="159">
        <v>45649.553472222222</v>
      </c>
      <c r="X292" s="159">
        <v>45652.597916666666</v>
      </c>
      <c r="Y292" s="160">
        <v>45652</v>
      </c>
      <c r="Z292" s="470"/>
      <c r="AA292" s="470">
        <v>45747</v>
      </c>
      <c r="AB292" s="470"/>
      <c r="AC292" s="161">
        <f t="shared" si="177"/>
        <v>97.446527777778101</v>
      </c>
      <c r="AD292" s="161">
        <v>0</v>
      </c>
      <c r="AE292" s="446">
        <f t="shared" si="200"/>
        <v>-45747</v>
      </c>
      <c r="AF292" s="160">
        <v>45663.085501858739</v>
      </c>
      <c r="AG292" s="160">
        <v>45672.241635687729</v>
      </c>
      <c r="AH292" s="159">
        <v>45693</v>
      </c>
      <c r="AI292" s="162">
        <f t="shared" si="178"/>
        <v>3.1658352623456896</v>
      </c>
      <c r="AJ292" s="224">
        <v>0</v>
      </c>
      <c r="AK292" s="225">
        <f t="shared" si="179"/>
        <v>23</v>
      </c>
      <c r="AL292" s="170">
        <f t="shared" si="180"/>
        <v>36</v>
      </c>
      <c r="AM292" s="170">
        <f t="shared" si="181"/>
        <v>23.085501858736059</v>
      </c>
      <c r="AN292" s="170">
        <f t="shared" si="182"/>
        <v>29.241635687732341</v>
      </c>
      <c r="AO292" s="226">
        <f t="shared" si="183"/>
        <v>20.085501858736059</v>
      </c>
      <c r="AP292" s="227">
        <v>60</v>
      </c>
      <c r="AQ292" s="228">
        <f t="shared" si="184"/>
        <v>57</v>
      </c>
      <c r="AR292" s="228">
        <v>28.6</v>
      </c>
      <c r="AS292" s="229">
        <f t="shared" si="185"/>
        <v>45807</v>
      </c>
      <c r="AT292" s="982">
        <f t="shared" ca="1" si="186"/>
        <v>148</v>
      </c>
      <c r="AU292" s="1077"/>
      <c r="AV292" s="1078"/>
      <c r="AW292" s="1079"/>
      <c r="AX292" s="1079"/>
      <c r="AY292" s="1079"/>
      <c r="AZ292" s="1080"/>
      <c r="BA292" s="1081"/>
      <c r="BB292" s="1091"/>
      <c r="BC292" s="231" t="s">
        <v>13</v>
      </c>
      <c r="BD292" s="232"/>
      <c r="BE292" s="222">
        <f t="shared" si="207"/>
        <v>45762</v>
      </c>
      <c r="BF292" s="233" t="e">
        <f t="shared" si="174"/>
        <v>#VALUE!</v>
      </c>
      <c r="BG292" s="248"/>
      <c r="BH292" s="235"/>
      <c r="BI292" s="234"/>
      <c r="BJ292" s="236"/>
      <c r="BK292" s="222"/>
      <c r="BL292" s="222"/>
      <c r="BM292" s="238"/>
      <c r="BN292" s="222"/>
      <c r="BO292" s="222"/>
      <c r="BP292" s="243"/>
      <c r="BQ292" s="244" t="s">
        <v>247</v>
      </c>
      <c r="BR292" s="238">
        <v>45749</v>
      </c>
      <c r="BS292" s="67"/>
      <c r="BT292" s="66"/>
      <c r="BU292" s="66"/>
      <c r="BV292" s="66"/>
      <c r="BW292" s="74"/>
      <c r="BX292" s="81"/>
      <c r="BY292" s="66">
        <v>45663</v>
      </c>
      <c r="BZ292" s="944" t="s">
        <v>1885</v>
      </c>
      <c r="CA292" s="42" t="str">
        <f t="shared" si="187"/>
        <v>0</v>
      </c>
      <c r="CB292" s="62">
        <f t="shared" si="188"/>
        <v>97.446527777778101</v>
      </c>
      <c r="CC292" s="42">
        <f t="shared" si="189"/>
        <v>0</v>
      </c>
      <c r="CD292" s="62">
        <f t="shared" si="190"/>
        <v>97.446527777778101</v>
      </c>
      <c r="CE292" s="62">
        <f t="shared" si="191"/>
        <v>3.1658352623456896</v>
      </c>
      <c r="CF292" s="1059">
        <f t="shared" si="192"/>
        <v>122</v>
      </c>
      <c r="CH292" s="1082">
        <f t="shared" si="193"/>
        <v>7.1293618323939985</v>
      </c>
      <c r="CI292" s="1083">
        <f t="shared" si="194"/>
        <v>7.1293618323939985</v>
      </c>
      <c r="CJ292" s="1084">
        <f t="shared" si="195"/>
        <v>2.0333333333333332</v>
      </c>
      <c r="CK292" s="1085" t="str">
        <f t="shared" si="196"/>
        <v/>
      </c>
      <c r="CL292" s="1057" t="str">
        <f t="shared" si="197"/>
        <v>REV</v>
      </c>
      <c r="CM292" s="1057" t="str">
        <f t="shared" si="198"/>
        <v/>
      </c>
      <c r="CN292" s="1086"/>
      <c r="CO292" s="1087"/>
      <c r="CP292" s="629" t="str">
        <f t="shared" si="175"/>
        <v>FOR ISSUANCE</v>
      </c>
      <c r="CQ292" s="1086"/>
      <c r="CR292" s="1088"/>
      <c r="CS292" s="1089" t="str">
        <f t="shared" ca="1" si="199"/>
        <v>0</v>
      </c>
      <c r="CT292" s="1086"/>
      <c r="CU292" s="1087"/>
      <c r="CV292" s="1090"/>
      <c r="CW292" s="156" t="s">
        <v>1886</v>
      </c>
      <c r="CX292" s="156" t="str">
        <f>VLOOKUP(E292,'[1]List of Work Orders'!$A:$I,9,FALSE)</f>
        <v>ME185284</v>
      </c>
      <c r="CY292" s="156"/>
      <c r="DS292" s="156" t="s">
        <v>403</v>
      </c>
    </row>
    <row r="293" spans="1:123" ht="15" customHeight="1" x14ac:dyDescent="0.2">
      <c r="A293" s="242">
        <v>45663</v>
      </c>
      <c r="B293" s="222" t="s">
        <v>470</v>
      </c>
      <c r="C293" s="223" t="s">
        <v>247</v>
      </c>
      <c r="D293" s="66" t="s">
        <v>320</v>
      </c>
      <c r="E293" s="404" t="s">
        <v>1887</v>
      </c>
      <c r="F293" s="95" t="s">
        <v>559</v>
      </c>
      <c r="G293" s="95" t="s">
        <v>1888</v>
      </c>
      <c r="H293" s="95" t="s">
        <v>253</v>
      </c>
      <c r="I293" s="95" t="s">
        <v>254</v>
      </c>
      <c r="J293" s="163"/>
      <c r="K293" s="101"/>
      <c r="L293" s="101" t="s">
        <v>255</v>
      </c>
      <c r="M293" s="345" t="s">
        <v>272</v>
      </c>
      <c r="N293" s="442" t="s">
        <v>381</v>
      </c>
      <c r="O293" s="165">
        <v>299.65669999999977</v>
      </c>
      <c r="P293" s="933">
        <v>447.14</v>
      </c>
      <c r="Q293" s="157">
        <v>250</v>
      </c>
      <c r="R293" s="109" t="s">
        <v>244</v>
      </c>
      <c r="S293" s="110">
        <v>1901958.33</v>
      </c>
      <c r="T293" s="93">
        <v>354962.15</v>
      </c>
      <c r="U293" s="141"/>
      <c r="V293" s="158">
        <f t="shared" si="176"/>
        <v>0</v>
      </c>
      <c r="W293" s="159">
        <v>45652.537499999999</v>
      </c>
      <c r="X293" s="159">
        <v>45660.518055555556</v>
      </c>
      <c r="Y293" s="160">
        <v>45659</v>
      </c>
      <c r="Z293" s="470"/>
      <c r="AA293" s="470">
        <v>45728.61041666667</v>
      </c>
      <c r="AB293" s="470"/>
      <c r="AC293" s="161">
        <f t="shared" si="177"/>
        <v>76.072916666671517</v>
      </c>
      <c r="AD293" s="161">
        <v>0</v>
      </c>
      <c r="AE293" s="446">
        <f t="shared" si="200"/>
        <v>-45728.61041666667</v>
      </c>
      <c r="AF293" s="160">
        <v>45663.085501858739</v>
      </c>
      <c r="AG293" s="160">
        <v>45672.241635687729</v>
      </c>
      <c r="AH293" s="159">
        <v>45693</v>
      </c>
      <c r="AI293" s="162">
        <f t="shared" si="178"/>
        <v>2.4882183159723805</v>
      </c>
      <c r="AJ293" s="224">
        <v>0</v>
      </c>
      <c r="AK293" s="225">
        <f t="shared" si="179"/>
        <v>32</v>
      </c>
      <c r="AL293" s="170">
        <f t="shared" si="180"/>
        <v>30</v>
      </c>
      <c r="AM293" s="170">
        <f t="shared" si="181"/>
        <v>22.929936305732486</v>
      </c>
      <c r="AN293" s="170">
        <f t="shared" si="182"/>
        <v>29.044585987261147</v>
      </c>
      <c r="AO293" s="226">
        <f t="shared" si="183"/>
        <v>19.929936305732486</v>
      </c>
      <c r="AP293" s="227">
        <v>60</v>
      </c>
      <c r="AQ293" s="228">
        <f t="shared" si="184"/>
        <v>57</v>
      </c>
      <c r="AR293" s="228">
        <v>28.6</v>
      </c>
      <c r="AS293" s="229">
        <f t="shared" si="185"/>
        <v>45788.61041666667</v>
      </c>
      <c r="AT293" s="982">
        <f t="shared" ca="1" si="186"/>
        <v>166.38958333332994</v>
      </c>
      <c r="AU293" s="1077"/>
      <c r="AV293" s="1078"/>
      <c r="AW293" s="1079"/>
      <c r="AX293" s="1079"/>
      <c r="AY293" s="1079"/>
      <c r="AZ293" s="1080"/>
      <c r="BA293" s="1081"/>
      <c r="BB293" s="1091"/>
      <c r="BC293" s="231" t="s">
        <v>13</v>
      </c>
      <c r="BD293" s="232"/>
      <c r="BE293" s="222">
        <f t="shared" si="207"/>
        <v>45743.61041666667</v>
      </c>
      <c r="BF293" s="233" t="e">
        <f t="shared" si="174"/>
        <v>#VALUE!</v>
      </c>
      <c r="BG293" s="248"/>
      <c r="BH293" s="235"/>
      <c r="BI293" s="234"/>
      <c r="BJ293" s="236"/>
      <c r="BK293" s="222"/>
      <c r="BL293" s="222"/>
      <c r="BM293" s="238"/>
      <c r="BN293" s="222"/>
      <c r="BO293" s="222"/>
      <c r="BP293" s="243"/>
      <c r="BQ293" s="244" t="s">
        <v>247</v>
      </c>
      <c r="BR293" s="238">
        <v>45724</v>
      </c>
      <c r="BS293" s="67"/>
      <c r="BT293" s="66"/>
      <c r="BU293" s="66"/>
      <c r="BV293" s="66"/>
      <c r="BW293" s="74"/>
      <c r="BX293" s="81"/>
      <c r="BY293" s="66">
        <v>45663</v>
      </c>
      <c r="BZ293" s="944" t="s">
        <v>1889</v>
      </c>
      <c r="CA293" s="42" t="str">
        <f t="shared" si="187"/>
        <v>0</v>
      </c>
      <c r="CB293" s="62">
        <f t="shared" si="188"/>
        <v>76.072916666671517</v>
      </c>
      <c r="CC293" s="42">
        <f t="shared" si="189"/>
        <v>0</v>
      </c>
      <c r="CD293" s="62">
        <f t="shared" si="190"/>
        <v>76.072916666671517</v>
      </c>
      <c r="CE293" s="62">
        <f t="shared" si="191"/>
        <v>2.4882183159723805</v>
      </c>
      <c r="CF293" s="1059">
        <f t="shared" si="192"/>
        <v>140.38958333332994</v>
      </c>
      <c r="CH293" s="1082">
        <f t="shared" si="193"/>
        <v>7.0801276041667141</v>
      </c>
      <c r="CI293" s="1083">
        <f t="shared" si="194"/>
        <v>7.0801276041667141</v>
      </c>
      <c r="CJ293" s="1084">
        <f t="shared" si="195"/>
        <v>2.3398263888888322</v>
      </c>
      <c r="CK293" s="1085" t="str">
        <f t="shared" si="196"/>
        <v/>
      </c>
      <c r="CL293" s="1057" t="str">
        <f t="shared" si="197"/>
        <v>REV</v>
      </c>
      <c r="CM293" s="1057" t="str">
        <f t="shared" si="198"/>
        <v/>
      </c>
      <c r="CN293" s="1086"/>
      <c r="CO293" s="1087"/>
      <c r="CP293" s="629" t="str">
        <f t="shared" si="175"/>
        <v>FOR ISSUANCE</v>
      </c>
      <c r="CQ293" s="1086"/>
      <c r="CR293" s="1088"/>
      <c r="CS293" s="1089" t="str">
        <f t="shared" ca="1" si="199"/>
        <v>0</v>
      </c>
      <c r="CT293" s="1086"/>
      <c r="CU293" s="1087"/>
      <c r="CV293" s="1090"/>
      <c r="CW293" s="156" t="s">
        <v>1890</v>
      </c>
      <c r="CX293" s="156" t="str">
        <f>VLOOKUP(E293,'[1]List of Work Orders'!$A:$I,9,FALSE)</f>
        <v>ME185284</v>
      </c>
      <c r="CY293" s="156"/>
      <c r="DS293" s="156" t="s">
        <v>381</v>
      </c>
    </row>
    <row r="294" spans="1:123" customFormat="1" ht="15" customHeight="1" x14ac:dyDescent="0.25">
      <c r="A294" s="242">
        <v>45663</v>
      </c>
      <c r="B294" s="222" t="s">
        <v>470</v>
      </c>
      <c r="C294" s="223"/>
      <c r="D294" s="66" t="s">
        <v>320</v>
      </c>
      <c r="E294" s="404" t="s">
        <v>1891</v>
      </c>
      <c r="F294" s="95" t="s">
        <v>1892</v>
      </c>
      <c r="G294" s="95" t="s">
        <v>1893</v>
      </c>
      <c r="H294" s="95" t="s">
        <v>318</v>
      </c>
      <c r="I294" s="95" t="s">
        <v>239</v>
      </c>
      <c r="J294" s="163"/>
      <c r="K294" s="101"/>
      <c r="L294" s="101" t="s">
        <v>5</v>
      </c>
      <c r="M294" s="345" t="s">
        <v>272</v>
      </c>
      <c r="N294" s="442" t="s">
        <v>403</v>
      </c>
      <c r="O294" s="165">
        <v>34.519500000000001</v>
      </c>
      <c r="P294" s="933">
        <v>58.03</v>
      </c>
      <c r="Q294" s="157">
        <v>70.5</v>
      </c>
      <c r="R294" s="109" t="s">
        <v>244</v>
      </c>
      <c r="S294" s="110">
        <v>363155.38</v>
      </c>
      <c r="T294" s="93">
        <v>46727.63</v>
      </c>
      <c r="U294" s="141"/>
      <c r="V294" s="158">
        <f t="shared" si="176"/>
        <v>0</v>
      </c>
      <c r="W294" s="159">
        <v>45653.386805555558</v>
      </c>
      <c r="X294" s="159">
        <v>45660.51666666667</v>
      </c>
      <c r="Y294" s="160">
        <v>45659</v>
      </c>
      <c r="Z294" s="470"/>
      <c r="AA294" s="470">
        <v>45700</v>
      </c>
      <c r="AB294" s="470"/>
      <c r="AC294" s="161">
        <f t="shared" si="177"/>
        <v>46.613194444442343</v>
      </c>
      <c r="AD294" s="161">
        <v>0</v>
      </c>
      <c r="AE294" s="446">
        <f t="shared" si="200"/>
        <v>-45700</v>
      </c>
      <c r="AF294" s="160">
        <v>45663.085501858739</v>
      </c>
      <c r="AG294" s="160">
        <v>45672.241635687729</v>
      </c>
      <c r="AH294" s="159">
        <v>45693</v>
      </c>
      <c r="AI294" s="162">
        <f t="shared" si="178"/>
        <v>1.5676816034384062</v>
      </c>
      <c r="AJ294" s="224">
        <v>0</v>
      </c>
      <c r="AK294" s="225">
        <f t="shared" si="179"/>
        <v>23</v>
      </c>
      <c r="AL294" s="170">
        <f t="shared" si="180"/>
        <v>34</v>
      </c>
      <c r="AM294" s="170">
        <f t="shared" si="181"/>
        <v>22.300380228136884</v>
      </c>
      <c r="AN294" s="170">
        <f t="shared" si="182"/>
        <v>28.247148288973385</v>
      </c>
      <c r="AO294" s="226">
        <f t="shared" si="183"/>
        <v>19.300380228136884</v>
      </c>
      <c r="AP294" s="227">
        <v>60</v>
      </c>
      <c r="AQ294" s="228">
        <f t="shared" si="184"/>
        <v>57</v>
      </c>
      <c r="AR294" s="228">
        <v>28.6</v>
      </c>
      <c r="AS294" s="229">
        <f t="shared" si="185"/>
        <v>45760</v>
      </c>
      <c r="AT294" s="982">
        <f t="shared" ca="1" si="186"/>
        <v>195</v>
      </c>
      <c r="AU294" s="50"/>
      <c r="AV294" s="118"/>
      <c r="AW294" s="49"/>
      <c r="AX294" s="49"/>
      <c r="AY294" s="49"/>
      <c r="AZ294" s="300"/>
      <c r="BA294" s="119"/>
      <c r="BB294" s="304"/>
      <c r="BC294" s="231" t="s">
        <v>146</v>
      </c>
      <c r="BD294" s="232"/>
      <c r="BE294" s="222">
        <f t="shared" si="207"/>
        <v>45715</v>
      </c>
      <c r="BF294" s="233">
        <f t="shared" si="174"/>
        <v>-6</v>
      </c>
      <c r="BG294" s="248">
        <v>45700</v>
      </c>
      <c r="BH294" s="235">
        <v>45709</v>
      </c>
      <c r="BI294" s="234"/>
      <c r="BJ294" s="236"/>
      <c r="BK294" s="222"/>
      <c r="BL294" s="222"/>
      <c r="BM294" s="238"/>
      <c r="BN294" s="222"/>
      <c r="BO294" s="222"/>
      <c r="BP294" s="243"/>
      <c r="BQ294" s="244" t="s">
        <v>247</v>
      </c>
      <c r="BR294" s="238">
        <v>45699</v>
      </c>
      <c r="BS294" s="67"/>
      <c r="BT294" s="66"/>
      <c r="BU294" s="66"/>
      <c r="BV294" s="66"/>
      <c r="BW294" s="74"/>
      <c r="BX294" s="81"/>
      <c r="BY294" s="66">
        <v>45663</v>
      </c>
      <c r="BZ294" s="944" t="s">
        <v>1894</v>
      </c>
      <c r="CA294" s="42" t="str">
        <f t="shared" si="187"/>
        <v>0</v>
      </c>
      <c r="CB294" s="62">
        <f t="shared" si="188"/>
        <v>46.613194444442343</v>
      </c>
      <c r="CC294" s="42">
        <f t="shared" si="189"/>
        <v>0</v>
      </c>
      <c r="CD294" s="62">
        <f t="shared" si="190"/>
        <v>46.613194444442343</v>
      </c>
      <c r="CE294" s="62">
        <f t="shared" si="191"/>
        <v>1.5676816034384062</v>
      </c>
      <c r="CF294" s="145">
        <f t="shared" si="192"/>
        <v>169</v>
      </c>
      <c r="CG294" s="145"/>
      <c r="CH294" s="443">
        <f t="shared" si="193"/>
        <v>7.2514411942312442</v>
      </c>
      <c r="CI294" s="996">
        <f t="shared" si="194"/>
        <v>7.2514411942312442</v>
      </c>
      <c r="CJ294" s="261">
        <f t="shared" si="195"/>
        <v>2.8166666666666669</v>
      </c>
      <c r="CK294" s="458" t="str">
        <f t="shared" si="196"/>
        <v/>
      </c>
      <c r="CL294" t="str">
        <f t="shared" si="197"/>
        <v>REV</v>
      </c>
      <c r="CM294" t="str">
        <f t="shared" si="198"/>
        <v/>
      </c>
      <c r="CN294" s="635"/>
      <c r="CO294" s="631"/>
      <c r="CP294" s="629" t="str">
        <f t="shared" si="175"/>
        <v>FOR ISSUANCE</v>
      </c>
      <c r="CQ294" s="635"/>
      <c r="CR294" s="697"/>
      <c r="CS294" s="633" t="str">
        <f t="shared" ca="1" si="199"/>
        <v>0</v>
      </c>
      <c r="CT294" s="635"/>
      <c r="CU294" s="631"/>
      <c r="CV294" s="638"/>
      <c r="CW294" s="156" t="s">
        <v>1895</v>
      </c>
      <c r="CX294" s="156" t="str">
        <f>VLOOKUP(E294,'[1]List of Work Orders'!$A:$I,9,FALSE)</f>
        <v>ME166067</v>
      </c>
      <c r="CY294" s="156"/>
      <c r="DS294" s="156" t="s">
        <v>397</v>
      </c>
    </row>
    <row r="295" spans="1:123" s="320" customFormat="1" ht="15" customHeight="1" x14ac:dyDescent="0.25">
      <c r="A295" s="242">
        <v>45663</v>
      </c>
      <c r="B295" s="66">
        <v>45660</v>
      </c>
      <c r="C295" s="223"/>
      <c r="D295" s="66" t="s">
        <v>284</v>
      </c>
      <c r="E295" s="404" t="s">
        <v>1896</v>
      </c>
      <c r="F295" s="76" t="s">
        <v>1897</v>
      </c>
      <c r="G295" s="95" t="s">
        <v>572</v>
      </c>
      <c r="H295" s="95" t="s">
        <v>253</v>
      </c>
      <c r="I295" s="76" t="s">
        <v>254</v>
      </c>
      <c r="J295" s="163"/>
      <c r="K295" s="101"/>
      <c r="L295" s="101" t="s">
        <v>263</v>
      </c>
      <c r="M295" s="346" t="s">
        <v>256</v>
      </c>
      <c r="N295" s="442" t="s">
        <v>467</v>
      </c>
      <c r="O295" s="1010">
        <v>14.2433</v>
      </c>
      <c r="P295" s="933">
        <v>52.96</v>
      </c>
      <c r="Q295" s="1012">
        <v>60</v>
      </c>
      <c r="R295" s="1013" t="s">
        <v>244</v>
      </c>
      <c r="S295" s="110">
        <v>383052.97</v>
      </c>
      <c r="T295" s="93">
        <v>38382.07</v>
      </c>
      <c r="U295" s="141">
        <v>48645.26</v>
      </c>
      <c r="V295" s="158">
        <f t="shared" si="176"/>
        <v>1.2673954270835315</v>
      </c>
      <c r="W295" s="159">
        <v>45653.388194444444</v>
      </c>
      <c r="X295" s="159">
        <v>45660.518750000003</v>
      </c>
      <c r="Y295" s="160">
        <v>45659</v>
      </c>
      <c r="Z295" s="470">
        <v>45672</v>
      </c>
      <c r="AA295" s="470">
        <v>45672</v>
      </c>
      <c r="AB295" s="470">
        <v>45841</v>
      </c>
      <c r="AC295" s="161">
        <f t="shared" si="177"/>
        <v>18.611805555556202</v>
      </c>
      <c r="AD295" s="161">
        <v>0</v>
      </c>
      <c r="AE295" s="446">
        <f t="shared" si="200"/>
        <v>169</v>
      </c>
      <c r="AF295" s="160">
        <f>W295+AO295</f>
        <v>45672.688574672582</v>
      </c>
      <c r="AG295" s="160">
        <f>W295+AN295</f>
        <v>45681.635342733418</v>
      </c>
      <c r="AH295" s="159">
        <f>W295+50</f>
        <v>45703.388194444444</v>
      </c>
      <c r="AI295" s="162">
        <f t="shared" si="178"/>
        <v>0.62594691318558571</v>
      </c>
      <c r="AJ295" s="224">
        <f>AE295/AP295</f>
        <v>2.8166666666666669</v>
      </c>
      <c r="AK295" s="225">
        <f t="shared" si="179"/>
        <v>23</v>
      </c>
      <c r="AL295" s="170">
        <f t="shared" si="180"/>
        <v>34</v>
      </c>
      <c r="AM295" s="170">
        <f t="shared" si="181"/>
        <v>22.300380228136884</v>
      </c>
      <c r="AN295" s="170">
        <f t="shared" si="182"/>
        <v>28.247148288973385</v>
      </c>
      <c r="AO295" s="226">
        <f t="shared" si="183"/>
        <v>19.300380228136884</v>
      </c>
      <c r="AP295" s="227">
        <v>60</v>
      </c>
      <c r="AQ295" s="228">
        <f t="shared" si="184"/>
        <v>57</v>
      </c>
      <c r="AR295" s="228">
        <f>AQ295-5</f>
        <v>52</v>
      </c>
      <c r="AS295" s="229">
        <f t="shared" si="185"/>
        <v>45732</v>
      </c>
      <c r="AT295" s="982">
        <f t="shared" ca="1" si="186"/>
        <v>223</v>
      </c>
      <c r="AU295" s="50"/>
      <c r="AV295" s="118"/>
      <c r="AW295" s="49"/>
      <c r="AX295" s="49"/>
      <c r="AY295" s="49"/>
      <c r="AZ295" s="300"/>
      <c r="BA295" s="119"/>
      <c r="BB295" s="304"/>
      <c r="BC295" s="231" t="s">
        <v>14</v>
      </c>
      <c r="BD295" s="232"/>
      <c r="BE295" s="222">
        <f t="shared" si="207"/>
        <v>45687</v>
      </c>
      <c r="BF295" s="233">
        <f t="shared" si="174"/>
        <v>-8</v>
      </c>
      <c r="BG295" s="248">
        <v>45672</v>
      </c>
      <c r="BH295" s="235">
        <v>45679</v>
      </c>
      <c r="BI295" s="234">
        <v>45831</v>
      </c>
      <c r="BJ295" s="236" t="s">
        <v>1119</v>
      </c>
      <c r="BK295" s="222" t="s">
        <v>246</v>
      </c>
      <c r="BL295" s="222"/>
      <c r="BM295" s="238"/>
      <c r="BN295" s="222"/>
      <c r="BO295" s="222"/>
      <c r="BP295" s="243"/>
      <c r="BQ295" s="244"/>
      <c r="BR295" s="238"/>
      <c r="BS295" s="67"/>
      <c r="BT295" s="66"/>
      <c r="BU295" s="66"/>
      <c r="BV295" s="66"/>
      <c r="BW295" s="74"/>
      <c r="BX295" s="81"/>
      <c r="BY295" s="66">
        <v>45663</v>
      </c>
      <c r="BZ295" s="944" t="s">
        <v>1898</v>
      </c>
      <c r="CA295" s="42" t="str">
        <f t="shared" si="187"/>
        <v>0</v>
      </c>
      <c r="CB295" s="62">
        <f t="shared" si="188"/>
        <v>18.611805555556202</v>
      </c>
      <c r="CC295" s="42">
        <f t="shared" si="189"/>
        <v>0</v>
      </c>
      <c r="CD295" s="62">
        <f t="shared" si="190"/>
        <v>18.611805555556202</v>
      </c>
      <c r="CE295" s="62">
        <f t="shared" si="191"/>
        <v>0.62594691318558571</v>
      </c>
      <c r="CF295" s="145">
        <f t="shared" si="192"/>
        <v>197</v>
      </c>
      <c r="CG295" s="145"/>
      <c r="CH295" s="443">
        <f t="shared" si="193"/>
        <v>7.2513944835180659</v>
      </c>
      <c r="CI295" s="996">
        <f t="shared" si="194"/>
        <v>7.2513944835180659</v>
      </c>
      <c r="CJ295" s="261">
        <f t="shared" si="195"/>
        <v>3.2833333333333332</v>
      </c>
      <c r="CK295" s="458" t="str">
        <f t="shared" si="196"/>
        <v/>
      </c>
      <c r="CL295" t="str">
        <f t="shared" si="197"/>
        <v>REV</v>
      </c>
      <c r="CM295" t="str">
        <f t="shared" si="198"/>
        <v/>
      </c>
      <c r="CN295" s="635"/>
      <c r="CO295" s="631"/>
      <c r="CP295" s="629" t="str">
        <f t="shared" si="175"/>
        <v>FOR ISSUANCE</v>
      </c>
      <c r="CQ295" s="635"/>
      <c r="CR295" s="697"/>
      <c r="CS295" s="633" t="str">
        <f t="shared" ca="1" si="199"/>
        <v>0</v>
      </c>
      <c r="CT295" s="635"/>
      <c r="CU295" s="631"/>
      <c r="CV295" s="638"/>
      <c r="CW295" s="156" t="s">
        <v>1899</v>
      </c>
      <c r="CX295" s="156" t="str">
        <f>VLOOKUP(E295,'[1]List of Work Orders'!$A:$I,9,FALSE)</f>
        <v>ME155242</v>
      </c>
      <c r="CY295" s="156"/>
      <c r="CZ295"/>
      <c r="DA295"/>
      <c r="DS295" s="310" t="s">
        <v>397</v>
      </c>
    </row>
    <row r="296" spans="1:123" s="320" customFormat="1" ht="15" customHeight="1" x14ac:dyDescent="0.25">
      <c r="A296" s="242">
        <v>45666</v>
      </c>
      <c r="B296" s="1008">
        <v>45664</v>
      </c>
      <c r="C296" s="223"/>
      <c r="D296" s="321" t="s">
        <v>320</v>
      </c>
      <c r="E296" s="414" t="s">
        <v>1900</v>
      </c>
      <c r="F296" s="322" t="s">
        <v>1901</v>
      </c>
      <c r="G296" s="313" t="s">
        <v>1902</v>
      </c>
      <c r="H296" s="95" t="s">
        <v>238</v>
      </c>
      <c r="I296" s="311" t="s">
        <v>239</v>
      </c>
      <c r="J296" s="95"/>
      <c r="K296" s="101"/>
      <c r="L296" s="101" t="s">
        <v>242</v>
      </c>
      <c r="M296" s="345" t="s">
        <v>331</v>
      </c>
      <c r="N296" s="442" t="s">
        <v>467</v>
      </c>
      <c r="O296" s="472">
        <v>255.58199999999999</v>
      </c>
      <c r="P296" s="165">
        <v>781.63</v>
      </c>
      <c r="Q296" s="1011">
        <v>74</v>
      </c>
      <c r="R296" s="313" t="s">
        <v>244</v>
      </c>
      <c r="S296" s="110">
        <v>1386868.07</v>
      </c>
      <c r="T296" s="93">
        <v>250439.27999999997</v>
      </c>
      <c r="U296" s="141"/>
      <c r="V296" s="158">
        <f t="shared" si="176"/>
        <v>0</v>
      </c>
      <c r="W296" s="159">
        <v>45653.637499999997</v>
      </c>
      <c r="X296" s="159">
        <v>45660.525000000001</v>
      </c>
      <c r="Y296" s="160">
        <v>45659</v>
      </c>
      <c r="Z296" s="470"/>
      <c r="AA296" s="470"/>
      <c r="AB296" s="470"/>
      <c r="AC296" s="161">
        <f t="shared" si="177"/>
        <v>-45653.637499999997</v>
      </c>
      <c r="AD296" s="161">
        <v>0</v>
      </c>
      <c r="AE296" s="446">
        <f t="shared" si="200"/>
        <v>0</v>
      </c>
      <c r="AF296" s="160">
        <v>45663.085501858739</v>
      </c>
      <c r="AG296" s="160">
        <v>45672.241635687729</v>
      </c>
      <c r="AH296" s="159">
        <v>45693</v>
      </c>
      <c r="AI296" s="162">
        <f t="shared" si="178"/>
        <v>-1282.3301121323527</v>
      </c>
      <c r="AJ296" s="224">
        <v>0</v>
      </c>
      <c r="AK296" s="225">
        <f t="shared" si="179"/>
        <v>40</v>
      </c>
      <c r="AL296" s="170">
        <f t="shared" si="180"/>
        <v>34</v>
      </c>
      <c r="AM296" s="170">
        <f t="shared" si="181"/>
        <v>26.701570680628272</v>
      </c>
      <c r="AN296" s="170">
        <f t="shared" si="182"/>
        <v>33.821989528795811</v>
      </c>
      <c r="AO296" s="226">
        <f t="shared" si="183"/>
        <v>23.701570680628272</v>
      </c>
      <c r="AP296" s="227">
        <v>60</v>
      </c>
      <c r="AQ296" s="228">
        <f t="shared" si="184"/>
        <v>57</v>
      </c>
      <c r="AR296" s="228">
        <v>28.6</v>
      </c>
      <c r="AS296" s="229">
        <f t="shared" si="185"/>
        <v>60</v>
      </c>
      <c r="AT296" s="982">
        <f t="shared" ca="1" si="186"/>
        <v>45895</v>
      </c>
      <c r="AU296" s="50"/>
      <c r="AV296" s="314"/>
      <c r="AW296" s="315"/>
      <c r="AX296" s="315"/>
      <c r="AY296" s="315"/>
      <c r="AZ296" s="316"/>
      <c r="BA296" s="317"/>
      <c r="BB296" s="318"/>
      <c r="BC296" s="231"/>
      <c r="BD296" s="232"/>
      <c r="BE296" s="222">
        <f t="shared" si="207"/>
        <v>15</v>
      </c>
      <c r="BF296" s="233">
        <f t="shared" si="174"/>
        <v>0</v>
      </c>
      <c r="BG296" s="248"/>
      <c r="BH296" s="235"/>
      <c r="BI296" s="234"/>
      <c r="BJ296" s="236"/>
      <c r="BK296" s="222"/>
      <c r="BL296" s="222"/>
      <c r="BM296" s="238"/>
      <c r="BN296" s="222"/>
      <c r="BO296" s="222"/>
      <c r="BP296" s="243"/>
      <c r="BQ296" s="244"/>
      <c r="BR296" s="238"/>
      <c r="BS296" s="67"/>
      <c r="BT296" s="66"/>
      <c r="BU296" s="66"/>
      <c r="BV296" s="66"/>
      <c r="BW296" s="74"/>
      <c r="BX296" s="319"/>
      <c r="BY296" s="66">
        <v>45666</v>
      </c>
      <c r="BZ296" s="944" t="s">
        <v>1903</v>
      </c>
      <c r="CA296" s="42" t="str">
        <f t="shared" si="187"/>
        <v>0</v>
      </c>
      <c r="CB296" s="62">
        <f t="shared" si="188"/>
        <v>-45653.637499999997</v>
      </c>
      <c r="CC296" s="42">
        <f t="shared" si="189"/>
        <v>0</v>
      </c>
      <c r="CD296" s="62">
        <f t="shared" si="190"/>
        <v>-45653.637499999997</v>
      </c>
      <c r="CE296" s="62">
        <f t="shared" si="191"/>
        <v>-1282.3301121323527</v>
      </c>
      <c r="CF296" s="145" t="str">
        <f t="shared" si="192"/>
        <v>0</v>
      </c>
      <c r="CG296" s="145"/>
      <c r="CH296" s="443">
        <f t="shared" si="193"/>
        <v>6.0491525735294935</v>
      </c>
      <c r="CI296" s="996">
        <f t="shared" si="194"/>
        <v>6.0491525735294935</v>
      </c>
      <c r="CJ296" s="261">
        <f t="shared" si="195"/>
        <v>0</v>
      </c>
      <c r="CK296" s="458">
        <f t="shared" si="196"/>
        <v>202.36250000000291</v>
      </c>
      <c r="CL296" t="str">
        <f t="shared" si="197"/>
        <v>REV</v>
      </c>
      <c r="CM296" t="str">
        <f t="shared" si="198"/>
        <v>7-9 MONTHS</v>
      </c>
      <c r="CN296" s="635"/>
      <c r="CO296" s="631"/>
      <c r="CP296" s="629" t="str">
        <f t="shared" si="175"/>
        <v>FOR ISSUANCE</v>
      </c>
      <c r="CQ296" s="635"/>
      <c r="CR296" s="697"/>
      <c r="CS296" s="633" t="str">
        <f t="shared" ca="1" si="199"/>
        <v>0</v>
      </c>
      <c r="CT296" s="635"/>
      <c r="CU296" s="631"/>
      <c r="CV296" s="640"/>
      <c r="CW296" s="156" t="s">
        <v>1904</v>
      </c>
      <c r="CX296" s="156" t="str">
        <f>VLOOKUP(E296,'[1]List of Work Orders'!$A:$I,9,FALSE)</f>
        <v>ME155242</v>
      </c>
      <c r="CY296" s="156"/>
      <c r="CZ296" s="63"/>
      <c r="DS296" s="156" t="s">
        <v>403</v>
      </c>
    </row>
    <row r="297" spans="1:123" s="320" customFormat="1" ht="15" customHeight="1" x14ac:dyDescent="0.25">
      <c r="A297" s="242">
        <v>45663</v>
      </c>
      <c r="B297" s="222">
        <v>45660</v>
      </c>
      <c r="C297" s="223"/>
      <c r="D297" s="321" t="s">
        <v>284</v>
      </c>
      <c r="E297" s="414" t="s">
        <v>1905</v>
      </c>
      <c r="F297" s="322" t="s">
        <v>1906</v>
      </c>
      <c r="G297" s="95" t="s">
        <v>1907</v>
      </c>
      <c r="H297" s="95" t="s">
        <v>238</v>
      </c>
      <c r="I297" s="311" t="s">
        <v>239</v>
      </c>
      <c r="J297" s="95" t="s">
        <v>1908</v>
      </c>
      <c r="K297" s="101"/>
      <c r="L297" s="101" t="s">
        <v>5</v>
      </c>
      <c r="M297" s="345" t="s">
        <v>272</v>
      </c>
      <c r="N297" s="442" t="s">
        <v>403</v>
      </c>
      <c r="O297" s="165">
        <v>70.284800000000004</v>
      </c>
      <c r="P297" s="933">
        <v>95.46</v>
      </c>
      <c r="Q297" s="157">
        <v>62</v>
      </c>
      <c r="R297" s="109" t="s">
        <v>244</v>
      </c>
      <c r="S297" s="110">
        <v>546397.23</v>
      </c>
      <c r="T297" s="93">
        <v>76869.350000000006</v>
      </c>
      <c r="U297" s="141"/>
      <c r="V297" s="158">
        <f t="shared" si="176"/>
        <v>0</v>
      </c>
      <c r="W297" s="159">
        <v>45653.63958333333</v>
      </c>
      <c r="X297" s="159">
        <v>45660.531944444447</v>
      </c>
      <c r="Y297" s="160">
        <v>45659</v>
      </c>
      <c r="Z297" s="470"/>
      <c r="AA297" s="470">
        <v>45755</v>
      </c>
      <c r="AB297" s="470"/>
      <c r="AC297" s="161">
        <f t="shared" si="177"/>
        <v>101.36041666667006</v>
      </c>
      <c r="AD297" s="161">
        <v>0</v>
      </c>
      <c r="AE297" s="446">
        <f t="shared" si="200"/>
        <v>-45755</v>
      </c>
      <c r="AF297" s="160">
        <v>45663.085501858739</v>
      </c>
      <c r="AG297" s="160">
        <v>45672.241635687729</v>
      </c>
      <c r="AH297" s="159">
        <v>45693</v>
      </c>
      <c r="AI297" s="162">
        <f t="shared" si="178"/>
        <v>3.4089244991475991</v>
      </c>
      <c r="AJ297" s="224">
        <v>0</v>
      </c>
      <c r="AK297" s="225">
        <f t="shared" si="179"/>
        <v>23</v>
      </c>
      <c r="AL297" s="170">
        <f t="shared" si="180"/>
        <v>34</v>
      </c>
      <c r="AM297" s="170">
        <f t="shared" si="181"/>
        <v>22.300380228136884</v>
      </c>
      <c r="AN297" s="170">
        <f t="shared" si="182"/>
        <v>28.247148288973385</v>
      </c>
      <c r="AO297" s="226">
        <f t="shared" si="183"/>
        <v>19.300380228136884</v>
      </c>
      <c r="AP297" s="227">
        <v>60</v>
      </c>
      <c r="AQ297" s="228">
        <f t="shared" si="184"/>
        <v>57</v>
      </c>
      <c r="AR297" s="228">
        <v>28.6</v>
      </c>
      <c r="AS297" s="229">
        <f t="shared" si="185"/>
        <v>45815</v>
      </c>
      <c r="AT297" s="982">
        <f t="shared" ca="1" si="186"/>
        <v>140</v>
      </c>
      <c r="AU297" s="50"/>
      <c r="AV297" s="314"/>
      <c r="AW297" s="315"/>
      <c r="AX297" s="315"/>
      <c r="AY297" s="315"/>
      <c r="AZ297" s="316"/>
      <c r="BA297" s="317"/>
      <c r="BB297" s="318">
        <v>45750</v>
      </c>
      <c r="BC297" s="231" t="s">
        <v>12</v>
      </c>
      <c r="BD297" s="232"/>
      <c r="BE297" s="222">
        <f t="shared" si="207"/>
        <v>45770</v>
      </c>
      <c r="BF297" s="233">
        <f t="shared" si="174"/>
        <v>22</v>
      </c>
      <c r="BG297" s="248">
        <v>45755</v>
      </c>
      <c r="BH297" s="235">
        <v>45792</v>
      </c>
      <c r="BI297" s="234"/>
      <c r="BJ297" s="236"/>
      <c r="BK297" s="222"/>
      <c r="BL297" s="222"/>
      <c r="BM297" s="238"/>
      <c r="BN297" s="222"/>
      <c r="BO297" s="222"/>
      <c r="BP297" s="243"/>
      <c r="BQ297" s="244" t="s">
        <v>247</v>
      </c>
      <c r="BR297" s="238">
        <v>45747</v>
      </c>
      <c r="BS297" s="67"/>
      <c r="BT297" s="66"/>
      <c r="BU297" s="66"/>
      <c r="BV297" s="66"/>
      <c r="BW297" s="74"/>
      <c r="BX297" s="319"/>
      <c r="BY297" s="66">
        <v>45663</v>
      </c>
      <c r="BZ297" s="944" t="s">
        <v>1909</v>
      </c>
      <c r="CA297" s="42" t="str">
        <f t="shared" si="187"/>
        <v>0</v>
      </c>
      <c r="CB297" s="62">
        <f t="shared" si="188"/>
        <v>101.36041666667006</v>
      </c>
      <c r="CC297" s="42">
        <f t="shared" si="189"/>
        <v>0</v>
      </c>
      <c r="CD297" s="62">
        <f t="shared" si="190"/>
        <v>101.36041666667006</v>
      </c>
      <c r="CE297" s="62">
        <f t="shared" si="191"/>
        <v>3.4089244991475991</v>
      </c>
      <c r="CF297" s="145">
        <f t="shared" si="192"/>
        <v>114</v>
      </c>
      <c r="CG297" s="145"/>
      <c r="CH297" s="443">
        <f t="shared" si="193"/>
        <v>7.2429398444161421</v>
      </c>
      <c r="CI297" s="996">
        <f t="shared" si="194"/>
        <v>7.2429398444161421</v>
      </c>
      <c r="CJ297" s="261">
        <f t="shared" si="195"/>
        <v>1.9</v>
      </c>
      <c r="CK297" s="458" t="str">
        <f t="shared" si="196"/>
        <v/>
      </c>
      <c r="CL297" t="str">
        <f t="shared" si="197"/>
        <v>REV</v>
      </c>
      <c r="CM297" t="str">
        <f t="shared" si="198"/>
        <v/>
      </c>
      <c r="CN297" s="635"/>
      <c r="CO297" s="631"/>
      <c r="CP297" s="629" t="str">
        <f t="shared" si="175"/>
        <v>FOR ISSUANCE</v>
      </c>
      <c r="CQ297" s="635"/>
      <c r="CR297" s="697"/>
      <c r="CS297" s="633" t="str">
        <f t="shared" ca="1" si="199"/>
        <v>0</v>
      </c>
      <c r="CT297" s="635"/>
      <c r="CU297" s="631"/>
      <c r="CV297" s="640"/>
      <c r="CW297" s="156" t="s">
        <v>1910</v>
      </c>
      <c r="CX297" s="156" t="str">
        <f>VLOOKUP(E297,'[1]List of Work Orders'!$A:$I,9,FALSE)</f>
        <v>ME166067</v>
      </c>
      <c r="CY297" s="156"/>
      <c r="DS297" s="156" t="s">
        <v>381</v>
      </c>
    </row>
    <row r="298" spans="1:123" s="320" customFormat="1" ht="15" customHeight="1" x14ac:dyDescent="0.25">
      <c r="A298" s="242">
        <v>45684</v>
      </c>
      <c r="B298" s="222">
        <v>45668</v>
      </c>
      <c r="C298" s="223"/>
      <c r="D298" s="321" t="s">
        <v>320</v>
      </c>
      <c r="E298" s="414" t="s">
        <v>1911</v>
      </c>
      <c r="F298" s="322" t="s">
        <v>1912</v>
      </c>
      <c r="G298" s="95" t="s">
        <v>1913</v>
      </c>
      <c r="H298" s="95" t="s">
        <v>318</v>
      </c>
      <c r="I298" s="311" t="s">
        <v>239</v>
      </c>
      <c r="J298" s="95"/>
      <c r="K298" s="323" t="s">
        <v>1914</v>
      </c>
      <c r="L298" s="101" t="s">
        <v>263</v>
      </c>
      <c r="M298" s="345" t="s">
        <v>272</v>
      </c>
      <c r="N298" s="442" t="s">
        <v>467</v>
      </c>
      <c r="O298" s="165">
        <v>25.0823</v>
      </c>
      <c r="P298" s="933">
        <v>36.25</v>
      </c>
      <c r="Q298" s="157">
        <v>82</v>
      </c>
      <c r="R298" s="109" t="s">
        <v>244</v>
      </c>
      <c r="S298" s="110">
        <v>273825.69</v>
      </c>
      <c r="T298" s="93">
        <v>27854.74</v>
      </c>
      <c r="U298" s="141"/>
      <c r="V298" s="158">
        <f t="shared" si="176"/>
        <v>0</v>
      </c>
      <c r="W298" s="159">
        <v>45659.604166666664</v>
      </c>
      <c r="X298" s="159">
        <v>45660.359722222223</v>
      </c>
      <c r="Y298" s="160">
        <v>45663</v>
      </c>
      <c r="Z298" s="470"/>
      <c r="AA298" s="470">
        <v>45661</v>
      </c>
      <c r="AB298" s="470"/>
      <c r="AC298" s="161">
        <f t="shared" si="177"/>
        <v>1.3958333333357587</v>
      </c>
      <c r="AD298" s="161">
        <v>0</v>
      </c>
      <c r="AE298" s="446">
        <f t="shared" si="200"/>
        <v>-45661</v>
      </c>
      <c r="AF298" s="160">
        <f>W298+AO298</f>
        <v>45677.67854683195</v>
      </c>
      <c r="AG298" s="160">
        <f>W298+AN298</f>
        <v>45686.2983815427</v>
      </c>
      <c r="AH298" s="159">
        <f>W298+50</f>
        <v>45709.604166666664</v>
      </c>
      <c r="AI298" s="162">
        <f t="shared" si="178"/>
        <v>4.9675245098125528E-2</v>
      </c>
      <c r="AJ298" s="224">
        <f>AE298/AP298</f>
        <v>-761.01666666666665</v>
      </c>
      <c r="AK298" s="225">
        <f t="shared" si="179"/>
        <v>20</v>
      </c>
      <c r="AL298" s="170">
        <f t="shared" si="180"/>
        <v>34</v>
      </c>
      <c r="AM298" s="170">
        <f t="shared" si="181"/>
        <v>21.074380165289259</v>
      </c>
      <c r="AN298" s="170">
        <f t="shared" si="182"/>
        <v>26.694214876033058</v>
      </c>
      <c r="AO298" s="226">
        <f t="shared" si="183"/>
        <v>18.074380165289259</v>
      </c>
      <c r="AP298" s="227">
        <v>60</v>
      </c>
      <c r="AQ298" s="228">
        <f t="shared" si="184"/>
        <v>57</v>
      </c>
      <c r="AR298" s="228">
        <f>AQ298-5</f>
        <v>52</v>
      </c>
      <c r="AS298" s="229">
        <f t="shared" si="185"/>
        <v>45721</v>
      </c>
      <c r="AT298" s="982">
        <f t="shared" ca="1" si="186"/>
        <v>234</v>
      </c>
      <c r="AU298" s="50"/>
      <c r="AV298" s="314"/>
      <c r="AW298" s="315"/>
      <c r="AX298" s="315"/>
      <c r="AY298" s="315"/>
      <c r="AZ298" s="316"/>
      <c r="BA298" s="317"/>
      <c r="BB298" s="318"/>
      <c r="BC298" s="231" t="s">
        <v>13</v>
      </c>
      <c r="BD298" s="232"/>
      <c r="BE298" s="222">
        <f t="shared" si="207"/>
        <v>45676</v>
      </c>
      <c r="BF298" s="233">
        <f t="shared" si="174"/>
        <v>11</v>
      </c>
      <c r="BG298" s="248">
        <v>45661</v>
      </c>
      <c r="BH298" s="235">
        <v>45687</v>
      </c>
      <c r="BI298" s="234"/>
      <c r="BJ298" s="236"/>
      <c r="BK298" s="222"/>
      <c r="BL298" s="222"/>
      <c r="BM298" s="238"/>
      <c r="BN298" s="222"/>
      <c r="BO298" s="222"/>
      <c r="BP298" s="243"/>
      <c r="BQ298" s="244"/>
      <c r="BR298" s="238"/>
      <c r="BS298" s="67"/>
      <c r="BT298" s="66"/>
      <c r="BU298" s="66"/>
      <c r="BV298" s="66"/>
      <c r="BW298" s="74"/>
      <c r="BX298" s="319"/>
      <c r="BY298" s="66">
        <v>45684</v>
      </c>
      <c r="BZ298" s="944" t="s">
        <v>1915</v>
      </c>
      <c r="CA298" s="42" t="str">
        <f t="shared" si="187"/>
        <v>0</v>
      </c>
      <c r="CB298" s="62">
        <f t="shared" si="188"/>
        <v>1.3958333333357587</v>
      </c>
      <c r="CC298" s="42">
        <f t="shared" si="189"/>
        <v>0</v>
      </c>
      <c r="CD298" s="62">
        <f t="shared" si="190"/>
        <v>1.3958333333357587</v>
      </c>
      <c r="CE298" s="62">
        <f t="shared" si="191"/>
        <v>4.9675245098125528E-2</v>
      </c>
      <c r="CF298" s="145">
        <f t="shared" si="192"/>
        <v>208</v>
      </c>
      <c r="CG298" s="145"/>
      <c r="CH298" s="443">
        <f t="shared" si="193"/>
        <v>7.4520281862745961</v>
      </c>
      <c r="CI298" s="996">
        <f t="shared" si="194"/>
        <v>7.4520281862745961</v>
      </c>
      <c r="CJ298" s="261">
        <f t="shared" si="195"/>
        <v>3.4666666666666668</v>
      </c>
      <c r="CK298" s="458" t="str">
        <f t="shared" si="196"/>
        <v/>
      </c>
      <c r="CL298" t="str">
        <f t="shared" si="197"/>
        <v>REV</v>
      </c>
      <c r="CM298" t="str">
        <f t="shared" si="198"/>
        <v/>
      </c>
      <c r="CN298" s="635"/>
      <c r="CO298" s="631"/>
      <c r="CP298" s="629" t="str">
        <f t="shared" si="175"/>
        <v>FOR ISSUANCE</v>
      </c>
      <c r="CQ298" s="635"/>
      <c r="CR298" s="697"/>
      <c r="CS298" s="633" t="str">
        <f t="shared" ca="1" si="199"/>
        <v>0</v>
      </c>
      <c r="CT298" s="635"/>
      <c r="CU298" s="631"/>
      <c r="CV298" s="640"/>
      <c r="CW298" s="156" t="s">
        <v>1916</v>
      </c>
      <c r="CX298" s="156" t="str">
        <f>VLOOKUP(E298,'[1]List of Work Orders'!$A:$I,9,FALSE)</f>
        <v>ME155242</v>
      </c>
      <c r="CY298" s="156"/>
      <c r="DA298" s="762">
        <f t="shared" ref="DA298:DA361" si="208">X298-W298</f>
        <v>0.75555555555911269</v>
      </c>
      <c r="DS298" s="156" t="s">
        <v>397</v>
      </c>
    </row>
    <row r="299" spans="1:123" s="1099" customFormat="1" ht="15" customHeight="1" x14ac:dyDescent="0.2">
      <c r="A299" s="242">
        <v>45666</v>
      </c>
      <c r="B299" s="222">
        <v>45668</v>
      </c>
      <c r="C299" s="223"/>
      <c r="D299" s="321" t="s">
        <v>284</v>
      </c>
      <c r="E299" s="414" t="s">
        <v>1917</v>
      </c>
      <c r="F299" s="322" t="s">
        <v>1918</v>
      </c>
      <c r="G299" s="95" t="s">
        <v>1919</v>
      </c>
      <c r="H299" s="95" t="s">
        <v>238</v>
      </c>
      <c r="I299" s="313" t="s">
        <v>239</v>
      </c>
      <c r="J299" s="1134" t="s">
        <v>1920</v>
      </c>
      <c r="K299" s="101"/>
      <c r="L299" s="101" t="s">
        <v>255</v>
      </c>
      <c r="M299" s="345" t="s">
        <v>331</v>
      </c>
      <c r="N299" s="442" t="s">
        <v>403</v>
      </c>
      <c r="O299" s="165">
        <v>20.650000000000002</v>
      </c>
      <c r="P299" s="165">
        <v>35.07</v>
      </c>
      <c r="Q299" s="157">
        <v>0</v>
      </c>
      <c r="R299" s="109" t="s">
        <v>319</v>
      </c>
      <c r="S299" s="110">
        <v>34239.42</v>
      </c>
      <c r="T299" s="93">
        <v>30141.650000000005</v>
      </c>
      <c r="U299" s="141"/>
      <c r="V299" s="158">
        <f t="shared" si="176"/>
        <v>0</v>
      </c>
      <c r="W299" s="159">
        <v>45659.67291666667</v>
      </c>
      <c r="X299" s="159">
        <v>45663.331944444442</v>
      </c>
      <c r="Y299" s="160">
        <v>45663</v>
      </c>
      <c r="Z299" s="470"/>
      <c r="AA299" s="470"/>
      <c r="AB299" s="470"/>
      <c r="AC299" s="161">
        <f t="shared" si="177"/>
        <v>-45659.67291666667</v>
      </c>
      <c r="AD299" s="161">
        <v>0</v>
      </c>
      <c r="AE299" s="446">
        <f t="shared" si="200"/>
        <v>0</v>
      </c>
      <c r="AF299" s="160">
        <v>45663.085501858739</v>
      </c>
      <c r="AG299" s="160">
        <f>W299+AN299</f>
        <v>45687.253561827958</v>
      </c>
      <c r="AH299" s="159">
        <v>45693</v>
      </c>
      <c r="AI299" s="162">
        <f t="shared" si="178"/>
        <v>-1572.7220671296297</v>
      </c>
      <c r="AJ299" s="224">
        <v>0</v>
      </c>
      <c r="AK299" s="225">
        <f t="shared" si="179"/>
        <v>20</v>
      </c>
      <c r="AL299" s="170">
        <f t="shared" si="180"/>
        <v>36</v>
      </c>
      <c r="AM299" s="170">
        <f t="shared" si="181"/>
        <v>21.774193548387096</v>
      </c>
      <c r="AN299" s="170">
        <f t="shared" si="182"/>
        <v>27.58064516129032</v>
      </c>
      <c r="AO299" s="226">
        <f t="shared" si="183"/>
        <v>18.774193548387096</v>
      </c>
      <c r="AP299" s="227">
        <v>60</v>
      </c>
      <c r="AQ299" s="228">
        <f t="shared" si="184"/>
        <v>57</v>
      </c>
      <c r="AR299" s="228">
        <v>28.6</v>
      </c>
      <c r="AS299" s="229">
        <f t="shared" si="185"/>
        <v>60</v>
      </c>
      <c r="AT299" s="982">
        <f t="shared" ca="1" si="186"/>
        <v>45895</v>
      </c>
      <c r="AU299" s="1077"/>
      <c r="AV299" s="1093"/>
      <c r="AW299" s="1094"/>
      <c r="AX299" s="1094"/>
      <c r="AY299" s="1094"/>
      <c r="AZ299" s="1095"/>
      <c r="BA299" s="1096"/>
      <c r="BB299" s="1097"/>
      <c r="BC299" s="231"/>
      <c r="BD299" s="232"/>
      <c r="BE299" s="222">
        <f t="shared" si="207"/>
        <v>15</v>
      </c>
      <c r="BF299" s="233">
        <f t="shared" si="174"/>
        <v>0</v>
      </c>
      <c r="BG299" s="248"/>
      <c r="BH299" s="235"/>
      <c r="BI299" s="234"/>
      <c r="BJ299" s="236"/>
      <c r="BK299" s="222"/>
      <c r="BL299" s="222"/>
      <c r="BM299" s="238"/>
      <c r="BN299" s="222"/>
      <c r="BO299" s="222"/>
      <c r="BP299" s="243"/>
      <c r="BQ299" s="244"/>
      <c r="BR299" s="238"/>
      <c r="BS299" s="67"/>
      <c r="BT299" s="66"/>
      <c r="BU299" s="66"/>
      <c r="BV299" s="66"/>
      <c r="BW299" s="74"/>
      <c r="BX299" s="319"/>
      <c r="BY299" s="66" t="s">
        <v>308</v>
      </c>
      <c r="BZ299" s="944" t="s">
        <v>1921</v>
      </c>
      <c r="CA299" s="42" t="str">
        <f t="shared" si="187"/>
        <v>0</v>
      </c>
      <c r="CB299" s="62">
        <f t="shared" si="188"/>
        <v>-45659.67291666667</v>
      </c>
      <c r="CC299" s="42">
        <f t="shared" si="189"/>
        <v>0</v>
      </c>
      <c r="CD299" s="62">
        <f t="shared" si="190"/>
        <v>-45659.67291666667</v>
      </c>
      <c r="CE299" s="62">
        <f t="shared" si="191"/>
        <v>-1572.7220671296297</v>
      </c>
      <c r="CF299" s="1059" t="str">
        <f t="shared" si="192"/>
        <v>0</v>
      </c>
      <c r="CG299" s="1059"/>
      <c r="CH299" s="1082">
        <f t="shared" si="193"/>
        <v>7.2101550925924762</v>
      </c>
      <c r="CI299" s="1083">
        <f t="shared" si="194"/>
        <v>7.2101550925924762</v>
      </c>
      <c r="CJ299" s="1084">
        <f t="shared" si="195"/>
        <v>0</v>
      </c>
      <c r="CK299" s="1085">
        <f t="shared" si="196"/>
        <v>196.32708333332994</v>
      </c>
      <c r="CL299" s="1057" t="str">
        <f t="shared" si="197"/>
        <v>NON-REV</v>
      </c>
      <c r="CM299" s="1057" t="str">
        <f t="shared" si="198"/>
        <v>7-9 MONTHS</v>
      </c>
      <c r="CN299" s="1086"/>
      <c r="CO299" s="1087"/>
      <c r="CP299" s="629" t="str">
        <f t="shared" si="175"/>
        <v>FOR ISSUANCE</v>
      </c>
      <c r="CQ299" s="1086"/>
      <c r="CR299" s="1088"/>
      <c r="CS299" s="1089" t="str">
        <f t="shared" ca="1" si="199"/>
        <v>0</v>
      </c>
      <c r="CT299" s="1086"/>
      <c r="CU299" s="1087"/>
      <c r="CV299" s="1098"/>
      <c r="CW299" s="156" t="s">
        <v>1922</v>
      </c>
      <c r="CX299" s="156" t="str">
        <f>VLOOKUP(E299,'[1]List of Work Orders'!$A:$I,9,FALSE)</f>
        <v>ME185284</v>
      </c>
      <c r="CY299" s="156"/>
      <c r="DA299" s="1100">
        <f t="shared" si="208"/>
        <v>3.6590277777722804</v>
      </c>
      <c r="DS299" s="156" t="s">
        <v>397</v>
      </c>
    </row>
    <row r="300" spans="1:123" s="320" customFormat="1" ht="15" customHeight="1" x14ac:dyDescent="0.25">
      <c r="A300" s="242">
        <v>45670</v>
      </c>
      <c r="B300" s="222">
        <v>45668</v>
      </c>
      <c r="C300" s="223"/>
      <c r="D300" s="321" t="s">
        <v>234</v>
      </c>
      <c r="E300" s="415" t="s">
        <v>1923</v>
      </c>
      <c r="F300" s="322" t="s">
        <v>1924</v>
      </c>
      <c r="G300" s="95" t="s">
        <v>1925</v>
      </c>
      <c r="H300" s="95" t="s">
        <v>269</v>
      </c>
      <c r="I300" s="95" t="s">
        <v>239</v>
      </c>
      <c r="J300" s="95"/>
      <c r="K300" s="101"/>
      <c r="L300" s="101" t="s">
        <v>5</v>
      </c>
      <c r="M300" s="345" t="s">
        <v>1549</v>
      </c>
      <c r="N300" s="442" t="s">
        <v>475</v>
      </c>
      <c r="O300" s="472">
        <v>46.2</v>
      </c>
      <c r="P300" s="933">
        <v>122.63</v>
      </c>
      <c r="Q300" s="157">
        <v>117</v>
      </c>
      <c r="R300" s="109" t="s">
        <v>244</v>
      </c>
      <c r="S300" s="110">
        <v>879274.36</v>
      </c>
      <c r="T300" s="324">
        <v>82635.45</v>
      </c>
      <c r="U300" s="141">
        <v>100779.99</v>
      </c>
      <c r="V300" s="158">
        <f t="shared" si="176"/>
        <v>1.21957331871491</v>
      </c>
      <c r="W300" s="159">
        <v>45660.40902777778</v>
      </c>
      <c r="X300" s="159">
        <v>45665.640972222223</v>
      </c>
      <c r="Y300" s="160">
        <v>45663</v>
      </c>
      <c r="Z300" s="470"/>
      <c r="AA300" s="470">
        <v>45672</v>
      </c>
      <c r="AB300" s="470">
        <v>45727</v>
      </c>
      <c r="AC300" s="161">
        <f t="shared" si="177"/>
        <v>11.590972222220444</v>
      </c>
      <c r="AD300" s="161">
        <f>AA300-X300</f>
        <v>6.359027777776646</v>
      </c>
      <c r="AE300" s="446">
        <f t="shared" si="200"/>
        <v>55</v>
      </c>
      <c r="AF300" s="160">
        <v>45663.085501858739</v>
      </c>
      <c r="AG300" s="160">
        <v>45672.241631944446</v>
      </c>
      <c r="AH300" s="159">
        <v>45693</v>
      </c>
      <c r="AI300" s="162">
        <f t="shared" si="178"/>
        <v>0.38729450454053882</v>
      </c>
      <c r="AJ300" s="224">
        <v>0</v>
      </c>
      <c r="AK300" s="225">
        <f t="shared" si="179"/>
        <v>26</v>
      </c>
      <c r="AL300" s="170">
        <f t="shared" si="180"/>
        <v>32</v>
      </c>
      <c r="AM300" s="170">
        <f t="shared" si="181"/>
        <v>22.446043165467625</v>
      </c>
      <c r="AN300" s="170">
        <f t="shared" si="182"/>
        <v>28.431654676258994</v>
      </c>
      <c r="AO300" s="226">
        <f t="shared" si="183"/>
        <v>19.446043165467625</v>
      </c>
      <c r="AP300" s="227">
        <v>60</v>
      </c>
      <c r="AQ300" s="228">
        <f t="shared" si="184"/>
        <v>57</v>
      </c>
      <c r="AR300" s="228">
        <v>28.6</v>
      </c>
      <c r="AS300" s="229">
        <f t="shared" si="185"/>
        <v>45732</v>
      </c>
      <c r="AT300" s="982">
        <f t="shared" ca="1" si="186"/>
        <v>223</v>
      </c>
      <c r="AU300" s="50"/>
      <c r="AV300" s="314"/>
      <c r="AW300" s="315"/>
      <c r="AX300" s="315"/>
      <c r="AY300" s="315"/>
      <c r="AZ300" s="316"/>
      <c r="BA300" s="317"/>
      <c r="BB300" s="318"/>
      <c r="BC300" s="231" t="s">
        <v>14</v>
      </c>
      <c r="BD300" s="247"/>
      <c r="BE300" s="222">
        <f t="shared" si="207"/>
        <v>45687</v>
      </c>
      <c r="BF300" s="233">
        <f t="shared" si="174"/>
        <v>-5</v>
      </c>
      <c r="BG300" s="248">
        <v>45672</v>
      </c>
      <c r="BH300" s="235">
        <v>45682</v>
      </c>
      <c r="BI300" s="234">
        <v>45694</v>
      </c>
      <c r="BJ300" s="236" t="s">
        <v>245</v>
      </c>
      <c r="BK300" s="222" t="s">
        <v>246</v>
      </c>
      <c r="BL300" s="222"/>
      <c r="BM300" s="238"/>
      <c r="BN300" s="222"/>
      <c r="BO300" s="222"/>
      <c r="BP300" s="243"/>
      <c r="BQ300" s="244" t="s">
        <v>247</v>
      </c>
      <c r="BR300" s="238">
        <v>45670</v>
      </c>
      <c r="BS300" s="67"/>
      <c r="BT300" s="66"/>
      <c r="BU300" s="66"/>
      <c r="BV300" s="66"/>
      <c r="BW300" s="74"/>
      <c r="BX300" s="319"/>
      <c r="BY300" s="66" t="s">
        <v>308</v>
      </c>
      <c r="BZ300" s="944" t="s">
        <v>1926</v>
      </c>
      <c r="CA300" s="42" t="str">
        <f t="shared" si="187"/>
        <v>0</v>
      </c>
      <c r="CB300" s="62">
        <f t="shared" si="188"/>
        <v>11.590972222220444</v>
      </c>
      <c r="CC300" s="42">
        <f t="shared" si="189"/>
        <v>0</v>
      </c>
      <c r="CD300" s="62">
        <f t="shared" si="190"/>
        <v>11.590972222220444</v>
      </c>
      <c r="CE300" s="62">
        <f t="shared" si="191"/>
        <v>0.38729450454053882</v>
      </c>
      <c r="CF300" s="145">
        <f t="shared" si="192"/>
        <v>197</v>
      </c>
      <c r="CG300" s="145"/>
      <c r="CH300" s="443">
        <f t="shared" si="193"/>
        <v>6.9697464276174612</v>
      </c>
      <c r="CI300" s="996">
        <f t="shared" si="194"/>
        <v>6.9697464276174612</v>
      </c>
      <c r="CJ300" s="261">
        <f t="shared" si="195"/>
        <v>3.2833333333333332</v>
      </c>
      <c r="CK300" s="458" t="str">
        <f t="shared" si="196"/>
        <v/>
      </c>
      <c r="CL300" t="str">
        <f t="shared" si="197"/>
        <v>REV</v>
      </c>
      <c r="CM300" t="str">
        <f t="shared" si="198"/>
        <v/>
      </c>
      <c r="CN300" s="635"/>
      <c r="CO300" s="631"/>
      <c r="CP300" s="629" t="str">
        <f t="shared" si="175"/>
        <v>FOR ISSUANCE</v>
      </c>
      <c r="CQ300" s="635"/>
      <c r="CR300" s="699"/>
      <c r="CS300" s="633" t="str">
        <f t="shared" ca="1" si="199"/>
        <v>0</v>
      </c>
      <c r="CT300" s="635"/>
      <c r="CU300" s="631"/>
      <c r="CV300" s="640"/>
      <c r="CW300" s="156" t="s">
        <v>1927</v>
      </c>
      <c r="CX300" s="156" t="str">
        <f>VLOOKUP(E300,'[1]List of Work Orders'!$A:$I,9,FALSE)</f>
        <v>ME185130</v>
      </c>
      <c r="CY300" s="156"/>
      <c r="DA300" s="762">
        <f t="shared" si="208"/>
        <v>5.2319444444437977</v>
      </c>
      <c r="DS300" s="156" t="s">
        <v>478</v>
      </c>
    </row>
    <row r="301" spans="1:123" s="320" customFormat="1" ht="15" customHeight="1" x14ac:dyDescent="0.25">
      <c r="A301" s="242">
        <v>45670</v>
      </c>
      <c r="B301" s="222">
        <v>45668</v>
      </c>
      <c r="C301" s="223"/>
      <c r="D301" s="321" t="s">
        <v>284</v>
      </c>
      <c r="E301" s="414" t="s">
        <v>1928</v>
      </c>
      <c r="F301" s="322" t="s">
        <v>1929</v>
      </c>
      <c r="G301" s="95" t="s">
        <v>1930</v>
      </c>
      <c r="H301" s="95" t="s">
        <v>253</v>
      </c>
      <c r="I301" s="76" t="s">
        <v>254</v>
      </c>
      <c r="J301" s="95"/>
      <c r="K301" s="101"/>
      <c r="L301" s="101" t="s">
        <v>263</v>
      </c>
      <c r="M301" s="346" t="s">
        <v>272</v>
      </c>
      <c r="N301" s="442" t="s">
        <v>467</v>
      </c>
      <c r="O301" s="165">
        <v>53.161999999999999</v>
      </c>
      <c r="P301" s="933">
        <v>269.33</v>
      </c>
      <c r="Q301" s="157">
        <v>34</v>
      </c>
      <c r="R301" s="109" t="s">
        <v>244</v>
      </c>
      <c r="S301" s="110">
        <v>465517.05</v>
      </c>
      <c r="T301" s="93">
        <v>45678.36</v>
      </c>
      <c r="U301" s="141"/>
      <c r="V301" s="158">
        <f t="shared" si="176"/>
        <v>0</v>
      </c>
      <c r="W301" s="159">
        <v>45660.411111111112</v>
      </c>
      <c r="X301" s="159">
        <v>45665.642361111109</v>
      </c>
      <c r="Y301" s="160">
        <v>45663</v>
      </c>
      <c r="Z301" s="470"/>
      <c r="AA301" s="470">
        <v>45754.330555555556</v>
      </c>
      <c r="AB301" s="470"/>
      <c r="AC301" s="161">
        <f t="shared" si="177"/>
        <v>93.919444444443798</v>
      </c>
      <c r="AD301" s="161">
        <v>0</v>
      </c>
      <c r="AE301" s="446">
        <f t="shared" si="200"/>
        <v>-45754.330555555556</v>
      </c>
      <c r="AF301" s="160">
        <v>45663.085501858739</v>
      </c>
      <c r="AG301" s="160">
        <f t="shared" ref="AG301:AG364" si="209">W301+AN301</f>
        <v>45691.911111111112</v>
      </c>
      <c r="AH301" s="159">
        <v>45693</v>
      </c>
      <c r="AI301" s="162">
        <f t="shared" si="178"/>
        <v>2.8324911816578284</v>
      </c>
      <c r="AJ301" s="224">
        <v>0</v>
      </c>
      <c r="AK301" s="225">
        <f t="shared" si="179"/>
        <v>28</v>
      </c>
      <c r="AL301" s="170">
        <f t="shared" si="180"/>
        <v>36</v>
      </c>
      <c r="AM301" s="170">
        <f t="shared" si="181"/>
        <v>24.868421052631579</v>
      </c>
      <c r="AN301" s="170">
        <f t="shared" si="182"/>
        <v>31.499999999999996</v>
      </c>
      <c r="AO301" s="226">
        <f t="shared" si="183"/>
        <v>21.868421052631579</v>
      </c>
      <c r="AP301" s="227">
        <v>60</v>
      </c>
      <c r="AQ301" s="228">
        <f t="shared" si="184"/>
        <v>57</v>
      </c>
      <c r="AR301" s="228">
        <f t="shared" ref="AR301:AR364" si="210">AQ301-5</f>
        <v>52</v>
      </c>
      <c r="AS301" s="229">
        <f t="shared" si="185"/>
        <v>45814.330555555556</v>
      </c>
      <c r="AT301" s="982">
        <f t="shared" ca="1" si="186"/>
        <v>140.6694444444438</v>
      </c>
      <c r="AU301" s="50"/>
      <c r="AV301" s="314"/>
      <c r="AW301" s="315"/>
      <c r="AX301" s="315"/>
      <c r="AY301" s="315"/>
      <c r="AZ301" s="316"/>
      <c r="BA301" s="317"/>
      <c r="BB301" s="318"/>
      <c r="BC301" s="231" t="s">
        <v>13</v>
      </c>
      <c r="BD301" s="232"/>
      <c r="BE301" s="222">
        <f t="shared" si="207"/>
        <v>45769.330555555556</v>
      </c>
      <c r="BF301" s="233" t="e">
        <f t="shared" si="174"/>
        <v>#VALUE!</v>
      </c>
      <c r="BG301" s="248"/>
      <c r="BH301" s="235"/>
      <c r="BI301" s="234"/>
      <c r="BJ301" s="236"/>
      <c r="BK301" s="222"/>
      <c r="BL301" s="222"/>
      <c r="BM301" s="238"/>
      <c r="BN301" s="222"/>
      <c r="BO301" s="222"/>
      <c r="BP301" s="243"/>
      <c r="BQ301" s="244" t="s">
        <v>247</v>
      </c>
      <c r="BR301" s="238">
        <v>45754</v>
      </c>
      <c r="BS301" s="67"/>
      <c r="BT301" s="66"/>
      <c r="BU301" s="66"/>
      <c r="BV301" s="66"/>
      <c r="BW301" s="74"/>
      <c r="BX301" s="319"/>
      <c r="BY301" s="66">
        <v>45670</v>
      </c>
      <c r="BZ301" s="944" t="s">
        <v>1931</v>
      </c>
      <c r="CA301" s="42" t="str">
        <f t="shared" si="187"/>
        <v>0</v>
      </c>
      <c r="CB301" s="62">
        <f t="shared" si="188"/>
        <v>93.919444444443798</v>
      </c>
      <c r="CC301" s="42">
        <f t="shared" si="189"/>
        <v>0</v>
      </c>
      <c r="CD301" s="62">
        <f t="shared" si="190"/>
        <v>93.919444444443798</v>
      </c>
      <c r="CE301" s="62">
        <f t="shared" si="191"/>
        <v>2.8324911816578284</v>
      </c>
      <c r="CF301" s="145">
        <f t="shared" si="192"/>
        <v>114.6694444444438</v>
      </c>
      <c r="CG301" s="145"/>
      <c r="CH301" s="443">
        <f t="shared" si="193"/>
        <v>6.2907760141093085</v>
      </c>
      <c r="CI301" s="996">
        <f t="shared" si="194"/>
        <v>6.2907760141093085</v>
      </c>
      <c r="CJ301" s="261">
        <f t="shared" si="195"/>
        <v>1.9111574074073967</v>
      </c>
      <c r="CK301" s="458" t="str">
        <f t="shared" si="196"/>
        <v/>
      </c>
      <c r="CL301" t="str">
        <f t="shared" si="197"/>
        <v>REV</v>
      </c>
      <c r="CM301" t="str">
        <f t="shared" si="198"/>
        <v/>
      </c>
      <c r="CN301" s="635"/>
      <c r="CO301" s="631"/>
      <c r="CP301" s="629" t="str">
        <f t="shared" si="175"/>
        <v>FOR ISSUANCE</v>
      </c>
      <c r="CQ301" s="635"/>
      <c r="CR301" s="697"/>
      <c r="CS301" s="633" t="str">
        <f t="shared" ca="1" si="199"/>
        <v>0</v>
      </c>
      <c r="CT301" s="635"/>
      <c r="CU301" s="631"/>
      <c r="CV301" s="640"/>
      <c r="CW301" s="156" t="s">
        <v>1932</v>
      </c>
      <c r="CX301" s="156" t="str">
        <f>VLOOKUP(E301,'[1]List of Work Orders'!$A:$I,9,FALSE)</f>
        <v>ME155242</v>
      </c>
      <c r="CY301" s="156"/>
      <c r="DA301" s="762">
        <f t="shared" si="208"/>
        <v>5.2312499999970896</v>
      </c>
      <c r="DS301" s="350" t="s">
        <v>397</v>
      </c>
    </row>
    <row r="302" spans="1:123" s="320" customFormat="1" ht="15" customHeight="1" x14ac:dyDescent="0.25">
      <c r="A302" s="242">
        <v>45670</v>
      </c>
      <c r="B302" s="222">
        <v>45667</v>
      </c>
      <c r="C302" s="223"/>
      <c r="D302" s="345" t="s">
        <v>320</v>
      </c>
      <c r="E302" s="347" t="s">
        <v>1933</v>
      </c>
      <c r="F302" s="347" t="s">
        <v>1934</v>
      </c>
      <c r="G302" s="343" t="s">
        <v>1935</v>
      </c>
      <c r="H302" s="95" t="s">
        <v>253</v>
      </c>
      <c r="I302" s="344" t="s">
        <v>254</v>
      </c>
      <c r="J302" s="163"/>
      <c r="K302" s="101"/>
      <c r="L302" s="101" t="s">
        <v>263</v>
      </c>
      <c r="M302" s="346" t="s">
        <v>272</v>
      </c>
      <c r="N302" s="442" t="s">
        <v>467</v>
      </c>
      <c r="O302" s="165">
        <v>27.34</v>
      </c>
      <c r="P302" s="933">
        <v>27.34</v>
      </c>
      <c r="Q302" s="157">
        <v>5</v>
      </c>
      <c r="R302" s="109" t="s">
        <v>244</v>
      </c>
      <c r="S302" s="351">
        <v>55291.05</v>
      </c>
      <c r="T302" s="93">
        <v>23492.09</v>
      </c>
      <c r="U302" s="141"/>
      <c r="V302" s="158">
        <f t="shared" si="176"/>
        <v>0</v>
      </c>
      <c r="W302" s="159">
        <v>45663.424305555556</v>
      </c>
      <c r="X302" s="159">
        <v>45667.629861111112</v>
      </c>
      <c r="Y302" s="160">
        <v>45666</v>
      </c>
      <c r="Z302" s="470"/>
      <c r="AA302" s="470">
        <v>45695</v>
      </c>
      <c r="AB302" s="470"/>
      <c r="AC302" s="161">
        <f t="shared" si="177"/>
        <v>31.575694444443798</v>
      </c>
      <c r="AD302" s="161">
        <f t="shared" ref="AD302:AD365" si="211">AA302-X302</f>
        <v>27.370138888887595</v>
      </c>
      <c r="AE302" s="446">
        <f t="shared" si="200"/>
        <v>-45695</v>
      </c>
      <c r="AF302" s="160">
        <f t="shared" ref="AF302:AF365" si="212">W302+AO302</f>
        <v>45682.198499103943</v>
      </c>
      <c r="AG302" s="160">
        <f t="shared" si="209"/>
        <v>45691.004950716844</v>
      </c>
      <c r="AH302" s="159">
        <f t="shared" ref="AH302:AH365" si="213">W302+50</f>
        <v>45713.424305555556</v>
      </c>
      <c r="AI302" s="162">
        <f t="shared" si="178"/>
        <v>1.0876072530863974</v>
      </c>
      <c r="AJ302" s="224">
        <f t="shared" ref="AJ302:AJ365" si="214">AE302/AP302</f>
        <v>-761.58333333333337</v>
      </c>
      <c r="AK302" s="225">
        <f t="shared" si="179"/>
        <v>20</v>
      </c>
      <c r="AL302" s="170">
        <f t="shared" si="180"/>
        <v>36</v>
      </c>
      <c r="AM302" s="170">
        <f t="shared" si="181"/>
        <v>21.774193548387096</v>
      </c>
      <c r="AN302" s="170">
        <f t="shared" si="182"/>
        <v>27.58064516129032</v>
      </c>
      <c r="AO302" s="226">
        <f t="shared" si="183"/>
        <v>18.774193548387096</v>
      </c>
      <c r="AP302" s="227">
        <v>60</v>
      </c>
      <c r="AQ302" s="228">
        <f t="shared" si="184"/>
        <v>57</v>
      </c>
      <c r="AR302" s="228">
        <f t="shared" si="210"/>
        <v>52</v>
      </c>
      <c r="AS302" s="229">
        <f t="shared" si="185"/>
        <v>45755</v>
      </c>
      <c r="AT302" s="982">
        <f t="shared" ca="1" si="186"/>
        <v>200</v>
      </c>
      <c r="AU302" s="50"/>
      <c r="AV302" s="314"/>
      <c r="AW302" s="315"/>
      <c r="AX302" s="315"/>
      <c r="AY302" s="315"/>
      <c r="AZ302" s="316"/>
      <c r="BA302" s="317"/>
      <c r="BB302" s="318"/>
      <c r="BC302" s="231" t="s">
        <v>13</v>
      </c>
      <c r="BD302" s="232"/>
      <c r="BE302" s="222">
        <f t="shared" si="207"/>
        <v>45710</v>
      </c>
      <c r="BF302" s="233" t="e">
        <f t="shared" si="174"/>
        <v>#VALUE!</v>
      </c>
      <c r="BG302" s="248"/>
      <c r="BH302" s="235"/>
      <c r="BI302" s="234"/>
      <c r="BJ302" s="236"/>
      <c r="BK302" s="222"/>
      <c r="BL302" s="222"/>
      <c r="BM302" s="238"/>
      <c r="BN302" s="222"/>
      <c r="BO302" s="222"/>
      <c r="BP302" s="243"/>
      <c r="BQ302" s="244"/>
      <c r="BR302" s="238"/>
      <c r="BS302" s="67"/>
      <c r="BT302" s="66"/>
      <c r="BU302" s="66"/>
      <c r="BV302" s="66"/>
      <c r="BW302" s="74"/>
      <c r="BX302" s="81"/>
      <c r="BY302" s="66" t="s">
        <v>308</v>
      </c>
      <c r="BZ302" s="944" t="s">
        <v>1936</v>
      </c>
      <c r="CA302" s="42" t="str">
        <f t="shared" si="187"/>
        <v>0</v>
      </c>
      <c r="CB302" s="62">
        <f t="shared" si="188"/>
        <v>31.575694444443798</v>
      </c>
      <c r="CC302" s="42">
        <f t="shared" si="189"/>
        <v>0</v>
      </c>
      <c r="CD302" s="62">
        <f t="shared" si="190"/>
        <v>31.575694444443798</v>
      </c>
      <c r="CE302" s="62">
        <f t="shared" si="191"/>
        <v>1.0876072530863974</v>
      </c>
      <c r="CF302" s="145">
        <f t="shared" si="192"/>
        <v>174</v>
      </c>
      <c r="CG302" s="145"/>
      <c r="CH302" s="443">
        <f t="shared" si="193"/>
        <v>7.0809405864197306</v>
      </c>
      <c r="CI302" s="996">
        <f t="shared" si="194"/>
        <v>7.0809405864197306</v>
      </c>
      <c r="CJ302" s="261">
        <f t="shared" si="195"/>
        <v>2.9</v>
      </c>
      <c r="CK302" s="458" t="str">
        <f t="shared" si="196"/>
        <v/>
      </c>
      <c r="CL302" t="str">
        <f t="shared" si="197"/>
        <v>REV</v>
      </c>
      <c r="CM302" t="str">
        <f t="shared" si="198"/>
        <v/>
      </c>
      <c r="CN302" s="635"/>
      <c r="CO302" s="631"/>
      <c r="CP302" s="629" t="str">
        <f t="shared" si="175"/>
        <v>FOR ISSUANCE</v>
      </c>
      <c r="CQ302" s="635"/>
      <c r="CR302" s="697"/>
      <c r="CS302" s="633" t="str">
        <f t="shared" ca="1" si="199"/>
        <v>0</v>
      </c>
      <c r="CT302" s="635"/>
      <c r="CU302" s="631"/>
      <c r="CV302" s="638"/>
      <c r="CW302" s="156" t="s">
        <v>1937</v>
      </c>
      <c r="CX302" s="156" t="str">
        <f>VLOOKUP(E302,'[1]List of Work Orders'!$A:$I,9,FALSE)</f>
        <v>ME155242</v>
      </c>
      <c r="CY302" s="156"/>
      <c r="CZ302"/>
      <c r="DA302" s="762">
        <f t="shared" si="208"/>
        <v>4.2055555555562023</v>
      </c>
      <c r="DS302" s="350" t="s">
        <v>397</v>
      </c>
    </row>
    <row r="303" spans="1:123" customFormat="1" ht="15" customHeight="1" x14ac:dyDescent="0.25">
      <c r="A303" s="242">
        <v>45670</v>
      </c>
      <c r="B303" s="222">
        <v>45667</v>
      </c>
      <c r="C303" s="223"/>
      <c r="D303" s="345" t="s">
        <v>320</v>
      </c>
      <c r="E303" s="347" t="s">
        <v>1938</v>
      </c>
      <c r="F303" s="347" t="s">
        <v>1939</v>
      </c>
      <c r="G303" s="903" t="s">
        <v>1940</v>
      </c>
      <c r="H303" s="454" t="s">
        <v>318</v>
      </c>
      <c r="I303" s="454" t="s">
        <v>239</v>
      </c>
      <c r="J303" s="163"/>
      <c r="K303" s="101"/>
      <c r="L303" s="101" t="s">
        <v>242</v>
      </c>
      <c r="M303" s="346" t="s">
        <v>331</v>
      </c>
      <c r="N303" s="442" t="s">
        <v>467</v>
      </c>
      <c r="O303" s="165">
        <v>147.75859999999994</v>
      </c>
      <c r="P303" s="165">
        <v>500.38</v>
      </c>
      <c r="Q303" s="157">
        <v>45</v>
      </c>
      <c r="R303" s="109" t="s">
        <v>244</v>
      </c>
      <c r="S303" s="110">
        <v>890781.19</v>
      </c>
      <c r="T303" s="93">
        <v>150792.13</v>
      </c>
      <c r="U303" s="141"/>
      <c r="V303" s="158">
        <f t="shared" si="176"/>
        <v>0</v>
      </c>
      <c r="W303" s="159">
        <v>45663.424305555556</v>
      </c>
      <c r="X303" s="159">
        <v>45667.633333333331</v>
      </c>
      <c r="Y303" s="160">
        <v>45666</v>
      </c>
      <c r="Z303" s="470"/>
      <c r="AA303" s="470"/>
      <c r="AB303" s="470"/>
      <c r="AC303" s="161">
        <f t="shared" si="177"/>
        <v>-45663.424305555556</v>
      </c>
      <c r="AD303" s="161">
        <f t="shared" si="211"/>
        <v>-45667.633333333331</v>
      </c>
      <c r="AE303" s="446">
        <f t="shared" si="200"/>
        <v>0</v>
      </c>
      <c r="AF303" s="160">
        <f t="shared" si="212"/>
        <v>45686.448401941096</v>
      </c>
      <c r="AG303" s="160">
        <f t="shared" si="209"/>
        <v>45696.388160977243</v>
      </c>
      <c r="AH303" s="159">
        <f t="shared" si="213"/>
        <v>45713.424305555556</v>
      </c>
      <c r="AI303" s="162">
        <f t="shared" si="178"/>
        <v>-1315.9945199170525</v>
      </c>
      <c r="AJ303" s="224">
        <f t="shared" si="214"/>
        <v>0</v>
      </c>
      <c r="AK303" s="225">
        <f t="shared" si="179"/>
        <v>32</v>
      </c>
      <c r="AL303" s="170">
        <f t="shared" si="180"/>
        <v>36</v>
      </c>
      <c r="AM303" s="170">
        <f t="shared" si="181"/>
        <v>26.024096385542165</v>
      </c>
      <c r="AN303" s="170">
        <f t="shared" si="182"/>
        <v>32.963855421686745</v>
      </c>
      <c r="AO303" s="226">
        <f t="shared" si="183"/>
        <v>23.024096385542165</v>
      </c>
      <c r="AP303" s="227">
        <v>60</v>
      </c>
      <c r="AQ303" s="228">
        <f t="shared" si="184"/>
        <v>57</v>
      </c>
      <c r="AR303" s="228">
        <f t="shared" si="210"/>
        <v>52</v>
      </c>
      <c r="AS303" s="229">
        <f t="shared" si="185"/>
        <v>60</v>
      </c>
      <c r="AT303" s="982">
        <f t="shared" ca="1" si="186"/>
        <v>45895</v>
      </c>
      <c r="AU303" s="50"/>
      <c r="AV303" s="118"/>
      <c r="AW303" s="49"/>
      <c r="AX303" s="49"/>
      <c r="AY303" s="49"/>
      <c r="AZ303" s="300"/>
      <c r="BA303" s="119"/>
      <c r="BB303" s="304"/>
      <c r="BC303" s="231"/>
      <c r="BD303" s="232"/>
      <c r="BE303" s="222">
        <f t="shared" si="207"/>
        <v>15</v>
      </c>
      <c r="BF303" s="233">
        <f t="shared" si="174"/>
        <v>0</v>
      </c>
      <c r="BG303" s="248"/>
      <c r="BH303" s="235"/>
      <c r="BI303" s="234"/>
      <c r="BJ303" s="236"/>
      <c r="BK303" s="222"/>
      <c r="BL303" s="222"/>
      <c r="BM303" s="238"/>
      <c r="BN303" s="222"/>
      <c r="BO303" s="222"/>
      <c r="BP303" s="243"/>
      <c r="BQ303" s="244"/>
      <c r="BR303" s="238"/>
      <c r="BS303" s="67"/>
      <c r="BT303" s="66"/>
      <c r="BU303" s="66"/>
      <c r="BV303" s="66"/>
      <c r="BW303" s="74"/>
      <c r="BX303" s="81"/>
      <c r="BY303" s="66">
        <v>45670</v>
      </c>
      <c r="BZ303" s="944" t="s">
        <v>1941</v>
      </c>
      <c r="CA303" s="42" t="str">
        <f t="shared" si="187"/>
        <v>0</v>
      </c>
      <c r="CB303" s="62">
        <f t="shared" si="188"/>
        <v>-45663.424305555556</v>
      </c>
      <c r="CC303" s="42">
        <f t="shared" si="189"/>
        <v>0</v>
      </c>
      <c r="CD303" s="62">
        <f t="shared" si="190"/>
        <v>-45663.424305555556</v>
      </c>
      <c r="CE303" s="62">
        <f t="shared" si="191"/>
        <v>-1315.9945199170525</v>
      </c>
      <c r="CF303" s="145" t="str">
        <f t="shared" si="192"/>
        <v>0</v>
      </c>
      <c r="CG303" s="145"/>
      <c r="CH303" s="443">
        <f t="shared" si="193"/>
        <v>5.9245773051697341</v>
      </c>
      <c r="CI303" s="996">
        <f t="shared" si="194"/>
        <v>5.9245773051697341</v>
      </c>
      <c r="CJ303" s="261">
        <f t="shared" si="195"/>
        <v>0</v>
      </c>
      <c r="CK303" s="458">
        <f t="shared" si="196"/>
        <v>192.5756944444438</v>
      </c>
      <c r="CL303" t="str">
        <f t="shared" si="197"/>
        <v>REV</v>
      </c>
      <c r="CM303" t="str">
        <f t="shared" si="198"/>
        <v>7-9 MONTHS</v>
      </c>
      <c r="CN303" s="635"/>
      <c r="CO303" s="631"/>
      <c r="CP303" s="629" t="str">
        <f t="shared" si="175"/>
        <v>FOR ISSUANCE</v>
      </c>
      <c r="CQ303" s="635"/>
      <c r="CR303" s="697"/>
      <c r="CS303" s="633" t="str">
        <f t="shared" ca="1" si="199"/>
        <v>0</v>
      </c>
      <c r="CT303" s="635"/>
      <c r="CU303" s="631"/>
      <c r="CV303" s="638"/>
      <c r="CW303" s="156" t="s">
        <v>1942</v>
      </c>
      <c r="CX303" s="156" t="str">
        <f>VLOOKUP(E303,'[1]List of Work Orders'!$A:$I,9,FALSE)</f>
        <v>ME155242</v>
      </c>
      <c r="CY303" s="156"/>
      <c r="CZ303" s="63"/>
      <c r="DA303" s="762">
        <f t="shared" si="208"/>
        <v>4.2090277777751908</v>
      </c>
      <c r="DS303" s="350" t="s">
        <v>397</v>
      </c>
    </row>
    <row r="304" spans="1:123" customFormat="1" ht="15" customHeight="1" x14ac:dyDescent="0.25">
      <c r="A304" s="242">
        <v>45670</v>
      </c>
      <c r="B304" s="222">
        <v>45670</v>
      </c>
      <c r="C304" s="223"/>
      <c r="D304" s="345" t="s">
        <v>284</v>
      </c>
      <c r="E304" s="416" t="s">
        <v>1943</v>
      </c>
      <c r="F304" s="347" t="s">
        <v>1944</v>
      </c>
      <c r="G304" s="348" t="s">
        <v>933</v>
      </c>
      <c r="H304" s="95" t="s">
        <v>253</v>
      </c>
      <c r="I304" s="348" t="s">
        <v>254</v>
      </c>
      <c r="J304" s="95"/>
      <c r="K304" s="101"/>
      <c r="L304" s="101" t="s">
        <v>1945</v>
      </c>
      <c r="M304" s="345" t="s">
        <v>402</v>
      </c>
      <c r="N304" s="442" t="s">
        <v>1946</v>
      </c>
      <c r="O304" s="165">
        <v>6.77</v>
      </c>
      <c r="P304" s="165">
        <v>92.36</v>
      </c>
      <c r="Q304" s="157">
        <v>0</v>
      </c>
      <c r="R304" s="109" t="s">
        <v>319</v>
      </c>
      <c r="S304" s="110">
        <v>70611.97</v>
      </c>
      <c r="T304" s="93">
        <v>79358.02</v>
      </c>
      <c r="U304" s="141"/>
      <c r="V304" s="158">
        <f t="shared" si="176"/>
        <v>0</v>
      </c>
      <c r="W304" s="159">
        <v>45663.499305555553</v>
      </c>
      <c r="X304" s="159">
        <v>45667.631944444445</v>
      </c>
      <c r="Y304" s="160">
        <v>45670</v>
      </c>
      <c r="Z304" s="470"/>
      <c r="AA304" s="470"/>
      <c r="AB304" s="470"/>
      <c r="AC304" s="161">
        <f t="shared" si="177"/>
        <v>-45663.499305555553</v>
      </c>
      <c r="AD304" s="161">
        <f t="shared" si="211"/>
        <v>-45667.631944444445</v>
      </c>
      <c r="AE304" s="446">
        <f t="shared" si="200"/>
        <v>0</v>
      </c>
      <c r="AF304" s="160">
        <f t="shared" si="212"/>
        <v>45683.584807414292</v>
      </c>
      <c r="AG304" s="160">
        <f t="shared" si="209"/>
        <v>45692.740941243283</v>
      </c>
      <c r="AH304" s="159">
        <f t="shared" si="213"/>
        <v>45713.499305555553</v>
      </c>
      <c r="AI304" s="162">
        <f t="shared" si="178"/>
        <v>-1483.5122358930487</v>
      </c>
      <c r="AJ304" s="224">
        <f t="shared" si="214"/>
        <v>0</v>
      </c>
      <c r="AK304" s="225">
        <f t="shared" si="179"/>
        <v>23</v>
      </c>
      <c r="AL304" s="170">
        <f t="shared" si="180"/>
        <v>36</v>
      </c>
      <c r="AM304" s="170">
        <f t="shared" si="181"/>
        <v>23.085501858736059</v>
      </c>
      <c r="AN304" s="170">
        <f t="shared" si="182"/>
        <v>29.241635687732341</v>
      </c>
      <c r="AO304" s="226">
        <f t="shared" si="183"/>
        <v>20.085501858736059</v>
      </c>
      <c r="AP304" s="227">
        <v>60</v>
      </c>
      <c r="AQ304" s="228">
        <f t="shared" si="184"/>
        <v>57</v>
      </c>
      <c r="AR304" s="228">
        <f t="shared" si="210"/>
        <v>52</v>
      </c>
      <c r="AS304" s="229">
        <f t="shared" si="185"/>
        <v>60</v>
      </c>
      <c r="AT304" s="982">
        <f t="shared" ca="1" si="186"/>
        <v>45895</v>
      </c>
      <c r="AU304" s="50"/>
      <c r="AV304" s="904"/>
      <c r="AW304" s="315"/>
      <c r="AX304" s="315"/>
      <c r="AY304" s="315"/>
      <c r="AZ304" s="316"/>
      <c r="BA304" s="905"/>
      <c r="BB304" s="318"/>
      <c r="BC304" s="231"/>
      <c r="BD304" s="232"/>
      <c r="BE304" s="222">
        <f t="shared" si="207"/>
        <v>15</v>
      </c>
      <c r="BF304" s="233">
        <f t="shared" si="174"/>
        <v>0</v>
      </c>
      <c r="BG304" s="248"/>
      <c r="BH304" s="235"/>
      <c r="BI304" s="234"/>
      <c r="BJ304" s="236"/>
      <c r="BK304" s="222"/>
      <c r="BL304" s="222"/>
      <c r="BM304" s="238"/>
      <c r="BN304" s="222"/>
      <c r="BO304" s="222"/>
      <c r="BP304" s="243"/>
      <c r="BQ304" s="244"/>
      <c r="BR304" s="238"/>
      <c r="BS304" s="67"/>
      <c r="BT304" s="66"/>
      <c r="BU304" s="66"/>
      <c r="BV304" s="66"/>
      <c r="BW304" s="74"/>
      <c r="BX304" s="319"/>
      <c r="BY304" s="66" t="s">
        <v>308</v>
      </c>
      <c r="BZ304" s="944" t="s">
        <v>1947</v>
      </c>
      <c r="CA304" s="42" t="str">
        <f t="shared" si="187"/>
        <v>0</v>
      </c>
      <c r="CB304" s="62">
        <f t="shared" si="188"/>
        <v>-45663.499305555553</v>
      </c>
      <c r="CC304" s="42">
        <f t="shared" si="189"/>
        <v>0</v>
      </c>
      <c r="CD304" s="62">
        <f t="shared" si="190"/>
        <v>-45663.499305555553</v>
      </c>
      <c r="CE304" s="62">
        <f t="shared" si="191"/>
        <v>-1483.5122358930487</v>
      </c>
      <c r="CF304" s="145" t="str">
        <f t="shared" si="192"/>
        <v>0</v>
      </c>
      <c r="CG304" s="145"/>
      <c r="CH304" s="443">
        <f t="shared" si="193"/>
        <v>6.6762906769995372</v>
      </c>
      <c r="CI304" s="996">
        <f t="shared" si="194"/>
        <v>6.6762906769995372</v>
      </c>
      <c r="CJ304" s="261">
        <f t="shared" si="195"/>
        <v>0</v>
      </c>
      <c r="CK304" s="458">
        <f t="shared" si="196"/>
        <v>192.50069444444671</v>
      </c>
      <c r="CL304" t="str">
        <f t="shared" si="197"/>
        <v>NON-REV</v>
      </c>
      <c r="CM304" t="str">
        <f t="shared" si="198"/>
        <v>7-9 MONTHS</v>
      </c>
      <c r="CN304" s="635"/>
      <c r="CO304" s="631"/>
      <c r="CP304" s="629" t="str">
        <f t="shared" si="175"/>
        <v>FOR ISSUANCE</v>
      </c>
      <c r="CQ304" s="635"/>
      <c r="CR304" s="697"/>
      <c r="CS304" s="633" t="str">
        <f t="shared" ca="1" si="199"/>
        <v>0</v>
      </c>
      <c r="CT304" s="635"/>
      <c r="CU304" s="631"/>
      <c r="CV304" s="640"/>
      <c r="CW304" s="156" t="s">
        <v>1948</v>
      </c>
      <c r="CX304" s="156" t="str">
        <f>VLOOKUP(E304,'[1]List of Work Orders'!$A:$I,9,FALSE)</f>
        <v>ME155242</v>
      </c>
      <c r="CY304" s="156"/>
      <c r="CZ304" s="320"/>
      <c r="DA304" s="762">
        <f t="shared" si="208"/>
        <v>4.132638888891961</v>
      </c>
      <c r="DS304" s="350" t="s">
        <v>397</v>
      </c>
    </row>
    <row r="305" spans="1:123" customFormat="1" ht="15" customHeight="1" x14ac:dyDescent="0.25">
      <c r="A305" s="242">
        <v>45670</v>
      </c>
      <c r="B305" s="222">
        <v>45670</v>
      </c>
      <c r="C305" s="223"/>
      <c r="D305" s="345" t="s">
        <v>284</v>
      </c>
      <c r="E305" s="347" t="s">
        <v>1949</v>
      </c>
      <c r="F305" s="347" t="s">
        <v>1950</v>
      </c>
      <c r="G305" s="348" t="s">
        <v>1951</v>
      </c>
      <c r="H305" s="95" t="s">
        <v>253</v>
      </c>
      <c r="I305" s="348" t="s">
        <v>254</v>
      </c>
      <c r="J305" s="95"/>
      <c r="K305" s="101"/>
      <c r="L305" s="101" t="s">
        <v>1945</v>
      </c>
      <c r="M305" s="345" t="s">
        <v>272</v>
      </c>
      <c r="N305" s="442" t="s">
        <v>1946</v>
      </c>
      <c r="O305" s="165">
        <v>11.3</v>
      </c>
      <c r="P305" s="165">
        <v>17.86</v>
      </c>
      <c r="Q305" s="157">
        <v>0</v>
      </c>
      <c r="R305" s="109" t="s">
        <v>319</v>
      </c>
      <c r="S305" s="110">
        <v>24072.27</v>
      </c>
      <c r="T305" s="110">
        <v>15354.35</v>
      </c>
      <c r="U305" s="141"/>
      <c r="V305" s="158">
        <f t="shared" si="176"/>
        <v>0</v>
      </c>
      <c r="W305" s="159">
        <v>45663.504861111112</v>
      </c>
      <c r="X305" s="159">
        <v>45667.632638888892</v>
      </c>
      <c r="Y305" s="160">
        <v>45670</v>
      </c>
      <c r="Z305" s="470"/>
      <c r="AA305" s="470">
        <v>45877</v>
      </c>
      <c r="AB305" s="470"/>
      <c r="AC305" s="161">
        <f t="shared" si="177"/>
        <v>213.4951388888876</v>
      </c>
      <c r="AD305" s="161">
        <f t="shared" si="211"/>
        <v>209.36736111110804</v>
      </c>
      <c r="AE305" s="446">
        <f t="shared" si="200"/>
        <v>-45877</v>
      </c>
      <c r="AF305" s="160">
        <f t="shared" si="212"/>
        <v>45682.279054659499</v>
      </c>
      <c r="AG305" s="160">
        <f t="shared" si="209"/>
        <v>45691.0855062724</v>
      </c>
      <c r="AH305" s="159">
        <f t="shared" si="213"/>
        <v>45713.504861111112</v>
      </c>
      <c r="AI305" s="162">
        <f t="shared" si="178"/>
        <v>7.3537214506172388</v>
      </c>
      <c r="AJ305" s="224">
        <f t="shared" si="214"/>
        <v>-764.61666666666667</v>
      </c>
      <c r="AK305" s="225">
        <f t="shared" si="179"/>
        <v>20</v>
      </c>
      <c r="AL305" s="170">
        <f t="shared" si="180"/>
        <v>36</v>
      </c>
      <c r="AM305" s="170">
        <f t="shared" si="181"/>
        <v>21.774193548387096</v>
      </c>
      <c r="AN305" s="170">
        <f t="shared" si="182"/>
        <v>27.58064516129032</v>
      </c>
      <c r="AO305" s="226">
        <f t="shared" si="183"/>
        <v>18.774193548387096</v>
      </c>
      <c r="AP305" s="227">
        <v>60</v>
      </c>
      <c r="AQ305" s="228">
        <f t="shared" si="184"/>
        <v>57</v>
      </c>
      <c r="AR305" s="228">
        <f t="shared" si="210"/>
        <v>52</v>
      </c>
      <c r="AS305" s="229">
        <f t="shared" si="185"/>
        <v>45937</v>
      </c>
      <c r="AT305" s="982">
        <f t="shared" ca="1" si="186"/>
        <v>18</v>
      </c>
      <c r="AU305" s="50"/>
      <c r="AV305" s="904"/>
      <c r="AW305" s="315"/>
      <c r="AX305" s="315"/>
      <c r="AY305" s="315"/>
      <c r="AZ305" s="316"/>
      <c r="BA305" s="905"/>
      <c r="BB305" s="318"/>
      <c r="BC305" s="231" t="s">
        <v>13</v>
      </c>
      <c r="BD305" s="232"/>
      <c r="BE305" s="222">
        <f t="shared" si="207"/>
        <v>45892</v>
      </c>
      <c r="BF305" s="233" t="e">
        <f t="shared" si="174"/>
        <v>#VALUE!</v>
      </c>
      <c r="BG305" s="248"/>
      <c r="BH305" s="235"/>
      <c r="BI305" s="234"/>
      <c r="BJ305" s="236"/>
      <c r="BK305" s="222"/>
      <c r="BL305" s="222"/>
      <c r="BM305" s="238"/>
      <c r="BN305" s="222"/>
      <c r="BO305" s="222"/>
      <c r="BP305" s="243"/>
      <c r="BQ305" s="244"/>
      <c r="BR305" s="238"/>
      <c r="BS305" s="67"/>
      <c r="BT305" s="66"/>
      <c r="BU305" s="66"/>
      <c r="BV305" s="66"/>
      <c r="BW305" s="74"/>
      <c r="BX305" s="319"/>
      <c r="BY305" s="66" t="s">
        <v>308</v>
      </c>
      <c r="BZ305" s="944" t="s">
        <v>1952</v>
      </c>
      <c r="CA305" s="42" t="str">
        <f t="shared" si="187"/>
        <v>0</v>
      </c>
      <c r="CB305" s="62">
        <f t="shared" si="188"/>
        <v>213.4951388888876</v>
      </c>
      <c r="CC305" s="42">
        <f t="shared" si="189"/>
        <v>0</v>
      </c>
      <c r="CD305" s="62">
        <f t="shared" si="190"/>
        <v>213.4951388888876</v>
      </c>
      <c r="CE305" s="62">
        <f t="shared" si="191"/>
        <v>7.3537214506172388</v>
      </c>
      <c r="CF305" s="145">
        <f t="shared" si="192"/>
        <v>-8</v>
      </c>
      <c r="CG305" s="145"/>
      <c r="CH305" s="443">
        <f t="shared" si="193"/>
        <v>7.0781658950616837</v>
      </c>
      <c r="CI305" s="996">
        <f t="shared" si="194"/>
        <v>7.0781658950616837</v>
      </c>
      <c r="CJ305" s="261">
        <f t="shared" si="195"/>
        <v>-0.13333333333333333</v>
      </c>
      <c r="CK305" s="458" t="str">
        <f t="shared" si="196"/>
        <v/>
      </c>
      <c r="CL305" t="str">
        <f t="shared" si="197"/>
        <v>NON-REV</v>
      </c>
      <c r="CM305" t="str">
        <f t="shared" si="198"/>
        <v/>
      </c>
      <c r="CN305" s="635"/>
      <c r="CO305" s="631"/>
      <c r="CP305" s="629" t="str">
        <f t="shared" si="175"/>
        <v>FOR ISSUANCE</v>
      </c>
      <c r="CQ305" s="635"/>
      <c r="CR305" s="697"/>
      <c r="CS305" s="633" t="str">
        <f t="shared" ca="1" si="199"/>
        <v>0</v>
      </c>
      <c r="CT305" s="635"/>
      <c r="CU305" s="631"/>
      <c r="CV305" s="640"/>
      <c r="CW305" s="156" t="s">
        <v>1953</v>
      </c>
      <c r="CX305" s="156" t="str">
        <f>VLOOKUP(E305,'[1]List of Work Orders'!$A:$I,9,FALSE)</f>
        <v>ME155242</v>
      </c>
      <c r="CY305" s="156"/>
      <c r="CZ305" s="320"/>
      <c r="DA305" s="762">
        <f t="shared" si="208"/>
        <v>4.1277777777795563</v>
      </c>
      <c r="DS305" s="350" t="s">
        <v>397</v>
      </c>
    </row>
    <row r="306" spans="1:123" customFormat="1" ht="15" customHeight="1" x14ac:dyDescent="0.25">
      <c r="A306" s="242">
        <v>45674</v>
      </c>
      <c r="B306" s="222"/>
      <c r="C306" s="223"/>
      <c r="D306" s="345" t="s">
        <v>320</v>
      </c>
      <c r="E306" s="347" t="s">
        <v>1954</v>
      </c>
      <c r="F306" s="344" t="s">
        <v>1955</v>
      </c>
      <c r="G306" s="95" t="s">
        <v>1956</v>
      </c>
      <c r="H306" s="95" t="s">
        <v>318</v>
      </c>
      <c r="I306" s="95" t="s">
        <v>239</v>
      </c>
      <c r="J306" s="163"/>
      <c r="K306" s="101"/>
      <c r="L306" s="101" t="s">
        <v>1957</v>
      </c>
      <c r="M306" s="345" t="s">
        <v>1549</v>
      </c>
      <c r="N306" s="442" t="s">
        <v>403</v>
      </c>
      <c r="O306" s="165">
        <v>22.41</v>
      </c>
      <c r="P306" s="933">
        <v>22.07</v>
      </c>
      <c r="Q306" s="157">
        <v>87</v>
      </c>
      <c r="R306" s="109" t="s">
        <v>548</v>
      </c>
      <c r="S306" s="110">
        <v>238527.99</v>
      </c>
      <c r="T306" s="93"/>
      <c r="U306" s="141"/>
      <c r="V306" s="158" t="e">
        <f t="shared" si="176"/>
        <v>#DIV/0!</v>
      </c>
      <c r="W306" s="159">
        <v>45664.623252314814</v>
      </c>
      <c r="X306" s="159">
        <v>45671.615277777775</v>
      </c>
      <c r="Y306" s="160" t="s">
        <v>308</v>
      </c>
      <c r="Z306" s="470"/>
      <c r="AA306" s="470">
        <v>45678</v>
      </c>
      <c r="AB306" s="470">
        <v>45699.585416666669</v>
      </c>
      <c r="AC306" s="161">
        <f t="shared" si="177"/>
        <v>13.376747685186274</v>
      </c>
      <c r="AD306" s="161">
        <f t="shared" si="211"/>
        <v>6.3847222222248092</v>
      </c>
      <c r="AE306" s="446">
        <f t="shared" si="200"/>
        <v>21.585416666668607</v>
      </c>
      <c r="AF306" s="160">
        <f t="shared" si="212"/>
        <v>45682.6976324801</v>
      </c>
      <c r="AG306" s="160">
        <f t="shared" si="209"/>
        <v>45691.317467190849</v>
      </c>
      <c r="AH306" s="159">
        <f t="shared" si="213"/>
        <v>45714.623252314814</v>
      </c>
      <c r="AI306" s="162">
        <f t="shared" si="178"/>
        <v>0.47605484409045268</v>
      </c>
      <c r="AJ306" s="224">
        <f t="shared" si="214"/>
        <v>0.35975694444447676</v>
      </c>
      <c r="AK306" s="225">
        <f t="shared" si="179"/>
        <v>20</v>
      </c>
      <c r="AL306" s="170">
        <f t="shared" si="180"/>
        <v>34</v>
      </c>
      <c r="AM306" s="170">
        <f t="shared" si="181"/>
        <v>21.074380165289259</v>
      </c>
      <c r="AN306" s="170">
        <f t="shared" si="182"/>
        <v>26.694214876033058</v>
      </c>
      <c r="AO306" s="226">
        <f t="shared" si="183"/>
        <v>18.074380165289259</v>
      </c>
      <c r="AP306" s="227">
        <v>60</v>
      </c>
      <c r="AQ306" s="228">
        <f t="shared" si="184"/>
        <v>57</v>
      </c>
      <c r="AR306" s="228">
        <f t="shared" si="210"/>
        <v>52</v>
      </c>
      <c r="AS306" s="229">
        <f t="shared" si="185"/>
        <v>45738</v>
      </c>
      <c r="AT306" s="982">
        <f t="shared" ca="1" si="186"/>
        <v>217</v>
      </c>
      <c r="AU306" s="50"/>
      <c r="AV306" s="51"/>
      <c r="AW306" s="49"/>
      <c r="AX306" s="49"/>
      <c r="AY306" s="49"/>
      <c r="AZ306" s="300"/>
      <c r="BA306" s="52"/>
      <c r="BB306" s="304"/>
      <c r="BC306" s="231" t="s">
        <v>14</v>
      </c>
      <c r="BD306" s="247" t="s">
        <v>1623</v>
      </c>
      <c r="BE306" s="222">
        <f t="shared" si="207"/>
        <v>45693</v>
      </c>
      <c r="BF306" s="233" t="e">
        <f t="shared" si="174"/>
        <v>#VALUE!</v>
      </c>
      <c r="BG306" s="248"/>
      <c r="BH306" s="235"/>
      <c r="BI306" s="234">
        <v>45693</v>
      </c>
      <c r="BJ306" s="236" t="s">
        <v>1958</v>
      </c>
      <c r="BK306" s="222" t="s">
        <v>247</v>
      </c>
      <c r="BL306" s="222"/>
      <c r="BM306" s="238"/>
      <c r="BN306" s="222"/>
      <c r="BO306" s="222"/>
      <c r="BP306" s="243"/>
      <c r="BQ306" s="244" t="s">
        <v>247</v>
      </c>
      <c r="BR306" s="238">
        <v>45677</v>
      </c>
      <c r="BS306" s="67"/>
      <c r="BT306" s="66"/>
      <c r="BU306" s="66"/>
      <c r="BV306" s="66"/>
      <c r="BW306" s="74"/>
      <c r="BX306" s="81"/>
      <c r="BY306" s="66"/>
      <c r="BZ306" s="944"/>
      <c r="CA306" s="42" t="str">
        <f t="shared" si="187"/>
        <v>0</v>
      </c>
      <c r="CB306" s="62">
        <f t="shared" si="188"/>
        <v>13.376747685186274</v>
      </c>
      <c r="CC306" s="42">
        <f t="shared" si="189"/>
        <v>0</v>
      </c>
      <c r="CD306" s="62">
        <f t="shared" si="190"/>
        <v>13.376747685186274</v>
      </c>
      <c r="CE306" s="62">
        <f t="shared" si="191"/>
        <v>0.47605484409045268</v>
      </c>
      <c r="CF306" s="145">
        <f t="shared" si="192"/>
        <v>191</v>
      </c>
      <c r="CG306" s="145"/>
      <c r="CH306" s="443">
        <f t="shared" si="193"/>
        <v>7.2734077852669223</v>
      </c>
      <c r="CI306" s="996">
        <f t="shared" si="194"/>
        <v>7.2734077852669223</v>
      </c>
      <c r="CJ306" s="261">
        <f t="shared" si="195"/>
        <v>3.1833333333333331</v>
      </c>
      <c r="CK306" s="458" t="str">
        <f t="shared" si="196"/>
        <v/>
      </c>
      <c r="CL306" t="str">
        <f t="shared" si="197"/>
        <v>NON-REV</v>
      </c>
      <c r="CM306" t="str">
        <f t="shared" si="198"/>
        <v/>
      </c>
      <c r="CN306" s="635"/>
      <c r="CO306" s="631"/>
      <c r="CP306" s="629" t="str">
        <f t="shared" si="175"/>
        <v>FOR ISSUANCE</v>
      </c>
      <c r="CQ306" s="635"/>
      <c r="CR306" s="697"/>
      <c r="CS306" s="633" t="str">
        <f t="shared" ca="1" si="199"/>
        <v>0</v>
      </c>
      <c r="CT306" s="635"/>
      <c r="CU306" s="631"/>
      <c r="CV306" s="638"/>
      <c r="CW306" s="156" t="s">
        <v>1959</v>
      </c>
      <c r="CX306" s="156" t="str">
        <f>VLOOKUP(E306,'[1]List of Work Orders'!$A:$I,9,FALSE)</f>
        <v>ME166067</v>
      </c>
      <c r="CY306" s="156"/>
      <c r="DA306" s="762">
        <f t="shared" si="208"/>
        <v>6.9920254629614647</v>
      </c>
      <c r="DS306" s="156" t="s">
        <v>381</v>
      </c>
    </row>
    <row r="307" spans="1:123" customFormat="1" ht="15" customHeight="1" x14ac:dyDescent="0.25">
      <c r="A307" s="242">
        <v>45670</v>
      </c>
      <c r="B307" s="222">
        <v>45667</v>
      </c>
      <c r="C307" s="223"/>
      <c r="D307" s="345" t="s">
        <v>284</v>
      </c>
      <c r="E307" s="347" t="s">
        <v>1960</v>
      </c>
      <c r="F307" s="347" t="s">
        <v>1961</v>
      </c>
      <c r="G307" s="95" t="s">
        <v>1962</v>
      </c>
      <c r="H307" s="95" t="s">
        <v>238</v>
      </c>
      <c r="I307" s="95" t="s">
        <v>239</v>
      </c>
      <c r="J307" s="163"/>
      <c r="K307" s="101"/>
      <c r="L307" s="101" t="s">
        <v>288</v>
      </c>
      <c r="M307" s="345" t="s">
        <v>272</v>
      </c>
      <c r="N307" s="442" t="s">
        <v>381</v>
      </c>
      <c r="O307" s="165">
        <v>277.3716</v>
      </c>
      <c r="P307" s="933">
        <v>826.39</v>
      </c>
      <c r="Q307" s="157">
        <v>1680</v>
      </c>
      <c r="R307" s="109" t="s">
        <v>244</v>
      </c>
      <c r="S307" s="110">
        <v>3356230.93</v>
      </c>
      <c r="T307" s="93">
        <v>413605.22</v>
      </c>
      <c r="U307" s="141"/>
      <c r="V307" s="158">
        <f t="shared" si="176"/>
        <v>0</v>
      </c>
      <c r="W307" s="159">
        <v>45664.665277777778</v>
      </c>
      <c r="X307" s="159">
        <v>45667.628472222219</v>
      </c>
      <c r="Y307" s="160">
        <v>45667</v>
      </c>
      <c r="Z307" s="470">
        <v>45777</v>
      </c>
      <c r="AA307" s="470">
        <v>45689</v>
      </c>
      <c r="AB307" s="470"/>
      <c r="AC307" s="161">
        <f t="shared" si="177"/>
        <v>24.334722222221899</v>
      </c>
      <c r="AD307" s="161">
        <f t="shared" si="211"/>
        <v>21.371527777781012</v>
      </c>
      <c r="AE307" s="446">
        <f t="shared" si="200"/>
        <v>-45689</v>
      </c>
      <c r="AF307" s="160">
        <f t="shared" si="212"/>
        <v>45679.31233660131</v>
      </c>
      <c r="AG307" s="160">
        <f t="shared" si="209"/>
        <v>45687.018218954247</v>
      </c>
      <c r="AH307" s="159">
        <f t="shared" si="213"/>
        <v>45714.665277777778</v>
      </c>
      <c r="AI307" s="162">
        <f t="shared" si="178"/>
        <v>1.0342256944444308</v>
      </c>
      <c r="AJ307" s="224">
        <f t="shared" si="214"/>
        <v>-761.48333333333335</v>
      </c>
      <c r="AK307" s="225">
        <f t="shared" si="179"/>
        <v>40</v>
      </c>
      <c r="AL307" s="170">
        <f t="shared" si="180"/>
        <v>20</v>
      </c>
      <c r="AM307" s="170">
        <f t="shared" si="181"/>
        <v>17.647058823529413</v>
      </c>
      <c r="AN307" s="170">
        <f t="shared" si="182"/>
        <v>22.352941176470591</v>
      </c>
      <c r="AO307" s="226">
        <f t="shared" si="183"/>
        <v>14.647058823529413</v>
      </c>
      <c r="AP307" s="227">
        <v>60</v>
      </c>
      <c r="AQ307" s="228">
        <f t="shared" si="184"/>
        <v>57</v>
      </c>
      <c r="AR307" s="228">
        <f t="shared" si="210"/>
        <v>52</v>
      </c>
      <c r="AS307" s="229">
        <f t="shared" si="185"/>
        <v>45749</v>
      </c>
      <c r="AT307" s="982">
        <f t="shared" ca="1" si="186"/>
        <v>206</v>
      </c>
      <c r="AU307" s="50" t="s">
        <v>1963</v>
      </c>
      <c r="AV307" s="51" t="s">
        <v>247</v>
      </c>
      <c r="AW307" s="49" t="s">
        <v>247</v>
      </c>
      <c r="AX307" s="49"/>
      <c r="AY307" s="49"/>
      <c r="AZ307" s="300">
        <v>45679</v>
      </c>
      <c r="BA307" s="52">
        <f>BB307-AZ307</f>
        <v>6</v>
      </c>
      <c r="BB307" s="304">
        <v>45685</v>
      </c>
      <c r="BC307" s="231" t="s">
        <v>264</v>
      </c>
      <c r="BD307" s="232"/>
      <c r="BE307" s="222">
        <f t="shared" si="207"/>
        <v>45704</v>
      </c>
      <c r="BF307" s="233">
        <f t="shared" si="174"/>
        <v>73</v>
      </c>
      <c r="BG307" s="248">
        <v>45689</v>
      </c>
      <c r="BH307" s="235">
        <v>45777</v>
      </c>
      <c r="BI307" s="234"/>
      <c r="BJ307" s="236"/>
      <c r="BK307" s="222"/>
      <c r="BL307" s="222"/>
      <c r="BM307" s="238"/>
      <c r="BN307" s="222"/>
      <c r="BO307" s="222">
        <v>45885</v>
      </c>
      <c r="BP307" s="243" t="s">
        <v>1084</v>
      </c>
      <c r="BQ307" s="244" t="s">
        <v>247</v>
      </c>
      <c r="BR307" s="238">
        <v>45679</v>
      </c>
      <c r="BS307" s="67"/>
      <c r="BT307" s="66"/>
      <c r="BU307" s="66"/>
      <c r="BV307" s="66"/>
      <c r="BW307" s="74"/>
      <c r="BX307" s="81"/>
      <c r="BY307" s="66">
        <v>45670</v>
      </c>
      <c r="BZ307" s="944" t="s">
        <v>1964</v>
      </c>
      <c r="CA307" s="42" t="str">
        <f t="shared" si="187"/>
        <v>0</v>
      </c>
      <c r="CB307" s="62">
        <f t="shared" si="188"/>
        <v>24.334722222221899</v>
      </c>
      <c r="CC307" s="42">
        <f t="shared" si="189"/>
        <v>6</v>
      </c>
      <c r="CD307" s="62">
        <f t="shared" si="190"/>
        <v>18.334722222221899</v>
      </c>
      <c r="CE307" s="62">
        <f t="shared" si="191"/>
        <v>0.77922569444443068</v>
      </c>
      <c r="CF307" s="145">
        <f t="shared" si="192"/>
        <v>180</v>
      </c>
      <c r="CG307" s="145">
        <f xml:space="preserve"> (0.3)*(($CF$1-W307-CF307)/AK307)+(0.7)*(($CF$1-W307-CF307)/AL307)</f>
        <v>1.0342256944444308</v>
      </c>
      <c r="CH307" s="443">
        <f t="shared" si="193"/>
        <v>8.6842256944444287</v>
      </c>
      <c r="CI307" s="996">
        <f t="shared" si="194"/>
        <v>7.6499999999999977</v>
      </c>
      <c r="CJ307" s="261">
        <f t="shared" si="195"/>
        <v>3</v>
      </c>
      <c r="CK307" s="458" t="str">
        <f t="shared" si="196"/>
        <v/>
      </c>
      <c r="CL307" t="str">
        <f t="shared" si="197"/>
        <v>REV</v>
      </c>
      <c r="CM307" t="str">
        <f t="shared" si="198"/>
        <v/>
      </c>
      <c r="CN307" s="635">
        <v>45887</v>
      </c>
      <c r="CO307" s="631">
        <v>123186.33</v>
      </c>
      <c r="CP307" s="629" t="str">
        <f t="shared" si="175"/>
        <v>NTC ISSUED</v>
      </c>
      <c r="CQ307" s="635">
        <v>45887</v>
      </c>
      <c r="CR307" s="697"/>
      <c r="CS307" s="633">
        <f t="shared" ca="1" si="199"/>
        <v>8</v>
      </c>
      <c r="CT307" s="635"/>
      <c r="CU307" s="631"/>
      <c r="CV307" s="638"/>
      <c r="CW307" s="156" t="s">
        <v>1965</v>
      </c>
      <c r="CX307" s="156" t="str">
        <f>VLOOKUP(E307,'[1]List of Work Orders'!$A:$I,9,FALSE)</f>
        <v>ME185284</v>
      </c>
      <c r="CY307" s="156"/>
      <c r="DA307" s="762">
        <f t="shared" si="208"/>
        <v>2.9631944444408873</v>
      </c>
      <c r="DS307" s="156" t="s">
        <v>381</v>
      </c>
    </row>
    <row r="308" spans="1:123" customFormat="1" ht="15" customHeight="1" x14ac:dyDescent="0.25">
      <c r="A308" s="242">
        <v>45670</v>
      </c>
      <c r="B308" s="222">
        <v>45667</v>
      </c>
      <c r="C308" s="223"/>
      <c r="D308" s="345" t="s">
        <v>284</v>
      </c>
      <c r="E308" s="347" t="s">
        <v>1966</v>
      </c>
      <c r="F308" s="347" t="s">
        <v>1967</v>
      </c>
      <c r="G308" s="95" t="s">
        <v>888</v>
      </c>
      <c r="H308" s="95" t="s">
        <v>238</v>
      </c>
      <c r="I308" s="95" t="s">
        <v>239</v>
      </c>
      <c r="J308" s="163"/>
      <c r="K308" s="101"/>
      <c r="L308" s="101" t="s">
        <v>5</v>
      </c>
      <c r="M308" s="345" t="s">
        <v>272</v>
      </c>
      <c r="N308" s="442" t="s">
        <v>403</v>
      </c>
      <c r="O308" s="165">
        <v>37.269500000000001</v>
      </c>
      <c r="P308" s="933">
        <v>46.79</v>
      </c>
      <c r="Q308" s="157">
        <v>68</v>
      </c>
      <c r="R308" s="109" t="s">
        <v>244</v>
      </c>
      <c r="S308" s="110">
        <v>381005.41</v>
      </c>
      <c r="T308" s="93">
        <v>37323.409999999996</v>
      </c>
      <c r="U308" s="141"/>
      <c r="V308" s="158">
        <f t="shared" si="176"/>
        <v>0</v>
      </c>
      <c r="W308" s="159">
        <v>45664.665324074071</v>
      </c>
      <c r="X308" s="159">
        <v>45667.631249999999</v>
      </c>
      <c r="Y308" s="160">
        <v>45667</v>
      </c>
      <c r="Z308" s="470"/>
      <c r="AA308" s="470">
        <v>45689</v>
      </c>
      <c r="AB308" s="470"/>
      <c r="AC308" s="161">
        <f t="shared" si="177"/>
        <v>24.334675925929332</v>
      </c>
      <c r="AD308" s="161">
        <f t="shared" si="211"/>
        <v>21.368750000001455</v>
      </c>
      <c r="AE308" s="446">
        <f t="shared" si="200"/>
        <v>-45689</v>
      </c>
      <c r="AF308" s="160">
        <f t="shared" si="212"/>
        <v>45682.739704239357</v>
      </c>
      <c r="AG308" s="160">
        <f t="shared" si="209"/>
        <v>45691.359538950106</v>
      </c>
      <c r="AH308" s="159">
        <f t="shared" si="213"/>
        <v>45714.665324074071</v>
      </c>
      <c r="AI308" s="162">
        <f t="shared" si="178"/>
        <v>0.86602817265807319</v>
      </c>
      <c r="AJ308" s="224">
        <f t="shared" si="214"/>
        <v>-761.48333333333335</v>
      </c>
      <c r="AK308" s="225">
        <f t="shared" si="179"/>
        <v>20</v>
      </c>
      <c r="AL308" s="170">
        <f t="shared" si="180"/>
        <v>34</v>
      </c>
      <c r="AM308" s="170">
        <f t="shared" si="181"/>
        <v>21.074380165289259</v>
      </c>
      <c r="AN308" s="170">
        <f t="shared" si="182"/>
        <v>26.694214876033058</v>
      </c>
      <c r="AO308" s="226">
        <f t="shared" si="183"/>
        <v>18.074380165289259</v>
      </c>
      <c r="AP308" s="227">
        <v>60</v>
      </c>
      <c r="AQ308" s="228">
        <f t="shared" si="184"/>
        <v>57</v>
      </c>
      <c r="AR308" s="228">
        <f t="shared" si="210"/>
        <v>52</v>
      </c>
      <c r="AS308" s="229">
        <f t="shared" si="185"/>
        <v>45749</v>
      </c>
      <c r="AT308" s="982">
        <f t="shared" ca="1" si="186"/>
        <v>206</v>
      </c>
      <c r="AU308" s="50"/>
      <c r="AV308" s="51"/>
      <c r="AW308" s="49"/>
      <c r="AX308" s="49"/>
      <c r="AY308" s="49"/>
      <c r="AZ308" s="300"/>
      <c r="BA308" s="52"/>
      <c r="BB308" s="304"/>
      <c r="BC308" s="231" t="s">
        <v>264</v>
      </c>
      <c r="BD308" s="232" t="s">
        <v>1623</v>
      </c>
      <c r="BE308" s="222">
        <f t="shared" si="207"/>
        <v>45704</v>
      </c>
      <c r="BF308" s="233">
        <f t="shared" ref="BF308:BF371" si="215">IF(ISBLANK(AA308),0,IF(ISBLANK(BH308),(BE308-$L$1),(BH308-BE308)))</f>
        <v>5</v>
      </c>
      <c r="BG308" s="248">
        <v>45689</v>
      </c>
      <c r="BH308" s="235">
        <v>45709</v>
      </c>
      <c r="BI308" s="234">
        <v>45737</v>
      </c>
      <c r="BJ308" s="236" t="s">
        <v>1119</v>
      </c>
      <c r="BK308" s="222" t="s">
        <v>247</v>
      </c>
      <c r="BL308" s="222"/>
      <c r="BM308" s="238"/>
      <c r="BN308" s="222"/>
      <c r="BO308" s="222">
        <v>45876</v>
      </c>
      <c r="BP308" s="243" t="s">
        <v>1084</v>
      </c>
      <c r="BQ308" s="244"/>
      <c r="BR308" s="238"/>
      <c r="BS308" s="67"/>
      <c r="BT308" s="66"/>
      <c r="BU308" s="66"/>
      <c r="BV308" s="66"/>
      <c r="BW308" s="74"/>
      <c r="BX308" s="81"/>
      <c r="BY308" s="66">
        <v>45670</v>
      </c>
      <c r="BZ308" s="944" t="s">
        <v>1968</v>
      </c>
      <c r="CA308" s="42" t="str">
        <f t="shared" si="187"/>
        <v>0</v>
      </c>
      <c r="CB308" s="62">
        <f t="shared" si="188"/>
        <v>24.334675925929332</v>
      </c>
      <c r="CC308" s="42">
        <f t="shared" si="189"/>
        <v>0</v>
      </c>
      <c r="CD308" s="62">
        <f t="shared" si="190"/>
        <v>24.334675925929332</v>
      </c>
      <c r="CE308" s="62">
        <f t="shared" si="191"/>
        <v>0.86602817265807319</v>
      </c>
      <c r="CF308" s="145">
        <f t="shared" si="192"/>
        <v>180</v>
      </c>
      <c r="CG308" s="145"/>
      <c r="CH308" s="443">
        <f t="shared" si="193"/>
        <v>7.2719105255992496</v>
      </c>
      <c r="CI308" s="996">
        <f t="shared" si="194"/>
        <v>7.2719105255992496</v>
      </c>
      <c r="CJ308" s="261">
        <f t="shared" si="195"/>
        <v>3</v>
      </c>
      <c r="CK308" s="458" t="str">
        <f t="shared" si="196"/>
        <v/>
      </c>
      <c r="CL308" t="str">
        <f t="shared" si="197"/>
        <v>REV</v>
      </c>
      <c r="CM308" t="str">
        <f t="shared" si="198"/>
        <v/>
      </c>
      <c r="CN308" s="635">
        <v>45876</v>
      </c>
      <c r="CO308" s="631">
        <v>4622.34</v>
      </c>
      <c r="CP308" s="629" t="str">
        <f t="shared" si="175"/>
        <v>NTC ISSUED</v>
      </c>
      <c r="CQ308" s="635">
        <v>45876</v>
      </c>
      <c r="CR308" s="697"/>
      <c r="CS308" s="633">
        <f t="shared" ca="1" si="199"/>
        <v>19</v>
      </c>
      <c r="CT308" s="635"/>
      <c r="CU308" s="631"/>
      <c r="CV308" s="638"/>
      <c r="CW308" s="156" t="s">
        <v>1969</v>
      </c>
      <c r="CX308" s="156" t="str">
        <f>VLOOKUP(E308,'[1]List of Work Orders'!$A:$I,9,FALSE)</f>
        <v>ME166067</v>
      </c>
      <c r="CY308" s="156"/>
      <c r="DA308" s="762">
        <f t="shared" si="208"/>
        <v>2.965925925927877</v>
      </c>
      <c r="DS308" s="156" t="s">
        <v>397</v>
      </c>
    </row>
    <row r="309" spans="1:123" customFormat="1" ht="15" customHeight="1" x14ac:dyDescent="0.25">
      <c r="A309" s="242"/>
      <c r="B309" s="222">
        <v>45667</v>
      </c>
      <c r="C309" s="223"/>
      <c r="D309" s="345" t="s">
        <v>320</v>
      </c>
      <c r="E309" s="347" t="s">
        <v>1970</v>
      </c>
      <c r="F309" s="347" t="s">
        <v>1971</v>
      </c>
      <c r="G309" s="95" t="s">
        <v>1972</v>
      </c>
      <c r="H309" s="95" t="s">
        <v>318</v>
      </c>
      <c r="I309" s="95" t="s">
        <v>239</v>
      </c>
      <c r="J309" s="163"/>
      <c r="K309" s="101"/>
      <c r="L309" s="101" t="s">
        <v>242</v>
      </c>
      <c r="M309" s="345" t="s">
        <v>272</v>
      </c>
      <c r="N309" s="442" t="s">
        <v>467</v>
      </c>
      <c r="O309" s="165">
        <v>11.4428</v>
      </c>
      <c r="P309" s="933">
        <v>29.6</v>
      </c>
      <c r="Q309" s="157">
        <v>60</v>
      </c>
      <c r="R309" s="109" t="s">
        <v>548</v>
      </c>
      <c r="S309" s="110">
        <v>227308.27</v>
      </c>
      <c r="T309" s="93">
        <v>23833.939999999995</v>
      </c>
      <c r="U309" s="141"/>
      <c r="V309" s="158">
        <f t="shared" si="176"/>
        <v>0</v>
      </c>
      <c r="W309" s="159">
        <v>45664.693055555559</v>
      </c>
      <c r="X309" s="159">
        <v>45671.617361111108</v>
      </c>
      <c r="Y309" s="160">
        <v>45667</v>
      </c>
      <c r="Z309" s="470"/>
      <c r="AA309" s="470">
        <v>45693</v>
      </c>
      <c r="AB309" s="470"/>
      <c r="AC309" s="161">
        <f t="shared" si="177"/>
        <v>28.306944444440887</v>
      </c>
      <c r="AD309" s="161">
        <f t="shared" si="211"/>
        <v>21.382638888891961</v>
      </c>
      <c r="AE309" s="446">
        <f t="shared" si="200"/>
        <v>-45693</v>
      </c>
      <c r="AF309" s="160">
        <f t="shared" si="212"/>
        <v>45682.767435720845</v>
      </c>
      <c r="AG309" s="160">
        <f t="shared" si="209"/>
        <v>45691.387270431595</v>
      </c>
      <c r="AH309" s="159">
        <f t="shared" si="213"/>
        <v>45714.693055555559</v>
      </c>
      <c r="AI309" s="162">
        <f t="shared" si="178"/>
        <v>1.0073941993462785</v>
      </c>
      <c r="AJ309" s="224">
        <f t="shared" si="214"/>
        <v>-761.55</v>
      </c>
      <c r="AK309" s="225">
        <f t="shared" si="179"/>
        <v>20</v>
      </c>
      <c r="AL309" s="170">
        <f t="shared" si="180"/>
        <v>34</v>
      </c>
      <c r="AM309" s="170">
        <f t="shared" si="181"/>
        <v>21.074380165289259</v>
      </c>
      <c r="AN309" s="170">
        <f t="shared" si="182"/>
        <v>26.694214876033058</v>
      </c>
      <c r="AO309" s="226">
        <f t="shared" si="183"/>
        <v>18.074380165289259</v>
      </c>
      <c r="AP309" s="227">
        <v>60</v>
      </c>
      <c r="AQ309" s="228">
        <f t="shared" si="184"/>
        <v>57</v>
      </c>
      <c r="AR309" s="228">
        <f t="shared" si="210"/>
        <v>52</v>
      </c>
      <c r="AS309" s="229">
        <f t="shared" si="185"/>
        <v>45753</v>
      </c>
      <c r="AT309" s="982">
        <f t="shared" ca="1" si="186"/>
        <v>202</v>
      </c>
      <c r="AU309" s="50"/>
      <c r="AV309" s="51"/>
      <c r="AW309" s="49"/>
      <c r="AX309" s="49"/>
      <c r="AY309" s="49"/>
      <c r="AZ309" s="300"/>
      <c r="BA309" s="52"/>
      <c r="BB309" s="304"/>
      <c r="BC309" s="231" t="s">
        <v>13</v>
      </c>
      <c r="BD309" s="232"/>
      <c r="BE309" s="222">
        <f t="shared" si="207"/>
        <v>45708</v>
      </c>
      <c r="BF309" s="233" t="e">
        <f t="shared" si="215"/>
        <v>#VALUE!</v>
      </c>
      <c r="BG309" s="248"/>
      <c r="BH309" s="235"/>
      <c r="BI309" s="234"/>
      <c r="BJ309" s="236"/>
      <c r="BK309" s="222"/>
      <c r="BL309" s="222"/>
      <c r="BM309" s="238"/>
      <c r="BN309" s="222"/>
      <c r="BO309" s="222"/>
      <c r="BP309" s="243"/>
      <c r="BQ309" s="244"/>
      <c r="BR309" s="238"/>
      <c r="BS309" s="67"/>
      <c r="BT309" s="66"/>
      <c r="BU309" s="66"/>
      <c r="BV309" s="66"/>
      <c r="BW309" s="74"/>
      <c r="BX309" s="81"/>
      <c r="BY309" s="66" t="s">
        <v>308</v>
      </c>
      <c r="BZ309" s="944"/>
      <c r="CA309" s="42" t="str">
        <f t="shared" si="187"/>
        <v>0</v>
      </c>
      <c r="CB309" s="62">
        <f t="shared" si="188"/>
        <v>28.306944444440887</v>
      </c>
      <c r="CC309" s="42">
        <f t="shared" si="189"/>
        <v>0</v>
      </c>
      <c r="CD309" s="62">
        <f t="shared" si="190"/>
        <v>28.306944444440887</v>
      </c>
      <c r="CE309" s="62">
        <f t="shared" si="191"/>
        <v>1.0073941993462785</v>
      </c>
      <c r="CF309" s="145">
        <f t="shared" si="192"/>
        <v>176</v>
      </c>
      <c r="CG309" s="145"/>
      <c r="CH309" s="443">
        <f t="shared" si="193"/>
        <v>7.2709236111109838</v>
      </c>
      <c r="CI309" s="996">
        <f t="shared" si="194"/>
        <v>7.2709236111109838</v>
      </c>
      <c r="CJ309" s="261">
        <f t="shared" si="195"/>
        <v>2.9333333333333331</v>
      </c>
      <c r="CK309" s="458" t="str">
        <f t="shared" si="196"/>
        <v/>
      </c>
      <c r="CL309" t="str">
        <f t="shared" si="197"/>
        <v>NON-REV</v>
      </c>
      <c r="CM309" t="str">
        <f t="shared" si="198"/>
        <v/>
      </c>
      <c r="CN309" s="635"/>
      <c r="CO309" s="631"/>
      <c r="CP309" s="629" t="str">
        <f t="shared" si="175"/>
        <v>FOR ISSUANCE</v>
      </c>
      <c r="CQ309" s="635"/>
      <c r="CR309" s="697"/>
      <c r="CS309" s="633" t="str">
        <f t="shared" ca="1" si="199"/>
        <v>0</v>
      </c>
      <c r="CT309" s="635"/>
      <c r="CU309" s="631"/>
      <c r="CV309" s="638"/>
      <c r="CW309" s="156" t="s">
        <v>1973</v>
      </c>
      <c r="CX309" s="156" t="str">
        <f>VLOOKUP(E309,'[1]List of Work Orders'!$A:$I,9,FALSE)</f>
        <v>ME155242</v>
      </c>
      <c r="CY309" s="156"/>
      <c r="CZ309" s="63"/>
      <c r="DA309" s="762">
        <f t="shared" si="208"/>
        <v>6.9243055555489263</v>
      </c>
      <c r="DS309" s="156" t="s">
        <v>381</v>
      </c>
    </row>
    <row r="310" spans="1:123" customFormat="1" ht="15" customHeight="1" x14ac:dyDescent="0.25">
      <c r="A310" s="242">
        <v>45684</v>
      </c>
      <c r="B310" s="222">
        <v>45673</v>
      </c>
      <c r="C310" s="223"/>
      <c r="D310" s="345" t="s">
        <v>234</v>
      </c>
      <c r="E310" s="347" t="s">
        <v>1974</v>
      </c>
      <c r="F310" s="347" t="s">
        <v>1975</v>
      </c>
      <c r="G310" s="95" t="s">
        <v>1976</v>
      </c>
      <c r="H310" s="454" t="s">
        <v>318</v>
      </c>
      <c r="I310" s="95" t="s">
        <v>239</v>
      </c>
      <c r="J310" s="163"/>
      <c r="K310" s="101"/>
      <c r="L310" s="101" t="s">
        <v>263</v>
      </c>
      <c r="M310" s="345" t="s">
        <v>272</v>
      </c>
      <c r="N310" s="442" t="s">
        <v>467</v>
      </c>
      <c r="O310" s="165">
        <v>209.17350000000002</v>
      </c>
      <c r="P310" s="933">
        <v>243.08</v>
      </c>
      <c r="Q310" s="157">
        <v>730</v>
      </c>
      <c r="R310" s="109" t="s">
        <v>244</v>
      </c>
      <c r="S310" s="110">
        <v>1864204.78</v>
      </c>
      <c r="T310" s="93">
        <v>203044.77</v>
      </c>
      <c r="U310" s="141"/>
      <c r="V310" s="158">
        <f t="shared" si="176"/>
        <v>0</v>
      </c>
      <c r="W310" s="159">
        <v>45665</v>
      </c>
      <c r="X310" s="159">
        <v>45670.618055555555</v>
      </c>
      <c r="Y310" s="160">
        <v>45670</v>
      </c>
      <c r="Z310" s="470"/>
      <c r="AA310" s="470">
        <v>45677</v>
      </c>
      <c r="AB310" s="470"/>
      <c r="AC310" s="161">
        <f t="shared" si="177"/>
        <v>12</v>
      </c>
      <c r="AD310" s="161">
        <f t="shared" si="211"/>
        <v>6.3819444444452529</v>
      </c>
      <c r="AE310" s="446">
        <f t="shared" si="200"/>
        <v>-45677</v>
      </c>
      <c r="AF310" s="160">
        <f t="shared" si="212"/>
        <v>45680.226415094337</v>
      </c>
      <c r="AG310" s="160">
        <f t="shared" si="209"/>
        <v>45688.086792452828</v>
      </c>
      <c r="AH310" s="159">
        <f t="shared" si="213"/>
        <v>45715</v>
      </c>
      <c r="AI310" s="162">
        <f t="shared" si="178"/>
        <v>0.49378881987577633</v>
      </c>
      <c r="AJ310" s="224">
        <f t="shared" si="214"/>
        <v>-761.2833333333333</v>
      </c>
      <c r="AK310" s="225">
        <f t="shared" si="179"/>
        <v>28</v>
      </c>
      <c r="AL310" s="170">
        <f t="shared" si="180"/>
        <v>23</v>
      </c>
      <c r="AM310" s="170">
        <f t="shared" si="181"/>
        <v>18.226415094339625</v>
      </c>
      <c r="AN310" s="170">
        <f t="shared" si="182"/>
        <v>23.086792452830192</v>
      </c>
      <c r="AO310" s="226">
        <f t="shared" si="183"/>
        <v>15.226415094339625</v>
      </c>
      <c r="AP310" s="227">
        <v>60</v>
      </c>
      <c r="AQ310" s="228">
        <f t="shared" si="184"/>
        <v>57</v>
      </c>
      <c r="AR310" s="228">
        <f t="shared" si="210"/>
        <v>52</v>
      </c>
      <c r="AS310" s="229">
        <f t="shared" si="185"/>
        <v>45737</v>
      </c>
      <c r="AT310" s="982">
        <f t="shared" ca="1" si="186"/>
        <v>218</v>
      </c>
      <c r="AU310" s="50"/>
      <c r="AV310" s="51"/>
      <c r="AW310" s="49"/>
      <c r="AX310" s="49"/>
      <c r="AY310" s="49"/>
      <c r="AZ310" s="300"/>
      <c r="BA310" s="52"/>
      <c r="BB310" s="304"/>
      <c r="BC310" s="231" t="s">
        <v>13</v>
      </c>
      <c r="BD310" s="232"/>
      <c r="BE310" s="222">
        <f t="shared" si="207"/>
        <v>45692</v>
      </c>
      <c r="BF310" s="233" t="e">
        <f t="shared" si="215"/>
        <v>#VALUE!</v>
      </c>
      <c r="BG310" s="248"/>
      <c r="BH310" s="235"/>
      <c r="BI310" s="234"/>
      <c r="BJ310" s="236"/>
      <c r="BK310" s="222"/>
      <c r="BL310" s="222"/>
      <c r="BM310" s="238"/>
      <c r="BN310" s="222"/>
      <c r="BO310" s="222"/>
      <c r="BP310" s="243"/>
      <c r="BQ310" s="244"/>
      <c r="BR310" s="238"/>
      <c r="BS310" s="67"/>
      <c r="BT310" s="66"/>
      <c r="BU310" s="66"/>
      <c r="BV310" s="66"/>
      <c r="BW310" s="74"/>
      <c r="BX310" s="81"/>
      <c r="BY310" s="66">
        <v>45684</v>
      </c>
      <c r="BZ310" s="944" t="s">
        <v>1977</v>
      </c>
      <c r="CA310" s="42" t="str">
        <f t="shared" si="187"/>
        <v>0</v>
      </c>
      <c r="CB310" s="62">
        <f t="shared" si="188"/>
        <v>12</v>
      </c>
      <c r="CC310" s="42">
        <f t="shared" si="189"/>
        <v>0</v>
      </c>
      <c r="CD310" s="62">
        <f t="shared" si="190"/>
        <v>12</v>
      </c>
      <c r="CE310" s="62">
        <f t="shared" si="191"/>
        <v>0.49378881987577633</v>
      </c>
      <c r="CF310" s="145">
        <f t="shared" si="192"/>
        <v>192</v>
      </c>
      <c r="CG310" s="145"/>
      <c r="CH310" s="443">
        <f t="shared" si="193"/>
        <v>8.3944099378881987</v>
      </c>
      <c r="CI310" s="996">
        <f t="shared" si="194"/>
        <v>8.3944099378881987</v>
      </c>
      <c r="CJ310" s="261">
        <f t="shared" si="195"/>
        <v>3.2</v>
      </c>
      <c r="CK310" s="458" t="str">
        <f t="shared" si="196"/>
        <v/>
      </c>
      <c r="CL310" t="str">
        <f t="shared" si="197"/>
        <v>REV</v>
      </c>
      <c r="CM310" t="str">
        <f t="shared" si="198"/>
        <v/>
      </c>
      <c r="CN310" s="635"/>
      <c r="CO310" s="631"/>
      <c r="CP310" s="629" t="str">
        <f t="shared" si="175"/>
        <v>FOR ISSUANCE</v>
      </c>
      <c r="CQ310" s="635"/>
      <c r="CR310" s="697"/>
      <c r="CS310" s="633" t="str">
        <f t="shared" ca="1" si="199"/>
        <v>0</v>
      </c>
      <c r="CT310" s="635"/>
      <c r="CU310" s="631"/>
      <c r="CV310" s="638"/>
      <c r="CW310" s="156" t="s">
        <v>1978</v>
      </c>
      <c r="CX310" s="156" t="str">
        <f>VLOOKUP(E310,'[1]List of Work Orders'!$A:$I,9,FALSE)</f>
        <v>ME155242</v>
      </c>
      <c r="CY310" s="156"/>
      <c r="DA310" s="762">
        <f t="shared" si="208"/>
        <v>5.6180555555547471</v>
      </c>
      <c r="DS310" s="156" t="s">
        <v>381</v>
      </c>
    </row>
    <row r="311" spans="1:123" customFormat="1" ht="15" customHeight="1" x14ac:dyDescent="0.25">
      <c r="A311" s="242">
        <v>45670</v>
      </c>
      <c r="B311" s="222">
        <v>45667</v>
      </c>
      <c r="C311" s="223"/>
      <c r="D311" s="345" t="s">
        <v>320</v>
      </c>
      <c r="E311" s="347" t="s">
        <v>1979</v>
      </c>
      <c r="F311" s="347" t="s">
        <v>1980</v>
      </c>
      <c r="G311" s="95" t="s">
        <v>1981</v>
      </c>
      <c r="H311" s="95" t="s">
        <v>238</v>
      </c>
      <c r="I311" s="95" t="s">
        <v>239</v>
      </c>
      <c r="J311" s="163"/>
      <c r="K311" s="101"/>
      <c r="L311" s="101" t="s">
        <v>5</v>
      </c>
      <c r="M311" s="345" t="s">
        <v>256</v>
      </c>
      <c r="N311" s="442" t="s">
        <v>403</v>
      </c>
      <c r="O311" s="165">
        <v>109.61980000000001</v>
      </c>
      <c r="P311" s="933">
        <v>136.18</v>
      </c>
      <c r="Q311" s="157">
        <v>67</v>
      </c>
      <c r="R311" s="109" t="s">
        <v>548</v>
      </c>
      <c r="S311" s="110">
        <v>479799.06</v>
      </c>
      <c r="T311" s="93">
        <v>108263.20000000006</v>
      </c>
      <c r="U311" s="141">
        <v>45984.06</v>
      </c>
      <c r="V311" s="158">
        <f t="shared" si="176"/>
        <v>0.42474321837891338</v>
      </c>
      <c r="W311" s="159">
        <v>45665.351076388892</v>
      </c>
      <c r="X311" s="159">
        <v>45667.631944444445</v>
      </c>
      <c r="Y311" s="160">
        <v>45667</v>
      </c>
      <c r="Z311" s="470"/>
      <c r="AA311" s="470">
        <v>45698</v>
      </c>
      <c r="AB311" s="470">
        <v>45861.352777777778</v>
      </c>
      <c r="AC311" s="161">
        <f t="shared" si="177"/>
        <v>32.64892361110833</v>
      </c>
      <c r="AD311" s="161">
        <f t="shared" si="211"/>
        <v>30.368055555554747</v>
      </c>
      <c r="AE311" s="446">
        <f t="shared" si="200"/>
        <v>163.3527777777781</v>
      </c>
      <c r="AF311" s="160">
        <f t="shared" si="212"/>
        <v>45685.696146811424</v>
      </c>
      <c r="AG311" s="160">
        <f t="shared" si="209"/>
        <v>45694.921498924101</v>
      </c>
      <c r="AH311" s="159">
        <f t="shared" si="213"/>
        <v>45715.351076388892</v>
      </c>
      <c r="AI311" s="162">
        <f t="shared" si="178"/>
        <v>1.0489020707641137</v>
      </c>
      <c r="AJ311" s="224">
        <f t="shared" si="214"/>
        <v>2.7225462962963016</v>
      </c>
      <c r="AK311" s="225">
        <f t="shared" si="179"/>
        <v>26</v>
      </c>
      <c r="AL311" s="170">
        <f t="shared" si="180"/>
        <v>34</v>
      </c>
      <c r="AM311" s="170">
        <f t="shared" si="181"/>
        <v>23.345070422535212</v>
      </c>
      <c r="AN311" s="170">
        <f t="shared" si="182"/>
        <v>29.570422535211268</v>
      </c>
      <c r="AO311" s="226">
        <f t="shared" si="183"/>
        <v>20.345070422535212</v>
      </c>
      <c r="AP311" s="227">
        <v>60</v>
      </c>
      <c r="AQ311" s="228">
        <f t="shared" si="184"/>
        <v>57</v>
      </c>
      <c r="AR311" s="228">
        <f t="shared" si="210"/>
        <v>52</v>
      </c>
      <c r="AS311" s="229">
        <f t="shared" si="185"/>
        <v>45758</v>
      </c>
      <c r="AT311" s="982">
        <f t="shared" ca="1" si="186"/>
        <v>197</v>
      </c>
      <c r="AU311" s="50"/>
      <c r="AV311" s="51"/>
      <c r="AW311" s="49"/>
      <c r="AX311" s="49"/>
      <c r="AY311" s="49"/>
      <c r="AZ311" s="300"/>
      <c r="BA311" s="52"/>
      <c r="BB311" s="304"/>
      <c r="BC311" s="231" t="s">
        <v>14</v>
      </c>
      <c r="BD311" s="906" t="s">
        <v>1623</v>
      </c>
      <c r="BE311" s="222">
        <f t="shared" si="207"/>
        <v>45713</v>
      </c>
      <c r="BF311" s="233">
        <f t="shared" si="215"/>
        <v>2</v>
      </c>
      <c r="BG311" s="248">
        <v>45698</v>
      </c>
      <c r="BH311" s="235">
        <v>45715</v>
      </c>
      <c r="BI311" s="234">
        <v>45748</v>
      </c>
      <c r="BJ311" s="236" t="s">
        <v>245</v>
      </c>
      <c r="BK311" s="222" t="s">
        <v>246</v>
      </c>
      <c r="BL311" s="222"/>
      <c r="BM311" s="238"/>
      <c r="BN311" s="222"/>
      <c r="BO311" s="222">
        <v>45805</v>
      </c>
      <c r="BP311" s="243" t="s">
        <v>1084</v>
      </c>
      <c r="BQ311" s="244" t="s">
        <v>247</v>
      </c>
      <c r="BR311" s="238">
        <v>45694</v>
      </c>
      <c r="BS311" s="67"/>
      <c r="BT311" s="66"/>
      <c r="BU311" s="66"/>
      <c r="BV311" s="66"/>
      <c r="BW311" s="74"/>
      <c r="BX311" s="81"/>
      <c r="BY311" s="66">
        <v>45670</v>
      </c>
      <c r="BZ311" s="944" t="s">
        <v>1982</v>
      </c>
      <c r="CA311" s="42" t="str">
        <f t="shared" si="187"/>
        <v>0</v>
      </c>
      <c r="CB311" s="62">
        <f t="shared" si="188"/>
        <v>32.64892361110833</v>
      </c>
      <c r="CC311" s="42">
        <f t="shared" si="189"/>
        <v>0</v>
      </c>
      <c r="CD311" s="62">
        <f t="shared" si="190"/>
        <v>32.64892361110833</v>
      </c>
      <c r="CE311" s="62">
        <f t="shared" si="191"/>
        <v>1.0489020707641137</v>
      </c>
      <c r="CF311" s="145">
        <f t="shared" si="192"/>
        <v>171</v>
      </c>
      <c r="CG311" s="145"/>
      <c r="CH311" s="443">
        <f t="shared" si="193"/>
        <v>6.5425672291351544</v>
      </c>
      <c r="CI311" s="996">
        <f t="shared" si="194"/>
        <v>6.5425672291351544</v>
      </c>
      <c r="CJ311" s="261">
        <f t="shared" si="195"/>
        <v>2.85</v>
      </c>
      <c r="CK311" s="458" t="str">
        <f t="shared" si="196"/>
        <v/>
      </c>
      <c r="CL311" t="str">
        <f t="shared" si="197"/>
        <v>NON-REV</v>
      </c>
      <c r="CM311" t="str">
        <f t="shared" si="198"/>
        <v/>
      </c>
      <c r="CN311" s="635"/>
      <c r="CO311" s="631"/>
      <c r="CP311" s="629" t="str">
        <f t="shared" si="175"/>
        <v>FOR ISSUANCE</v>
      </c>
      <c r="CQ311" s="635"/>
      <c r="CR311" s="697"/>
      <c r="CS311" s="633" t="str">
        <f t="shared" ca="1" si="199"/>
        <v>0</v>
      </c>
      <c r="CT311" s="635"/>
      <c r="CU311" s="631"/>
      <c r="CV311" s="638"/>
      <c r="CW311" s="156" t="s">
        <v>1983</v>
      </c>
      <c r="CX311" s="156" t="str">
        <f>VLOOKUP(E311,'[1]List of Work Orders'!$A:$I,9,FALSE)</f>
        <v>ME166067</v>
      </c>
      <c r="CY311" s="156"/>
      <c r="DA311" s="762">
        <f t="shared" si="208"/>
        <v>2.280868055553583</v>
      </c>
      <c r="DS311" s="156" t="s">
        <v>403</v>
      </c>
    </row>
    <row r="312" spans="1:123" customFormat="1" ht="15" customHeight="1" x14ac:dyDescent="0.25">
      <c r="A312" s="242">
        <v>45684</v>
      </c>
      <c r="B312" s="222"/>
      <c r="C312" s="223"/>
      <c r="D312" s="345" t="s">
        <v>284</v>
      </c>
      <c r="E312" s="347" t="s">
        <v>1984</v>
      </c>
      <c r="F312" s="344" t="s">
        <v>1985</v>
      </c>
      <c r="G312" s="95" t="s">
        <v>1986</v>
      </c>
      <c r="H312" s="95" t="s">
        <v>253</v>
      </c>
      <c r="I312" s="95" t="s">
        <v>254</v>
      </c>
      <c r="J312" s="163"/>
      <c r="K312" s="101"/>
      <c r="L312" s="101" t="s">
        <v>1945</v>
      </c>
      <c r="M312" s="345" t="s">
        <v>1549</v>
      </c>
      <c r="N312" s="442" t="s">
        <v>403</v>
      </c>
      <c r="O312" s="165">
        <v>28.61</v>
      </c>
      <c r="P312" s="933">
        <v>26.67</v>
      </c>
      <c r="Q312" s="157">
        <v>28</v>
      </c>
      <c r="R312" s="109" t="s">
        <v>244</v>
      </c>
      <c r="S312" s="110">
        <v>224520.24</v>
      </c>
      <c r="T312" s="93"/>
      <c r="U312" s="141"/>
      <c r="V312" s="158" t="e">
        <f t="shared" si="176"/>
        <v>#DIV/0!</v>
      </c>
      <c r="W312" s="159">
        <v>45665.555335648147</v>
      </c>
      <c r="X312" s="159">
        <v>45671.615972222222</v>
      </c>
      <c r="Y312" s="160" t="s">
        <v>308</v>
      </c>
      <c r="Z312" s="470"/>
      <c r="AA312" s="470">
        <v>45681</v>
      </c>
      <c r="AB312" s="470">
        <v>45699.583333333336</v>
      </c>
      <c r="AC312" s="161">
        <f t="shared" si="177"/>
        <v>15.444664351853135</v>
      </c>
      <c r="AD312" s="161">
        <f t="shared" si="211"/>
        <v>9.3840277777781012</v>
      </c>
      <c r="AE312" s="446">
        <f t="shared" si="200"/>
        <v>18.583333333335759</v>
      </c>
      <c r="AF312" s="160">
        <f t="shared" si="212"/>
        <v>45684.329529196533</v>
      </c>
      <c r="AG312" s="160">
        <f t="shared" si="209"/>
        <v>45693.135980809435</v>
      </c>
      <c r="AH312" s="159">
        <f t="shared" si="213"/>
        <v>45715.555335648147</v>
      </c>
      <c r="AI312" s="162">
        <f t="shared" si="178"/>
        <v>0.53198288323049681</v>
      </c>
      <c r="AJ312" s="224">
        <f t="shared" si="214"/>
        <v>0.30972222222226264</v>
      </c>
      <c r="AK312" s="225">
        <f t="shared" si="179"/>
        <v>20</v>
      </c>
      <c r="AL312" s="170">
        <f t="shared" si="180"/>
        <v>36</v>
      </c>
      <c r="AM312" s="170">
        <f t="shared" si="181"/>
        <v>21.774193548387096</v>
      </c>
      <c r="AN312" s="170">
        <f t="shared" si="182"/>
        <v>27.58064516129032</v>
      </c>
      <c r="AO312" s="226">
        <f t="shared" si="183"/>
        <v>18.774193548387096</v>
      </c>
      <c r="AP312" s="227">
        <v>60</v>
      </c>
      <c r="AQ312" s="228">
        <f t="shared" si="184"/>
        <v>57</v>
      </c>
      <c r="AR312" s="228">
        <f t="shared" si="210"/>
        <v>52</v>
      </c>
      <c r="AS312" s="229">
        <f t="shared" si="185"/>
        <v>45741</v>
      </c>
      <c r="AT312" s="982">
        <f t="shared" ca="1" si="186"/>
        <v>214</v>
      </c>
      <c r="AU312" s="50"/>
      <c r="AV312" s="51"/>
      <c r="AW312" s="49"/>
      <c r="AX312" s="49"/>
      <c r="AY312" s="49"/>
      <c r="AZ312" s="300"/>
      <c r="BA312" s="52"/>
      <c r="BB312" s="304"/>
      <c r="BC312" s="231" t="s">
        <v>14</v>
      </c>
      <c r="BD312" s="232"/>
      <c r="BE312" s="222">
        <f t="shared" si="207"/>
        <v>45696</v>
      </c>
      <c r="BF312" s="233" t="e">
        <f t="shared" si="215"/>
        <v>#VALUE!</v>
      </c>
      <c r="BG312" s="248"/>
      <c r="BH312" s="235"/>
      <c r="BI312" s="234">
        <v>45693</v>
      </c>
      <c r="BJ312" s="236" t="s">
        <v>1958</v>
      </c>
      <c r="BK312" s="222" t="s">
        <v>246</v>
      </c>
      <c r="BL312" s="222"/>
      <c r="BM312" s="238"/>
      <c r="BN312" s="222"/>
      <c r="BO312" s="222"/>
      <c r="BP312" s="243"/>
      <c r="BQ312" s="244" t="s">
        <v>247</v>
      </c>
      <c r="BR312" s="238">
        <v>45680</v>
      </c>
      <c r="BS312" s="67"/>
      <c r="BT312" s="66"/>
      <c r="BU312" s="66"/>
      <c r="BV312" s="66"/>
      <c r="BW312" s="74"/>
      <c r="BX312" s="81"/>
      <c r="BY312" s="66">
        <v>45684</v>
      </c>
      <c r="BZ312" s="944" t="s">
        <v>1987</v>
      </c>
      <c r="CA312" s="42" t="str">
        <f t="shared" si="187"/>
        <v>0</v>
      </c>
      <c r="CB312" s="62">
        <f t="shared" si="188"/>
        <v>15.444664351853135</v>
      </c>
      <c r="CC312" s="42">
        <f t="shared" si="189"/>
        <v>0</v>
      </c>
      <c r="CD312" s="62">
        <f t="shared" si="190"/>
        <v>15.444664351853135</v>
      </c>
      <c r="CE312" s="62">
        <f t="shared" si="191"/>
        <v>0.53198288323049681</v>
      </c>
      <c r="CF312" s="145">
        <f t="shared" si="192"/>
        <v>188</v>
      </c>
      <c r="CG312" s="145"/>
      <c r="CH312" s="443">
        <f t="shared" si="193"/>
        <v>7.0075384387860522</v>
      </c>
      <c r="CI312" s="996">
        <f t="shared" si="194"/>
        <v>7.0075384387860522</v>
      </c>
      <c r="CJ312" s="261">
        <f t="shared" si="195"/>
        <v>3.1333333333333333</v>
      </c>
      <c r="CK312" s="458" t="str">
        <f t="shared" si="196"/>
        <v/>
      </c>
      <c r="CL312" t="str">
        <f t="shared" si="197"/>
        <v>REV</v>
      </c>
      <c r="CM312" t="str">
        <f t="shared" si="198"/>
        <v/>
      </c>
      <c r="CN312" s="635"/>
      <c r="CO312" s="631"/>
      <c r="CP312" s="629" t="str">
        <f t="shared" si="175"/>
        <v>FOR ISSUANCE</v>
      </c>
      <c r="CQ312" s="635"/>
      <c r="CR312" s="697"/>
      <c r="CS312" s="633" t="str">
        <f t="shared" ca="1" si="199"/>
        <v>0</v>
      </c>
      <c r="CT312" s="635"/>
      <c r="CU312" s="631"/>
      <c r="CV312" s="638"/>
      <c r="CW312" s="156" t="s">
        <v>1988</v>
      </c>
      <c r="CX312" s="156" t="str">
        <f>VLOOKUP(E312,'[1]List of Work Orders'!$A:$I,9,FALSE)</f>
        <v>ME166067</v>
      </c>
      <c r="CY312" s="156"/>
      <c r="DA312" s="762">
        <f t="shared" si="208"/>
        <v>6.0606365740750334</v>
      </c>
      <c r="DS312" s="156" t="s">
        <v>403</v>
      </c>
    </row>
    <row r="313" spans="1:123" customFormat="1" ht="15" customHeight="1" x14ac:dyDescent="0.25">
      <c r="A313" s="242">
        <v>45672</v>
      </c>
      <c r="B313" s="222">
        <v>45667</v>
      </c>
      <c r="C313" s="223" t="s">
        <v>247</v>
      </c>
      <c r="D313" s="345" t="s">
        <v>320</v>
      </c>
      <c r="E313" s="347" t="s">
        <v>1989</v>
      </c>
      <c r="F313" s="347" t="s">
        <v>949</v>
      </c>
      <c r="G313" s="95" t="s">
        <v>1990</v>
      </c>
      <c r="H313" s="95" t="s">
        <v>378</v>
      </c>
      <c r="I313" s="95" t="s">
        <v>239</v>
      </c>
      <c r="J313" s="163"/>
      <c r="K313" s="101"/>
      <c r="L313" s="101" t="s">
        <v>288</v>
      </c>
      <c r="M313" s="345" t="s">
        <v>272</v>
      </c>
      <c r="N313" s="442" t="s">
        <v>381</v>
      </c>
      <c r="O313" s="165">
        <v>296.29910000000001</v>
      </c>
      <c r="P313" s="933">
        <v>1116.82</v>
      </c>
      <c r="Q313" s="157">
        <v>73</v>
      </c>
      <c r="R313" s="109" t="s">
        <v>244</v>
      </c>
      <c r="S313" s="110">
        <v>2732739.46</v>
      </c>
      <c r="T313" s="93">
        <v>648325.43999999994</v>
      </c>
      <c r="U313" s="141"/>
      <c r="V313" s="158">
        <f t="shared" si="176"/>
        <v>0</v>
      </c>
      <c r="W313" s="159">
        <v>45665.686111111114</v>
      </c>
      <c r="X313" s="159">
        <v>45671.618055555555</v>
      </c>
      <c r="Y313" s="160">
        <v>45667</v>
      </c>
      <c r="Z313" s="470"/>
      <c r="AA313" s="470">
        <v>45713</v>
      </c>
      <c r="AB313" s="470"/>
      <c r="AC313" s="161">
        <f t="shared" si="177"/>
        <v>47.31388888888614</v>
      </c>
      <c r="AD313" s="161">
        <f t="shared" si="211"/>
        <v>41.381944444445253</v>
      </c>
      <c r="AE313" s="446">
        <f t="shared" si="200"/>
        <v>-45713</v>
      </c>
      <c r="AF313" s="160">
        <f t="shared" si="212"/>
        <v>45690.89407571288</v>
      </c>
      <c r="AG313" s="160">
        <f t="shared" si="209"/>
        <v>45701.41619960669</v>
      </c>
      <c r="AH313" s="159">
        <f t="shared" si="213"/>
        <v>45715.686111111114</v>
      </c>
      <c r="AI313" s="162">
        <f t="shared" si="178"/>
        <v>1.2579928104574432</v>
      </c>
      <c r="AJ313" s="224">
        <f t="shared" si="214"/>
        <v>-761.88333333333333</v>
      </c>
      <c r="AK313" s="225">
        <f t="shared" si="179"/>
        <v>50</v>
      </c>
      <c r="AL313" s="170">
        <f t="shared" si="180"/>
        <v>34</v>
      </c>
      <c r="AM313" s="170">
        <f t="shared" si="181"/>
        <v>28.207964601769909</v>
      </c>
      <c r="AN313" s="170">
        <f t="shared" si="182"/>
        <v>35.730088495575217</v>
      </c>
      <c r="AO313" s="226">
        <f t="shared" si="183"/>
        <v>25.207964601769909</v>
      </c>
      <c r="AP313" s="227">
        <v>60</v>
      </c>
      <c r="AQ313" s="228">
        <f t="shared" si="184"/>
        <v>57</v>
      </c>
      <c r="AR313" s="228">
        <f t="shared" si="210"/>
        <v>52</v>
      </c>
      <c r="AS313" s="229">
        <f t="shared" si="185"/>
        <v>45773</v>
      </c>
      <c r="AT313" s="982">
        <f t="shared" ca="1" si="186"/>
        <v>182</v>
      </c>
      <c r="AU313" s="50" t="s">
        <v>61</v>
      </c>
      <c r="AV313" s="51" t="s">
        <v>247</v>
      </c>
      <c r="AW313" s="49" t="s">
        <v>247</v>
      </c>
      <c r="AX313" s="49"/>
      <c r="AY313" s="49"/>
      <c r="AZ313" s="300">
        <v>45700</v>
      </c>
      <c r="BA313" s="52">
        <f>BB313-AZ313</f>
        <v>6</v>
      </c>
      <c r="BB313" s="304">
        <v>45706</v>
      </c>
      <c r="BC313" s="231" t="s">
        <v>13</v>
      </c>
      <c r="BD313" s="108"/>
      <c r="BE313" s="222">
        <f t="shared" si="207"/>
        <v>45728</v>
      </c>
      <c r="BF313" s="233" t="e">
        <f t="shared" si="215"/>
        <v>#VALUE!</v>
      </c>
      <c r="BG313" s="248"/>
      <c r="BH313" s="235"/>
      <c r="BI313" s="234"/>
      <c r="BJ313" s="236"/>
      <c r="BK313" s="222"/>
      <c r="BL313" s="222"/>
      <c r="BM313" s="238"/>
      <c r="BN313" s="222"/>
      <c r="BO313" s="222"/>
      <c r="BP313" s="243"/>
      <c r="BQ313" s="244" t="s">
        <v>247</v>
      </c>
      <c r="BR313" s="238">
        <v>45706</v>
      </c>
      <c r="BS313" s="67"/>
      <c r="BT313" s="66"/>
      <c r="BU313" s="66"/>
      <c r="BV313" s="66"/>
      <c r="BW313" s="74"/>
      <c r="BX313" s="81"/>
      <c r="BY313" s="66">
        <v>45672</v>
      </c>
      <c r="BZ313" s="944" t="s">
        <v>1991</v>
      </c>
      <c r="CA313" s="42" t="str">
        <f t="shared" si="187"/>
        <v>0</v>
      </c>
      <c r="CB313" s="62">
        <f t="shared" si="188"/>
        <v>47.31388888888614</v>
      </c>
      <c r="CC313" s="42">
        <f t="shared" si="189"/>
        <v>6</v>
      </c>
      <c r="CD313" s="62">
        <f t="shared" si="190"/>
        <v>41.31388888888614</v>
      </c>
      <c r="CE313" s="62">
        <f t="shared" si="191"/>
        <v>1.0984633986927372</v>
      </c>
      <c r="CF313" s="145">
        <f t="shared" si="192"/>
        <v>156</v>
      </c>
      <c r="CG313" s="145">
        <f xml:space="preserve"> (0.3)*(($CF$1-W313-CF313)/AK313)+(0.7)*(($CF$1-W313-CF313)/AL313)</f>
        <v>1.2579928104574432</v>
      </c>
      <c r="CH313" s="443">
        <f t="shared" si="193"/>
        <v>5.4057575163397962</v>
      </c>
      <c r="CI313" s="996">
        <f t="shared" si="194"/>
        <v>4.147764705882353</v>
      </c>
      <c r="CJ313" s="261">
        <f t="shared" si="195"/>
        <v>2.6</v>
      </c>
      <c r="CK313" s="458" t="str">
        <f t="shared" si="196"/>
        <v/>
      </c>
      <c r="CL313" t="str">
        <f t="shared" si="197"/>
        <v>REV</v>
      </c>
      <c r="CM313" t="str">
        <f t="shared" si="198"/>
        <v/>
      </c>
      <c r="CN313" s="635"/>
      <c r="CO313" s="631"/>
      <c r="CP313" s="629" t="str">
        <f t="shared" si="175"/>
        <v>FOR ISSUANCE</v>
      </c>
      <c r="CQ313" s="635"/>
      <c r="CR313" s="697"/>
      <c r="CS313" s="633" t="str">
        <f t="shared" ca="1" si="199"/>
        <v>0</v>
      </c>
      <c r="CT313" s="635"/>
      <c r="CU313" s="631"/>
      <c r="CV313" s="638"/>
      <c r="CW313" s="156" t="s">
        <v>1992</v>
      </c>
      <c r="CX313" s="156" t="str">
        <f>VLOOKUP(E313,'[1]List of Work Orders'!$A:$I,9,FALSE)</f>
        <v>ME185284</v>
      </c>
      <c r="CY313" s="156"/>
      <c r="DA313" s="762">
        <f t="shared" si="208"/>
        <v>5.9319444444408873</v>
      </c>
      <c r="DS313" s="156" t="s">
        <v>403</v>
      </c>
    </row>
    <row r="314" spans="1:123" customFormat="1" ht="15" customHeight="1" x14ac:dyDescent="0.25">
      <c r="A314" s="242">
        <v>45677</v>
      </c>
      <c r="B314" s="222">
        <v>45667</v>
      </c>
      <c r="C314" s="223"/>
      <c r="D314" s="345" t="s">
        <v>284</v>
      </c>
      <c r="E314" s="347" t="s">
        <v>1993</v>
      </c>
      <c r="F314" s="347" t="s">
        <v>1994</v>
      </c>
      <c r="G314" s="95" t="s">
        <v>1995</v>
      </c>
      <c r="H314" s="95" t="s">
        <v>269</v>
      </c>
      <c r="I314" s="95" t="s">
        <v>239</v>
      </c>
      <c r="J314" s="163"/>
      <c r="K314" s="101"/>
      <c r="L314" s="101" t="s">
        <v>5</v>
      </c>
      <c r="M314" s="345" t="s">
        <v>256</v>
      </c>
      <c r="N314" s="442" t="s">
        <v>403</v>
      </c>
      <c r="O314" s="165">
        <v>20.258999999999997</v>
      </c>
      <c r="P314" s="933">
        <v>40.33</v>
      </c>
      <c r="Q314" s="157">
        <v>98</v>
      </c>
      <c r="R314" s="109" t="s">
        <v>244</v>
      </c>
      <c r="S314" s="110">
        <v>458087.14</v>
      </c>
      <c r="T314" s="93">
        <v>32512.640000000003</v>
      </c>
      <c r="U314" s="141"/>
      <c r="V314" s="158">
        <f t="shared" si="176"/>
        <v>0</v>
      </c>
      <c r="W314" s="159">
        <v>45665.691122685188</v>
      </c>
      <c r="X314" s="159">
        <v>45671.622916666667</v>
      </c>
      <c r="Y314" s="160">
        <v>45667</v>
      </c>
      <c r="Z314" s="470">
        <v>45715</v>
      </c>
      <c r="AA314" s="470">
        <v>45695</v>
      </c>
      <c r="AB314" s="470">
        <v>45833</v>
      </c>
      <c r="AC314" s="161">
        <f t="shared" si="177"/>
        <v>29.30887731481198</v>
      </c>
      <c r="AD314" s="161">
        <f t="shared" si="211"/>
        <v>23.377083333332848</v>
      </c>
      <c r="AE314" s="446">
        <f t="shared" si="200"/>
        <v>138</v>
      </c>
      <c r="AF314" s="160">
        <f t="shared" si="212"/>
        <v>45683.765502850474</v>
      </c>
      <c r="AG314" s="160">
        <f t="shared" si="209"/>
        <v>45692.385337561223</v>
      </c>
      <c r="AH314" s="159">
        <f t="shared" si="213"/>
        <v>45715.691122685188</v>
      </c>
      <c r="AI314" s="162">
        <f t="shared" si="178"/>
        <v>1.0430512220859556</v>
      </c>
      <c r="AJ314" s="224">
        <f t="shared" si="214"/>
        <v>2.2999999999999998</v>
      </c>
      <c r="AK314" s="225">
        <f t="shared" si="179"/>
        <v>20</v>
      </c>
      <c r="AL314" s="170">
        <f t="shared" si="180"/>
        <v>34</v>
      </c>
      <c r="AM314" s="170">
        <f t="shared" si="181"/>
        <v>21.074380165289259</v>
      </c>
      <c r="AN314" s="170">
        <f t="shared" si="182"/>
        <v>26.694214876033058</v>
      </c>
      <c r="AO314" s="226">
        <f t="shared" si="183"/>
        <v>18.074380165289259</v>
      </c>
      <c r="AP314" s="227">
        <v>60</v>
      </c>
      <c r="AQ314" s="228">
        <f t="shared" si="184"/>
        <v>57</v>
      </c>
      <c r="AR314" s="228">
        <f t="shared" si="210"/>
        <v>52</v>
      </c>
      <c r="AS314" s="229">
        <f t="shared" si="185"/>
        <v>45755</v>
      </c>
      <c r="AT314" s="982">
        <f t="shared" ca="1" si="186"/>
        <v>200</v>
      </c>
      <c r="AU314" s="50"/>
      <c r="AV314" s="51"/>
      <c r="AW314" s="49"/>
      <c r="AX314" s="49"/>
      <c r="AY314" s="49"/>
      <c r="AZ314" s="300"/>
      <c r="BA314" s="52"/>
      <c r="BB314" s="304"/>
      <c r="BC314" s="231" t="s">
        <v>14</v>
      </c>
      <c r="BD314" s="232"/>
      <c r="BE314" s="222">
        <f t="shared" si="207"/>
        <v>45710</v>
      </c>
      <c r="BF314" s="233">
        <f t="shared" si="215"/>
        <v>27</v>
      </c>
      <c r="BG314" s="248">
        <v>45695</v>
      </c>
      <c r="BH314" s="235">
        <v>45737</v>
      </c>
      <c r="BI314" s="234">
        <v>45804</v>
      </c>
      <c r="BJ314" s="236" t="s">
        <v>245</v>
      </c>
      <c r="BK314" s="222" t="s">
        <v>246</v>
      </c>
      <c r="BL314" s="222"/>
      <c r="BM314" s="238"/>
      <c r="BN314" s="222"/>
      <c r="BO314" s="222">
        <v>45819</v>
      </c>
      <c r="BP314" s="243" t="s">
        <v>1084</v>
      </c>
      <c r="BQ314" s="244"/>
      <c r="BR314" s="238"/>
      <c r="BS314" s="67"/>
      <c r="BT314" s="66"/>
      <c r="BU314" s="66"/>
      <c r="BV314" s="66"/>
      <c r="BW314" s="74"/>
      <c r="BX314" s="81"/>
      <c r="BY314" s="66">
        <v>45677</v>
      </c>
      <c r="BZ314" s="944" t="s">
        <v>1996</v>
      </c>
      <c r="CA314" s="42" t="str">
        <f t="shared" si="187"/>
        <v>0</v>
      </c>
      <c r="CB314" s="62">
        <f t="shared" si="188"/>
        <v>29.30887731481198</v>
      </c>
      <c r="CC314" s="42">
        <f t="shared" si="189"/>
        <v>0</v>
      </c>
      <c r="CD314" s="62">
        <f t="shared" si="190"/>
        <v>29.30887731481198</v>
      </c>
      <c r="CE314" s="62">
        <f t="shared" si="191"/>
        <v>1.0430512220859556</v>
      </c>
      <c r="CF314" s="145">
        <f t="shared" si="192"/>
        <v>174</v>
      </c>
      <c r="CG314" s="145"/>
      <c r="CH314" s="443">
        <f t="shared" si="193"/>
        <v>7.2354041632624266</v>
      </c>
      <c r="CI314" s="996">
        <f t="shared" si="194"/>
        <v>7.2354041632624266</v>
      </c>
      <c r="CJ314" s="261">
        <f t="shared" si="195"/>
        <v>2.9</v>
      </c>
      <c r="CK314" s="458" t="str">
        <f t="shared" si="196"/>
        <v/>
      </c>
      <c r="CL314" t="str">
        <f t="shared" si="197"/>
        <v>REV</v>
      </c>
      <c r="CM314" t="str">
        <f t="shared" si="198"/>
        <v/>
      </c>
      <c r="CN314" s="635"/>
      <c r="CO314" s="631"/>
      <c r="CP314" s="629" t="str">
        <f t="shared" si="175"/>
        <v>FOR ISSUANCE</v>
      </c>
      <c r="CQ314" s="635"/>
      <c r="CR314" s="697"/>
      <c r="CS314" s="633" t="str">
        <f t="shared" ca="1" si="199"/>
        <v>0</v>
      </c>
      <c r="CT314" s="635"/>
      <c r="CU314" s="631"/>
      <c r="CV314" s="638"/>
      <c r="CW314" s="156" t="s">
        <v>1997</v>
      </c>
      <c r="CX314" s="156" t="str">
        <f>VLOOKUP(E314,'[1]List of Work Orders'!$A:$I,9,FALSE)</f>
        <v>ME166067</v>
      </c>
      <c r="CY314" s="156"/>
      <c r="DA314" s="762">
        <f t="shared" si="208"/>
        <v>5.9317939814791316</v>
      </c>
      <c r="DS314" s="156" t="s">
        <v>403</v>
      </c>
    </row>
    <row r="315" spans="1:123" ht="15" customHeight="1" x14ac:dyDescent="0.2">
      <c r="A315" s="242">
        <v>45720</v>
      </c>
      <c r="B315" s="222">
        <v>45667</v>
      </c>
      <c r="C315" s="223"/>
      <c r="D315" s="345" t="s">
        <v>284</v>
      </c>
      <c r="E315" s="347" t="s">
        <v>1998</v>
      </c>
      <c r="F315" s="347" t="s">
        <v>1999</v>
      </c>
      <c r="G315" s="95" t="s">
        <v>2000</v>
      </c>
      <c r="H315" s="95" t="s">
        <v>238</v>
      </c>
      <c r="I315" s="95" t="s">
        <v>239</v>
      </c>
      <c r="J315" s="163"/>
      <c r="K315" s="101"/>
      <c r="L315" s="101" t="s">
        <v>255</v>
      </c>
      <c r="M315" s="345" t="s">
        <v>272</v>
      </c>
      <c r="N315" s="442" t="s">
        <v>381</v>
      </c>
      <c r="O315" s="165">
        <v>42.149000000000001</v>
      </c>
      <c r="P315" s="933">
        <v>75.92</v>
      </c>
      <c r="Q315" s="157">
        <v>58</v>
      </c>
      <c r="R315" s="109" t="s">
        <v>244</v>
      </c>
      <c r="S315" s="110">
        <v>544190.66</v>
      </c>
      <c r="T315" s="93">
        <v>65233.330000000009</v>
      </c>
      <c r="U315" s="141"/>
      <c r="V315" s="158">
        <f t="shared" si="176"/>
        <v>0</v>
      </c>
      <c r="W315" s="159">
        <v>45665.729085648149</v>
      </c>
      <c r="X315" s="159">
        <v>45670.461111111108</v>
      </c>
      <c r="Y315" s="160">
        <v>45667</v>
      </c>
      <c r="Z315" s="470"/>
      <c r="AA315" s="470">
        <v>45742</v>
      </c>
      <c r="AB315" s="470"/>
      <c r="AC315" s="161">
        <f t="shared" si="177"/>
        <v>76.270914351851388</v>
      </c>
      <c r="AD315" s="161">
        <f t="shared" si="211"/>
        <v>71.538888888891961</v>
      </c>
      <c r="AE315" s="446">
        <f t="shared" si="200"/>
        <v>-45742</v>
      </c>
      <c r="AF315" s="160">
        <f t="shared" si="212"/>
        <v>45685.029465876287</v>
      </c>
      <c r="AG315" s="160">
        <f t="shared" si="209"/>
        <v>45693.976233937123</v>
      </c>
      <c r="AH315" s="159">
        <f t="shared" si="213"/>
        <v>45715.729085648149</v>
      </c>
      <c r="AI315" s="162">
        <f t="shared" si="178"/>
        <v>2.565121544058429</v>
      </c>
      <c r="AJ315" s="224">
        <f t="shared" si="214"/>
        <v>-762.36666666666667</v>
      </c>
      <c r="AK315" s="225">
        <f t="shared" si="179"/>
        <v>23</v>
      </c>
      <c r="AL315" s="170">
        <f t="shared" si="180"/>
        <v>34</v>
      </c>
      <c r="AM315" s="170">
        <f t="shared" si="181"/>
        <v>22.300380228136884</v>
      </c>
      <c r="AN315" s="170">
        <f t="shared" si="182"/>
        <v>28.247148288973385</v>
      </c>
      <c r="AO315" s="226">
        <f t="shared" si="183"/>
        <v>19.300380228136884</v>
      </c>
      <c r="AP315" s="227">
        <v>60</v>
      </c>
      <c r="AQ315" s="228">
        <f t="shared" si="184"/>
        <v>57</v>
      </c>
      <c r="AR315" s="228">
        <f t="shared" si="210"/>
        <v>52</v>
      </c>
      <c r="AS315" s="229">
        <f t="shared" si="185"/>
        <v>45802</v>
      </c>
      <c r="AT315" s="982">
        <f t="shared" ca="1" si="186"/>
        <v>153</v>
      </c>
      <c r="AU315" s="1077"/>
      <c r="AV315" s="1092"/>
      <c r="AW315" s="1079"/>
      <c r="AX315" s="1079"/>
      <c r="AY315" s="1079"/>
      <c r="AZ315" s="1080"/>
      <c r="BA315" s="1101"/>
      <c r="BB315" s="1091"/>
      <c r="BC315" s="231" t="s">
        <v>13</v>
      </c>
      <c r="BD315" s="232"/>
      <c r="BE315" s="222">
        <f t="shared" si="207"/>
        <v>45757</v>
      </c>
      <c r="BF315" s="233" t="e">
        <f t="shared" si="215"/>
        <v>#VALUE!</v>
      </c>
      <c r="BG315" s="248"/>
      <c r="BH315" s="235"/>
      <c r="BI315" s="234"/>
      <c r="BJ315" s="236"/>
      <c r="BK315" s="222"/>
      <c r="BL315" s="222"/>
      <c r="BM315" s="238"/>
      <c r="BN315" s="222"/>
      <c r="BO315" s="222"/>
      <c r="BP315" s="243"/>
      <c r="BQ315" s="244"/>
      <c r="BR315" s="238"/>
      <c r="BS315" s="67"/>
      <c r="BT315" s="66"/>
      <c r="BU315" s="66"/>
      <c r="BV315" s="66"/>
      <c r="BW315" s="74"/>
      <c r="BX315" s="81"/>
      <c r="BY315" s="66">
        <v>45720</v>
      </c>
      <c r="BZ315" s="944" t="s">
        <v>2001</v>
      </c>
      <c r="CA315" s="42" t="str">
        <f t="shared" si="187"/>
        <v>0</v>
      </c>
      <c r="CB315" s="62">
        <f t="shared" si="188"/>
        <v>76.270914351851388</v>
      </c>
      <c r="CC315" s="42">
        <f t="shared" si="189"/>
        <v>0</v>
      </c>
      <c r="CD315" s="62">
        <f t="shared" si="190"/>
        <v>76.270914351851388</v>
      </c>
      <c r="CE315" s="62">
        <f t="shared" si="191"/>
        <v>2.565121544058429</v>
      </c>
      <c r="CF315" s="1059">
        <f t="shared" si="192"/>
        <v>127</v>
      </c>
      <c r="CH315" s="1082">
        <f t="shared" si="193"/>
        <v>6.8363491655418045</v>
      </c>
      <c r="CI315" s="1083">
        <f t="shared" si="194"/>
        <v>6.8363491655418045</v>
      </c>
      <c r="CJ315" s="1084">
        <f t="shared" si="195"/>
        <v>2.1166666666666667</v>
      </c>
      <c r="CK315" s="1085" t="str">
        <f t="shared" si="196"/>
        <v/>
      </c>
      <c r="CL315" s="1057" t="str">
        <f t="shared" si="197"/>
        <v>REV</v>
      </c>
      <c r="CM315" s="1057" t="str">
        <f t="shared" si="198"/>
        <v/>
      </c>
      <c r="CN315" s="1086"/>
      <c r="CO315" s="1087"/>
      <c r="CP315" s="629" t="str">
        <f t="shared" si="175"/>
        <v>FOR ISSUANCE</v>
      </c>
      <c r="CQ315" s="1086"/>
      <c r="CR315" s="1088"/>
      <c r="CS315" s="1089" t="str">
        <f t="shared" ca="1" si="199"/>
        <v>0</v>
      </c>
      <c r="CT315" s="1086"/>
      <c r="CU315" s="1087"/>
      <c r="CV315" s="1090"/>
      <c r="CW315" s="156" t="s">
        <v>2002</v>
      </c>
      <c r="CX315" s="156" t="str">
        <f>VLOOKUP(E315,'[1]List of Work Orders'!$A:$I,9,FALSE)</f>
        <v>ME185284</v>
      </c>
      <c r="CY315" s="156"/>
      <c r="DA315" s="1100">
        <f t="shared" si="208"/>
        <v>4.7320254629594274</v>
      </c>
      <c r="DS315" s="156" t="s">
        <v>403</v>
      </c>
    </row>
    <row r="316" spans="1:123" ht="15" customHeight="1" x14ac:dyDescent="0.2">
      <c r="A316" s="242">
        <v>45684</v>
      </c>
      <c r="B316" s="222">
        <v>45667</v>
      </c>
      <c r="C316" s="223"/>
      <c r="D316" s="345" t="s">
        <v>284</v>
      </c>
      <c r="E316" s="347" t="s">
        <v>2003</v>
      </c>
      <c r="F316" s="347" t="s">
        <v>2004</v>
      </c>
      <c r="G316" s="95" t="s">
        <v>2005</v>
      </c>
      <c r="H316" s="95" t="s">
        <v>253</v>
      </c>
      <c r="I316" s="95" t="s">
        <v>254</v>
      </c>
      <c r="J316" s="163"/>
      <c r="K316" s="101"/>
      <c r="L316" s="101" t="s">
        <v>255</v>
      </c>
      <c r="M316" s="345" t="s">
        <v>272</v>
      </c>
      <c r="N316" s="442" t="s">
        <v>381</v>
      </c>
      <c r="O316" s="165">
        <v>142.35950000000005</v>
      </c>
      <c r="P316" s="933">
        <v>239.64</v>
      </c>
      <c r="Q316" s="157">
        <v>384</v>
      </c>
      <c r="R316" s="109" t="s">
        <v>548</v>
      </c>
      <c r="S316" s="110">
        <v>1446562.4</v>
      </c>
      <c r="T316" s="93">
        <v>193011.69999999998</v>
      </c>
      <c r="U316" s="141"/>
      <c r="V316" s="158">
        <f t="shared" si="176"/>
        <v>0</v>
      </c>
      <c r="W316" s="159">
        <v>45666.556273148148</v>
      </c>
      <c r="X316" s="159">
        <v>45671.624305555553</v>
      </c>
      <c r="Y316" s="160">
        <v>45667</v>
      </c>
      <c r="Z316" s="470"/>
      <c r="AA316" s="470">
        <v>45769</v>
      </c>
      <c r="AB316" s="470"/>
      <c r="AC316" s="161">
        <f t="shared" si="177"/>
        <v>102.44372685185226</v>
      </c>
      <c r="AD316" s="161">
        <f t="shared" si="211"/>
        <v>97.375694444446708</v>
      </c>
      <c r="AE316" s="446">
        <f t="shared" si="200"/>
        <v>-45769</v>
      </c>
      <c r="AF316" s="160">
        <f t="shared" si="212"/>
        <v>45684.556273148148</v>
      </c>
      <c r="AG316" s="160">
        <f t="shared" si="209"/>
        <v>45693.156273148146</v>
      </c>
      <c r="AH316" s="159">
        <f t="shared" si="213"/>
        <v>45716.556273148148</v>
      </c>
      <c r="AI316" s="162">
        <f t="shared" si="178"/>
        <v>3.6587045304232948</v>
      </c>
      <c r="AJ316" s="224">
        <f t="shared" si="214"/>
        <v>-762.81666666666672</v>
      </c>
      <c r="AK316" s="225">
        <f t="shared" si="179"/>
        <v>28</v>
      </c>
      <c r="AL316" s="170">
        <f t="shared" si="180"/>
        <v>28</v>
      </c>
      <c r="AM316" s="170">
        <f t="shared" si="181"/>
        <v>21</v>
      </c>
      <c r="AN316" s="170">
        <f t="shared" si="182"/>
        <v>26.6</v>
      </c>
      <c r="AO316" s="226">
        <f t="shared" si="183"/>
        <v>18</v>
      </c>
      <c r="AP316" s="227">
        <v>60</v>
      </c>
      <c r="AQ316" s="228">
        <f t="shared" si="184"/>
        <v>57</v>
      </c>
      <c r="AR316" s="228">
        <f t="shared" si="210"/>
        <v>52</v>
      </c>
      <c r="AS316" s="229">
        <f t="shared" si="185"/>
        <v>45829</v>
      </c>
      <c r="AT316" s="982">
        <f t="shared" ca="1" si="186"/>
        <v>126</v>
      </c>
      <c r="AU316" s="1077"/>
      <c r="AV316" s="1092"/>
      <c r="AW316" s="1079"/>
      <c r="AX316" s="1079"/>
      <c r="AY316" s="1079"/>
      <c r="AZ316" s="1080"/>
      <c r="BA316" s="1101"/>
      <c r="BB316" s="1091"/>
      <c r="BC316" s="231" t="s">
        <v>13</v>
      </c>
      <c r="BD316" s="232"/>
      <c r="BE316" s="222">
        <f t="shared" si="207"/>
        <v>45784</v>
      </c>
      <c r="BF316" s="233" t="e">
        <f t="shared" si="215"/>
        <v>#VALUE!</v>
      </c>
      <c r="BG316" s="248"/>
      <c r="BH316" s="235"/>
      <c r="BI316" s="234"/>
      <c r="BJ316" s="236"/>
      <c r="BK316" s="222"/>
      <c r="BL316" s="222"/>
      <c r="BM316" s="238"/>
      <c r="BN316" s="222"/>
      <c r="BO316" s="222"/>
      <c r="BP316" s="243"/>
      <c r="BQ316" s="244" t="s">
        <v>247</v>
      </c>
      <c r="BR316" s="238">
        <v>45749</v>
      </c>
      <c r="BS316" s="67"/>
      <c r="BT316" s="66"/>
      <c r="BU316" s="66"/>
      <c r="BV316" s="66"/>
      <c r="BW316" s="74"/>
      <c r="BX316" s="81"/>
      <c r="BY316" s="66">
        <v>45684</v>
      </c>
      <c r="BZ316" s="944" t="s">
        <v>2006</v>
      </c>
      <c r="CA316" s="42" t="str">
        <f t="shared" si="187"/>
        <v>0</v>
      </c>
      <c r="CB316" s="62">
        <f t="shared" si="188"/>
        <v>102.44372685185226</v>
      </c>
      <c r="CC316" s="42">
        <f t="shared" si="189"/>
        <v>0</v>
      </c>
      <c r="CD316" s="62">
        <f t="shared" si="190"/>
        <v>102.44372685185226</v>
      </c>
      <c r="CE316" s="62">
        <f t="shared" si="191"/>
        <v>3.6587045304232948</v>
      </c>
      <c r="CF316" s="1059">
        <f t="shared" si="192"/>
        <v>100</v>
      </c>
      <c r="CH316" s="1082">
        <f t="shared" si="193"/>
        <v>7.230133101851866</v>
      </c>
      <c r="CI316" s="1083">
        <f t="shared" si="194"/>
        <v>7.230133101851866</v>
      </c>
      <c r="CJ316" s="1084">
        <f t="shared" si="195"/>
        <v>1.6666666666666667</v>
      </c>
      <c r="CK316" s="1085" t="str">
        <f t="shared" si="196"/>
        <v/>
      </c>
      <c r="CL316" s="1057" t="str">
        <f t="shared" si="197"/>
        <v>NON-REV</v>
      </c>
      <c r="CM316" s="1057" t="str">
        <f t="shared" si="198"/>
        <v/>
      </c>
      <c r="CN316" s="1086"/>
      <c r="CO316" s="1087"/>
      <c r="CP316" s="629" t="str">
        <f t="shared" si="175"/>
        <v>FOR ISSUANCE</v>
      </c>
      <c r="CQ316" s="1086"/>
      <c r="CR316" s="1088"/>
      <c r="CS316" s="1089" t="str">
        <f t="shared" ca="1" si="199"/>
        <v>0</v>
      </c>
      <c r="CT316" s="1086"/>
      <c r="CU316" s="1087"/>
      <c r="CV316" s="1090"/>
      <c r="CW316" s="156" t="s">
        <v>2007</v>
      </c>
      <c r="CX316" s="156" t="str">
        <f>VLOOKUP(E316,'[1]List of Work Orders'!$A:$I,9,FALSE)</f>
        <v>ME185284</v>
      </c>
      <c r="CY316" s="156"/>
      <c r="DA316" s="1100">
        <f t="shared" si="208"/>
        <v>5.0680324074055534</v>
      </c>
      <c r="DS316" s="156" t="s">
        <v>397</v>
      </c>
    </row>
    <row r="317" spans="1:123" ht="15" customHeight="1" x14ac:dyDescent="0.2">
      <c r="A317" s="242">
        <v>45673</v>
      </c>
      <c r="B317" s="222">
        <v>45673</v>
      </c>
      <c r="C317" s="223"/>
      <c r="D317" s="345" t="s">
        <v>284</v>
      </c>
      <c r="E317" s="347" t="s">
        <v>2008</v>
      </c>
      <c r="F317" s="344" t="s">
        <v>2009</v>
      </c>
      <c r="G317" s="95" t="s">
        <v>1007</v>
      </c>
      <c r="H317" s="95" t="s">
        <v>238</v>
      </c>
      <c r="I317" s="95" t="s">
        <v>239</v>
      </c>
      <c r="J317" s="163"/>
      <c r="K317" s="101"/>
      <c r="L317" s="101" t="s">
        <v>255</v>
      </c>
      <c r="M317" s="345" t="s">
        <v>272</v>
      </c>
      <c r="N317" s="442" t="s">
        <v>381</v>
      </c>
      <c r="O317" s="165">
        <v>50.197499999999998</v>
      </c>
      <c r="P317" s="933">
        <v>50.2</v>
      </c>
      <c r="Q317" s="157">
        <v>55</v>
      </c>
      <c r="R317" s="109" t="s">
        <v>244</v>
      </c>
      <c r="S317" s="110">
        <v>391521.04</v>
      </c>
      <c r="T317" s="93">
        <v>43156.97</v>
      </c>
      <c r="U317" s="141"/>
      <c r="V317" s="158">
        <f t="shared" si="176"/>
        <v>0</v>
      </c>
      <c r="W317" s="159">
        <v>45666.754166666666</v>
      </c>
      <c r="X317" s="159">
        <v>45672.642361111109</v>
      </c>
      <c r="Y317" s="160">
        <v>45671</v>
      </c>
      <c r="Z317" s="470">
        <v>45791</v>
      </c>
      <c r="AA317" s="470">
        <v>45792</v>
      </c>
      <c r="AB317" s="470"/>
      <c r="AC317" s="161">
        <f t="shared" si="177"/>
        <v>125.2458333333343</v>
      </c>
      <c r="AD317" s="161">
        <f t="shared" si="211"/>
        <v>119.35763888889051</v>
      </c>
      <c r="AE317" s="446">
        <f t="shared" si="200"/>
        <v>-45792</v>
      </c>
      <c r="AF317" s="160">
        <f t="shared" si="212"/>
        <v>45684.828546831952</v>
      </c>
      <c r="AG317" s="160">
        <f t="shared" si="209"/>
        <v>45693.448381542701</v>
      </c>
      <c r="AH317" s="159">
        <f t="shared" si="213"/>
        <v>45716.754166666666</v>
      </c>
      <c r="AI317" s="162">
        <f t="shared" si="178"/>
        <v>4.4572781862745439</v>
      </c>
      <c r="AJ317" s="224">
        <f t="shared" si="214"/>
        <v>-763.2</v>
      </c>
      <c r="AK317" s="225">
        <f t="shared" si="179"/>
        <v>20</v>
      </c>
      <c r="AL317" s="170">
        <f t="shared" si="180"/>
        <v>34</v>
      </c>
      <c r="AM317" s="170">
        <f t="shared" si="181"/>
        <v>21.074380165289259</v>
      </c>
      <c r="AN317" s="170">
        <f t="shared" si="182"/>
        <v>26.694214876033058</v>
      </c>
      <c r="AO317" s="226">
        <f t="shared" si="183"/>
        <v>18.074380165289259</v>
      </c>
      <c r="AP317" s="227">
        <v>60</v>
      </c>
      <c r="AQ317" s="228">
        <f t="shared" si="184"/>
        <v>57</v>
      </c>
      <c r="AR317" s="228">
        <f t="shared" si="210"/>
        <v>52</v>
      </c>
      <c r="AS317" s="229">
        <f t="shared" si="185"/>
        <v>45852</v>
      </c>
      <c r="AT317" s="982">
        <f t="shared" ca="1" si="186"/>
        <v>103</v>
      </c>
      <c r="AU317" s="1077"/>
      <c r="AV317" s="1092"/>
      <c r="AW317" s="1079"/>
      <c r="AX317" s="1079"/>
      <c r="AY317" s="1079"/>
      <c r="AZ317" s="1080"/>
      <c r="BA317" s="1101"/>
      <c r="BB317" s="1091"/>
      <c r="BC317" s="231" t="s">
        <v>12</v>
      </c>
      <c r="BD317" s="108"/>
      <c r="BE317" s="222">
        <f t="shared" si="207"/>
        <v>45807</v>
      </c>
      <c r="BF317" s="233">
        <f t="shared" si="215"/>
        <v>56</v>
      </c>
      <c r="BG317" s="248">
        <v>45791</v>
      </c>
      <c r="BH317" s="235">
        <v>45863</v>
      </c>
      <c r="BI317" s="234"/>
      <c r="BJ317" s="236"/>
      <c r="BK317" s="222"/>
      <c r="BL317" s="222"/>
      <c r="BM317" s="238"/>
      <c r="BN317" s="222"/>
      <c r="BO317" s="222"/>
      <c r="BP317" s="243"/>
      <c r="BQ317" s="244" t="s">
        <v>247</v>
      </c>
      <c r="BR317" s="238">
        <v>45790</v>
      </c>
      <c r="BS317" s="67"/>
      <c r="BT317" s="66"/>
      <c r="BU317" s="66"/>
      <c r="BV317" s="66"/>
      <c r="BW317" s="74"/>
      <c r="BX317" s="81"/>
      <c r="BY317" s="66">
        <v>45673</v>
      </c>
      <c r="BZ317" s="944" t="s">
        <v>2010</v>
      </c>
      <c r="CA317" s="42" t="str">
        <f t="shared" si="187"/>
        <v>0</v>
      </c>
      <c r="CB317" s="62">
        <f t="shared" si="188"/>
        <v>125.2458333333343</v>
      </c>
      <c r="CC317" s="42">
        <f t="shared" si="189"/>
        <v>0</v>
      </c>
      <c r="CD317" s="62">
        <f t="shared" si="190"/>
        <v>125.2458333333343</v>
      </c>
      <c r="CE317" s="62">
        <f t="shared" si="191"/>
        <v>4.4572781862745439</v>
      </c>
      <c r="CF317" s="1059">
        <f t="shared" si="192"/>
        <v>77</v>
      </c>
      <c r="CH317" s="1082">
        <f t="shared" si="193"/>
        <v>7.1975723039216035</v>
      </c>
      <c r="CI317" s="1083">
        <f t="shared" si="194"/>
        <v>7.1975723039216035</v>
      </c>
      <c r="CJ317" s="1084">
        <f t="shared" si="195"/>
        <v>1.2833333333333334</v>
      </c>
      <c r="CK317" s="1085" t="str">
        <f t="shared" si="196"/>
        <v/>
      </c>
      <c r="CL317" s="1057" t="str">
        <f t="shared" si="197"/>
        <v>REV</v>
      </c>
      <c r="CM317" s="1057" t="str">
        <f t="shared" si="198"/>
        <v/>
      </c>
      <c r="CN317" s="1086"/>
      <c r="CO317" s="1087"/>
      <c r="CP317" s="629" t="str">
        <f t="shared" si="175"/>
        <v>FOR ISSUANCE</v>
      </c>
      <c r="CQ317" s="1086"/>
      <c r="CR317" s="1088"/>
      <c r="CS317" s="1089" t="str">
        <f t="shared" ca="1" si="199"/>
        <v>0</v>
      </c>
      <c r="CT317" s="1086"/>
      <c r="CU317" s="1087"/>
      <c r="CV317" s="1090"/>
      <c r="CW317" s="156" t="s">
        <v>2011</v>
      </c>
      <c r="CX317" s="156" t="str">
        <f>VLOOKUP(E317,'[1]List of Work Orders'!$A:$I,9,FALSE)</f>
        <v>ME185284</v>
      </c>
      <c r="CY317" s="156"/>
      <c r="DA317" s="1100">
        <f t="shared" si="208"/>
        <v>5.8881944444437977</v>
      </c>
      <c r="DS317" s="156" t="s">
        <v>403</v>
      </c>
    </row>
    <row r="318" spans="1:123" customFormat="1" ht="15" customHeight="1" x14ac:dyDescent="0.25">
      <c r="A318" s="242">
        <v>45673</v>
      </c>
      <c r="B318" s="222">
        <v>45673</v>
      </c>
      <c r="C318" s="223"/>
      <c r="D318" s="345" t="s">
        <v>284</v>
      </c>
      <c r="E318" s="347" t="s">
        <v>2012</v>
      </c>
      <c r="F318" s="344" t="s">
        <v>2013</v>
      </c>
      <c r="G318" s="95" t="s">
        <v>2014</v>
      </c>
      <c r="H318" s="95" t="s">
        <v>238</v>
      </c>
      <c r="I318" s="95" t="s">
        <v>239</v>
      </c>
      <c r="J318" s="163"/>
      <c r="K318" s="101"/>
      <c r="L318" s="101" t="s">
        <v>242</v>
      </c>
      <c r="M318" s="345" t="s">
        <v>272</v>
      </c>
      <c r="N318" s="442" t="s">
        <v>467</v>
      </c>
      <c r="O318" s="165">
        <v>37.639500000000005</v>
      </c>
      <c r="P318" s="933">
        <v>63.1</v>
      </c>
      <c r="Q318" s="157">
        <v>20</v>
      </c>
      <c r="R318" s="109" t="s">
        <v>244</v>
      </c>
      <c r="S318" s="110">
        <v>407227.17</v>
      </c>
      <c r="T318" s="93">
        <v>39598.5</v>
      </c>
      <c r="U318" s="141">
        <v>19745.32</v>
      </c>
      <c r="V318" s="158">
        <f t="shared" si="176"/>
        <v>0.4986380797252421</v>
      </c>
      <c r="W318" s="159">
        <v>45666.755555555559</v>
      </c>
      <c r="X318" s="159">
        <v>45672.640972222223</v>
      </c>
      <c r="Y318" s="160">
        <v>45671</v>
      </c>
      <c r="Z318" s="470"/>
      <c r="AA318" s="470">
        <v>45699</v>
      </c>
      <c r="AB318" s="470"/>
      <c r="AC318" s="161">
        <f t="shared" si="177"/>
        <v>32.244444444440887</v>
      </c>
      <c r="AD318" s="161">
        <f t="shared" si="211"/>
        <v>26.359027777776646</v>
      </c>
      <c r="AE318" s="446">
        <f t="shared" si="200"/>
        <v>-45699</v>
      </c>
      <c r="AF318" s="160">
        <f t="shared" si="212"/>
        <v>45686.841057414298</v>
      </c>
      <c r="AG318" s="160">
        <f t="shared" si="209"/>
        <v>45695.997191243288</v>
      </c>
      <c r="AH318" s="159">
        <f t="shared" si="213"/>
        <v>45716.755555555559</v>
      </c>
      <c r="AI318" s="162">
        <f t="shared" si="178"/>
        <v>1.0475550187867873</v>
      </c>
      <c r="AJ318" s="224">
        <f t="shared" si="214"/>
        <v>-761.65</v>
      </c>
      <c r="AK318" s="225">
        <f t="shared" si="179"/>
        <v>23</v>
      </c>
      <c r="AL318" s="170">
        <f t="shared" si="180"/>
        <v>36</v>
      </c>
      <c r="AM318" s="170">
        <f t="shared" si="181"/>
        <v>23.085501858736059</v>
      </c>
      <c r="AN318" s="170">
        <f t="shared" si="182"/>
        <v>29.241635687732341</v>
      </c>
      <c r="AO318" s="226">
        <f t="shared" si="183"/>
        <v>20.085501858736059</v>
      </c>
      <c r="AP318" s="227">
        <v>60</v>
      </c>
      <c r="AQ318" s="228">
        <f t="shared" si="184"/>
        <v>57</v>
      </c>
      <c r="AR318" s="228">
        <f t="shared" si="210"/>
        <v>52</v>
      </c>
      <c r="AS318" s="229">
        <f t="shared" si="185"/>
        <v>45759</v>
      </c>
      <c r="AT318" s="982">
        <f t="shared" ca="1" si="186"/>
        <v>196</v>
      </c>
      <c r="AU318" s="50"/>
      <c r="AV318" s="51"/>
      <c r="AW318" s="49"/>
      <c r="AX318" s="49"/>
      <c r="AY318" s="49"/>
      <c r="AZ318" s="300"/>
      <c r="BA318" s="52"/>
      <c r="BB318" s="304"/>
      <c r="BC318" s="231" t="s">
        <v>12</v>
      </c>
      <c r="BD318" s="232" t="s">
        <v>601</v>
      </c>
      <c r="BE318" s="222">
        <f t="shared" si="207"/>
        <v>45714</v>
      </c>
      <c r="BF318" s="233">
        <f t="shared" si="215"/>
        <v>9</v>
      </c>
      <c r="BG318" s="248">
        <v>45700</v>
      </c>
      <c r="BH318" s="235">
        <v>45723</v>
      </c>
      <c r="BI318" s="234"/>
      <c r="BJ318" s="236"/>
      <c r="BK318" s="222"/>
      <c r="BL318" s="222"/>
      <c r="BM318" s="238"/>
      <c r="BN318" s="222"/>
      <c r="BO318" s="222"/>
      <c r="BP318" s="243"/>
      <c r="BQ318" s="244" t="s">
        <v>247</v>
      </c>
      <c r="BR318" s="238">
        <v>45699</v>
      </c>
      <c r="BS318" s="67"/>
      <c r="BT318" s="66"/>
      <c r="BU318" s="66"/>
      <c r="BV318" s="66"/>
      <c r="BW318" s="74"/>
      <c r="BX318" s="81"/>
      <c r="BY318" s="66">
        <v>45673</v>
      </c>
      <c r="BZ318" s="944" t="s">
        <v>2015</v>
      </c>
      <c r="CA318" s="42" t="str">
        <f t="shared" si="187"/>
        <v>0</v>
      </c>
      <c r="CB318" s="62">
        <f t="shared" si="188"/>
        <v>32.244444444440887</v>
      </c>
      <c r="CC318" s="42">
        <f t="shared" si="189"/>
        <v>0</v>
      </c>
      <c r="CD318" s="62">
        <f t="shared" si="190"/>
        <v>32.244444444440887</v>
      </c>
      <c r="CE318" s="62">
        <f t="shared" si="191"/>
        <v>1.0475550187867873</v>
      </c>
      <c r="CF318" s="145">
        <f t="shared" si="192"/>
        <v>170</v>
      </c>
      <c r="CG318" s="145"/>
      <c r="CH318" s="443">
        <f t="shared" si="193"/>
        <v>6.5705018786901688</v>
      </c>
      <c r="CI318" s="996">
        <f t="shared" si="194"/>
        <v>6.5705018786901688</v>
      </c>
      <c r="CJ318" s="261">
        <f t="shared" si="195"/>
        <v>2.8333333333333335</v>
      </c>
      <c r="CK318" s="458" t="str">
        <f t="shared" si="196"/>
        <v/>
      </c>
      <c r="CL318" t="str">
        <f t="shared" si="197"/>
        <v>REV</v>
      </c>
      <c r="CM318" t="str">
        <f t="shared" si="198"/>
        <v/>
      </c>
      <c r="CN318" s="635"/>
      <c r="CO318" s="631"/>
      <c r="CP318" s="629" t="str">
        <f t="shared" si="175"/>
        <v>FOR ISSUANCE</v>
      </c>
      <c r="CQ318" s="635"/>
      <c r="CR318" s="697"/>
      <c r="CS318" s="633" t="str">
        <f t="shared" ca="1" si="199"/>
        <v>0</v>
      </c>
      <c r="CT318" s="635"/>
      <c r="CU318" s="631"/>
      <c r="CV318" s="638"/>
      <c r="CW318" s="156" t="s">
        <v>2016</v>
      </c>
      <c r="CX318" s="156" t="str">
        <f>VLOOKUP(E318,'[1]List of Work Orders'!$A:$I,9,FALSE)</f>
        <v>ME155242</v>
      </c>
      <c r="CY318" s="156"/>
      <c r="CZ318" s="63"/>
      <c r="DA318" s="762">
        <f t="shared" si="208"/>
        <v>5.8854166666642413</v>
      </c>
      <c r="DS318" s="156" t="s">
        <v>381</v>
      </c>
    </row>
    <row r="319" spans="1:123" customFormat="1" ht="15" customHeight="1" x14ac:dyDescent="0.25">
      <c r="A319" s="242">
        <v>45678</v>
      </c>
      <c r="B319" s="222">
        <v>45673</v>
      </c>
      <c r="C319" s="223"/>
      <c r="D319" s="345" t="s">
        <v>320</v>
      </c>
      <c r="E319" s="347" t="s">
        <v>2017</v>
      </c>
      <c r="F319" s="344" t="s">
        <v>2018</v>
      </c>
      <c r="G319" s="95" t="s">
        <v>2019</v>
      </c>
      <c r="H319" s="95" t="s">
        <v>253</v>
      </c>
      <c r="I319" s="95" t="s">
        <v>254</v>
      </c>
      <c r="J319" s="163" t="s">
        <v>2020</v>
      </c>
      <c r="K319" s="101"/>
      <c r="L319" s="101" t="s">
        <v>263</v>
      </c>
      <c r="M319" s="345" t="s">
        <v>331</v>
      </c>
      <c r="N319" s="442" t="s">
        <v>467</v>
      </c>
      <c r="O319" s="165">
        <v>60.620699999999992</v>
      </c>
      <c r="P319" s="165">
        <v>220.52</v>
      </c>
      <c r="Q319" s="157" t="s">
        <v>2021</v>
      </c>
      <c r="R319" s="109" t="s">
        <v>327</v>
      </c>
      <c r="S319" s="110">
        <v>321730.09999999998</v>
      </c>
      <c r="T319" s="93">
        <v>54956.670000000006</v>
      </c>
      <c r="U319" s="141"/>
      <c r="V319" s="158">
        <f t="shared" si="176"/>
        <v>0</v>
      </c>
      <c r="W319" s="159">
        <v>45667.5625</v>
      </c>
      <c r="X319" s="159">
        <v>45677.601388888892</v>
      </c>
      <c r="Y319" s="160">
        <v>45671</v>
      </c>
      <c r="Z319" s="470"/>
      <c r="AA319" s="470"/>
      <c r="AB319" s="470"/>
      <c r="AC319" s="161">
        <f t="shared" si="177"/>
        <v>-45667.5625</v>
      </c>
      <c r="AD319" s="161">
        <f t="shared" si="211"/>
        <v>-45677.601388888892</v>
      </c>
      <c r="AE319" s="446">
        <f t="shared" si="200"/>
        <v>0</v>
      </c>
      <c r="AF319" s="160">
        <f t="shared" si="212"/>
        <v>45680.96875</v>
      </c>
      <c r="AG319" s="160">
        <f t="shared" si="209"/>
        <v>45688.34375</v>
      </c>
      <c r="AH319" s="159">
        <f t="shared" si="213"/>
        <v>45717.5625</v>
      </c>
      <c r="AI319" s="162">
        <f t="shared" si="178"/>
        <v>-2087.66</v>
      </c>
      <c r="AJ319" s="224">
        <f t="shared" si="214"/>
        <v>0</v>
      </c>
      <c r="AK319" s="225">
        <f t="shared" si="179"/>
        <v>28</v>
      </c>
      <c r="AL319" s="170">
        <f t="shared" si="180"/>
        <v>20</v>
      </c>
      <c r="AM319" s="170">
        <f t="shared" si="181"/>
        <v>16.406250000000004</v>
      </c>
      <c r="AN319" s="170">
        <f t="shared" si="182"/>
        <v>20.781250000000004</v>
      </c>
      <c r="AO319" s="226">
        <f t="shared" si="183"/>
        <v>13.406250000000004</v>
      </c>
      <c r="AP319" s="227">
        <v>60</v>
      </c>
      <c r="AQ319" s="228">
        <f t="shared" si="184"/>
        <v>57</v>
      </c>
      <c r="AR319" s="228">
        <f t="shared" si="210"/>
        <v>52</v>
      </c>
      <c r="AS319" s="229">
        <f t="shared" si="185"/>
        <v>60</v>
      </c>
      <c r="AT319" s="982">
        <f t="shared" ca="1" si="186"/>
        <v>45895</v>
      </c>
      <c r="AU319" s="50"/>
      <c r="AV319" s="51"/>
      <c r="AW319" s="49"/>
      <c r="AX319" s="49"/>
      <c r="AY319" s="49"/>
      <c r="AZ319" s="300"/>
      <c r="BA319" s="52"/>
      <c r="BB319" s="304"/>
      <c r="BC319" s="231"/>
      <c r="BD319" s="232"/>
      <c r="BE319" s="222">
        <f t="shared" si="207"/>
        <v>15</v>
      </c>
      <c r="BF319" s="233">
        <f t="shared" si="215"/>
        <v>0</v>
      </c>
      <c r="BG319" s="248"/>
      <c r="BH319" s="235"/>
      <c r="BI319" s="234"/>
      <c r="BJ319" s="236"/>
      <c r="BK319" s="222"/>
      <c r="BL319" s="222"/>
      <c r="BM319" s="238"/>
      <c r="BN319" s="222"/>
      <c r="BO319" s="222"/>
      <c r="BP319" s="243"/>
      <c r="BQ319" s="244"/>
      <c r="BR319" s="238"/>
      <c r="BS319" s="67"/>
      <c r="BT319" s="66"/>
      <c r="BU319" s="66"/>
      <c r="BV319" s="66"/>
      <c r="BW319" s="74"/>
      <c r="BX319" s="81"/>
      <c r="BY319" s="66">
        <v>45678</v>
      </c>
      <c r="BZ319" s="944" t="s">
        <v>2022</v>
      </c>
      <c r="CA319" s="42" t="str">
        <f t="shared" si="187"/>
        <v>0</v>
      </c>
      <c r="CB319" s="62">
        <f t="shared" si="188"/>
        <v>-45667.5625</v>
      </c>
      <c r="CC319" s="42">
        <f t="shared" si="189"/>
        <v>0</v>
      </c>
      <c r="CD319" s="62">
        <f t="shared" si="190"/>
        <v>-45667.5625</v>
      </c>
      <c r="CE319" s="62">
        <f t="shared" si="191"/>
        <v>-2087.66</v>
      </c>
      <c r="CF319" s="145" t="str">
        <f t="shared" si="192"/>
        <v>0</v>
      </c>
      <c r="CG319" s="145"/>
      <c r="CH319" s="443">
        <f t="shared" si="193"/>
        <v>9.2085714285714282</v>
      </c>
      <c r="CI319" s="996">
        <f t="shared" si="194"/>
        <v>9.2085714285714282</v>
      </c>
      <c r="CJ319" s="261">
        <f t="shared" si="195"/>
        <v>0</v>
      </c>
      <c r="CK319" s="458">
        <f t="shared" si="196"/>
        <v>188.4375</v>
      </c>
      <c r="CL319" t="str">
        <f t="shared" si="197"/>
        <v>NON-REV</v>
      </c>
      <c r="CM319" t="str">
        <f t="shared" si="198"/>
        <v>7-9 MONTHS</v>
      </c>
      <c r="CN319" s="635"/>
      <c r="CO319" s="631"/>
      <c r="CP319" s="629" t="str">
        <f t="shared" si="175"/>
        <v>FOR ISSUANCE</v>
      </c>
      <c r="CQ319" s="635"/>
      <c r="CR319" s="697"/>
      <c r="CS319" s="633" t="str">
        <f t="shared" ca="1" si="199"/>
        <v>0</v>
      </c>
      <c r="CT319" s="635"/>
      <c r="CU319" s="631"/>
      <c r="CV319" s="638"/>
      <c r="CW319" s="156" t="s">
        <v>2023</v>
      </c>
      <c r="CX319" s="156" t="str">
        <f>VLOOKUP(E319,'[1]List of Work Orders'!$A:$I,9,FALSE)</f>
        <v>ME155242</v>
      </c>
      <c r="CY319" s="156"/>
      <c r="DA319" s="762">
        <f t="shared" si="208"/>
        <v>10.038888888891961</v>
      </c>
      <c r="DS319" s="156" t="s">
        <v>397</v>
      </c>
    </row>
    <row r="320" spans="1:123" ht="15" customHeight="1" x14ac:dyDescent="0.2">
      <c r="A320" s="242">
        <v>45671</v>
      </c>
      <c r="B320" s="222">
        <v>45673</v>
      </c>
      <c r="C320" s="223"/>
      <c r="D320" s="345" t="s">
        <v>284</v>
      </c>
      <c r="E320" s="347" t="s">
        <v>2024</v>
      </c>
      <c r="F320" s="344" t="s">
        <v>2025</v>
      </c>
      <c r="G320" s="95" t="s">
        <v>2026</v>
      </c>
      <c r="H320" s="95" t="s">
        <v>238</v>
      </c>
      <c r="I320" s="95" t="s">
        <v>239</v>
      </c>
      <c r="J320" s="163"/>
      <c r="K320" s="101"/>
      <c r="L320" s="101" t="s">
        <v>255</v>
      </c>
      <c r="M320" s="345" t="s">
        <v>272</v>
      </c>
      <c r="N320" s="442" t="s">
        <v>381</v>
      </c>
      <c r="O320" s="165">
        <v>1.73</v>
      </c>
      <c r="P320" s="933">
        <v>3.4</v>
      </c>
      <c r="Q320" s="157">
        <v>16</v>
      </c>
      <c r="R320" s="109" t="s">
        <v>244</v>
      </c>
      <c r="S320" s="110">
        <v>18039.03</v>
      </c>
      <c r="T320" s="93">
        <v>2737.9300000000003</v>
      </c>
      <c r="U320" s="141"/>
      <c r="V320" s="158">
        <f t="shared" si="176"/>
        <v>0</v>
      </c>
      <c r="W320" s="159">
        <v>45667.664583333331</v>
      </c>
      <c r="X320" s="159">
        <v>45672.645138888889</v>
      </c>
      <c r="Y320" s="160">
        <v>45671</v>
      </c>
      <c r="Z320" s="470"/>
      <c r="AA320" s="470">
        <v>45687</v>
      </c>
      <c r="AB320" s="470"/>
      <c r="AC320" s="161">
        <f t="shared" si="177"/>
        <v>19.335416666668607</v>
      </c>
      <c r="AD320" s="161">
        <f t="shared" si="211"/>
        <v>14.354861111110949</v>
      </c>
      <c r="AE320" s="446">
        <f t="shared" si="200"/>
        <v>-45687</v>
      </c>
      <c r="AF320" s="160">
        <f t="shared" si="212"/>
        <v>45686.438776881718</v>
      </c>
      <c r="AG320" s="160">
        <f t="shared" si="209"/>
        <v>45695.245228494619</v>
      </c>
      <c r="AH320" s="159">
        <f t="shared" si="213"/>
        <v>45717.664583333331</v>
      </c>
      <c r="AI320" s="162">
        <f t="shared" si="178"/>
        <v>0.66599768518525204</v>
      </c>
      <c r="AJ320" s="224">
        <f t="shared" si="214"/>
        <v>-761.45</v>
      </c>
      <c r="AK320" s="225">
        <f t="shared" si="179"/>
        <v>20</v>
      </c>
      <c r="AL320" s="170">
        <f t="shared" si="180"/>
        <v>36</v>
      </c>
      <c r="AM320" s="170">
        <f t="shared" si="181"/>
        <v>21.774193548387096</v>
      </c>
      <c r="AN320" s="170">
        <f t="shared" si="182"/>
        <v>27.58064516129032</v>
      </c>
      <c r="AO320" s="226">
        <f t="shared" si="183"/>
        <v>18.774193548387096</v>
      </c>
      <c r="AP320" s="227">
        <v>60</v>
      </c>
      <c r="AQ320" s="228">
        <f t="shared" si="184"/>
        <v>57</v>
      </c>
      <c r="AR320" s="228">
        <f t="shared" si="210"/>
        <v>52</v>
      </c>
      <c r="AS320" s="229">
        <f t="shared" si="185"/>
        <v>45747</v>
      </c>
      <c r="AT320" s="982">
        <f t="shared" ca="1" si="186"/>
        <v>208</v>
      </c>
      <c r="AU320" s="1077"/>
      <c r="AV320" s="1092"/>
      <c r="AW320" s="1079"/>
      <c r="AX320" s="1079"/>
      <c r="AY320" s="1079"/>
      <c r="AZ320" s="1080"/>
      <c r="BA320" s="1101"/>
      <c r="BB320" s="1091"/>
      <c r="BC320" s="231" t="s">
        <v>13</v>
      </c>
      <c r="BD320" s="232"/>
      <c r="BE320" s="222">
        <f t="shared" si="207"/>
        <v>45702</v>
      </c>
      <c r="BF320" s="233" t="e">
        <f t="shared" si="215"/>
        <v>#VALUE!</v>
      </c>
      <c r="BG320" s="248"/>
      <c r="BH320" s="235"/>
      <c r="BI320" s="234"/>
      <c r="BJ320" s="236"/>
      <c r="BK320" s="222"/>
      <c r="BL320" s="222"/>
      <c r="BM320" s="238"/>
      <c r="BN320" s="222"/>
      <c r="BO320" s="222"/>
      <c r="BP320" s="243"/>
      <c r="BQ320" s="244" t="s">
        <v>247</v>
      </c>
      <c r="BR320" s="238">
        <v>45679</v>
      </c>
      <c r="BS320" s="67"/>
      <c r="BT320" s="66"/>
      <c r="BU320" s="66"/>
      <c r="BV320" s="66"/>
      <c r="BW320" s="74"/>
      <c r="BX320" s="81"/>
      <c r="BY320" s="66"/>
      <c r="BZ320" s="944"/>
      <c r="CA320" s="42" t="str">
        <f t="shared" si="187"/>
        <v>0</v>
      </c>
      <c r="CB320" s="62">
        <f t="shared" si="188"/>
        <v>19.335416666668607</v>
      </c>
      <c r="CC320" s="42">
        <f t="shared" si="189"/>
        <v>0</v>
      </c>
      <c r="CD320" s="62">
        <f t="shared" si="190"/>
        <v>19.335416666668607</v>
      </c>
      <c r="CE320" s="62">
        <f t="shared" si="191"/>
        <v>0.66599768518525204</v>
      </c>
      <c r="CF320" s="1059">
        <f t="shared" si="192"/>
        <v>182</v>
      </c>
      <c r="CH320" s="1082">
        <f t="shared" si="193"/>
        <v>6.9348865740741408</v>
      </c>
      <c r="CI320" s="1083">
        <f t="shared" si="194"/>
        <v>6.9348865740741408</v>
      </c>
      <c r="CJ320" s="1084">
        <f t="shared" si="195"/>
        <v>3.0333333333333332</v>
      </c>
      <c r="CK320" s="1085" t="str">
        <f t="shared" si="196"/>
        <v/>
      </c>
      <c r="CL320" s="1057" t="str">
        <f t="shared" si="197"/>
        <v>REV</v>
      </c>
      <c r="CM320" s="1057" t="str">
        <f t="shared" si="198"/>
        <v/>
      </c>
      <c r="CN320" s="1086"/>
      <c r="CO320" s="1087"/>
      <c r="CP320" s="629" t="str">
        <f t="shared" si="175"/>
        <v>FOR ISSUANCE</v>
      </c>
      <c r="CQ320" s="1086"/>
      <c r="CR320" s="1088"/>
      <c r="CS320" s="1089" t="str">
        <f t="shared" ca="1" si="199"/>
        <v>0</v>
      </c>
      <c r="CT320" s="1086"/>
      <c r="CU320" s="1087"/>
      <c r="CV320" s="1090"/>
      <c r="CW320" s="156" t="s">
        <v>2027</v>
      </c>
      <c r="CX320" s="156" t="str">
        <f>VLOOKUP(E320,'[1]List of Work Orders'!$A:$I,9,FALSE)</f>
        <v>ME185284</v>
      </c>
      <c r="CY320" s="156"/>
      <c r="DA320" s="1100">
        <f t="shared" si="208"/>
        <v>4.9805555555576575</v>
      </c>
      <c r="DS320" s="156" t="s">
        <v>397</v>
      </c>
    </row>
    <row r="321" spans="1:123" customFormat="1" ht="15" customHeight="1" x14ac:dyDescent="0.25">
      <c r="A321" s="242"/>
      <c r="B321" s="222">
        <v>45673</v>
      </c>
      <c r="C321" s="223"/>
      <c r="D321" s="345" t="s">
        <v>234</v>
      </c>
      <c r="E321" s="347" t="s">
        <v>2028</v>
      </c>
      <c r="F321" s="344" t="s">
        <v>2029</v>
      </c>
      <c r="G321" s="95" t="s">
        <v>2030</v>
      </c>
      <c r="H321" s="348" t="s">
        <v>378</v>
      </c>
      <c r="I321" s="95" t="s">
        <v>239</v>
      </c>
      <c r="J321" s="163"/>
      <c r="K321" s="101"/>
      <c r="L321" s="101" t="s">
        <v>288</v>
      </c>
      <c r="M321" s="345" t="s">
        <v>272</v>
      </c>
      <c r="N321" s="442" t="s">
        <v>381</v>
      </c>
      <c r="O321" s="165">
        <v>207.18429999999995</v>
      </c>
      <c r="P321" s="933">
        <v>1072.7</v>
      </c>
      <c r="Q321" s="157">
        <v>35</v>
      </c>
      <c r="R321" s="109" t="s">
        <v>244</v>
      </c>
      <c r="S321" s="110">
        <v>1348054.07</v>
      </c>
      <c r="T321" s="93">
        <v>197215.94999999995</v>
      </c>
      <c r="U321" s="141"/>
      <c r="V321" s="158">
        <f t="shared" si="176"/>
        <v>0</v>
      </c>
      <c r="W321" s="159">
        <v>45670.675000000003</v>
      </c>
      <c r="X321" s="159">
        <v>45674.386111111111</v>
      </c>
      <c r="Y321" s="160">
        <v>45671</v>
      </c>
      <c r="Z321" s="470"/>
      <c r="AA321" s="470">
        <v>45710</v>
      </c>
      <c r="AB321" s="470"/>
      <c r="AC321" s="161">
        <f t="shared" si="177"/>
        <v>39.32499999999709</v>
      </c>
      <c r="AD321" s="161">
        <f t="shared" si="211"/>
        <v>35.613888888889051</v>
      </c>
      <c r="AE321" s="446">
        <f t="shared" si="200"/>
        <v>-45710</v>
      </c>
      <c r="AF321" s="160">
        <f t="shared" si="212"/>
        <v>45697.150982532752</v>
      </c>
      <c r="AG321" s="160">
        <f t="shared" si="209"/>
        <v>45708.011244541485</v>
      </c>
      <c r="AH321" s="159">
        <f t="shared" si="213"/>
        <v>45720.675000000003</v>
      </c>
      <c r="AI321" s="162">
        <f t="shared" si="178"/>
        <v>1.0006027777777036</v>
      </c>
      <c r="AJ321" s="224">
        <f t="shared" si="214"/>
        <v>-761.83333333333337</v>
      </c>
      <c r="AK321" s="225">
        <f t="shared" si="179"/>
        <v>50</v>
      </c>
      <c r="AL321" s="170">
        <f t="shared" si="180"/>
        <v>36</v>
      </c>
      <c r="AM321" s="170">
        <f t="shared" si="181"/>
        <v>29.475982532751093</v>
      </c>
      <c r="AN321" s="170">
        <f t="shared" si="182"/>
        <v>37.336244541484717</v>
      </c>
      <c r="AO321" s="226">
        <f t="shared" si="183"/>
        <v>26.475982532751093</v>
      </c>
      <c r="AP321" s="227">
        <v>60</v>
      </c>
      <c r="AQ321" s="228">
        <f t="shared" si="184"/>
        <v>57</v>
      </c>
      <c r="AR321" s="228">
        <f t="shared" si="210"/>
        <v>52</v>
      </c>
      <c r="AS321" s="229">
        <f t="shared" si="185"/>
        <v>45770</v>
      </c>
      <c r="AT321" s="982">
        <f t="shared" ca="1" si="186"/>
        <v>185</v>
      </c>
      <c r="AU321" s="50" t="s">
        <v>2031</v>
      </c>
      <c r="AV321" s="51" t="s">
        <v>247</v>
      </c>
      <c r="AW321" s="49" t="s">
        <v>247</v>
      </c>
      <c r="AX321" s="49"/>
      <c r="AY321" s="49"/>
      <c r="AZ321" s="300">
        <v>45686</v>
      </c>
      <c r="BA321" s="52">
        <f>BB321-AZ321</f>
        <v>22</v>
      </c>
      <c r="BB321" s="304">
        <v>45708</v>
      </c>
      <c r="BC321" s="231" t="s">
        <v>13</v>
      </c>
      <c r="BD321" s="232"/>
      <c r="BE321" s="222">
        <f t="shared" si="207"/>
        <v>45725</v>
      </c>
      <c r="BF321" s="233" t="e">
        <f t="shared" si="215"/>
        <v>#VALUE!</v>
      </c>
      <c r="BG321" s="248"/>
      <c r="BH321" s="235"/>
      <c r="BI321" s="234"/>
      <c r="BJ321" s="236"/>
      <c r="BK321" s="222"/>
      <c r="BL321" s="222"/>
      <c r="BM321" s="238"/>
      <c r="BN321" s="222"/>
      <c r="BO321" s="222"/>
      <c r="BP321" s="243"/>
      <c r="BQ321" s="244"/>
      <c r="BR321" s="238"/>
      <c r="BS321" s="67"/>
      <c r="BT321" s="66"/>
      <c r="BU321" s="66"/>
      <c r="BV321" s="66"/>
      <c r="BW321" s="74"/>
      <c r="BX321" s="81"/>
      <c r="BY321" s="66"/>
      <c r="BZ321" s="944"/>
      <c r="CA321" s="42" t="str">
        <f t="shared" si="187"/>
        <v>0</v>
      </c>
      <c r="CB321" s="62">
        <f t="shared" si="188"/>
        <v>39.32499999999709</v>
      </c>
      <c r="CC321" s="42">
        <f t="shared" si="189"/>
        <v>22</v>
      </c>
      <c r="CD321" s="62">
        <f t="shared" si="190"/>
        <v>17.32499999999709</v>
      </c>
      <c r="CE321" s="62">
        <f t="shared" si="191"/>
        <v>0.44082499999992591</v>
      </c>
      <c r="CF321" s="145">
        <f t="shared" si="192"/>
        <v>159</v>
      </c>
      <c r="CG321" s="145">
        <f xml:space="preserve"> (0.3)*(($CF$1-W321-CF321)/AK321)+(0.7)*(($CF$1-W321-CF321)/AL321)</f>
        <v>1.0006027777777036</v>
      </c>
      <c r="CH321" s="443">
        <f t="shared" si="193"/>
        <v>5.0462694444443699</v>
      </c>
      <c r="CI321" s="996">
        <f t="shared" si="194"/>
        <v>4.0456666666666665</v>
      </c>
      <c r="CJ321" s="261">
        <f t="shared" si="195"/>
        <v>2.65</v>
      </c>
      <c r="CK321" s="458" t="str">
        <f t="shared" si="196"/>
        <v/>
      </c>
      <c r="CL321" t="str">
        <f t="shared" si="197"/>
        <v>REV</v>
      </c>
      <c r="CM321" t="str">
        <f t="shared" si="198"/>
        <v/>
      </c>
      <c r="CN321" s="635"/>
      <c r="CO321" s="631"/>
      <c r="CP321" s="629" t="str">
        <f t="shared" ref="CP321:CP384" si="216">IF(CQ321,"NTC ISSUED","FOR ISSUANCE")</f>
        <v>FOR ISSUANCE</v>
      </c>
      <c r="CQ321" s="635"/>
      <c r="CR321" s="697"/>
      <c r="CS321" s="633" t="str">
        <f t="shared" ca="1" si="199"/>
        <v>0</v>
      </c>
      <c r="CT321" s="635"/>
      <c r="CU321" s="631"/>
      <c r="CV321" s="638"/>
      <c r="CW321" s="156" t="s">
        <v>2032</v>
      </c>
      <c r="CX321" s="156" t="str">
        <f>VLOOKUP(E321,'[1]List of Work Orders'!$A:$I,9,FALSE)</f>
        <v>ME185284</v>
      </c>
      <c r="CY321" s="156"/>
      <c r="DA321" s="762">
        <f t="shared" si="208"/>
        <v>3.711111111108039</v>
      </c>
      <c r="DS321" s="156" t="s">
        <v>381</v>
      </c>
    </row>
    <row r="322" spans="1:123" customFormat="1" ht="15" customHeight="1" x14ac:dyDescent="0.25">
      <c r="A322" s="242">
        <v>45678</v>
      </c>
      <c r="B322" s="222">
        <v>45673</v>
      </c>
      <c r="C322" s="223"/>
      <c r="D322" s="345" t="s">
        <v>234</v>
      </c>
      <c r="E322" s="347" t="s">
        <v>2033</v>
      </c>
      <c r="F322" s="344" t="s">
        <v>926</v>
      </c>
      <c r="G322" s="95" t="s">
        <v>2034</v>
      </c>
      <c r="H322" s="95" t="s">
        <v>238</v>
      </c>
      <c r="I322" s="95" t="s">
        <v>239</v>
      </c>
      <c r="J322" s="163"/>
      <c r="K322" s="101"/>
      <c r="L322" s="101" t="s">
        <v>242</v>
      </c>
      <c r="M322" s="345" t="s">
        <v>272</v>
      </c>
      <c r="N322" s="442" t="s">
        <v>467</v>
      </c>
      <c r="O322" s="165">
        <v>12.312799999999999</v>
      </c>
      <c r="P322" s="933">
        <v>52.4</v>
      </c>
      <c r="Q322" s="157">
        <v>31</v>
      </c>
      <c r="R322" s="109" t="s">
        <v>244</v>
      </c>
      <c r="S322" s="110">
        <v>267072.84999999998</v>
      </c>
      <c r="T322" s="93">
        <v>42193.72</v>
      </c>
      <c r="U322" s="141">
        <v>32033.67</v>
      </c>
      <c r="V322" s="158">
        <f t="shared" si="176"/>
        <v>0.75920468733261726</v>
      </c>
      <c r="W322" s="159">
        <v>45671.545138888891</v>
      </c>
      <c r="X322" s="159">
        <v>45677.604861111111</v>
      </c>
      <c r="Y322" s="160">
        <v>45671</v>
      </c>
      <c r="Z322" s="470"/>
      <c r="AA322" s="470">
        <v>45682</v>
      </c>
      <c r="AB322" s="470"/>
      <c r="AC322" s="161">
        <f t="shared" si="177"/>
        <v>10.454861111109494</v>
      </c>
      <c r="AD322" s="161">
        <f t="shared" si="211"/>
        <v>4.3951388888890506</v>
      </c>
      <c r="AE322" s="446">
        <f t="shared" si="200"/>
        <v>-45682</v>
      </c>
      <c r="AF322" s="160">
        <f t="shared" si="212"/>
        <v>45691.63064074763</v>
      </c>
      <c r="AG322" s="160">
        <f t="shared" si="209"/>
        <v>45700.78677457662</v>
      </c>
      <c r="AH322" s="159">
        <f t="shared" si="213"/>
        <v>45721.545138888891</v>
      </c>
      <c r="AI322" s="162">
        <f t="shared" si="178"/>
        <v>0.33965671967251859</v>
      </c>
      <c r="AJ322" s="224">
        <f t="shared" si="214"/>
        <v>-761.36666666666667</v>
      </c>
      <c r="AK322" s="225">
        <f t="shared" si="179"/>
        <v>23</v>
      </c>
      <c r="AL322" s="170">
        <f t="shared" si="180"/>
        <v>36</v>
      </c>
      <c r="AM322" s="170">
        <f t="shared" si="181"/>
        <v>23.085501858736059</v>
      </c>
      <c r="AN322" s="170">
        <f t="shared" si="182"/>
        <v>29.241635687732341</v>
      </c>
      <c r="AO322" s="226">
        <f t="shared" si="183"/>
        <v>20.085501858736059</v>
      </c>
      <c r="AP322" s="227">
        <v>60</v>
      </c>
      <c r="AQ322" s="228">
        <f t="shared" si="184"/>
        <v>57</v>
      </c>
      <c r="AR322" s="228">
        <f t="shared" si="210"/>
        <v>52</v>
      </c>
      <c r="AS322" s="229">
        <f t="shared" si="185"/>
        <v>45742</v>
      </c>
      <c r="AT322" s="982">
        <f t="shared" ca="1" si="186"/>
        <v>213</v>
      </c>
      <c r="AU322" s="50"/>
      <c r="AV322" s="51"/>
      <c r="AW322" s="49"/>
      <c r="AX322" s="49"/>
      <c r="AY322" s="49"/>
      <c r="AZ322" s="300"/>
      <c r="BA322" s="52"/>
      <c r="BB322" s="304"/>
      <c r="BC322" s="231" t="s">
        <v>12</v>
      </c>
      <c r="BD322" s="232" t="s">
        <v>601</v>
      </c>
      <c r="BE322" s="222">
        <f t="shared" si="207"/>
        <v>45697</v>
      </c>
      <c r="BF322" s="233">
        <f t="shared" si="215"/>
        <v>5</v>
      </c>
      <c r="BG322" s="248">
        <v>45682</v>
      </c>
      <c r="BH322" s="235">
        <v>45702</v>
      </c>
      <c r="BI322" s="234"/>
      <c r="BJ322" s="236"/>
      <c r="BK322" s="222"/>
      <c r="BL322" s="222"/>
      <c r="BM322" s="238"/>
      <c r="BN322" s="222"/>
      <c r="BO322" s="222"/>
      <c r="BP322" s="243"/>
      <c r="BQ322" s="244"/>
      <c r="BR322" s="238"/>
      <c r="BS322" s="67"/>
      <c r="BT322" s="66"/>
      <c r="BU322" s="66"/>
      <c r="BV322" s="66"/>
      <c r="BW322" s="74"/>
      <c r="BX322" s="81"/>
      <c r="BY322" s="66">
        <v>45678</v>
      </c>
      <c r="BZ322" s="944" t="s">
        <v>2035</v>
      </c>
      <c r="CA322" s="42" t="str">
        <f t="shared" si="187"/>
        <v>0</v>
      </c>
      <c r="CB322" s="62">
        <f t="shared" si="188"/>
        <v>10.454861111109494</v>
      </c>
      <c r="CC322" s="42">
        <f t="shared" si="189"/>
        <v>0</v>
      </c>
      <c r="CD322" s="62">
        <f t="shared" si="190"/>
        <v>10.454861111109494</v>
      </c>
      <c r="CE322" s="62">
        <f t="shared" si="191"/>
        <v>0.33965671967251859</v>
      </c>
      <c r="CF322" s="145">
        <f t="shared" si="192"/>
        <v>187</v>
      </c>
      <c r="CG322" s="145"/>
      <c r="CH322" s="443">
        <f t="shared" si="193"/>
        <v>6.4148982655662374</v>
      </c>
      <c r="CI322" s="996">
        <f t="shared" si="194"/>
        <v>6.4148982655662374</v>
      </c>
      <c r="CJ322" s="261">
        <f t="shared" si="195"/>
        <v>3.1166666666666667</v>
      </c>
      <c r="CK322" s="458" t="str">
        <f t="shared" si="196"/>
        <v/>
      </c>
      <c r="CL322" t="str">
        <f t="shared" si="197"/>
        <v>REV</v>
      </c>
      <c r="CM322" t="str">
        <f t="shared" si="198"/>
        <v/>
      </c>
      <c r="CN322" s="635"/>
      <c r="CO322" s="631"/>
      <c r="CP322" s="629" t="str">
        <f t="shared" si="216"/>
        <v>FOR ISSUANCE</v>
      </c>
      <c r="CQ322" s="635"/>
      <c r="CR322" s="697"/>
      <c r="CS322" s="633" t="str">
        <f t="shared" ca="1" si="199"/>
        <v>0</v>
      </c>
      <c r="CT322" s="635"/>
      <c r="CU322" s="631"/>
      <c r="CV322" s="638"/>
      <c r="CW322" s="156" t="s">
        <v>2036</v>
      </c>
      <c r="CX322" s="156" t="str">
        <f>VLOOKUP(E322,'[1]List of Work Orders'!$A:$I,9,FALSE)</f>
        <v>ME155242</v>
      </c>
      <c r="CY322" s="156"/>
      <c r="CZ322" s="63"/>
      <c r="DA322" s="762">
        <f t="shared" si="208"/>
        <v>6.0597222222204437</v>
      </c>
      <c r="DS322" s="156" t="s">
        <v>381</v>
      </c>
    </row>
    <row r="323" spans="1:123" customFormat="1" ht="15" customHeight="1" x14ac:dyDescent="0.25">
      <c r="A323" s="242">
        <v>45678</v>
      </c>
      <c r="B323" s="222">
        <v>45673</v>
      </c>
      <c r="C323" s="223"/>
      <c r="D323" s="345" t="s">
        <v>234</v>
      </c>
      <c r="E323" s="347" t="s">
        <v>2037</v>
      </c>
      <c r="F323" s="344" t="s">
        <v>926</v>
      </c>
      <c r="G323" s="95" t="s">
        <v>2038</v>
      </c>
      <c r="H323" s="348" t="s">
        <v>318</v>
      </c>
      <c r="I323" s="95" t="s">
        <v>239</v>
      </c>
      <c r="J323" s="168"/>
      <c r="K323" s="101"/>
      <c r="L323" s="101" t="s">
        <v>5</v>
      </c>
      <c r="M323" s="345" t="s">
        <v>272</v>
      </c>
      <c r="N323" s="442" t="s">
        <v>403</v>
      </c>
      <c r="O323" s="165">
        <v>41.209299999999999</v>
      </c>
      <c r="P323" s="933">
        <v>77.39</v>
      </c>
      <c r="Q323" s="157">
        <v>20</v>
      </c>
      <c r="R323" s="109" t="s">
        <v>244</v>
      </c>
      <c r="S323" s="110">
        <v>1017553.36</v>
      </c>
      <c r="T323" s="93">
        <v>33184.800000000003</v>
      </c>
      <c r="U323" s="141">
        <v>40104.550000000003</v>
      </c>
      <c r="V323" s="158">
        <f t="shared" ref="V323:V386" si="217">U323/T323</f>
        <v>1.2085216725729853</v>
      </c>
      <c r="W323" s="159">
        <v>45671.573611111111</v>
      </c>
      <c r="X323" s="159">
        <v>45677.603472222225</v>
      </c>
      <c r="Y323" s="160">
        <v>45671</v>
      </c>
      <c r="Z323" s="470"/>
      <c r="AA323" s="470">
        <v>45695</v>
      </c>
      <c r="AB323" s="470"/>
      <c r="AC323" s="161">
        <f t="shared" ref="AC323:AC386" si="218">AA323-W323</f>
        <v>23.426388888889051</v>
      </c>
      <c r="AD323" s="161">
        <f t="shared" si="211"/>
        <v>17.396527777775191</v>
      </c>
      <c r="AE323" s="446">
        <f t="shared" si="200"/>
        <v>-45695</v>
      </c>
      <c r="AF323" s="160">
        <f t="shared" si="212"/>
        <v>45691.65911296985</v>
      </c>
      <c r="AG323" s="160">
        <f t="shared" si="209"/>
        <v>45700.81524679884</v>
      </c>
      <c r="AH323" s="159">
        <f t="shared" si="213"/>
        <v>45721.573611111111</v>
      </c>
      <c r="AI323" s="162">
        <f t="shared" ref="AI323:AI386" si="219" xml:space="preserve"> (0.3)*(AC323/AK323)+(0.7)*(AC323/AL323)</f>
        <v>0.76107471148685435</v>
      </c>
      <c r="AJ323" s="224">
        <f t="shared" si="214"/>
        <v>-761.58333333333337</v>
      </c>
      <c r="AK323" s="225">
        <f t="shared" ref="AK323:AK386" si="220">IF(P323&lt;51,20,(IF(P323&lt;101,23,(IF(P323&lt;201,26,IF(P323&lt;301,28,IF(P323&lt;401,30,(IF(P323&lt;501,32,(IF(P323&lt;1001,40,50)))))))))))</f>
        <v>23</v>
      </c>
      <c r="AL323" s="170">
        <f t="shared" ref="AL323:AL386" si="221">IF(Q323&lt;51,36,(IF(Q323&lt;101,34,(IF(Q323&lt;201,32,IF(Q323&lt;301,30,IF(Q323&lt;401,28,(IF(Q323&lt;501,26,(IF(Q323&lt;1001,23,20)))))))))))</f>
        <v>36</v>
      </c>
      <c r="AM323" s="170">
        <f t="shared" ref="AM323:AM386" si="222">(0.75)/((0.3/AK323)+(0.7/AL323))</f>
        <v>23.085501858736059</v>
      </c>
      <c r="AN323" s="170">
        <f t="shared" ref="AN323:AN386" si="223">(0.95)/((0.3/AK323)+(0.7/AL323))</f>
        <v>29.241635687732341</v>
      </c>
      <c r="AO323" s="226">
        <f t="shared" ref="AO323:AO386" si="224">AM323-3</f>
        <v>20.085501858736059</v>
      </c>
      <c r="AP323" s="227">
        <v>60</v>
      </c>
      <c r="AQ323" s="228">
        <f t="shared" ref="AQ323:AQ386" si="225">0.95*AP323</f>
        <v>57</v>
      </c>
      <c r="AR323" s="228">
        <f t="shared" si="210"/>
        <v>52</v>
      </c>
      <c r="AS323" s="229">
        <f t="shared" ref="AS323:AS386" si="226">AA323+AP323</f>
        <v>45755</v>
      </c>
      <c r="AT323" s="982">
        <f t="shared" ref="AT323:AT386" ca="1" si="227">IFERROR(TODAY()-AA323,"")</f>
        <v>200</v>
      </c>
      <c r="AU323" s="50"/>
      <c r="AV323" s="51"/>
      <c r="AW323" s="49"/>
      <c r="AX323" s="49"/>
      <c r="AY323" s="49"/>
      <c r="AZ323" s="300"/>
      <c r="BA323" s="52"/>
      <c r="BB323" s="304"/>
      <c r="BC323" s="231" t="s">
        <v>12</v>
      </c>
      <c r="BD323" s="906" t="s">
        <v>601</v>
      </c>
      <c r="BE323" s="222">
        <f t="shared" si="207"/>
        <v>45710</v>
      </c>
      <c r="BF323" s="233">
        <f t="shared" si="215"/>
        <v>5</v>
      </c>
      <c r="BG323" s="248">
        <v>45695</v>
      </c>
      <c r="BH323" s="235">
        <v>45715</v>
      </c>
      <c r="BI323" s="234"/>
      <c r="BJ323" s="236"/>
      <c r="BK323" s="222"/>
      <c r="BL323" s="222"/>
      <c r="BM323" s="238"/>
      <c r="BN323" s="222"/>
      <c r="BO323" s="222"/>
      <c r="BP323" s="243"/>
      <c r="BQ323" s="244"/>
      <c r="BR323" s="238"/>
      <c r="BS323" s="67"/>
      <c r="BT323" s="66"/>
      <c r="BU323" s="66"/>
      <c r="BV323" s="66"/>
      <c r="BW323" s="74"/>
      <c r="BX323" s="81"/>
      <c r="BY323" s="66">
        <v>45678</v>
      </c>
      <c r="BZ323" s="944" t="s">
        <v>2039</v>
      </c>
      <c r="CA323" s="42" t="str">
        <f t="shared" ref="CA323:CA386" si="228">IF(AY323="Y",BA323,"0")</f>
        <v>0</v>
      </c>
      <c r="CB323" s="62">
        <f t="shared" ref="CB323:CB386" si="229">AC323-CA323</f>
        <v>23.426388888889051</v>
      </c>
      <c r="CC323" s="42">
        <f t="shared" ref="CC323:CC386" si="230">BA323</f>
        <v>0</v>
      </c>
      <c r="CD323" s="62">
        <f t="shared" ref="CD323:CD386" si="231">AC323-BA323</f>
        <v>23.426388888889051</v>
      </c>
      <c r="CE323" s="62">
        <f t="shared" ref="CE323:CE386" si="232" xml:space="preserve"> (0.3)*(CD323/AK323)+(0.7)*(CD323/AL323)</f>
        <v>0.76107471148685435</v>
      </c>
      <c r="CF323" s="145">
        <f t="shared" ref="CF323:CF386" si="233">IF(AA323="","0",$CF$1-AA323)</f>
        <v>174</v>
      </c>
      <c r="CG323" s="145"/>
      <c r="CH323" s="443">
        <f t="shared" ref="CH323:CH386" si="234" xml:space="preserve"> (0.3)*(($CF$1-W323)/AK323)+(0.7)*(($CF$1-W323)/AL323)</f>
        <v>6.413973262211492</v>
      </c>
      <c r="CI323" s="996">
        <f t="shared" ref="CI323:CI386" si="235">CH323-CG323</f>
        <v>6.413973262211492</v>
      </c>
      <c r="CJ323" s="261">
        <f t="shared" ref="CJ323:CJ386" si="236">CF323/AP323</f>
        <v>2.9</v>
      </c>
      <c r="CK323" s="458" t="str">
        <f t="shared" ref="CK323:CK386" si="237">IF(AA323&gt;0,"",$CK$1-W323)</f>
        <v/>
      </c>
      <c r="CL323" t="str">
        <f t="shared" ref="CL323:CL386" si="238">IF(R323="NEW","REV","NON-REV")</f>
        <v>REV</v>
      </c>
      <c r="CM323" t="str">
        <f t="shared" ref="CM323:CM386" si="239">IF(CK323="","",IF(CK323&lt;91,"0-3 MONTHS",(IF(CK323&lt;181,"4-6 MONTHS",(IF(CK323&lt;271,"7-9 MONTHS",IF(CK323&gt;270,"10 MONTHS AND ABOVE",)))))))</f>
        <v/>
      </c>
      <c r="CN323" s="635"/>
      <c r="CO323" s="631"/>
      <c r="CP323" s="629" t="str">
        <f t="shared" si="216"/>
        <v>FOR ISSUANCE</v>
      </c>
      <c r="CQ323" s="635"/>
      <c r="CR323" s="697"/>
      <c r="CS323" s="633" t="str">
        <f t="shared" ref="CS323:CS386" ca="1" si="240">IF(AND(CQ323=0,CR323=0), "0",IF(CR323,(CR323-CQ323),TODAY()-CQ323))</f>
        <v>0</v>
      </c>
      <c r="CT323" s="635"/>
      <c r="CU323" s="631"/>
      <c r="CV323" s="638"/>
      <c r="CW323" s="156" t="s">
        <v>2040</v>
      </c>
      <c r="CX323" s="156" t="str">
        <f>VLOOKUP(E323,'[1]List of Work Orders'!$A:$I,9,FALSE)</f>
        <v>ME166067</v>
      </c>
      <c r="CY323" s="156"/>
      <c r="DA323" s="762">
        <f t="shared" si="208"/>
        <v>6.0298611111138598</v>
      </c>
      <c r="DS323" s="156" t="s">
        <v>403</v>
      </c>
    </row>
    <row r="324" spans="1:123" customFormat="1" ht="15" customHeight="1" x14ac:dyDescent="0.25">
      <c r="A324" s="242">
        <v>45678</v>
      </c>
      <c r="B324" s="222">
        <v>45677</v>
      </c>
      <c r="C324" s="223"/>
      <c r="D324" s="350" t="s">
        <v>320</v>
      </c>
      <c r="E324" s="1009" t="s">
        <v>2041</v>
      </c>
      <c r="F324" s="348" t="s">
        <v>2042</v>
      </c>
      <c r="G324" s="95" t="s">
        <v>2043</v>
      </c>
      <c r="H324" s="95" t="s">
        <v>269</v>
      </c>
      <c r="I324" s="95" t="s">
        <v>239</v>
      </c>
      <c r="J324" s="163"/>
      <c r="K324" s="101"/>
      <c r="L324" s="101" t="s">
        <v>5</v>
      </c>
      <c r="M324" s="345" t="s">
        <v>272</v>
      </c>
      <c r="N324" s="442" t="s">
        <v>403</v>
      </c>
      <c r="O324" s="165">
        <v>123.3395</v>
      </c>
      <c r="P324" s="933">
        <v>149.84</v>
      </c>
      <c r="Q324" s="157">
        <v>3.8</v>
      </c>
      <c r="R324" s="109" t="s">
        <v>244</v>
      </c>
      <c r="S324" s="110">
        <v>740394.49</v>
      </c>
      <c r="T324" s="93">
        <v>119149.37000000007</v>
      </c>
      <c r="U324" s="141"/>
      <c r="V324" s="158">
        <f t="shared" si="217"/>
        <v>0</v>
      </c>
      <c r="W324" s="159">
        <v>45672.709722222222</v>
      </c>
      <c r="X324" s="159">
        <v>45677.606944444444</v>
      </c>
      <c r="Y324" s="160">
        <v>45677</v>
      </c>
      <c r="Z324" s="470"/>
      <c r="AA324" s="470">
        <v>45687</v>
      </c>
      <c r="AB324" s="470"/>
      <c r="AC324" s="161">
        <f t="shared" si="218"/>
        <v>14.290277777778101</v>
      </c>
      <c r="AD324" s="161">
        <f t="shared" si="211"/>
        <v>9.3930555555562023</v>
      </c>
      <c r="AE324" s="446">
        <f t="shared" si="200"/>
        <v>-45687</v>
      </c>
      <c r="AF324" s="160">
        <f t="shared" si="212"/>
        <v>45693.916618773947</v>
      </c>
      <c r="AG324" s="160">
        <f t="shared" si="209"/>
        <v>45703.371791187739</v>
      </c>
      <c r="AH324" s="159">
        <f t="shared" si="213"/>
        <v>45722.709722222222</v>
      </c>
      <c r="AI324" s="162">
        <f t="shared" si="219"/>
        <v>0.44275433285850951</v>
      </c>
      <c r="AJ324" s="224">
        <f t="shared" si="214"/>
        <v>-761.45</v>
      </c>
      <c r="AK324" s="225">
        <f t="shared" si="220"/>
        <v>26</v>
      </c>
      <c r="AL324" s="170">
        <f t="shared" si="221"/>
        <v>36</v>
      </c>
      <c r="AM324" s="170">
        <f t="shared" si="222"/>
        <v>24.206896551724139</v>
      </c>
      <c r="AN324" s="170">
        <f t="shared" si="223"/>
        <v>30.662068965517239</v>
      </c>
      <c r="AO324" s="226">
        <f t="shared" si="224"/>
        <v>21.206896551724139</v>
      </c>
      <c r="AP324" s="227">
        <v>60</v>
      </c>
      <c r="AQ324" s="228">
        <f t="shared" si="225"/>
        <v>57</v>
      </c>
      <c r="AR324" s="228">
        <f t="shared" si="210"/>
        <v>52</v>
      </c>
      <c r="AS324" s="229">
        <f t="shared" si="226"/>
        <v>45747</v>
      </c>
      <c r="AT324" s="982">
        <f t="shared" ca="1" si="227"/>
        <v>208</v>
      </c>
      <c r="AU324" s="50"/>
      <c r="AV324" s="51"/>
      <c r="AW324" s="49"/>
      <c r="AX324" s="49"/>
      <c r="AY324" s="49"/>
      <c r="AZ324" s="300"/>
      <c r="BA324" s="52"/>
      <c r="BB324" s="304"/>
      <c r="BC324" s="231" t="s">
        <v>146</v>
      </c>
      <c r="BD324" s="232"/>
      <c r="BE324" s="222">
        <f t="shared" si="207"/>
        <v>45702</v>
      </c>
      <c r="BF324" s="233">
        <f t="shared" si="215"/>
        <v>13</v>
      </c>
      <c r="BG324" s="248">
        <v>45687</v>
      </c>
      <c r="BH324" s="235">
        <v>45715</v>
      </c>
      <c r="BI324" s="234">
        <v>45804</v>
      </c>
      <c r="BJ324" s="236" t="s">
        <v>245</v>
      </c>
      <c r="BK324" s="222" t="s">
        <v>247</v>
      </c>
      <c r="BL324" s="222"/>
      <c r="BM324" s="238"/>
      <c r="BN324" s="222"/>
      <c r="BO324" s="222"/>
      <c r="BP324" s="243"/>
      <c r="BQ324" s="244"/>
      <c r="BR324" s="238"/>
      <c r="BS324" s="67"/>
      <c r="BT324" s="66"/>
      <c r="BU324" s="66"/>
      <c r="BV324" s="66"/>
      <c r="BW324" s="74"/>
      <c r="BX324" s="81"/>
      <c r="BY324" s="66">
        <v>45678</v>
      </c>
      <c r="BZ324" s="944" t="s">
        <v>2044</v>
      </c>
      <c r="CA324" s="42" t="str">
        <f t="shared" si="228"/>
        <v>0</v>
      </c>
      <c r="CB324" s="62">
        <f t="shared" si="229"/>
        <v>14.290277777778101</v>
      </c>
      <c r="CC324" s="42">
        <f t="shared" si="230"/>
        <v>0</v>
      </c>
      <c r="CD324" s="62">
        <f t="shared" si="231"/>
        <v>14.290277777778101</v>
      </c>
      <c r="CE324" s="62">
        <f t="shared" si="232"/>
        <v>0.44275433285850951</v>
      </c>
      <c r="CF324" s="145">
        <f t="shared" si="233"/>
        <v>182</v>
      </c>
      <c r="CG324" s="145"/>
      <c r="CH324" s="443">
        <f t="shared" si="234"/>
        <v>6.0816432217473988</v>
      </c>
      <c r="CI324" s="996">
        <f t="shared" si="235"/>
        <v>6.0816432217473988</v>
      </c>
      <c r="CJ324" s="261">
        <f t="shared" si="236"/>
        <v>3.0333333333333332</v>
      </c>
      <c r="CK324" s="458" t="str">
        <f t="shared" si="237"/>
        <v/>
      </c>
      <c r="CL324" t="str">
        <f t="shared" si="238"/>
        <v>REV</v>
      </c>
      <c r="CM324" t="str">
        <f t="shared" si="239"/>
        <v/>
      </c>
      <c r="CN324" s="635"/>
      <c r="CO324" s="631"/>
      <c r="CP324" s="629" t="str">
        <f t="shared" si="216"/>
        <v>FOR ISSUANCE</v>
      </c>
      <c r="CQ324" s="635"/>
      <c r="CR324" s="697"/>
      <c r="CS324" s="633" t="str">
        <f t="shared" ca="1" si="240"/>
        <v>0</v>
      </c>
      <c r="CT324" s="635"/>
      <c r="CU324" s="631"/>
      <c r="CV324" s="638"/>
      <c r="CW324" s="156" t="s">
        <v>2045</v>
      </c>
      <c r="CX324" s="156" t="str">
        <f>VLOOKUP(E324,'[1]List of Work Orders'!$A:$I,9,FALSE)</f>
        <v>ME166067</v>
      </c>
      <c r="CY324" s="156"/>
      <c r="DA324" s="762">
        <f t="shared" si="208"/>
        <v>4.8972222222218988</v>
      </c>
      <c r="DS324" s="156" t="s">
        <v>381</v>
      </c>
    </row>
    <row r="325" spans="1:123" customFormat="1" ht="15" customHeight="1" x14ac:dyDescent="0.25">
      <c r="A325" s="242">
        <v>45715</v>
      </c>
      <c r="B325" s="222">
        <v>45677</v>
      </c>
      <c r="C325" s="223"/>
      <c r="D325" s="66" t="s">
        <v>284</v>
      </c>
      <c r="E325" s="404" t="s">
        <v>2046</v>
      </c>
      <c r="F325" s="95" t="s">
        <v>2047</v>
      </c>
      <c r="G325" s="95" t="s">
        <v>2048</v>
      </c>
      <c r="H325" s="344" t="s">
        <v>378</v>
      </c>
      <c r="I325" s="95" t="s">
        <v>239</v>
      </c>
      <c r="J325" s="163"/>
      <c r="K325" s="101"/>
      <c r="L325" s="101" t="s">
        <v>288</v>
      </c>
      <c r="M325" s="345" t="s">
        <v>272</v>
      </c>
      <c r="N325" s="442" t="s">
        <v>381</v>
      </c>
      <c r="O325" s="165">
        <v>85.545100000000033</v>
      </c>
      <c r="P325" s="933">
        <v>135.91</v>
      </c>
      <c r="Q325" s="157">
        <v>111</v>
      </c>
      <c r="R325" s="109" t="s">
        <v>244</v>
      </c>
      <c r="S325" s="110">
        <v>693459.93</v>
      </c>
      <c r="T325" s="93">
        <v>113948.90000000004</v>
      </c>
      <c r="U325" s="141"/>
      <c r="V325" s="158">
        <f t="shared" si="217"/>
        <v>0</v>
      </c>
      <c r="W325" s="159">
        <v>45672.786805555559</v>
      </c>
      <c r="X325" s="159">
        <v>45678.577777777777</v>
      </c>
      <c r="Y325" s="160">
        <v>45673</v>
      </c>
      <c r="Z325" s="470"/>
      <c r="AA325" s="470">
        <v>45735</v>
      </c>
      <c r="AB325" s="470"/>
      <c r="AC325" s="161">
        <f t="shared" si="218"/>
        <v>62.213194444440887</v>
      </c>
      <c r="AD325" s="161">
        <f t="shared" si="211"/>
        <v>56.422222222223354</v>
      </c>
      <c r="AE325" s="446">
        <f t="shared" si="200"/>
        <v>-45735</v>
      </c>
      <c r="AF325" s="160">
        <f t="shared" si="212"/>
        <v>45692.232848721025</v>
      </c>
      <c r="AG325" s="160">
        <f t="shared" si="209"/>
        <v>45701.218460231816</v>
      </c>
      <c r="AH325" s="159">
        <f t="shared" si="213"/>
        <v>45722.786805555559</v>
      </c>
      <c r="AI325" s="162">
        <f t="shared" si="219"/>
        <v>2.0787581797541548</v>
      </c>
      <c r="AJ325" s="224">
        <f t="shared" si="214"/>
        <v>-762.25</v>
      </c>
      <c r="AK325" s="225">
        <f t="shared" si="220"/>
        <v>26</v>
      </c>
      <c r="AL325" s="170">
        <f t="shared" si="221"/>
        <v>32</v>
      </c>
      <c r="AM325" s="170">
        <f t="shared" si="222"/>
        <v>22.446043165467625</v>
      </c>
      <c r="AN325" s="170">
        <f t="shared" si="223"/>
        <v>28.431654676258994</v>
      </c>
      <c r="AO325" s="226">
        <f t="shared" si="224"/>
        <v>19.446043165467625</v>
      </c>
      <c r="AP325" s="227">
        <v>60</v>
      </c>
      <c r="AQ325" s="228">
        <f t="shared" si="225"/>
        <v>57</v>
      </c>
      <c r="AR325" s="228">
        <f t="shared" si="210"/>
        <v>52</v>
      </c>
      <c r="AS325" s="229">
        <f t="shared" si="226"/>
        <v>45795</v>
      </c>
      <c r="AT325" s="982">
        <f t="shared" ca="1" si="227"/>
        <v>160</v>
      </c>
      <c r="AU325" s="50" t="s">
        <v>61</v>
      </c>
      <c r="AV325" s="51" t="s">
        <v>247</v>
      </c>
      <c r="AW325" s="49" t="s">
        <v>247</v>
      </c>
      <c r="AX325" s="49"/>
      <c r="AY325" s="49"/>
      <c r="AZ325" s="300">
        <v>45721</v>
      </c>
      <c r="BA325" s="52">
        <f>BB325-AZ325</f>
        <v>6</v>
      </c>
      <c r="BB325" s="304">
        <v>45727</v>
      </c>
      <c r="BC325" s="231" t="s">
        <v>264</v>
      </c>
      <c r="BD325" s="232"/>
      <c r="BE325" s="222">
        <f t="shared" si="207"/>
        <v>45750</v>
      </c>
      <c r="BF325" s="233">
        <f t="shared" si="215"/>
        <v>57</v>
      </c>
      <c r="BG325" s="248">
        <v>45735</v>
      </c>
      <c r="BH325" s="235">
        <v>45807</v>
      </c>
      <c r="BI325" s="234"/>
      <c r="BJ325" s="236"/>
      <c r="BK325" s="222"/>
      <c r="BL325" s="222"/>
      <c r="BM325" s="238"/>
      <c r="BN325" s="222"/>
      <c r="BO325" s="222">
        <v>45885</v>
      </c>
      <c r="BP325" s="243" t="s">
        <v>1084</v>
      </c>
      <c r="BQ325" s="244" t="s">
        <v>247</v>
      </c>
      <c r="BR325" s="238">
        <v>45733</v>
      </c>
      <c r="BS325" s="67"/>
      <c r="BT325" s="66"/>
      <c r="BU325" s="66"/>
      <c r="BV325" s="66"/>
      <c r="BW325" s="74"/>
      <c r="BX325" s="81"/>
      <c r="BY325" s="66">
        <v>45684</v>
      </c>
      <c r="BZ325" s="944" t="s">
        <v>2049</v>
      </c>
      <c r="CA325" s="42" t="str">
        <f t="shared" si="228"/>
        <v>0</v>
      </c>
      <c r="CB325" s="62">
        <f t="shared" si="229"/>
        <v>62.213194444440887</v>
      </c>
      <c r="CC325" s="42">
        <f t="shared" si="230"/>
        <v>6</v>
      </c>
      <c r="CD325" s="62">
        <f t="shared" si="231"/>
        <v>56.213194444440887</v>
      </c>
      <c r="CE325" s="62">
        <f t="shared" si="232"/>
        <v>1.8782774105233853</v>
      </c>
      <c r="CF325" s="145">
        <f t="shared" si="233"/>
        <v>134</v>
      </c>
      <c r="CG325" s="145">
        <f xml:space="preserve"> (0.3)*(($CF$1-W325-CF325)/AK325)+(0.7)*(($CF$1-W325-CF325)/AL325)</f>
        <v>2.0787581797541548</v>
      </c>
      <c r="CH325" s="443">
        <f t="shared" si="234"/>
        <v>6.5561620259079998</v>
      </c>
      <c r="CI325" s="996">
        <f t="shared" si="235"/>
        <v>4.4774038461538446</v>
      </c>
      <c r="CJ325" s="261">
        <f t="shared" si="236"/>
        <v>2.2333333333333334</v>
      </c>
      <c r="CK325" s="458" t="str">
        <f t="shared" si="237"/>
        <v/>
      </c>
      <c r="CL325" t="str">
        <f t="shared" si="238"/>
        <v>REV</v>
      </c>
      <c r="CM325" t="str">
        <f t="shared" si="239"/>
        <v/>
      </c>
      <c r="CN325" s="635">
        <v>45887</v>
      </c>
      <c r="CO325" s="631">
        <v>11326.6</v>
      </c>
      <c r="CP325" s="629" t="str">
        <f t="shared" si="216"/>
        <v>NTC ISSUED</v>
      </c>
      <c r="CQ325" s="635">
        <v>45887</v>
      </c>
      <c r="CR325" s="697"/>
      <c r="CS325" s="633">
        <f t="shared" ca="1" si="240"/>
        <v>8</v>
      </c>
      <c r="CT325" s="635"/>
      <c r="CU325" s="631"/>
      <c r="CV325" s="638"/>
      <c r="CW325" s="156" t="s">
        <v>2050</v>
      </c>
      <c r="CX325" s="156" t="str">
        <f>VLOOKUP(E325,'[1]List of Work Orders'!$A:$I,9,FALSE)</f>
        <v>ME185284</v>
      </c>
      <c r="CY325" s="156"/>
      <c r="DA325" s="762">
        <f t="shared" si="208"/>
        <v>5.7909722222175333</v>
      </c>
      <c r="DS325" s="156" t="s">
        <v>381</v>
      </c>
    </row>
    <row r="326" spans="1:123" customFormat="1" ht="15" customHeight="1" x14ac:dyDescent="0.25">
      <c r="A326" s="242">
        <v>45680</v>
      </c>
      <c r="B326" s="222">
        <v>45677</v>
      </c>
      <c r="C326" s="223"/>
      <c r="D326" s="66" t="s">
        <v>234</v>
      </c>
      <c r="E326" s="404" t="s">
        <v>2051</v>
      </c>
      <c r="F326" s="95" t="s">
        <v>926</v>
      </c>
      <c r="G326" s="95" t="s">
        <v>2052</v>
      </c>
      <c r="H326" s="344" t="s">
        <v>378</v>
      </c>
      <c r="I326" s="95" t="s">
        <v>239</v>
      </c>
      <c r="J326" s="163"/>
      <c r="K326" s="101"/>
      <c r="L326" s="101" t="s">
        <v>288</v>
      </c>
      <c r="M326" s="345" t="s">
        <v>272</v>
      </c>
      <c r="N326" s="442" t="s">
        <v>381</v>
      </c>
      <c r="O326" s="165">
        <v>53.5563</v>
      </c>
      <c r="P326" s="933">
        <v>1016.94</v>
      </c>
      <c r="Q326" s="157">
        <v>22</v>
      </c>
      <c r="R326" s="109" t="s">
        <v>244</v>
      </c>
      <c r="S326" s="110">
        <v>1033388.17</v>
      </c>
      <c r="T326" s="93">
        <v>43127.53</v>
      </c>
      <c r="U326" s="141">
        <v>24641.33</v>
      </c>
      <c r="V326" s="158">
        <f t="shared" si="217"/>
        <v>0.57135963965476355</v>
      </c>
      <c r="W326" s="159">
        <v>45672.786805555559</v>
      </c>
      <c r="X326" s="159">
        <v>45678.576388888891</v>
      </c>
      <c r="Y326" s="160">
        <v>45673</v>
      </c>
      <c r="Z326" s="470">
        <v>45838</v>
      </c>
      <c r="AA326" s="470">
        <v>45838</v>
      </c>
      <c r="AB326" s="470"/>
      <c r="AC326" s="161">
        <f t="shared" si="218"/>
        <v>165.21319444444089</v>
      </c>
      <c r="AD326" s="161">
        <f t="shared" si="211"/>
        <v>159.42361111110949</v>
      </c>
      <c r="AE326" s="446">
        <f t="shared" si="200"/>
        <v>-45838</v>
      </c>
      <c r="AF326" s="160">
        <f t="shared" si="212"/>
        <v>45699.262788088308</v>
      </c>
      <c r="AG326" s="160">
        <f t="shared" si="209"/>
        <v>45710.123050097041</v>
      </c>
      <c r="AH326" s="159">
        <f t="shared" si="213"/>
        <v>45722.786805555559</v>
      </c>
      <c r="AI326" s="162">
        <f t="shared" si="219"/>
        <v>4.2037579475307734</v>
      </c>
      <c r="AJ326" s="224">
        <f t="shared" si="214"/>
        <v>-763.9666666666667</v>
      </c>
      <c r="AK326" s="225">
        <f t="shared" si="220"/>
        <v>50</v>
      </c>
      <c r="AL326" s="170">
        <f t="shared" si="221"/>
        <v>36</v>
      </c>
      <c r="AM326" s="170">
        <f t="shared" si="222"/>
        <v>29.475982532751093</v>
      </c>
      <c r="AN326" s="170">
        <f t="shared" si="223"/>
        <v>37.336244541484717</v>
      </c>
      <c r="AO326" s="226">
        <f t="shared" si="224"/>
        <v>26.475982532751093</v>
      </c>
      <c r="AP326" s="227">
        <v>60</v>
      </c>
      <c r="AQ326" s="228">
        <f t="shared" si="225"/>
        <v>57</v>
      </c>
      <c r="AR326" s="228">
        <f t="shared" si="210"/>
        <v>52</v>
      </c>
      <c r="AS326" s="229">
        <f t="shared" si="226"/>
        <v>45898</v>
      </c>
      <c r="AT326" s="982">
        <f t="shared" ca="1" si="227"/>
        <v>57</v>
      </c>
      <c r="AU326" s="50" t="s">
        <v>55</v>
      </c>
      <c r="AV326" s="51" t="s">
        <v>247</v>
      </c>
      <c r="AW326" s="49" t="s">
        <v>247</v>
      </c>
      <c r="AX326" s="49"/>
      <c r="AY326" s="49"/>
      <c r="AZ326" s="300">
        <v>45742</v>
      </c>
      <c r="BA326" s="52">
        <f>BB326-AZ326</f>
        <v>79</v>
      </c>
      <c r="BB326" s="304">
        <v>45821</v>
      </c>
      <c r="BC326" s="231" t="s">
        <v>12</v>
      </c>
      <c r="BD326" s="232"/>
      <c r="BE326" s="222">
        <f t="shared" si="207"/>
        <v>45853</v>
      </c>
      <c r="BF326" s="233">
        <f t="shared" si="215"/>
        <v>13</v>
      </c>
      <c r="BG326" s="248">
        <v>45838</v>
      </c>
      <c r="BH326" s="235">
        <v>45866</v>
      </c>
      <c r="BI326" s="234"/>
      <c r="BJ326" s="236"/>
      <c r="BK326" s="222"/>
      <c r="BL326" s="222"/>
      <c r="BM326" s="238"/>
      <c r="BN326" s="222"/>
      <c r="BO326" s="222"/>
      <c r="BP326" s="243"/>
      <c r="BQ326" s="244" t="s">
        <v>247</v>
      </c>
      <c r="BR326" s="238">
        <v>45835</v>
      </c>
      <c r="BS326" s="67"/>
      <c r="BT326" s="66"/>
      <c r="BU326" s="66"/>
      <c r="BV326" s="66"/>
      <c r="BW326" s="74"/>
      <c r="BX326" s="81"/>
      <c r="BY326" s="66">
        <v>45680</v>
      </c>
      <c r="BZ326" s="944" t="s">
        <v>2053</v>
      </c>
      <c r="CA326" s="42" t="str">
        <f t="shared" si="228"/>
        <v>0</v>
      </c>
      <c r="CB326" s="62">
        <f t="shared" si="229"/>
        <v>165.21319444444089</v>
      </c>
      <c r="CC326" s="42">
        <f t="shared" si="230"/>
        <v>79</v>
      </c>
      <c r="CD326" s="62">
        <f t="shared" si="231"/>
        <v>86.213194444440887</v>
      </c>
      <c r="CE326" s="62">
        <f t="shared" si="232"/>
        <v>2.1936468364196626</v>
      </c>
      <c r="CF326" s="145">
        <f t="shared" si="233"/>
        <v>31</v>
      </c>
      <c r="CG326" s="145">
        <f xml:space="preserve"> (0.3)*(($CF$1-W326-CF326)/AK326)+(0.7)*(($CF$1-W326-CF326)/AL326)</f>
        <v>4.2037579475307734</v>
      </c>
      <c r="CH326" s="443">
        <f t="shared" si="234"/>
        <v>4.9925357253085512</v>
      </c>
      <c r="CI326" s="996">
        <f t="shared" si="235"/>
        <v>0.7887777777777778</v>
      </c>
      <c r="CJ326" s="261">
        <f t="shared" si="236"/>
        <v>0.51666666666666672</v>
      </c>
      <c r="CK326" s="458" t="str">
        <f t="shared" si="237"/>
        <v/>
      </c>
      <c r="CL326" t="str">
        <f t="shared" si="238"/>
        <v>REV</v>
      </c>
      <c r="CM326" t="str">
        <f t="shared" si="239"/>
        <v/>
      </c>
      <c r="CN326" s="635"/>
      <c r="CO326" s="631"/>
      <c r="CP326" s="629" t="str">
        <f t="shared" si="216"/>
        <v>FOR ISSUANCE</v>
      </c>
      <c r="CQ326" s="635"/>
      <c r="CR326" s="697"/>
      <c r="CS326" s="633" t="str">
        <f t="shared" ca="1" si="240"/>
        <v>0</v>
      </c>
      <c r="CT326" s="635"/>
      <c r="CU326" s="631"/>
      <c r="CV326" s="638"/>
      <c r="CW326" s="156" t="s">
        <v>2054</v>
      </c>
      <c r="CX326" s="156" t="str">
        <f>VLOOKUP(E326,'[1]List of Work Orders'!$A:$I,9,FALSE)</f>
        <v>ME185284</v>
      </c>
      <c r="CY326" s="156"/>
      <c r="DA326" s="762">
        <f t="shared" si="208"/>
        <v>5.7895833333313931</v>
      </c>
      <c r="DS326" s="156" t="s">
        <v>397</v>
      </c>
    </row>
    <row r="327" spans="1:123" customFormat="1" ht="15" customHeight="1" x14ac:dyDescent="0.25">
      <c r="A327" s="242">
        <v>45678</v>
      </c>
      <c r="B327" s="222">
        <v>45677</v>
      </c>
      <c r="C327" s="223"/>
      <c r="D327" s="66" t="s">
        <v>320</v>
      </c>
      <c r="E327" s="404" t="s">
        <v>2055</v>
      </c>
      <c r="F327" s="95" t="s">
        <v>2056</v>
      </c>
      <c r="G327" s="95" t="s">
        <v>2057</v>
      </c>
      <c r="H327" s="344" t="s">
        <v>318</v>
      </c>
      <c r="I327" s="95" t="s">
        <v>239</v>
      </c>
      <c r="J327" s="163"/>
      <c r="K327" s="101"/>
      <c r="L327" s="101" t="s">
        <v>242</v>
      </c>
      <c r="M327" s="345" t="s">
        <v>331</v>
      </c>
      <c r="N327" s="442" t="s">
        <v>467</v>
      </c>
      <c r="O327" s="165">
        <v>20.119999999999994</v>
      </c>
      <c r="P327" s="165">
        <v>103.37</v>
      </c>
      <c r="Q327" s="157">
        <v>5</v>
      </c>
      <c r="R327" s="109" t="s">
        <v>548</v>
      </c>
      <c r="S327" s="110">
        <v>137086.39999999999</v>
      </c>
      <c r="T327" s="93">
        <v>21332.079999999998</v>
      </c>
      <c r="U327" s="141"/>
      <c r="V327" s="158">
        <f t="shared" si="217"/>
        <v>0</v>
      </c>
      <c r="W327" s="159">
        <v>45672.786805555559</v>
      </c>
      <c r="X327" s="159">
        <v>45677.613194444442</v>
      </c>
      <c r="Y327" s="160">
        <v>45673</v>
      </c>
      <c r="Z327" s="470"/>
      <c r="AA327" s="470"/>
      <c r="AB327" s="470"/>
      <c r="AC327" s="161">
        <f t="shared" si="218"/>
        <v>-45672.786805555559</v>
      </c>
      <c r="AD327" s="161">
        <f t="shared" si="211"/>
        <v>-45677.613194444442</v>
      </c>
      <c r="AE327" s="446">
        <f t="shared" si="200"/>
        <v>0</v>
      </c>
      <c r="AF327" s="160">
        <f t="shared" si="212"/>
        <v>45693.993702107284</v>
      </c>
      <c r="AG327" s="160">
        <f t="shared" si="209"/>
        <v>45703.448874521077</v>
      </c>
      <c r="AH327" s="159">
        <f t="shared" si="213"/>
        <v>45722.786805555559</v>
      </c>
      <c r="AI327" s="162">
        <f t="shared" si="219"/>
        <v>-1415.0756595738367</v>
      </c>
      <c r="AJ327" s="224">
        <f t="shared" si="214"/>
        <v>0</v>
      </c>
      <c r="AK327" s="225">
        <f t="shared" si="220"/>
        <v>26</v>
      </c>
      <c r="AL327" s="170">
        <f t="shared" si="221"/>
        <v>36</v>
      </c>
      <c r="AM327" s="170">
        <f t="shared" si="222"/>
        <v>24.206896551724139</v>
      </c>
      <c r="AN327" s="170">
        <f t="shared" si="223"/>
        <v>30.662068965517239</v>
      </c>
      <c r="AO327" s="226">
        <f t="shared" si="224"/>
        <v>21.206896551724139</v>
      </c>
      <c r="AP327" s="227">
        <v>60</v>
      </c>
      <c r="AQ327" s="228">
        <f t="shared" si="225"/>
        <v>57</v>
      </c>
      <c r="AR327" s="228">
        <f t="shared" si="210"/>
        <v>52</v>
      </c>
      <c r="AS327" s="229">
        <f t="shared" si="226"/>
        <v>60</v>
      </c>
      <c r="AT327" s="982">
        <f t="shared" ca="1" si="227"/>
        <v>45895</v>
      </c>
      <c r="AU327" s="50"/>
      <c r="AV327" s="51"/>
      <c r="AW327" s="49"/>
      <c r="AX327" s="49"/>
      <c r="AY327" s="49"/>
      <c r="AZ327" s="300"/>
      <c r="BA327" s="52"/>
      <c r="BB327" s="304"/>
      <c r="BC327" s="231"/>
      <c r="BD327" s="907"/>
      <c r="BE327" s="222">
        <f t="shared" si="207"/>
        <v>15</v>
      </c>
      <c r="BF327" s="233">
        <f t="shared" si="215"/>
        <v>0</v>
      </c>
      <c r="BG327" s="248"/>
      <c r="BH327" s="235"/>
      <c r="BI327" s="234"/>
      <c r="BJ327" s="236"/>
      <c r="BK327" s="222"/>
      <c r="BL327" s="222"/>
      <c r="BM327" s="238"/>
      <c r="BN327" s="222"/>
      <c r="BO327" s="222"/>
      <c r="BP327" s="243"/>
      <c r="BQ327" s="244"/>
      <c r="BR327" s="238"/>
      <c r="BS327" s="67"/>
      <c r="BT327" s="66"/>
      <c r="BU327" s="66"/>
      <c r="BV327" s="66"/>
      <c r="BW327" s="74"/>
      <c r="BX327" s="81"/>
      <c r="BY327" s="66">
        <v>45678</v>
      </c>
      <c r="BZ327" s="944" t="s">
        <v>2058</v>
      </c>
      <c r="CA327" s="42" t="str">
        <f t="shared" si="228"/>
        <v>0</v>
      </c>
      <c r="CB327" s="62">
        <f t="shared" si="229"/>
        <v>-45672.786805555559</v>
      </c>
      <c r="CC327" s="42">
        <f t="shared" si="230"/>
        <v>0</v>
      </c>
      <c r="CD327" s="62">
        <f t="shared" si="231"/>
        <v>-45672.786805555559</v>
      </c>
      <c r="CE327" s="62">
        <f t="shared" si="232"/>
        <v>-1415.0756595738367</v>
      </c>
      <c r="CF327" s="145" t="str">
        <f t="shared" si="233"/>
        <v>0</v>
      </c>
      <c r="CG327" s="145"/>
      <c r="CH327" s="443">
        <f t="shared" si="234"/>
        <v>6.0792549560777616</v>
      </c>
      <c r="CI327" s="996">
        <f t="shared" si="235"/>
        <v>6.0792549560777616</v>
      </c>
      <c r="CJ327" s="261">
        <f t="shared" si="236"/>
        <v>0</v>
      </c>
      <c r="CK327" s="458">
        <f t="shared" si="237"/>
        <v>183.21319444444089</v>
      </c>
      <c r="CL327" t="str">
        <f t="shared" si="238"/>
        <v>NON-REV</v>
      </c>
      <c r="CM327" t="str">
        <f t="shared" si="239"/>
        <v>7-9 MONTHS</v>
      </c>
      <c r="CN327" s="635"/>
      <c r="CO327" s="631"/>
      <c r="CP327" s="629" t="str">
        <f t="shared" si="216"/>
        <v>FOR ISSUANCE</v>
      </c>
      <c r="CQ327" s="635"/>
      <c r="CR327" s="697"/>
      <c r="CS327" s="633" t="str">
        <f t="shared" ca="1" si="240"/>
        <v>0</v>
      </c>
      <c r="CT327" s="635"/>
      <c r="CU327" s="631"/>
      <c r="CV327" s="638"/>
      <c r="CW327" s="156" t="s">
        <v>2059</v>
      </c>
      <c r="CX327" s="156" t="str">
        <f>VLOOKUP(E327,'[1]List of Work Orders'!$A:$I,9,FALSE)</f>
        <v>ME155242</v>
      </c>
      <c r="CY327" s="156"/>
      <c r="CZ327" s="63"/>
      <c r="DA327" s="762">
        <f t="shared" si="208"/>
        <v>4.8263888888832298</v>
      </c>
      <c r="DS327" s="156" t="s">
        <v>403</v>
      </c>
    </row>
    <row r="328" spans="1:123" customFormat="1" ht="15" customHeight="1" x14ac:dyDescent="0.25">
      <c r="A328" s="242">
        <v>45678</v>
      </c>
      <c r="B328" s="222">
        <v>45677</v>
      </c>
      <c r="C328" s="223"/>
      <c r="D328" s="66" t="s">
        <v>320</v>
      </c>
      <c r="E328" s="404" t="s">
        <v>2060</v>
      </c>
      <c r="F328" s="95" t="s">
        <v>2061</v>
      </c>
      <c r="G328" s="95" t="s">
        <v>2062</v>
      </c>
      <c r="H328" s="344" t="s">
        <v>318</v>
      </c>
      <c r="I328" s="95" t="s">
        <v>239</v>
      </c>
      <c r="J328" s="163"/>
      <c r="K328" s="101"/>
      <c r="L328" s="101" t="s">
        <v>5</v>
      </c>
      <c r="M328" s="345" t="s">
        <v>272</v>
      </c>
      <c r="N328" s="442" t="s">
        <v>403</v>
      </c>
      <c r="O328" s="165">
        <v>15.65</v>
      </c>
      <c r="P328" s="933">
        <v>15.65</v>
      </c>
      <c r="Q328" s="157">
        <v>27.1</v>
      </c>
      <c r="R328" s="109" t="s">
        <v>244</v>
      </c>
      <c r="S328" s="110">
        <v>196704.22</v>
      </c>
      <c r="T328" s="93">
        <v>12602.54</v>
      </c>
      <c r="U328" s="141"/>
      <c r="V328" s="158">
        <f t="shared" si="217"/>
        <v>0</v>
      </c>
      <c r="W328" s="159">
        <v>45672.786805555559</v>
      </c>
      <c r="X328" s="159">
        <v>45677.60833333333</v>
      </c>
      <c r="Y328" s="160">
        <v>45674</v>
      </c>
      <c r="Z328" s="470"/>
      <c r="AA328" s="470">
        <v>45703</v>
      </c>
      <c r="AB328" s="470"/>
      <c r="AC328" s="161">
        <f t="shared" si="218"/>
        <v>30.213194444440887</v>
      </c>
      <c r="AD328" s="161">
        <f t="shared" si="211"/>
        <v>25.391666666670062</v>
      </c>
      <c r="AE328" s="446">
        <f t="shared" si="200"/>
        <v>-45703</v>
      </c>
      <c r="AF328" s="160">
        <f t="shared" si="212"/>
        <v>45691.560999103946</v>
      </c>
      <c r="AG328" s="160">
        <f t="shared" si="209"/>
        <v>45700.367450716847</v>
      </c>
      <c r="AH328" s="159">
        <f t="shared" si="213"/>
        <v>45722.786805555559</v>
      </c>
      <c r="AI328" s="162">
        <f t="shared" si="219"/>
        <v>1.0406766975307415</v>
      </c>
      <c r="AJ328" s="224">
        <f t="shared" si="214"/>
        <v>-761.7166666666667</v>
      </c>
      <c r="AK328" s="225">
        <f t="shared" si="220"/>
        <v>20</v>
      </c>
      <c r="AL328" s="170">
        <f t="shared" si="221"/>
        <v>36</v>
      </c>
      <c r="AM328" s="170">
        <f t="shared" si="222"/>
        <v>21.774193548387096</v>
      </c>
      <c r="AN328" s="170">
        <f t="shared" si="223"/>
        <v>27.58064516129032</v>
      </c>
      <c r="AO328" s="226">
        <f t="shared" si="224"/>
        <v>18.774193548387096</v>
      </c>
      <c r="AP328" s="227">
        <v>60</v>
      </c>
      <c r="AQ328" s="228">
        <f t="shared" si="225"/>
        <v>57</v>
      </c>
      <c r="AR328" s="228">
        <f t="shared" si="210"/>
        <v>52</v>
      </c>
      <c r="AS328" s="229">
        <f t="shared" si="226"/>
        <v>45763</v>
      </c>
      <c r="AT328" s="982">
        <f t="shared" ca="1" si="227"/>
        <v>192</v>
      </c>
      <c r="AU328" s="50"/>
      <c r="AV328" s="51"/>
      <c r="AW328" s="49"/>
      <c r="AX328" s="49"/>
      <c r="AY328" s="49"/>
      <c r="AZ328" s="300"/>
      <c r="BA328" s="52"/>
      <c r="BB328" s="304"/>
      <c r="BC328" s="231" t="s">
        <v>264</v>
      </c>
      <c r="BD328" s="247" t="s">
        <v>2063</v>
      </c>
      <c r="BE328" s="222">
        <f t="shared" si="207"/>
        <v>45718</v>
      </c>
      <c r="BF328" s="233">
        <f t="shared" si="215"/>
        <v>1</v>
      </c>
      <c r="BG328" s="248">
        <v>45703</v>
      </c>
      <c r="BH328" s="235">
        <v>45719</v>
      </c>
      <c r="BI328" s="234">
        <v>45748</v>
      </c>
      <c r="BJ328" s="236" t="s">
        <v>245</v>
      </c>
      <c r="BK328" s="222" t="s">
        <v>246</v>
      </c>
      <c r="BL328" s="222"/>
      <c r="BM328" s="238"/>
      <c r="BN328" s="222"/>
      <c r="BO328" s="222">
        <v>45829</v>
      </c>
      <c r="BP328" s="243" t="s">
        <v>1084</v>
      </c>
      <c r="BQ328" s="244" t="s">
        <v>247</v>
      </c>
      <c r="BR328" s="238">
        <v>45703</v>
      </c>
      <c r="BS328" s="67"/>
      <c r="BT328" s="66"/>
      <c r="BU328" s="66"/>
      <c r="BV328" s="66"/>
      <c r="BW328" s="74"/>
      <c r="BX328" s="81"/>
      <c r="BY328" s="66">
        <v>45678</v>
      </c>
      <c r="BZ328" s="944" t="s">
        <v>2064</v>
      </c>
      <c r="CA328" s="42" t="str">
        <f t="shared" si="228"/>
        <v>0</v>
      </c>
      <c r="CB328" s="62">
        <f t="shared" si="229"/>
        <v>30.213194444440887</v>
      </c>
      <c r="CC328" s="42">
        <f t="shared" si="230"/>
        <v>0</v>
      </c>
      <c r="CD328" s="62">
        <f t="shared" si="231"/>
        <v>30.213194444440887</v>
      </c>
      <c r="CE328" s="62">
        <f t="shared" si="232"/>
        <v>1.0406766975307415</v>
      </c>
      <c r="CF328" s="145">
        <f t="shared" si="233"/>
        <v>166</v>
      </c>
      <c r="CG328" s="145"/>
      <c r="CH328" s="443">
        <f t="shared" si="234"/>
        <v>6.7584544753085192</v>
      </c>
      <c r="CI328" s="996">
        <f t="shared" si="235"/>
        <v>6.7584544753085192</v>
      </c>
      <c r="CJ328" s="261">
        <f t="shared" si="236"/>
        <v>2.7666666666666666</v>
      </c>
      <c r="CK328" s="458" t="str">
        <f t="shared" si="237"/>
        <v/>
      </c>
      <c r="CL328" t="str">
        <f t="shared" si="238"/>
        <v>REV</v>
      </c>
      <c r="CM328" t="str">
        <f t="shared" si="239"/>
        <v/>
      </c>
      <c r="CN328" s="635">
        <v>45831</v>
      </c>
      <c r="CO328" s="631">
        <v>7232.96</v>
      </c>
      <c r="CP328" s="629" t="str">
        <f t="shared" si="216"/>
        <v>NTC ISSUED</v>
      </c>
      <c r="CQ328" s="635">
        <v>45833</v>
      </c>
      <c r="CR328" s="697"/>
      <c r="CS328" s="633">
        <f t="shared" ca="1" si="240"/>
        <v>62</v>
      </c>
      <c r="CT328" s="635"/>
      <c r="CU328" s="631"/>
      <c r="CV328" s="638"/>
      <c r="CW328" s="156" t="s">
        <v>2065</v>
      </c>
      <c r="CX328" s="156" t="str">
        <f>VLOOKUP(E328,'[1]List of Work Orders'!$A:$I,9,FALSE)</f>
        <v>ME166067</v>
      </c>
      <c r="CY328" s="156"/>
      <c r="DA328" s="762">
        <f t="shared" si="208"/>
        <v>4.8215277777708252</v>
      </c>
      <c r="DS328" s="156" t="s">
        <v>403</v>
      </c>
    </row>
    <row r="329" spans="1:123" customFormat="1" ht="15" customHeight="1" x14ac:dyDescent="0.25">
      <c r="A329" s="242">
        <v>45678</v>
      </c>
      <c r="B329" s="222">
        <v>45677</v>
      </c>
      <c r="C329" s="223"/>
      <c r="D329" s="66" t="s">
        <v>320</v>
      </c>
      <c r="E329" s="404" t="s">
        <v>2066</v>
      </c>
      <c r="F329" s="95" t="s">
        <v>2061</v>
      </c>
      <c r="G329" s="95" t="s">
        <v>2062</v>
      </c>
      <c r="H329" s="344" t="s">
        <v>318</v>
      </c>
      <c r="I329" s="95" t="s">
        <v>239</v>
      </c>
      <c r="J329" s="163"/>
      <c r="K329" s="101"/>
      <c r="L329" s="101" t="s">
        <v>5</v>
      </c>
      <c r="M329" s="345" t="s">
        <v>256</v>
      </c>
      <c r="N329" s="442" t="s">
        <v>403</v>
      </c>
      <c r="O329" s="165">
        <v>36.825499999999998</v>
      </c>
      <c r="P329" s="933">
        <v>36.83</v>
      </c>
      <c r="Q329" s="157" t="s">
        <v>2021</v>
      </c>
      <c r="R329" s="109" t="s">
        <v>244</v>
      </c>
      <c r="S329" s="110">
        <v>177491.79</v>
      </c>
      <c r="T329" s="93">
        <v>29654.69</v>
      </c>
      <c r="U329" s="141"/>
      <c r="V329" s="158">
        <f t="shared" si="217"/>
        <v>0</v>
      </c>
      <c r="W329" s="159">
        <v>45672.786805555559</v>
      </c>
      <c r="X329" s="159">
        <v>45677.609722222223</v>
      </c>
      <c r="Y329" s="160">
        <v>45674</v>
      </c>
      <c r="Z329" s="470"/>
      <c r="AA329" s="470">
        <v>45703</v>
      </c>
      <c r="AB329" s="470">
        <v>45848</v>
      </c>
      <c r="AC329" s="161">
        <f t="shared" si="218"/>
        <v>30.213194444440887</v>
      </c>
      <c r="AD329" s="161">
        <f t="shared" si="211"/>
        <v>25.390277777776646</v>
      </c>
      <c r="AE329" s="446">
        <f t="shared" ref="AE329:AE392" si="241">AB329-AA329</f>
        <v>145</v>
      </c>
      <c r="AF329" s="160">
        <f t="shared" si="212"/>
        <v>45684.786805555559</v>
      </c>
      <c r="AG329" s="160">
        <f t="shared" si="209"/>
        <v>45691.786805555559</v>
      </c>
      <c r="AH329" s="159">
        <f t="shared" si="213"/>
        <v>45722.786805555559</v>
      </c>
      <c r="AI329" s="162">
        <f t="shared" si="219"/>
        <v>1.5106597222220444</v>
      </c>
      <c r="AJ329" s="224">
        <f t="shared" si="214"/>
        <v>2.4166666666666665</v>
      </c>
      <c r="AK329" s="225">
        <f t="shared" si="220"/>
        <v>20</v>
      </c>
      <c r="AL329" s="170">
        <f t="shared" si="221"/>
        <v>20</v>
      </c>
      <c r="AM329" s="170">
        <f t="shared" si="222"/>
        <v>15.000000000000002</v>
      </c>
      <c r="AN329" s="170">
        <f t="shared" si="223"/>
        <v>19</v>
      </c>
      <c r="AO329" s="226">
        <f t="shared" si="224"/>
        <v>12.000000000000002</v>
      </c>
      <c r="AP329" s="227">
        <v>60</v>
      </c>
      <c r="AQ329" s="228">
        <f t="shared" si="225"/>
        <v>57</v>
      </c>
      <c r="AR329" s="228">
        <f t="shared" si="210"/>
        <v>52</v>
      </c>
      <c r="AS329" s="229">
        <f t="shared" si="226"/>
        <v>45763</v>
      </c>
      <c r="AT329" s="982">
        <f t="shared" ca="1" si="227"/>
        <v>192</v>
      </c>
      <c r="AU329" s="50"/>
      <c r="AV329" s="51"/>
      <c r="AW329" s="49"/>
      <c r="AX329" s="49"/>
      <c r="AY329" s="49"/>
      <c r="AZ329" s="300"/>
      <c r="BA329" s="52"/>
      <c r="BB329" s="304"/>
      <c r="BC329" s="231" t="s">
        <v>14</v>
      </c>
      <c r="BD329" s="232"/>
      <c r="BE329" s="222">
        <f t="shared" si="207"/>
        <v>45718</v>
      </c>
      <c r="BF329" s="233">
        <f t="shared" si="215"/>
        <v>1</v>
      </c>
      <c r="BG329" s="248">
        <v>45703</v>
      </c>
      <c r="BH329" s="235">
        <v>45719</v>
      </c>
      <c r="BI329" s="234">
        <v>45748</v>
      </c>
      <c r="BJ329" s="236" t="s">
        <v>245</v>
      </c>
      <c r="BK329" s="222" t="s">
        <v>246</v>
      </c>
      <c r="BL329" s="222"/>
      <c r="BM329" s="238"/>
      <c r="BN329" s="222"/>
      <c r="BO329" s="222">
        <v>45829</v>
      </c>
      <c r="BP329" s="243" t="s">
        <v>1084</v>
      </c>
      <c r="BQ329" s="244" t="s">
        <v>247</v>
      </c>
      <c r="BR329" s="238">
        <v>45703</v>
      </c>
      <c r="BS329" s="67"/>
      <c r="BT329" s="66"/>
      <c r="BU329" s="66"/>
      <c r="BV329" s="66"/>
      <c r="BW329" s="74"/>
      <c r="BX329" s="81"/>
      <c r="BY329" s="66">
        <v>45678</v>
      </c>
      <c r="BZ329" s="944" t="s">
        <v>2067</v>
      </c>
      <c r="CA329" s="42" t="str">
        <f t="shared" si="228"/>
        <v>0</v>
      </c>
      <c r="CB329" s="62">
        <f t="shared" si="229"/>
        <v>30.213194444440887</v>
      </c>
      <c r="CC329" s="42">
        <f t="shared" si="230"/>
        <v>0</v>
      </c>
      <c r="CD329" s="62">
        <f t="shared" si="231"/>
        <v>30.213194444440887</v>
      </c>
      <c r="CE329" s="62">
        <f t="shared" si="232"/>
        <v>1.5106597222220444</v>
      </c>
      <c r="CF329" s="145">
        <f t="shared" si="233"/>
        <v>166</v>
      </c>
      <c r="CG329" s="145"/>
      <c r="CH329" s="443">
        <f t="shared" si="234"/>
        <v>9.8106597222220451</v>
      </c>
      <c r="CI329" s="996">
        <f t="shared" si="235"/>
        <v>9.8106597222220451</v>
      </c>
      <c r="CJ329" s="261">
        <f t="shared" si="236"/>
        <v>2.7666666666666666</v>
      </c>
      <c r="CK329" s="458" t="str">
        <f t="shared" si="237"/>
        <v/>
      </c>
      <c r="CL329" t="str">
        <f t="shared" si="238"/>
        <v>REV</v>
      </c>
      <c r="CM329" t="str">
        <f t="shared" si="239"/>
        <v/>
      </c>
      <c r="CN329" s="635"/>
      <c r="CO329" s="631"/>
      <c r="CP329" s="629" t="str">
        <f t="shared" si="216"/>
        <v>FOR ISSUANCE</v>
      </c>
      <c r="CQ329" s="635"/>
      <c r="CR329" s="697"/>
      <c r="CS329" s="633" t="str">
        <f t="shared" ca="1" si="240"/>
        <v>0</v>
      </c>
      <c r="CT329" s="635"/>
      <c r="CU329" s="631"/>
      <c r="CV329" s="638"/>
      <c r="CW329" s="156" t="s">
        <v>2068</v>
      </c>
      <c r="CX329" s="156" t="str">
        <f>VLOOKUP(E329,'[1]List of Work Orders'!$A:$I,9,FALSE)</f>
        <v>ME166067</v>
      </c>
      <c r="CY329" s="156"/>
      <c r="DA329" s="762">
        <f t="shared" si="208"/>
        <v>4.8229166666642413</v>
      </c>
      <c r="DS329" s="156" t="s">
        <v>397</v>
      </c>
    </row>
    <row r="330" spans="1:123" customFormat="1" ht="15" customHeight="1" x14ac:dyDescent="0.25">
      <c r="A330" s="242">
        <v>45680</v>
      </c>
      <c r="B330" s="222">
        <v>45677</v>
      </c>
      <c r="C330" s="223"/>
      <c r="D330" s="66" t="s">
        <v>234</v>
      </c>
      <c r="E330" s="404" t="s">
        <v>2069</v>
      </c>
      <c r="F330" s="95" t="s">
        <v>2070</v>
      </c>
      <c r="G330" s="95" t="s">
        <v>1799</v>
      </c>
      <c r="H330" s="344" t="s">
        <v>318</v>
      </c>
      <c r="I330" s="95" t="s">
        <v>239</v>
      </c>
      <c r="J330" s="163"/>
      <c r="K330" s="101"/>
      <c r="L330" s="101" t="s">
        <v>263</v>
      </c>
      <c r="M330" s="345" t="s">
        <v>272</v>
      </c>
      <c r="N330" s="442" t="s">
        <v>467</v>
      </c>
      <c r="O330" s="165">
        <v>3.58</v>
      </c>
      <c r="P330" s="933">
        <v>14.98</v>
      </c>
      <c r="Q330" s="157">
        <v>39</v>
      </c>
      <c r="R330" s="109" t="s">
        <v>548</v>
      </c>
      <c r="S330" s="110">
        <v>46265.45</v>
      </c>
      <c r="T330" s="93">
        <v>12871.339999999998</v>
      </c>
      <c r="U330" s="141"/>
      <c r="V330" s="158">
        <f t="shared" si="217"/>
        <v>0</v>
      </c>
      <c r="W330" s="159">
        <v>45672.786805555559</v>
      </c>
      <c r="X330" s="159">
        <v>45678.571527777778</v>
      </c>
      <c r="Y330" s="160">
        <v>45673</v>
      </c>
      <c r="Z330" s="470"/>
      <c r="AA330" s="470">
        <v>45695</v>
      </c>
      <c r="AB330" s="470"/>
      <c r="AC330" s="161">
        <f t="shared" si="218"/>
        <v>22.213194444440887</v>
      </c>
      <c r="AD330" s="161">
        <f t="shared" si="211"/>
        <v>16.428472222221899</v>
      </c>
      <c r="AE330" s="446">
        <f t="shared" si="241"/>
        <v>-45695</v>
      </c>
      <c r="AF330" s="160">
        <f t="shared" si="212"/>
        <v>45691.560999103946</v>
      </c>
      <c r="AG330" s="160">
        <f t="shared" si="209"/>
        <v>45700.367450716847</v>
      </c>
      <c r="AH330" s="159">
        <f t="shared" si="213"/>
        <v>45722.786805555559</v>
      </c>
      <c r="AI330" s="162">
        <f t="shared" si="219"/>
        <v>0.7651211419751861</v>
      </c>
      <c r="AJ330" s="224">
        <f t="shared" si="214"/>
        <v>-761.58333333333337</v>
      </c>
      <c r="AK330" s="225">
        <f t="shared" si="220"/>
        <v>20</v>
      </c>
      <c r="AL330" s="170">
        <f t="shared" si="221"/>
        <v>36</v>
      </c>
      <c r="AM330" s="170">
        <f t="shared" si="222"/>
        <v>21.774193548387096</v>
      </c>
      <c r="AN330" s="170">
        <f t="shared" si="223"/>
        <v>27.58064516129032</v>
      </c>
      <c r="AO330" s="226">
        <f t="shared" si="224"/>
        <v>18.774193548387096</v>
      </c>
      <c r="AP330" s="227">
        <v>60</v>
      </c>
      <c r="AQ330" s="228">
        <f t="shared" si="225"/>
        <v>57</v>
      </c>
      <c r="AR330" s="228">
        <f t="shared" si="210"/>
        <v>52</v>
      </c>
      <c r="AS330" s="229">
        <f t="shared" si="226"/>
        <v>45755</v>
      </c>
      <c r="AT330" s="982">
        <f t="shared" ca="1" si="227"/>
        <v>200</v>
      </c>
      <c r="AU330" s="50"/>
      <c r="AV330" s="51"/>
      <c r="AW330" s="49"/>
      <c r="AX330" s="49"/>
      <c r="AY330" s="49"/>
      <c r="AZ330" s="300"/>
      <c r="BA330" s="52"/>
      <c r="BB330" s="304"/>
      <c r="BC330" s="231" t="s">
        <v>13</v>
      </c>
      <c r="BD330" s="232"/>
      <c r="BE330" s="222">
        <f t="shared" si="207"/>
        <v>45710</v>
      </c>
      <c r="BF330" s="233" t="e">
        <f t="shared" si="215"/>
        <v>#VALUE!</v>
      </c>
      <c r="BG330" s="248"/>
      <c r="BH330" s="235"/>
      <c r="BI330" s="234"/>
      <c r="BJ330" s="236"/>
      <c r="BK330" s="222"/>
      <c r="BL330" s="222"/>
      <c r="BM330" s="238"/>
      <c r="BN330" s="222"/>
      <c r="BO330" s="222"/>
      <c r="BP330" s="243"/>
      <c r="BQ330" s="244"/>
      <c r="BR330" s="238"/>
      <c r="BS330" s="67"/>
      <c r="BT330" s="66"/>
      <c r="BU330" s="66"/>
      <c r="BV330" s="66"/>
      <c r="BW330" s="74"/>
      <c r="BX330" s="81"/>
      <c r="BY330" s="66" t="s">
        <v>308</v>
      </c>
      <c r="BZ330" s="944"/>
      <c r="CA330" s="42" t="str">
        <f t="shared" si="228"/>
        <v>0</v>
      </c>
      <c r="CB330" s="62">
        <f t="shared" si="229"/>
        <v>22.213194444440887</v>
      </c>
      <c r="CC330" s="42">
        <f t="shared" si="230"/>
        <v>0</v>
      </c>
      <c r="CD330" s="62">
        <f t="shared" si="231"/>
        <v>22.213194444440887</v>
      </c>
      <c r="CE330" s="62">
        <f t="shared" si="232"/>
        <v>0.7651211419751861</v>
      </c>
      <c r="CF330" s="145">
        <f t="shared" si="233"/>
        <v>174</v>
      </c>
      <c r="CG330" s="145"/>
      <c r="CH330" s="443">
        <f t="shared" si="234"/>
        <v>6.7584544753085192</v>
      </c>
      <c r="CI330" s="996">
        <f t="shared" si="235"/>
        <v>6.7584544753085192</v>
      </c>
      <c r="CJ330" s="261">
        <f t="shared" si="236"/>
        <v>2.9</v>
      </c>
      <c r="CK330" s="458" t="str">
        <f t="shared" si="237"/>
        <v/>
      </c>
      <c r="CL330" t="str">
        <f t="shared" si="238"/>
        <v>NON-REV</v>
      </c>
      <c r="CM330" t="str">
        <f t="shared" si="239"/>
        <v/>
      </c>
      <c r="CN330" s="635"/>
      <c r="CO330" s="631"/>
      <c r="CP330" s="629" t="str">
        <f t="shared" si="216"/>
        <v>FOR ISSUANCE</v>
      </c>
      <c r="CQ330" s="635"/>
      <c r="CR330" s="697"/>
      <c r="CS330" s="633" t="str">
        <f t="shared" ca="1" si="240"/>
        <v>0</v>
      </c>
      <c r="CT330" s="635"/>
      <c r="CU330" s="631"/>
      <c r="CV330" s="638"/>
      <c r="CW330" s="156" t="s">
        <v>2071</v>
      </c>
      <c r="CX330" s="156" t="str">
        <f>VLOOKUP(E330,'[1]List of Work Orders'!$A:$I,9,FALSE)</f>
        <v>ME155242</v>
      </c>
      <c r="CY330" s="156"/>
      <c r="DA330" s="762">
        <f t="shared" si="208"/>
        <v>5.7847222222189885</v>
      </c>
      <c r="DS330" s="156" t="s">
        <v>397</v>
      </c>
    </row>
    <row r="331" spans="1:123" customFormat="1" ht="15" customHeight="1" x14ac:dyDescent="0.25">
      <c r="A331" s="242">
        <v>45678</v>
      </c>
      <c r="B331" s="222">
        <v>45677</v>
      </c>
      <c r="C331" s="223"/>
      <c r="D331" s="66" t="s">
        <v>320</v>
      </c>
      <c r="E331" s="404" t="s">
        <v>2072</v>
      </c>
      <c r="F331" s="95" t="s">
        <v>2073</v>
      </c>
      <c r="G331" s="95" t="s">
        <v>2074</v>
      </c>
      <c r="H331" s="95" t="s">
        <v>253</v>
      </c>
      <c r="I331" s="95" t="s">
        <v>254</v>
      </c>
      <c r="J331" s="163" t="s">
        <v>2075</v>
      </c>
      <c r="K331" s="101"/>
      <c r="L331" s="101" t="s">
        <v>263</v>
      </c>
      <c r="M331" s="345" t="s">
        <v>331</v>
      </c>
      <c r="N331" s="442" t="s">
        <v>467</v>
      </c>
      <c r="O331" s="165">
        <v>113.85398000000002</v>
      </c>
      <c r="P331" s="165">
        <v>250.35</v>
      </c>
      <c r="Q331" s="157">
        <v>0</v>
      </c>
      <c r="R331" s="109" t="s">
        <v>327</v>
      </c>
      <c r="S331" s="110">
        <v>340822.52</v>
      </c>
      <c r="T331" s="93">
        <v>117184.96000000002</v>
      </c>
      <c r="U331" s="141"/>
      <c r="V331" s="158">
        <f t="shared" si="217"/>
        <v>0</v>
      </c>
      <c r="W331" s="159">
        <v>45672.786805555559</v>
      </c>
      <c r="X331" s="159">
        <v>45677.614583333336</v>
      </c>
      <c r="Y331" s="160">
        <v>45673</v>
      </c>
      <c r="Z331" s="470"/>
      <c r="AA331" s="470"/>
      <c r="AB331" s="470"/>
      <c r="AC331" s="161">
        <f t="shared" si="218"/>
        <v>-45672.786805555559</v>
      </c>
      <c r="AD331" s="161">
        <f t="shared" si="211"/>
        <v>-45677.614583333336</v>
      </c>
      <c r="AE331" s="446">
        <f t="shared" si="241"/>
        <v>0</v>
      </c>
      <c r="AF331" s="160">
        <f t="shared" si="212"/>
        <v>45694.655226608193</v>
      </c>
      <c r="AG331" s="160">
        <f t="shared" si="209"/>
        <v>45704.286805555559</v>
      </c>
      <c r="AH331" s="159">
        <f t="shared" si="213"/>
        <v>45722.786805555559</v>
      </c>
      <c r="AI331" s="162">
        <f t="shared" si="219"/>
        <v>-1377.4332528659611</v>
      </c>
      <c r="AJ331" s="224">
        <f t="shared" si="214"/>
        <v>0</v>
      </c>
      <c r="AK331" s="225">
        <f t="shared" si="220"/>
        <v>28</v>
      </c>
      <c r="AL331" s="170">
        <f t="shared" si="221"/>
        <v>36</v>
      </c>
      <c r="AM331" s="170">
        <f t="shared" si="222"/>
        <v>24.868421052631579</v>
      </c>
      <c r="AN331" s="170">
        <f t="shared" si="223"/>
        <v>31.499999999999996</v>
      </c>
      <c r="AO331" s="226">
        <f t="shared" si="224"/>
        <v>21.868421052631579</v>
      </c>
      <c r="AP331" s="227">
        <v>60</v>
      </c>
      <c r="AQ331" s="228">
        <f t="shared" si="225"/>
        <v>57</v>
      </c>
      <c r="AR331" s="228">
        <f t="shared" si="210"/>
        <v>52</v>
      </c>
      <c r="AS331" s="229">
        <f t="shared" si="226"/>
        <v>60</v>
      </c>
      <c r="AT331" s="982">
        <f t="shared" ca="1" si="227"/>
        <v>45895</v>
      </c>
      <c r="AU331" s="50"/>
      <c r="AV331" s="51"/>
      <c r="AW331" s="49"/>
      <c r="AX331" s="49"/>
      <c r="AY331" s="49"/>
      <c r="AZ331" s="300"/>
      <c r="BA331" s="52"/>
      <c r="BB331" s="304"/>
      <c r="BC331" s="231"/>
      <c r="BD331" s="108"/>
      <c r="BE331" s="222">
        <f t="shared" si="207"/>
        <v>15</v>
      </c>
      <c r="BF331" s="233">
        <f t="shared" si="215"/>
        <v>0</v>
      </c>
      <c r="BG331" s="248"/>
      <c r="BH331" s="235"/>
      <c r="BI331" s="234"/>
      <c r="BJ331" s="237"/>
      <c r="BK331" s="222"/>
      <c r="BL331" s="222"/>
      <c r="BM331" s="238"/>
      <c r="BN331" s="222"/>
      <c r="BO331" s="222"/>
      <c r="BP331" s="243"/>
      <c r="BQ331" s="244"/>
      <c r="BR331" s="238"/>
      <c r="BS331" s="67"/>
      <c r="BT331" s="66"/>
      <c r="BU331" s="66"/>
      <c r="BV331" s="66"/>
      <c r="BW331" s="74"/>
      <c r="BX331" s="81"/>
      <c r="BY331" s="66">
        <v>45678</v>
      </c>
      <c r="BZ331" s="944" t="s">
        <v>2076</v>
      </c>
      <c r="CA331" s="42" t="str">
        <f t="shared" si="228"/>
        <v>0</v>
      </c>
      <c r="CB331" s="62">
        <f t="shared" si="229"/>
        <v>-45672.786805555559</v>
      </c>
      <c r="CC331" s="42">
        <f t="shared" si="230"/>
        <v>0</v>
      </c>
      <c r="CD331" s="62">
        <f t="shared" si="231"/>
        <v>-45672.786805555559</v>
      </c>
      <c r="CE331" s="62">
        <f t="shared" si="232"/>
        <v>-1377.4332528659611</v>
      </c>
      <c r="CF331" s="145" t="str">
        <f t="shared" si="233"/>
        <v>0</v>
      </c>
      <c r="CG331" s="145"/>
      <c r="CH331" s="443">
        <f t="shared" si="234"/>
        <v>5.9175407848323438</v>
      </c>
      <c r="CI331" s="996">
        <f t="shared" si="235"/>
        <v>5.9175407848323438</v>
      </c>
      <c r="CJ331" s="261">
        <f t="shared" si="236"/>
        <v>0</v>
      </c>
      <c r="CK331" s="458">
        <f t="shared" si="237"/>
        <v>183.21319444444089</v>
      </c>
      <c r="CL331" t="str">
        <f t="shared" si="238"/>
        <v>NON-REV</v>
      </c>
      <c r="CM331" t="str">
        <f t="shared" si="239"/>
        <v>7-9 MONTHS</v>
      </c>
      <c r="CN331" s="635"/>
      <c r="CO331" s="631"/>
      <c r="CP331" s="629" t="str">
        <f t="shared" si="216"/>
        <v>FOR ISSUANCE</v>
      </c>
      <c r="CQ331" s="635"/>
      <c r="CR331" s="697"/>
      <c r="CS331" s="633" t="str">
        <f t="shared" ca="1" si="240"/>
        <v>0</v>
      </c>
      <c r="CT331" s="635"/>
      <c r="CU331" s="631"/>
      <c r="CV331" s="638"/>
      <c r="CW331" s="156" t="s">
        <v>2077</v>
      </c>
      <c r="CX331" s="156" t="str">
        <f>VLOOKUP(E331,'[1]List of Work Orders'!$A:$I,9,FALSE)</f>
        <v>ME155242</v>
      </c>
      <c r="CY331" s="156"/>
      <c r="DA331" s="762">
        <f t="shared" si="208"/>
        <v>4.827777777776646</v>
      </c>
      <c r="DS331" s="156" t="s">
        <v>403</v>
      </c>
    </row>
    <row r="332" spans="1:123" customFormat="1" ht="15" customHeight="1" x14ac:dyDescent="0.25">
      <c r="A332" s="242">
        <v>45684</v>
      </c>
      <c r="B332" s="222">
        <v>45679</v>
      </c>
      <c r="C332" s="223"/>
      <c r="D332" s="66" t="s">
        <v>320</v>
      </c>
      <c r="E332" s="404" t="s">
        <v>2078</v>
      </c>
      <c r="F332" s="95" t="s">
        <v>2079</v>
      </c>
      <c r="G332" s="95" t="s">
        <v>2080</v>
      </c>
      <c r="H332" s="95" t="s">
        <v>253</v>
      </c>
      <c r="I332" s="95" t="s">
        <v>254</v>
      </c>
      <c r="J332" s="163"/>
      <c r="K332" s="101"/>
      <c r="L332" s="101" t="s">
        <v>263</v>
      </c>
      <c r="M332" s="345" t="s">
        <v>272</v>
      </c>
      <c r="N332" s="442" t="s">
        <v>467</v>
      </c>
      <c r="O332" s="165">
        <v>152.45469999999995</v>
      </c>
      <c r="P332" s="165">
        <v>508.34</v>
      </c>
      <c r="Q332" s="157">
        <v>9</v>
      </c>
      <c r="R332" s="109" t="s">
        <v>244</v>
      </c>
      <c r="S332" s="110">
        <v>879151.54</v>
      </c>
      <c r="T332" s="93">
        <v>167732.49000000005</v>
      </c>
      <c r="U332" s="141"/>
      <c r="V332" s="158">
        <f t="shared" si="217"/>
        <v>0</v>
      </c>
      <c r="W332" s="159">
        <v>45673.569444444445</v>
      </c>
      <c r="X332" s="159">
        <v>45684.59375</v>
      </c>
      <c r="Y332" s="160">
        <v>45678</v>
      </c>
      <c r="Z332" s="470"/>
      <c r="AA332" s="470">
        <v>45861</v>
      </c>
      <c r="AB332" s="470"/>
      <c r="AC332" s="161">
        <f t="shared" si="218"/>
        <v>187.43055555555475</v>
      </c>
      <c r="AD332" s="161">
        <f t="shared" si="211"/>
        <v>176.40625</v>
      </c>
      <c r="AE332" s="446">
        <f t="shared" si="241"/>
        <v>-45861</v>
      </c>
      <c r="AF332" s="160">
        <f t="shared" si="212"/>
        <v>45698.404495990835</v>
      </c>
      <c r="AG332" s="160">
        <f t="shared" si="209"/>
        <v>45708.827176403211</v>
      </c>
      <c r="AH332" s="159">
        <f t="shared" si="213"/>
        <v>45723.569444444445</v>
      </c>
      <c r="AI332" s="162">
        <f t="shared" si="219"/>
        <v>5.0502121913580025</v>
      </c>
      <c r="AJ332" s="224">
        <f t="shared" si="214"/>
        <v>-764.35</v>
      </c>
      <c r="AK332" s="225">
        <f t="shared" si="220"/>
        <v>40</v>
      </c>
      <c r="AL332" s="170">
        <f t="shared" si="221"/>
        <v>36</v>
      </c>
      <c r="AM332" s="170">
        <f t="shared" si="222"/>
        <v>27.835051546391753</v>
      </c>
      <c r="AN332" s="170">
        <f t="shared" si="223"/>
        <v>35.257731958762882</v>
      </c>
      <c r="AO332" s="226">
        <f t="shared" si="224"/>
        <v>24.835051546391753</v>
      </c>
      <c r="AP332" s="227">
        <v>60</v>
      </c>
      <c r="AQ332" s="228">
        <f t="shared" si="225"/>
        <v>57</v>
      </c>
      <c r="AR332" s="228">
        <f t="shared" si="210"/>
        <v>52</v>
      </c>
      <c r="AS332" s="229">
        <f t="shared" si="226"/>
        <v>45921</v>
      </c>
      <c r="AT332" s="982">
        <f t="shared" ca="1" si="227"/>
        <v>34</v>
      </c>
      <c r="AU332" s="50"/>
      <c r="AV332" s="51"/>
      <c r="AW332" s="49"/>
      <c r="AX332" s="49"/>
      <c r="AY332" s="49"/>
      <c r="AZ332" s="300"/>
      <c r="BA332" s="52"/>
      <c r="BB332" s="304"/>
      <c r="BC332" s="231" t="s">
        <v>13</v>
      </c>
      <c r="BD332" s="232"/>
      <c r="BE332" s="222">
        <f t="shared" si="207"/>
        <v>45876</v>
      </c>
      <c r="BF332" s="233" t="e">
        <f t="shared" si="215"/>
        <v>#VALUE!</v>
      </c>
      <c r="BG332" s="248"/>
      <c r="BH332" s="235"/>
      <c r="BI332" s="234"/>
      <c r="BJ332" s="237"/>
      <c r="BK332" s="222"/>
      <c r="BL332" s="222"/>
      <c r="BM332" s="238"/>
      <c r="BN332" s="222"/>
      <c r="BO332" s="222"/>
      <c r="BP332" s="243"/>
      <c r="BQ332" s="244"/>
      <c r="BR332" s="238"/>
      <c r="BS332" s="67"/>
      <c r="BT332" s="66"/>
      <c r="BU332" s="66"/>
      <c r="BV332" s="66"/>
      <c r="BW332" s="74"/>
      <c r="BX332" s="81"/>
      <c r="BY332" s="66">
        <v>45684</v>
      </c>
      <c r="BZ332" s="944" t="s">
        <v>2081</v>
      </c>
      <c r="CA332" s="42" t="str">
        <f t="shared" si="228"/>
        <v>0</v>
      </c>
      <c r="CB332" s="62">
        <f t="shared" si="229"/>
        <v>187.43055555555475</v>
      </c>
      <c r="CC332" s="42">
        <f t="shared" si="230"/>
        <v>0</v>
      </c>
      <c r="CD332" s="62">
        <f t="shared" si="231"/>
        <v>187.43055555555475</v>
      </c>
      <c r="CE332" s="62">
        <f t="shared" si="232"/>
        <v>5.0502121913580025</v>
      </c>
      <c r="CF332" s="145">
        <f t="shared" si="233"/>
        <v>8</v>
      </c>
      <c r="CG332" s="145"/>
      <c r="CH332" s="443">
        <f t="shared" si="234"/>
        <v>5.2657677469135589</v>
      </c>
      <c r="CI332" s="996">
        <f t="shared" si="235"/>
        <v>5.2657677469135589</v>
      </c>
      <c r="CJ332" s="261">
        <f t="shared" si="236"/>
        <v>0.13333333333333333</v>
      </c>
      <c r="CK332" s="458" t="str">
        <f t="shared" si="237"/>
        <v/>
      </c>
      <c r="CL332" t="str">
        <f t="shared" si="238"/>
        <v>REV</v>
      </c>
      <c r="CM332" t="str">
        <f t="shared" si="239"/>
        <v/>
      </c>
      <c r="CN332" s="635"/>
      <c r="CO332" s="631"/>
      <c r="CP332" s="629" t="str">
        <f t="shared" si="216"/>
        <v>FOR ISSUANCE</v>
      </c>
      <c r="CQ332" s="635"/>
      <c r="CR332" s="697"/>
      <c r="CS332" s="633" t="str">
        <f t="shared" ca="1" si="240"/>
        <v>0</v>
      </c>
      <c r="CT332" s="635"/>
      <c r="CU332" s="631"/>
      <c r="CV332" s="638"/>
      <c r="CW332" s="156" t="s">
        <v>2082</v>
      </c>
      <c r="CX332" s="156" t="str">
        <f>VLOOKUP(E332,'[1]List of Work Orders'!$A:$I,9,FALSE)</f>
        <v>ME155242</v>
      </c>
      <c r="CY332" s="156"/>
      <c r="DA332" s="762">
        <f t="shared" si="208"/>
        <v>11.024305555554747</v>
      </c>
      <c r="DS332" s="156" t="s">
        <v>403</v>
      </c>
    </row>
    <row r="333" spans="1:123" customFormat="1" ht="15" customHeight="1" x14ac:dyDescent="0.25">
      <c r="A333" s="242">
        <v>45684</v>
      </c>
      <c r="B333" s="222">
        <v>45679</v>
      </c>
      <c r="C333" s="223"/>
      <c r="D333" s="66" t="s">
        <v>320</v>
      </c>
      <c r="E333" s="404" t="s">
        <v>2083</v>
      </c>
      <c r="F333" s="95" t="s">
        <v>2084</v>
      </c>
      <c r="G333" s="95" t="s">
        <v>2085</v>
      </c>
      <c r="H333" s="95" t="s">
        <v>238</v>
      </c>
      <c r="I333" s="95" t="s">
        <v>239</v>
      </c>
      <c r="J333" s="163"/>
      <c r="K333" s="101"/>
      <c r="L333" s="101" t="s">
        <v>288</v>
      </c>
      <c r="M333" s="345" t="s">
        <v>272</v>
      </c>
      <c r="N333" s="442" t="s">
        <v>381</v>
      </c>
      <c r="O333" s="165">
        <v>187.62200000000001</v>
      </c>
      <c r="P333" s="165">
        <v>497.95</v>
      </c>
      <c r="Q333" s="157">
        <v>100</v>
      </c>
      <c r="R333" s="109" t="s">
        <v>244</v>
      </c>
      <c r="S333" s="110">
        <v>910341.91</v>
      </c>
      <c r="T333" s="93">
        <v>150333.31</v>
      </c>
      <c r="U333" s="141"/>
      <c r="V333" s="158">
        <f t="shared" si="217"/>
        <v>0</v>
      </c>
      <c r="W333" s="159">
        <v>45673.572222222225</v>
      </c>
      <c r="X333" s="159">
        <v>45680.540277777778</v>
      </c>
      <c r="Y333" s="160">
        <v>45678</v>
      </c>
      <c r="Z333" s="470"/>
      <c r="AA333" s="470">
        <v>45872.338888888888</v>
      </c>
      <c r="AB333" s="470"/>
      <c r="AC333" s="161">
        <f t="shared" si="218"/>
        <v>198.76666666666279</v>
      </c>
      <c r="AD333" s="161">
        <f t="shared" si="211"/>
        <v>191.79861111110949</v>
      </c>
      <c r="AE333" s="446">
        <f t="shared" si="241"/>
        <v>-45872.338888888888</v>
      </c>
      <c r="AF333" s="160">
        <f t="shared" si="212"/>
        <v>45695.602897068849</v>
      </c>
      <c r="AG333" s="160">
        <f t="shared" si="209"/>
        <v>45705.27774369462</v>
      </c>
      <c r="AH333" s="159">
        <f t="shared" si="213"/>
        <v>45723.572222222225</v>
      </c>
      <c r="AI333" s="162">
        <f t="shared" si="219"/>
        <v>5.9556924019606674</v>
      </c>
      <c r="AJ333" s="224">
        <f t="shared" si="214"/>
        <v>-764.53898148148141</v>
      </c>
      <c r="AK333" s="225">
        <f t="shared" si="220"/>
        <v>32</v>
      </c>
      <c r="AL333" s="170">
        <f t="shared" si="221"/>
        <v>34</v>
      </c>
      <c r="AM333" s="170">
        <f t="shared" si="222"/>
        <v>25.030674846625768</v>
      </c>
      <c r="AN333" s="170">
        <f t="shared" si="223"/>
        <v>31.70552147239264</v>
      </c>
      <c r="AO333" s="226">
        <f t="shared" si="224"/>
        <v>22.030674846625768</v>
      </c>
      <c r="AP333" s="227">
        <v>60</v>
      </c>
      <c r="AQ333" s="228">
        <f t="shared" si="225"/>
        <v>57</v>
      </c>
      <c r="AR333" s="228">
        <f t="shared" si="210"/>
        <v>52</v>
      </c>
      <c r="AS333" s="229">
        <f t="shared" si="226"/>
        <v>45932.338888888888</v>
      </c>
      <c r="AT333" s="982">
        <f t="shared" ca="1" si="227"/>
        <v>22.661111111112405</v>
      </c>
      <c r="AU333" s="50" t="s">
        <v>60</v>
      </c>
      <c r="AV333" s="51" t="s">
        <v>247</v>
      </c>
      <c r="AW333" s="49" t="s">
        <v>247</v>
      </c>
      <c r="AX333" s="49"/>
      <c r="AY333" s="49"/>
      <c r="AZ333" s="300">
        <v>45737</v>
      </c>
      <c r="BA333" s="52">
        <f>BB333-AZ333</f>
        <v>102</v>
      </c>
      <c r="BB333" s="304">
        <v>45839</v>
      </c>
      <c r="BC333" s="231" t="s">
        <v>13</v>
      </c>
      <c r="BD333" s="232"/>
      <c r="BE333" s="222">
        <f t="shared" si="207"/>
        <v>45887.338888888888</v>
      </c>
      <c r="BF333" s="233" t="e">
        <f t="shared" si="215"/>
        <v>#VALUE!</v>
      </c>
      <c r="BG333" s="248"/>
      <c r="BH333" s="235"/>
      <c r="BI333" s="234"/>
      <c r="BJ333" s="236"/>
      <c r="BK333" s="222"/>
      <c r="BL333" s="222"/>
      <c r="BM333" s="238"/>
      <c r="BN333" s="222"/>
      <c r="BO333" s="222"/>
      <c r="BP333" s="243"/>
      <c r="BQ333" s="244"/>
      <c r="BR333" s="238"/>
      <c r="BS333" s="67"/>
      <c r="BT333" s="66"/>
      <c r="BU333" s="66"/>
      <c r="BV333" s="66"/>
      <c r="BW333" s="74"/>
      <c r="BX333" s="81"/>
      <c r="BY333" s="66">
        <v>45684</v>
      </c>
      <c r="BZ333" s="944" t="s">
        <v>2086</v>
      </c>
      <c r="CA333" s="42" t="str">
        <f t="shared" si="228"/>
        <v>0</v>
      </c>
      <c r="CB333" s="62">
        <f t="shared" si="229"/>
        <v>198.76666666666279</v>
      </c>
      <c r="CC333" s="42">
        <f t="shared" si="230"/>
        <v>102</v>
      </c>
      <c r="CD333" s="62">
        <f t="shared" si="231"/>
        <v>96.766666666662786</v>
      </c>
      <c r="CE333" s="62">
        <f t="shared" si="232"/>
        <v>2.8994424019606679</v>
      </c>
      <c r="CF333" s="145">
        <f t="shared" si="233"/>
        <v>-3.3388888888875954</v>
      </c>
      <c r="CG333" s="145">
        <f xml:space="preserve"> (0.3)*(($CF$1-W333-CF333)/AK333)+(0.7)*(($CF$1-W333-CF333)/AL333)</f>
        <v>5.9556924019606674</v>
      </c>
      <c r="CH333" s="443">
        <f t="shared" si="234"/>
        <v>5.8556484885620144</v>
      </c>
      <c r="CI333" s="996">
        <f t="shared" si="235"/>
        <v>-0.10004391339865304</v>
      </c>
      <c r="CJ333" s="261">
        <f t="shared" si="236"/>
        <v>-5.5648148148126589E-2</v>
      </c>
      <c r="CK333" s="458" t="str">
        <f t="shared" si="237"/>
        <v/>
      </c>
      <c r="CL333" t="str">
        <f t="shared" si="238"/>
        <v>REV</v>
      </c>
      <c r="CM333" t="str">
        <f t="shared" si="239"/>
        <v/>
      </c>
      <c r="CN333" s="635"/>
      <c r="CO333" s="631"/>
      <c r="CP333" s="629" t="str">
        <f t="shared" si="216"/>
        <v>FOR ISSUANCE</v>
      </c>
      <c r="CQ333" s="635"/>
      <c r="CR333" s="697"/>
      <c r="CS333" s="633" t="str">
        <f t="shared" ca="1" si="240"/>
        <v>0</v>
      </c>
      <c r="CT333" s="635"/>
      <c r="CU333" s="631"/>
      <c r="CV333" s="638"/>
      <c r="CW333" s="156" t="s">
        <v>2087</v>
      </c>
      <c r="CX333" s="156" t="str">
        <f>VLOOKUP(E333,'[1]List of Work Orders'!$A:$I,9,FALSE)</f>
        <v>ME185284</v>
      </c>
      <c r="CY333" s="156"/>
      <c r="DA333" s="762">
        <f t="shared" si="208"/>
        <v>6.9680555555532919</v>
      </c>
      <c r="DS333" s="156" t="s">
        <v>381</v>
      </c>
    </row>
    <row r="334" spans="1:123" customFormat="1" ht="15" customHeight="1" x14ac:dyDescent="0.25">
      <c r="A334" s="242">
        <v>45684</v>
      </c>
      <c r="B334" s="222">
        <v>45679</v>
      </c>
      <c r="C334" s="223"/>
      <c r="D334" s="66" t="s">
        <v>284</v>
      </c>
      <c r="E334" s="404" t="s">
        <v>2088</v>
      </c>
      <c r="F334" s="95" t="s">
        <v>2089</v>
      </c>
      <c r="G334" s="95" t="s">
        <v>2090</v>
      </c>
      <c r="H334" s="348" t="s">
        <v>318</v>
      </c>
      <c r="I334" s="95" t="s">
        <v>239</v>
      </c>
      <c r="J334" s="163"/>
      <c r="K334" s="101"/>
      <c r="L334" s="101" t="s">
        <v>242</v>
      </c>
      <c r="M334" s="345" t="s">
        <v>272</v>
      </c>
      <c r="N334" s="442" t="s">
        <v>467</v>
      </c>
      <c r="O334" s="165">
        <v>12.043299999999999</v>
      </c>
      <c r="P334" s="933">
        <v>18.350000000000001</v>
      </c>
      <c r="Q334" s="157">
        <v>54</v>
      </c>
      <c r="R334" s="109" t="s">
        <v>244</v>
      </c>
      <c r="S334" s="110">
        <v>235553.06</v>
      </c>
      <c r="T334" s="93">
        <v>14779.449999999999</v>
      </c>
      <c r="U334" s="141">
        <v>10702.08</v>
      </c>
      <c r="V334" s="158">
        <f t="shared" si="217"/>
        <v>0.72411896247830609</v>
      </c>
      <c r="W334" s="159">
        <v>45673.59652777778</v>
      </c>
      <c r="X334" s="159">
        <v>45684.581250000003</v>
      </c>
      <c r="Y334" s="160">
        <v>45678</v>
      </c>
      <c r="Z334" s="470"/>
      <c r="AA334" s="470">
        <v>45693</v>
      </c>
      <c r="AB334" s="470"/>
      <c r="AC334" s="161">
        <f t="shared" si="218"/>
        <v>19.403472222220444</v>
      </c>
      <c r="AD334" s="161">
        <f t="shared" si="211"/>
        <v>8.4187499999970896</v>
      </c>
      <c r="AE334" s="446">
        <f t="shared" si="241"/>
        <v>-45693</v>
      </c>
      <c r="AF334" s="160">
        <f t="shared" si="212"/>
        <v>45691.670907943066</v>
      </c>
      <c r="AG334" s="160">
        <f t="shared" si="209"/>
        <v>45700.290742653815</v>
      </c>
      <c r="AH334" s="159">
        <f t="shared" si="213"/>
        <v>45723.59652777778</v>
      </c>
      <c r="AI334" s="162">
        <f t="shared" si="219"/>
        <v>0.69053533496725694</v>
      </c>
      <c r="AJ334" s="224">
        <f t="shared" si="214"/>
        <v>-761.55</v>
      </c>
      <c r="AK334" s="225">
        <f t="shared" si="220"/>
        <v>20</v>
      </c>
      <c r="AL334" s="170">
        <f t="shared" si="221"/>
        <v>34</v>
      </c>
      <c r="AM334" s="170">
        <f t="shared" si="222"/>
        <v>21.074380165289259</v>
      </c>
      <c r="AN334" s="170">
        <f t="shared" si="223"/>
        <v>26.694214876033058</v>
      </c>
      <c r="AO334" s="226">
        <f t="shared" si="224"/>
        <v>18.074380165289259</v>
      </c>
      <c r="AP334" s="227">
        <v>60</v>
      </c>
      <c r="AQ334" s="228">
        <f t="shared" si="225"/>
        <v>57</v>
      </c>
      <c r="AR334" s="228">
        <f t="shared" si="210"/>
        <v>52</v>
      </c>
      <c r="AS334" s="229">
        <f t="shared" si="226"/>
        <v>45753</v>
      </c>
      <c r="AT334" s="982">
        <f t="shared" ca="1" si="227"/>
        <v>202</v>
      </c>
      <c r="AU334" s="50"/>
      <c r="AV334" s="51"/>
      <c r="AW334" s="49"/>
      <c r="AX334" s="49"/>
      <c r="AY334" s="49"/>
      <c r="AZ334" s="300"/>
      <c r="BA334" s="52"/>
      <c r="BB334" s="304"/>
      <c r="BC334" s="231" t="s">
        <v>12</v>
      </c>
      <c r="BD334" s="906" t="s">
        <v>601</v>
      </c>
      <c r="BE334" s="222">
        <f t="shared" si="207"/>
        <v>45708</v>
      </c>
      <c r="BF334" s="233">
        <f t="shared" si="215"/>
        <v>15</v>
      </c>
      <c r="BG334" s="248">
        <v>45693</v>
      </c>
      <c r="BH334" s="235">
        <v>45723</v>
      </c>
      <c r="BI334" s="234"/>
      <c r="BJ334" s="236"/>
      <c r="BK334" s="222"/>
      <c r="BL334" s="222"/>
      <c r="BM334" s="238"/>
      <c r="BN334" s="222"/>
      <c r="BO334" s="222"/>
      <c r="BP334" s="243"/>
      <c r="BQ334" s="244" t="s">
        <v>247</v>
      </c>
      <c r="BR334" s="238">
        <v>45693</v>
      </c>
      <c r="BS334" s="67"/>
      <c r="BT334" s="66"/>
      <c r="BU334" s="66"/>
      <c r="BV334" s="66"/>
      <c r="BW334" s="74"/>
      <c r="BX334" s="81"/>
      <c r="BY334" s="66">
        <v>45684</v>
      </c>
      <c r="BZ334" s="944" t="s">
        <v>2091</v>
      </c>
      <c r="CA334" s="42" t="str">
        <f t="shared" si="228"/>
        <v>0</v>
      </c>
      <c r="CB334" s="62">
        <f t="shared" si="229"/>
        <v>19.403472222220444</v>
      </c>
      <c r="CC334" s="42">
        <f t="shared" si="230"/>
        <v>0</v>
      </c>
      <c r="CD334" s="62">
        <f t="shared" si="231"/>
        <v>19.403472222220444</v>
      </c>
      <c r="CE334" s="62">
        <f t="shared" si="232"/>
        <v>0.69053533496725694</v>
      </c>
      <c r="CF334" s="145">
        <f t="shared" si="233"/>
        <v>176</v>
      </c>
      <c r="CG334" s="145"/>
      <c r="CH334" s="443">
        <f t="shared" si="234"/>
        <v>6.9540647467319632</v>
      </c>
      <c r="CI334" s="996">
        <f t="shared" si="235"/>
        <v>6.9540647467319632</v>
      </c>
      <c r="CJ334" s="261">
        <f t="shared" si="236"/>
        <v>2.9333333333333331</v>
      </c>
      <c r="CK334" s="458" t="str">
        <f t="shared" si="237"/>
        <v/>
      </c>
      <c r="CL334" t="str">
        <f t="shared" si="238"/>
        <v>REV</v>
      </c>
      <c r="CM334" t="str">
        <f t="shared" si="239"/>
        <v/>
      </c>
      <c r="CN334" s="635"/>
      <c r="CO334" s="631"/>
      <c r="CP334" s="629" t="str">
        <f t="shared" si="216"/>
        <v>FOR ISSUANCE</v>
      </c>
      <c r="CQ334" s="635"/>
      <c r="CR334" s="697"/>
      <c r="CS334" s="633" t="str">
        <f t="shared" ca="1" si="240"/>
        <v>0</v>
      </c>
      <c r="CT334" s="635"/>
      <c r="CU334" s="631"/>
      <c r="CV334" s="638"/>
      <c r="CW334" s="156" t="s">
        <v>2092</v>
      </c>
      <c r="CX334" s="156" t="str">
        <f>VLOOKUP(E334,'[1]List of Work Orders'!$A:$I,9,FALSE)</f>
        <v>ME155242</v>
      </c>
      <c r="CY334" s="156"/>
      <c r="CZ334" s="63"/>
      <c r="DA334" s="762">
        <f t="shared" si="208"/>
        <v>10.984722222223354</v>
      </c>
      <c r="DS334" s="156" t="s">
        <v>381</v>
      </c>
    </row>
    <row r="335" spans="1:123" customFormat="1" ht="15" customHeight="1" x14ac:dyDescent="0.25">
      <c r="A335" s="242">
        <v>45684</v>
      </c>
      <c r="B335" s="222">
        <v>45679</v>
      </c>
      <c r="C335" s="223"/>
      <c r="D335" s="66" t="s">
        <v>320</v>
      </c>
      <c r="E335" s="404" t="s">
        <v>2093</v>
      </c>
      <c r="F335" s="95" t="s">
        <v>2094</v>
      </c>
      <c r="G335" s="95" t="s">
        <v>2095</v>
      </c>
      <c r="H335" s="344" t="s">
        <v>318</v>
      </c>
      <c r="I335" s="95" t="s">
        <v>239</v>
      </c>
      <c r="J335" s="163"/>
      <c r="K335" s="101"/>
      <c r="L335" s="101" t="s">
        <v>5</v>
      </c>
      <c r="M335" s="345" t="s">
        <v>272</v>
      </c>
      <c r="N335" s="442" t="s">
        <v>403</v>
      </c>
      <c r="O335" s="165">
        <v>57.179499999999997</v>
      </c>
      <c r="P335" s="933">
        <v>91.42</v>
      </c>
      <c r="Q335" s="157">
        <v>80</v>
      </c>
      <c r="R335" s="109" t="s">
        <v>244</v>
      </c>
      <c r="S335" s="110">
        <v>402458.69</v>
      </c>
      <c r="T335" s="93">
        <v>52921.159999999996</v>
      </c>
      <c r="U335" s="141">
        <v>33495.040000000001</v>
      </c>
      <c r="V335" s="158">
        <f t="shared" si="217"/>
        <v>0.6329233901902378</v>
      </c>
      <c r="W335" s="159">
        <v>45673.689583333333</v>
      </c>
      <c r="X335" s="159">
        <v>45680.538888888892</v>
      </c>
      <c r="Y335" s="160">
        <v>45678</v>
      </c>
      <c r="Z335" s="470"/>
      <c r="AA335" s="470">
        <v>45703</v>
      </c>
      <c r="AB335" s="470"/>
      <c r="AC335" s="161">
        <f t="shared" si="218"/>
        <v>29.310416666667152</v>
      </c>
      <c r="AD335" s="161">
        <f t="shared" si="211"/>
        <v>22.461111111108039</v>
      </c>
      <c r="AE335" s="446">
        <f t="shared" si="241"/>
        <v>-45703</v>
      </c>
      <c r="AF335" s="160">
        <f t="shared" si="212"/>
        <v>45692.989963561471</v>
      </c>
      <c r="AG335" s="160">
        <f t="shared" si="209"/>
        <v>45701.936731622307</v>
      </c>
      <c r="AH335" s="159">
        <f t="shared" si="213"/>
        <v>45723.689583333333</v>
      </c>
      <c r="AI335" s="162">
        <f t="shared" si="219"/>
        <v>0.98575953751067269</v>
      </c>
      <c r="AJ335" s="224">
        <f t="shared" si="214"/>
        <v>-761.7166666666667</v>
      </c>
      <c r="AK335" s="225">
        <f t="shared" si="220"/>
        <v>23</v>
      </c>
      <c r="AL335" s="170">
        <f t="shared" si="221"/>
        <v>34</v>
      </c>
      <c r="AM335" s="170">
        <f t="shared" si="222"/>
        <v>22.300380228136884</v>
      </c>
      <c r="AN335" s="170">
        <f t="shared" si="223"/>
        <v>28.247148288973385</v>
      </c>
      <c r="AO335" s="226">
        <f t="shared" si="224"/>
        <v>19.300380228136884</v>
      </c>
      <c r="AP335" s="227">
        <v>60</v>
      </c>
      <c r="AQ335" s="228">
        <f t="shared" si="225"/>
        <v>57</v>
      </c>
      <c r="AR335" s="228">
        <f t="shared" si="210"/>
        <v>52</v>
      </c>
      <c r="AS335" s="229">
        <f t="shared" si="226"/>
        <v>45763</v>
      </c>
      <c r="AT335" s="982">
        <f t="shared" ca="1" si="227"/>
        <v>192</v>
      </c>
      <c r="AU335" s="50"/>
      <c r="AV335" s="51"/>
      <c r="AW335" s="49"/>
      <c r="AX335" s="49"/>
      <c r="AY335" s="49"/>
      <c r="AZ335" s="300"/>
      <c r="BA335" s="52"/>
      <c r="BB335" s="304"/>
      <c r="BC335" s="231" t="s">
        <v>146</v>
      </c>
      <c r="BD335" s="906" t="s">
        <v>2096</v>
      </c>
      <c r="BE335" s="222">
        <f t="shared" si="207"/>
        <v>45718</v>
      </c>
      <c r="BF335" s="233">
        <f t="shared" si="215"/>
        <v>-3</v>
      </c>
      <c r="BG335" s="248">
        <v>45703</v>
      </c>
      <c r="BH335" s="235">
        <v>45715</v>
      </c>
      <c r="BI335" s="234">
        <v>45777</v>
      </c>
      <c r="BJ335" s="250" t="s">
        <v>2097</v>
      </c>
      <c r="BK335" s="222" t="s">
        <v>247</v>
      </c>
      <c r="BL335" s="222"/>
      <c r="BM335" s="238"/>
      <c r="BN335" s="222"/>
      <c r="BO335" s="222"/>
      <c r="BP335" s="243"/>
      <c r="BQ335" s="244" t="s">
        <v>247</v>
      </c>
      <c r="BR335" s="238">
        <v>45702</v>
      </c>
      <c r="BS335" s="67"/>
      <c r="BT335" s="66"/>
      <c r="BU335" s="66"/>
      <c r="BV335" s="66"/>
      <c r="BW335" s="74"/>
      <c r="BX335" s="81"/>
      <c r="BY335" s="66">
        <v>45684</v>
      </c>
      <c r="BZ335" s="944" t="s">
        <v>2098</v>
      </c>
      <c r="CA335" s="42" t="str">
        <f t="shared" si="228"/>
        <v>0</v>
      </c>
      <c r="CB335" s="62">
        <f t="shared" si="229"/>
        <v>29.310416666667152</v>
      </c>
      <c r="CC335" s="42">
        <f t="shared" si="230"/>
        <v>0</v>
      </c>
      <c r="CD335" s="62">
        <f t="shared" si="231"/>
        <v>29.310416666667152</v>
      </c>
      <c r="CE335" s="62">
        <f t="shared" si="232"/>
        <v>0.98575953751067269</v>
      </c>
      <c r="CF335" s="145">
        <f t="shared" si="233"/>
        <v>166</v>
      </c>
      <c r="CG335" s="145"/>
      <c r="CH335" s="443">
        <f t="shared" si="234"/>
        <v>6.5686239876385493</v>
      </c>
      <c r="CI335" s="996">
        <f t="shared" si="235"/>
        <v>6.5686239876385493</v>
      </c>
      <c r="CJ335" s="261">
        <f t="shared" si="236"/>
        <v>2.7666666666666666</v>
      </c>
      <c r="CK335" s="458" t="str">
        <f t="shared" si="237"/>
        <v/>
      </c>
      <c r="CL335" t="str">
        <f t="shared" si="238"/>
        <v>REV</v>
      </c>
      <c r="CM335" t="str">
        <f t="shared" si="239"/>
        <v/>
      </c>
      <c r="CN335" s="635"/>
      <c r="CO335" s="631"/>
      <c r="CP335" s="629" t="str">
        <f t="shared" si="216"/>
        <v>FOR ISSUANCE</v>
      </c>
      <c r="CQ335" s="635"/>
      <c r="CR335" s="697"/>
      <c r="CS335" s="633" t="str">
        <f t="shared" ca="1" si="240"/>
        <v>0</v>
      </c>
      <c r="CT335" s="635"/>
      <c r="CU335" s="631"/>
      <c r="CV335" s="638"/>
      <c r="CW335" s="156" t="s">
        <v>2099</v>
      </c>
      <c r="CX335" s="156" t="str">
        <f>VLOOKUP(E335,'[1]List of Work Orders'!$A:$I,9,FALSE)</f>
        <v>ME166067</v>
      </c>
      <c r="CY335" s="156"/>
      <c r="DA335" s="762">
        <f t="shared" si="208"/>
        <v>6.8493055555591127</v>
      </c>
      <c r="DS335" s="156" t="s">
        <v>381</v>
      </c>
    </row>
    <row r="336" spans="1:123" ht="15" customHeight="1" x14ac:dyDescent="0.2">
      <c r="A336" s="242">
        <v>45684</v>
      </c>
      <c r="B336" s="222">
        <v>45679</v>
      </c>
      <c r="C336" s="223"/>
      <c r="D336" s="66" t="s">
        <v>320</v>
      </c>
      <c r="E336" s="404" t="s">
        <v>2100</v>
      </c>
      <c r="F336" s="95" t="s">
        <v>2101</v>
      </c>
      <c r="G336" s="95" t="s">
        <v>1709</v>
      </c>
      <c r="H336" s="95" t="s">
        <v>238</v>
      </c>
      <c r="I336" s="95" t="s">
        <v>239</v>
      </c>
      <c r="J336" s="163"/>
      <c r="K336" s="101"/>
      <c r="L336" s="101" t="s">
        <v>255</v>
      </c>
      <c r="M336" s="345" t="s">
        <v>272</v>
      </c>
      <c r="N336" s="442" t="s">
        <v>381</v>
      </c>
      <c r="O336" s="165">
        <v>33.738500000000002</v>
      </c>
      <c r="P336" s="933">
        <v>38.17</v>
      </c>
      <c r="Q336" s="157">
        <v>24</v>
      </c>
      <c r="R336" s="109" t="s">
        <v>244</v>
      </c>
      <c r="S336" s="110">
        <v>279847.61</v>
      </c>
      <c r="T336" s="93">
        <v>32794.14</v>
      </c>
      <c r="U336" s="141"/>
      <c r="V336" s="158">
        <f t="shared" si="217"/>
        <v>0</v>
      </c>
      <c r="W336" s="159">
        <v>45673.697222222225</v>
      </c>
      <c r="X336" s="159">
        <v>45684.588194444441</v>
      </c>
      <c r="Y336" s="160">
        <v>45678</v>
      </c>
      <c r="Z336" s="470"/>
      <c r="AA336" s="470">
        <v>45789</v>
      </c>
      <c r="AB336" s="470"/>
      <c r="AC336" s="161">
        <f t="shared" si="218"/>
        <v>115.30277777777519</v>
      </c>
      <c r="AD336" s="161">
        <f t="shared" si="211"/>
        <v>104.41180555555911</v>
      </c>
      <c r="AE336" s="446">
        <f t="shared" si="241"/>
        <v>-45789</v>
      </c>
      <c r="AF336" s="160">
        <f t="shared" si="212"/>
        <v>45692.471415770611</v>
      </c>
      <c r="AG336" s="160">
        <f t="shared" si="209"/>
        <v>45701.277867383513</v>
      </c>
      <c r="AH336" s="159">
        <f t="shared" si="213"/>
        <v>45723.697222222225</v>
      </c>
      <c r="AI336" s="162">
        <f t="shared" si="219"/>
        <v>3.9715401234567009</v>
      </c>
      <c r="AJ336" s="224">
        <f t="shared" si="214"/>
        <v>-763.15</v>
      </c>
      <c r="AK336" s="225">
        <f t="shared" si="220"/>
        <v>20</v>
      </c>
      <c r="AL336" s="170">
        <f t="shared" si="221"/>
        <v>36</v>
      </c>
      <c r="AM336" s="170">
        <f t="shared" si="222"/>
        <v>21.774193548387096</v>
      </c>
      <c r="AN336" s="170">
        <f t="shared" si="223"/>
        <v>27.58064516129032</v>
      </c>
      <c r="AO336" s="226">
        <f t="shared" si="224"/>
        <v>18.774193548387096</v>
      </c>
      <c r="AP336" s="227">
        <v>60</v>
      </c>
      <c r="AQ336" s="228">
        <f t="shared" si="225"/>
        <v>57</v>
      </c>
      <c r="AR336" s="228">
        <f t="shared" si="210"/>
        <v>52</v>
      </c>
      <c r="AS336" s="229">
        <f t="shared" si="226"/>
        <v>45849</v>
      </c>
      <c r="AT336" s="982">
        <f t="shared" ca="1" si="227"/>
        <v>106</v>
      </c>
      <c r="AU336" s="1077"/>
      <c r="AV336" s="1092"/>
      <c r="AW336" s="1079"/>
      <c r="AX336" s="1079"/>
      <c r="AY336" s="1079"/>
      <c r="AZ336" s="1080"/>
      <c r="BA336" s="1101"/>
      <c r="BB336" s="1091"/>
      <c r="BC336" s="231" t="s">
        <v>13</v>
      </c>
      <c r="BD336" s="232"/>
      <c r="BE336" s="222">
        <f t="shared" si="207"/>
        <v>45804</v>
      </c>
      <c r="BF336" s="233" t="e">
        <f t="shared" si="215"/>
        <v>#VALUE!</v>
      </c>
      <c r="BG336" s="248"/>
      <c r="BH336" s="235"/>
      <c r="BI336" s="234"/>
      <c r="BJ336" s="236"/>
      <c r="BK336" s="222"/>
      <c r="BL336" s="222"/>
      <c r="BM336" s="238"/>
      <c r="BN336" s="222"/>
      <c r="BO336" s="222"/>
      <c r="BP336" s="243"/>
      <c r="BQ336" s="244" t="s">
        <v>247</v>
      </c>
      <c r="BR336" s="238">
        <v>45784</v>
      </c>
      <c r="BS336" s="67"/>
      <c r="BT336" s="66"/>
      <c r="BU336" s="66"/>
      <c r="BV336" s="66"/>
      <c r="BW336" s="74"/>
      <c r="BX336" s="81"/>
      <c r="BY336" s="66">
        <v>45684</v>
      </c>
      <c r="BZ336" s="944" t="s">
        <v>2102</v>
      </c>
      <c r="CA336" s="42" t="str">
        <f t="shared" si="228"/>
        <v>0</v>
      </c>
      <c r="CB336" s="62">
        <f t="shared" si="229"/>
        <v>115.30277777777519</v>
      </c>
      <c r="CC336" s="42">
        <f t="shared" si="230"/>
        <v>0</v>
      </c>
      <c r="CD336" s="62">
        <f t="shared" si="231"/>
        <v>115.30277777777519</v>
      </c>
      <c r="CE336" s="62">
        <f t="shared" si="232"/>
        <v>3.9715401234567009</v>
      </c>
      <c r="CF336" s="1059">
        <f t="shared" si="233"/>
        <v>80</v>
      </c>
      <c r="CH336" s="1082">
        <f t="shared" si="234"/>
        <v>6.7270956790122565</v>
      </c>
      <c r="CI336" s="1083">
        <f t="shared" si="235"/>
        <v>6.7270956790122565</v>
      </c>
      <c r="CJ336" s="1084">
        <f t="shared" si="236"/>
        <v>1.3333333333333333</v>
      </c>
      <c r="CK336" s="1085" t="str">
        <f t="shared" si="237"/>
        <v/>
      </c>
      <c r="CL336" s="1057" t="str">
        <f t="shared" si="238"/>
        <v>REV</v>
      </c>
      <c r="CM336" s="1057" t="str">
        <f t="shared" si="239"/>
        <v/>
      </c>
      <c r="CN336" s="1086"/>
      <c r="CO336" s="1087"/>
      <c r="CP336" s="629" t="str">
        <f t="shared" si="216"/>
        <v>FOR ISSUANCE</v>
      </c>
      <c r="CQ336" s="1086"/>
      <c r="CR336" s="1088"/>
      <c r="CS336" s="1089" t="str">
        <f t="shared" ca="1" si="240"/>
        <v>0</v>
      </c>
      <c r="CT336" s="1086"/>
      <c r="CU336" s="1087"/>
      <c r="CV336" s="1090"/>
      <c r="CW336" s="156" t="s">
        <v>2103</v>
      </c>
      <c r="CX336" s="156" t="str">
        <f>VLOOKUP(E336,'[1]List of Work Orders'!$A:$I,9,FALSE)</f>
        <v>ME185284</v>
      </c>
      <c r="CY336" s="156"/>
      <c r="DA336" s="1100">
        <f t="shared" si="208"/>
        <v>10.890972222216078</v>
      </c>
      <c r="DS336" s="156" t="s">
        <v>381</v>
      </c>
    </row>
    <row r="337" spans="1:123" customFormat="1" ht="15" customHeight="1" x14ac:dyDescent="0.25">
      <c r="A337" s="242">
        <v>45684</v>
      </c>
      <c r="B337" s="222">
        <v>45679</v>
      </c>
      <c r="C337" s="223"/>
      <c r="D337" s="66" t="s">
        <v>234</v>
      </c>
      <c r="E337" s="404" t="s">
        <v>2104</v>
      </c>
      <c r="F337" s="95" t="s">
        <v>926</v>
      </c>
      <c r="G337" s="95" t="s">
        <v>2105</v>
      </c>
      <c r="H337" s="348" t="s">
        <v>378</v>
      </c>
      <c r="I337" s="95" t="s">
        <v>239</v>
      </c>
      <c r="J337" s="168" t="s">
        <v>2106</v>
      </c>
      <c r="K337" s="101"/>
      <c r="L337" s="101" t="s">
        <v>288</v>
      </c>
      <c r="M337" s="345" t="s">
        <v>272</v>
      </c>
      <c r="N337" s="442" t="s">
        <v>381</v>
      </c>
      <c r="O337" s="165">
        <v>153.23589999999999</v>
      </c>
      <c r="P337" s="933">
        <v>214.08</v>
      </c>
      <c r="Q337" s="157">
        <v>22</v>
      </c>
      <c r="R337" s="109" t="s">
        <v>244</v>
      </c>
      <c r="S337" s="110">
        <v>554173.09</v>
      </c>
      <c r="T337" s="93">
        <v>123019.83</v>
      </c>
      <c r="U337" s="141"/>
      <c r="V337" s="158">
        <f t="shared" si="217"/>
        <v>0</v>
      </c>
      <c r="W337" s="159">
        <v>45674.388888888891</v>
      </c>
      <c r="X337" s="159">
        <v>45680.541666666664</v>
      </c>
      <c r="Y337" s="160">
        <v>45678</v>
      </c>
      <c r="Z337" s="470"/>
      <c r="AA337" s="470">
        <v>45744</v>
      </c>
      <c r="AB337" s="470"/>
      <c r="AC337" s="161">
        <f t="shared" si="218"/>
        <v>69.611111111109494</v>
      </c>
      <c r="AD337" s="161">
        <f t="shared" si="211"/>
        <v>63.458333333335759</v>
      </c>
      <c r="AE337" s="446">
        <f t="shared" si="241"/>
        <v>-45744</v>
      </c>
      <c r="AF337" s="160">
        <f t="shared" si="212"/>
        <v>45696.257309941524</v>
      </c>
      <c r="AG337" s="160">
        <f t="shared" si="209"/>
        <v>45705.888888888891</v>
      </c>
      <c r="AH337" s="159">
        <f t="shared" si="213"/>
        <v>45724.388888888891</v>
      </c>
      <c r="AI337" s="162">
        <f t="shared" si="219"/>
        <v>2.0993827160493339</v>
      </c>
      <c r="AJ337" s="224">
        <f t="shared" si="214"/>
        <v>-762.4</v>
      </c>
      <c r="AK337" s="225">
        <f t="shared" si="220"/>
        <v>28</v>
      </c>
      <c r="AL337" s="170">
        <f t="shared" si="221"/>
        <v>36</v>
      </c>
      <c r="AM337" s="170">
        <f t="shared" si="222"/>
        <v>24.868421052631579</v>
      </c>
      <c r="AN337" s="170">
        <f t="shared" si="223"/>
        <v>31.499999999999996</v>
      </c>
      <c r="AO337" s="226">
        <f t="shared" si="224"/>
        <v>21.868421052631579</v>
      </c>
      <c r="AP337" s="227">
        <v>60</v>
      </c>
      <c r="AQ337" s="228">
        <f t="shared" si="225"/>
        <v>57</v>
      </c>
      <c r="AR337" s="228">
        <f t="shared" si="210"/>
        <v>52</v>
      </c>
      <c r="AS337" s="229">
        <f t="shared" si="226"/>
        <v>45804</v>
      </c>
      <c r="AT337" s="982">
        <f t="shared" ca="1" si="227"/>
        <v>151</v>
      </c>
      <c r="AU337" s="50"/>
      <c r="AV337" s="51"/>
      <c r="AW337" s="49"/>
      <c r="AX337" s="49"/>
      <c r="AY337" s="49"/>
      <c r="AZ337" s="300"/>
      <c r="BA337" s="52"/>
      <c r="BB337" s="304"/>
      <c r="BC337" s="231" t="s">
        <v>13</v>
      </c>
      <c r="BD337" s="232"/>
      <c r="BE337" s="222">
        <f t="shared" si="207"/>
        <v>45759</v>
      </c>
      <c r="BF337" s="233" t="e">
        <f t="shared" si="215"/>
        <v>#VALUE!</v>
      </c>
      <c r="BG337" s="248"/>
      <c r="BH337" s="235"/>
      <c r="BI337" s="234"/>
      <c r="BJ337" s="236"/>
      <c r="BK337" s="222"/>
      <c r="BL337" s="222"/>
      <c r="BM337" s="238"/>
      <c r="BN337" s="222"/>
      <c r="BO337" s="222"/>
      <c r="BP337" s="243"/>
      <c r="BQ337" s="244"/>
      <c r="BR337" s="238"/>
      <c r="BS337" s="67"/>
      <c r="BT337" s="66"/>
      <c r="BU337" s="66"/>
      <c r="BV337" s="66"/>
      <c r="BW337" s="74"/>
      <c r="BX337" s="81"/>
      <c r="BY337" s="66">
        <v>45684</v>
      </c>
      <c r="BZ337" s="944" t="s">
        <v>2107</v>
      </c>
      <c r="CA337" s="42" t="str">
        <f t="shared" si="228"/>
        <v>0</v>
      </c>
      <c r="CB337" s="62">
        <f t="shared" si="229"/>
        <v>69.611111111109494</v>
      </c>
      <c r="CC337" s="42">
        <f t="shared" si="230"/>
        <v>0</v>
      </c>
      <c r="CD337" s="62">
        <f t="shared" si="231"/>
        <v>69.611111111109494</v>
      </c>
      <c r="CE337" s="62">
        <f t="shared" si="232"/>
        <v>2.0993827160493339</v>
      </c>
      <c r="CF337" s="145">
        <f t="shared" si="233"/>
        <v>125</v>
      </c>
      <c r="CG337" s="145"/>
      <c r="CH337" s="443">
        <f t="shared" si="234"/>
        <v>5.8692239858906037</v>
      </c>
      <c r="CI337" s="996">
        <f t="shared" si="235"/>
        <v>5.8692239858906037</v>
      </c>
      <c r="CJ337" s="261">
        <f t="shared" si="236"/>
        <v>2.0833333333333335</v>
      </c>
      <c r="CK337" s="458" t="str">
        <f t="shared" si="237"/>
        <v/>
      </c>
      <c r="CL337" t="str">
        <f t="shared" si="238"/>
        <v>REV</v>
      </c>
      <c r="CM337" t="str">
        <f t="shared" si="239"/>
        <v/>
      </c>
      <c r="CN337" s="635"/>
      <c r="CO337" s="631"/>
      <c r="CP337" s="629" t="str">
        <f t="shared" si="216"/>
        <v>FOR ISSUANCE</v>
      </c>
      <c r="CQ337" s="635"/>
      <c r="CR337" s="697"/>
      <c r="CS337" s="633" t="str">
        <f t="shared" ca="1" si="240"/>
        <v>0</v>
      </c>
      <c r="CT337" s="635"/>
      <c r="CU337" s="631"/>
      <c r="CV337" s="638"/>
      <c r="CW337" s="156" t="s">
        <v>2108</v>
      </c>
      <c r="CX337" s="156" t="str">
        <f>VLOOKUP(E337,'[1]List of Work Orders'!$A:$I,9,FALSE)</f>
        <v>ME185284</v>
      </c>
      <c r="CY337" s="156"/>
      <c r="DA337" s="762">
        <f t="shared" si="208"/>
        <v>6.1527777777737356</v>
      </c>
      <c r="DS337" s="156" t="s">
        <v>381</v>
      </c>
    </row>
    <row r="338" spans="1:123" customFormat="1" ht="15" customHeight="1" x14ac:dyDescent="0.25">
      <c r="A338" s="242">
        <v>45715</v>
      </c>
      <c r="B338" s="222">
        <v>45679</v>
      </c>
      <c r="C338" s="223" t="s">
        <v>247</v>
      </c>
      <c r="D338" s="66" t="s">
        <v>320</v>
      </c>
      <c r="E338" s="404" t="s">
        <v>2109</v>
      </c>
      <c r="F338" s="95" t="s">
        <v>943</v>
      </c>
      <c r="G338" s="95" t="s">
        <v>944</v>
      </c>
      <c r="H338" s="344" t="s">
        <v>378</v>
      </c>
      <c r="I338" s="95" t="s">
        <v>239</v>
      </c>
      <c r="J338" s="163"/>
      <c r="K338" s="101"/>
      <c r="L338" s="101" t="s">
        <v>288</v>
      </c>
      <c r="M338" s="345" t="s">
        <v>272</v>
      </c>
      <c r="N338" s="442" t="s">
        <v>381</v>
      </c>
      <c r="O338" s="165">
        <v>459.09679999999952</v>
      </c>
      <c r="P338" s="933">
        <v>3541.54</v>
      </c>
      <c r="Q338" s="157">
        <v>225</v>
      </c>
      <c r="R338" s="109" t="s">
        <v>244</v>
      </c>
      <c r="S338" s="110">
        <v>4039465.57</v>
      </c>
      <c r="T338" s="93">
        <v>439590.52999999997</v>
      </c>
      <c r="U338" s="141"/>
      <c r="V338" s="158">
        <f t="shared" si="217"/>
        <v>0</v>
      </c>
      <c r="W338" s="159">
        <v>45674.605555555558</v>
      </c>
      <c r="X338" s="159">
        <v>45684.584722222222</v>
      </c>
      <c r="Y338" s="160">
        <v>45678</v>
      </c>
      <c r="Z338" s="470"/>
      <c r="AA338" s="470">
        <v>45836</v>
      </c>
      <c r="AB338" s="470"/>
      <c r="AC338" s="161">
        <f t="shared" si="218"/>
        <v>161.39444444444234</v>
      </c>
      <c r="AD338" s="161">
        <f t="shared" si="211"/>
        <v>151.4152777777781</v>
      </c>
      <c r="AE338" s="446">
        <f t="shared" si="241"/>
        <v>-45836</v>
      </c>
      <c r="AF338" s="160">
        <f t="shared" si="212"/>
        <v>45697.173737373741</v>
      </c>
      <c r="AG338" s="160">
        <f t="shared" si="209"/>
        <v>45706.991919191918</v>
      </c>
      <c r="AH338" s="159">
        <f t="shared" si="213"/>
        <v>45724.605555555558</v>
      </c>
      <c r="AI338" s="162">
        <f t="shared" si="219"/>
        <v>4.7342370370369755</v>
      </c>
      <c r="AJ338" s="224">
        <f t="shared" si="214"/>
        <v>-763.93333333333328</v>
      </c>
      <c r="AK338" s="225">
        <f t="shared" si="220"/>
        <v>50</v>
      </c>
      <c r="AL338" s="170">
        <f t="shared" si="221"/>
        <v>30</v>
      </c>
      <c r="AM338" s="170">
        <f t="shared" si="222"/>
        <v>25.56818181818182</v>
      </c>
      <c r="AN338" s="170">
        <f t="shared" si="223"/>
        <v>32.38636363636364</v>
      </c>
      <c r="AO338" s="226">
        <f t="shared" si="224"/>
        <v>22.56818181818182</v>
      </c>
      <c r="AP338" s="227">
        <v>60</v>
      </c>
      <c r="AQ338" s="228">
        <f t="shared" si="225"/>
        <v>57</v>
      </c>
      <c r="AR338" s="228">
        <f t="shared" si="210"/>
        <v>52</v>
      </c>
      <c r="AS338" s="229">
        <f t="shared" si="226"/>
        <v>45896</v>
      </c>
      <c r="AT338" s="982">
        <f t="shared" ca="1" si="227"/>
        <v>59</v>
      </c>
      <c r="AU338" s="50"/>
      <c r="AV338" s="51"/>
      <c r="AW338" s="49"/>
      <c r="AX338" s="49"/>
      <c r="AY338" s="49"/>
      <c r="AZ338" s="300"/>
      <c r="BA338" s="52"/>
      <c r="BB338" s="304"/>
      <c r="BC338" s="231" t="s">
        <v>13</v>
      </c>
      <c r="BD338" s="232" t="s">
        <v>2110</v>
      </c>
      <c r="BE338" s="222">
        <f t="shared" si="207"/>
        <v>45851</v>
      </c>
      <c r="BF338" s="233" t="e">
        <f t="shared" si="215"/>
        <v>#VALUE!</v>
      </c>
      <c r="BG338" s="248"/>
      <c r="BH338" s="235"/>
      <c r="BI338" s="234"/>
      <c r="BJ338" s="236"/>
      <c r="BK338" s="222"/>
      <c r="BL338" s="222"/>
      <c r="BM338" s="238"/>
      <c r="BN338" s="222"/>
      <c r="BO338" s="222"/>
      <c r="BP338" s="243"/>
      <c r="BQ338" s="244" t="s">
        <v>247</v>
      </c>
      <c r="BR338" s="238">
        <v>45835</v>
      </c>
      <c r="BS338" s="67"/>
      <c r="BT338" s="66"/>
      <c r="BU338" s="66"/>
      <c r="BV338" s="66"/>
      <c r="BW338" s="74"/>
      <c r="BX338" s="81"/>
      <c r="BY338" s="66">
        <v>45685</v>
      </c>
      <c r="BZ338" s="944" t="s">
        <v>2111</v>
      </c>
      <c r="CA338" s="42" t="str">
        <f t="shared" si="228"/>
        <v>0</v>
      </c>
      <c r="CB338" s="62">
        <f t="shared" si="229"/>
        <v>161.39444444444234</v>
      </c>
      <c r="CC338" s="42">
        <f t="shared" si="230"/>
        <v>0</v>
      </c>
      <c r="CD338" s="62">
        <f t="shared" si="231"/>
        <v>161.39444444444234</v>
      </c>
      <c r="CE338" s="62">
        <f t="shared" si="232"/>
        <v>4.7342370370369755</v>
      </c>
      <c r="CF338" s="145">
        <f t="shared" si="233"/>
        <v>33</v>
      </c>
      <c r="CG338" s="145"/>
      <c r="CH338" s="443">
        <f t="shared" si="234"/>
        <v>5.7022370370369746</v>
      </c>
      <c r="CI338" s="996">
        <f t="shared" si="235"/>
        <v>5.7022370370369746</v>
      </c>
      <c r="CJ338" s="261">
        <f t="shared" si="236"/>
        <v>0.55000000000000004</v>
      </c>
      <c r="CK338" s="458" t="str">
        <f t="shared" si="237"/>
        <v/>
      </c>
      <c r="CL338" t="str">
        <f t="shared" si="238"/>
        <v>REV</v>
      </c>
      <c r="CM338" t="str">
        <f t="shared" si="239"/>
        <v/>
      </c>
      <c r="CN338" s="635"/>
      <c r="CO338" s="631"/>
      <c r="CP338" s="629" t="str">
        <f t="shared" si="216"/>
        <v>FOR ISSUANCE</v>
      </c>
      <c r="CQ338" s="635"/>
      <c r="CR338" s="697"/>
      <c r="CS338" s="633" t="str">
        <f t="shared" ca="1" si="240"/>
        <v>0</v>
      </c>
      <c r="CT338" s="635"/>
      <c r="CU338" s="631"/>
      <c r="CV338" s="638"/>
      <c r="CW338" s="156" t="s">
        <v>2112</v>
      </c>
      <c r="CX338" s="156" t="str">
        <f>VLOOKUP(E338,'[1]List of Work Orders'!$A:$I,9,FALSE)</f>
        <v>ME185284</v>
      </c>
      <c r="CY338" s="156"/>
      <c r="DA338" s="762">
        <f t="shared" si="208"/>
        <v>9.9791666666642413</v>
      </c>
      <c r="DS338" s="156" t="s">
        <v>397</v>
      </c>
    </row>
    <row r="339" spans="1:123" ht="15" customHeight="1" x14ac:dyDescent="0.2">
      <c r="A339" s="242">
        <v>45684</v>
      </c>
      <c r="B339" s="222">
        <v>45679</v>
      </c>
      <c r="C339" s="223" t="s">
        <v>247</v>
      </c>
      <c r="D339" s="66" t="s">
        <v>234</v>
      </c>
      <c r="E339" s="404" t="s">
        <v>2113</v>
      </c>
      <c r="F339" s="95" t="s">
        <v>2114</v>
      </c>
      <c r="G339" s="95" t="s">
        <v>252</v>
      </c>
      <c r="H339" s="95" t="s">
        <v>253</v>
      </c>
      <c r="I339" s="95" t="s">
        <v>254</v>
      </c>
      <c r="J339" s="163"/>
      <c r="K339" s="101"/>
      <c r="L339" s="101" t="s">
        <v>255</v>
      </c>
      <c r="M339" s="345" t="s">
        <v>272</v>
      </c>
      <c r="N339" s="442" t="s">
        <v>381</v>
      </c>
      <c r="O339" s="165">
        <v>1155.0617999999999</v>
      </c>
      <c r="P339" s="933">
        <v>1160.74</v>
      </c>
      <c r="Q339" s="157">
        <v>45</v>
      </c>
      <c r="R339" s="109" t="s">
        <v>244</v>
      </c>
      <c r="S339" s="110">
        <v>3660384.15</v>
      </c>
      <c r="T339" s="93">
        <v>992062.56</v>
      </c>
      <c r="U339" s="141"/>
      <c r="V339" s="158">
        <f t="shared" si="217"/>
        <v>0</v>
      </c>
      <c r="W339" s="159">
        <v>45674.63958333333</v>
      </c>
      <c r="X339" s="159">
        <v>45680.522222222222</v>
      </c>
      <c r="Y339" s="160">
        <v>45678</v>
      </c>
      <c r="Z339" s="470"/>
      <c r="AA339" s="470">
        <v>45726</v>
      </c>
      <c r="AB339" s="470"/>
      <c r="AC339" s="161">
        <f t="shared" si="218"/>
        <v>51.360416666670062</v>
      </c>
      <c r="AD339" s="161">
        <f t="shared" si="211"/>
        <v>45.477777777778101</v>
      </c>
      <c r="AE339" s="446">
        <f t="shared" si="241"/>
        <v>-45726</v>
      </c>
      <c r="AF339" s="160">
        <f t="shared" si="212"/>
        <v>45701.115565866079</v>
      </c>
      <c r="AG339" s="160">
        <f t="shared" si="209"/>
        <v>45711.975827874812</v>
      </c>
      <c r="AH339" s="159">
        <f t="shared" si="213"/>
        <v>45724.63958333333</v>
      </c>
      <c r="AI339" s="162">
        <f t="shared" si="219"/>
        <v>1.3068372685186049</v>
      </c>
      <c r="AJ339" s="224">
        <f t="shared" si="214"/>
        <v>-762.1</v>
      </c>
      <c r="AK339" s="225">
        <f t="shared" si="220"/>
        <v>50</v>
      </c>
      <c r="AL339" s="170">
        <f t="shared" si="221"/>
        <v>36</v>
      </c>
      <c r="AM339" s="170">
        <f t="shared" si="222"/>
        <v>29.475982532751093</v>
      </c>
      <c r="AN339" s="170">
        <f t="shared" si="223"/>
        <v>37.336244541484717</v>
      </c>
      <c r="AO339" s="226">
        <f t="shared" si="224"/>
        <v>26.475982532751093</v>
      </c>
      <c r="AP339" s="227">
        <v>60</v>
      </c>
      <c r="AQ339" s="228">
        <f t="shared" si="225"/>
        <v>57</v>
      </c>
      <c r="AR339" s="228">
        <f t="shared" si="210"/>
        <v>52</v>
      </c>
      <c r="AS339" s="229">
        <f t="shared" si="226"/>
        <v>45786</v>
      </c>
      <c r="AT339" s="982">
        <f t="shared" ca="1" si="227"/>
        <v>169</v>
      </c>
      <c r="AU339" s="1077"/>
      <c r="AV339" s="1092"/>
      <c r="AW339" s="1079"/>
      <c r="AX339" s="1079"/>
      <c r="AY339" s="1079"/>
      <c r="AZ339" s="1080"/>
      <c r="BA339" s="1101"/>
      <c r="BB339" s="1091"/>
      <c r="BC339" s="231" t="s">
        <v>13</v>
      </c>
      <c r="BD339" s="108"/>
      <c r="BE339" s="222">
        <f t="shared" si="207"/>
        <v>45741</v>
      </c>
      <c r="BF339" s="233" t="e">
        <f t="shared" si="215"/>
        <v>#VALUE!</v>
      </c>
      <c r="BG339" s="248"/>
      <c r="BH339" s="235"/>
      <c r="BI339" s="234"/>
      <c r="BJ339" s="236"/>
      <c r="BK339" s="222"/>
      <c r="BL339" s="222"/>
      <c r="BM339" s="238"/>
      <c r="BN339" s="222"/>
      <c r="BO339" s="222"/>
      <c r="BP339" s="243"/>
      <c r="BQ339" s="244" t="s">
        <v>247</v>
      </c>
      <c r="BR339" s="238">
        <v>45721</v>
      </c>
      <c r="BS339" s="67"/>
      <c r="BT339" s="66"/>
      <c r="BU339" s="66"/>
      <c r="BV339" s="66"/>
      <c r="BW339" s="74"/>
      <c r="BX339" s="81"/>
      <c r="BY339" s="66">
        <v>45684</v>
      </c>
      <c r="BZ339" s="944" t="s">
        <v>2115</v>
      </c>
      <c r="CA339" s="42" t="str">
        <f t="shared" si="228"/>
        <v>0</v>
      </c>
      <c r="CB339" s="62">
        <f t="shared" si="229"/>
        <v>51.360416666670062</v>
      </c>
      <c r="CC339" s="42">
        <f t="shared" si="230"/>
        <v>0</v>
      </c>
      <c r="CD339" s="62">
        <f t="shared" si="231"/>
        <v>51.360416666670062</v>
      </c>
      <c r="CE339" s="62">
        <f t="shared" si="232"/>
        <v>1.3068372685186049</v>
      </c>
      <c r="CF339" s="1059">
        <f t="shared" si="233"/>
        <v>143</v>
      </c>
      <c r="CH339" s="1082">
        <f t="shared" si="234"/>
        <v>4.94539282407416</v>
      </c>
      <c r="CI339" s="1083">
        <f t="shared" si="235"/>
        <v>4.94539282407416</v>
      </c>
      <c r="CJ339" s="1084">
        <f t="shared" si="236"/>
        <v>2.3833333333333333</v>
      </c>
      <c r="CK339" s="1085" t="str">
        <f t="shared" si="237"/>
        <v/>
      </c>
      <c r="CL339" s="1057" t="str">
        <f t="shared" si="238"/>
        <v>REV</v>
      </c>
      <c r="CM339" s="1057" t="str">
        <f t="shared" si="239"/>
        <v/>
      </c>
      <c r="CN339" s="1086"/>
      <c r="CO339" s="1087"/>
      <c r="CP339" s="629" t="str">
        <f t="shared" si="216"/>
        <v>FOR ISSUANCE</v>
      </c>
      <c r="CQ339" s="1086"/>
      <c r="CR339" s="1088"/>
      <c r="CS339" s="1089" t="str">
        <f t="shared" ca="1" si="240"/>
        <v>0</v>
      </c>
      <c r="CT339" s="1086"/>
      <c r="CU339" s="1087"/>
      <c r="CV339" s="1090"/>
      <c r="CW339" s="156" t="s">
        <v>2116</v>
      </c>
      <c r="CX339" s="156" t="str">
        <f>VLOOKUP(E339,'[1]List of Work Orders'!$A:$I,9,FALSE)</f>
        <v>ME185284</v>
      </c>
      <c r="CY339" s="156"/>
      <c r="DA339" s="1100">
        <f t="shared" si="208"/>
        <v>5.882638888891961</v>
      </c>
      <c r="DS339" s="156" t="s">
        <v>397</v>
      </c>
    </row>
    <row r="340" spans="1:123" customFormat="1" ht="15" customHeight="1" x14ac:dyDescent="0.25">
      <c r="A340" s="242">
        <v>45684</v>
      </c>
      <c r="B340" s="222">
        <v>45679</v>
      </c>
      <c r="C340" s="223"/>
      <c r="D340" s="66" t="s">
        <v>320</v>
      </c>
      <c r="E340" s="404" t="s">
        <v>2117</v>
      </c>
      <c r="F340" s="95" t="s">
        <v>2118</v>
      </c>
      <c r="G340" s="95" t="s">
        <v>2119</v>
      </c>
      <c r="H340" s="95" t="s">
        <v>238</v>
      </c>
      <c r="I340" s="95" t="s">
        <v>239</v>
      </c>
      <c r="J340" s="163"/>
      <c r="K340" s="101"/>
      <c r="L340" s="101" t="s">
        <v>288</v>
      </c>
      <c r="M340" s="345" t="s">
        <v>272</v>
      </c>
      <c r="N340" s="442" t="s">
        <v>381</v>
      </c>
      <c r="O340" s="165">
        <v>41.788999999999994</v>
      </c>
      <c r="P340" s="933">
        <v>129.06</v>
      </c>
      <c r="Q340" s="157">
        <v>85</v>
      </c>
      <c r="R340" s="109" t="s">
        <v>244</v>
      </c>
      <c r="S340" s="110">
        <v>379680</v>
      </c>
      <c r="T340" s="93">
        <v>48102.099999999991</v>
      </c>
      <c r="U340" s="141"/>
      <c r="V340" s="158">
        <f t="shared" si="217"/>
        <v>0</v>
      </c>
      <c r="W340" s="159">
        <v>45674.654861111114</v>
      </c>
      <c r="X340" s="159">
        <v>45684.582638888889</v>
      </c>
      <c r="Y340" s="160">
        <v>45678</v>
      </c>
      <c r="Z340" s="470"/>
      <c r="AA340" s="470">
        <v>45697</v>
      </c>
      <c r="AB340" s="470"/>
      <c r="AC340" s="161">
        <f t="shared" si="218"/>
        <v>22.34513888888614</v>
      </c>
      <c r="AD340" s="161">
        <f t="shared" si="211"/>
        <v>12.417361111110949</v>
      </c>
      <c r="AE340" s="446">
        <f t="shared" si="241"/>
        <v>-45697</v>
      </c>
      <c r="AF340" s="160">
        <f t="shared" si="212"/>
        <v>45694.999931533646</v>
      </c>
      <c r="AG340" s="160">
        <f t="shared" si="209"/>
        <v>45704.225283646323</v>
      </c>
      <c r="AH340" s="159">
        <f t="shared" si="213"/>
        <v>45724.654861111114</v>
      </c>
      <c r="AI340" s="162">
        <f t="shared" si="219"/>
        <v>0.71787550276512024</v>
      </c>
      <c r="AJ340" s="224">
        <f t="shared" si="214"/>
        <v>-761.61666666666667</v>
      </c>
      <c r="AK340" s="225">
        <f t="shared" si="220"/>
        <v>26</v>
      </c>
      <c r="AL340" s="170">
        <f t="shared" si="221"/>
        <v>34</v>
      </c>
      <c r="AM340" s="170">
        <f t="shared" si="222"/>
        <v>23.345070422535212</v>
      </c>
      <c r="AN340" s="170">
        <f t="shared" si="223"/>
        <v>29.570422535211268</v>
      </c>
      <c r="AO340" s="226">
        <f t="shared" si="224"/>
        <v>20.345070422535212</v>
      </c>
      <c r="AP340" s="227">
        <v>60</v>
      </c>
      <c r="AQ340" s="228">
        <f t="shared" si="225"/>
        <v>57</v>
      </c>
      <c r="AR340" s="228">
        <f t="shared" si="210"/>
        <v>52</v>
      </c>
      <c r="AS340" s="229">
        <f t="shared" si="226"/>
        <v>45757</v>
      </c>
      <c r="AT340" s="982">
        <f t="shared" ca="1" si="227"/>
        <v>198</v>
      </c>
      <c r="AU340" s="50"/>
      <c r="AV340" s="51"/>
      <c r="AW340" s="49"/>
      <c r="AX340" s="49"/>
      <c r="AY340" s="49"/>
      <c r="AZ340" s="300"/>
      <c r="BA340" s="52"/>
      <c r="BB340" s="304"/>
      <c r="BC340" s="231" t="s">
        <v>13</v>
      </c>
      <c r="BD340" s="108"/>
      <c r="BE340" s="222">
        <f t="shared" si="207"/>
        <v>45712</v>
      </c>
      <c r="BF340" s="233" t="e">
        <f t="shared" si="215"/>
        <v>#VALUE!</v>
      </c>
      <c r="BG340" s="248"/>
      <c r="BH340" s="235"/>
      <c r="BI340" s="234"/>
      <c r="BJ340" s="236"/>
      <c r="BK340" s="222"/>
      <c r="BL340" s="222"/>
      <c r="BM340" s="238"/>
      <c r="BN340" s="222"/>
      <c r="BO340" s="222"/>
      <c r="BP340" s="243"/>
      <c r="BQ340" s="244" t="s">
        <v>247</v>
      </c>
      <c r="BR340" s="238">
        <v>45695</v>
      </c>
      <c r="BS340" s="67"/>
      <c r="BT340" s="66"/>
      <c r="BU340" s="66"/>
      <c r="BV340" s="66"/>
      <c r="BW340" s="74"/>
      <c r="BX340" s="81"/>
      <c r="BY340" s="66">
        <v>45684</v>
      </c>
      <c r="BZ340" s="944" t="s">
        <v>2120</v>
      </c>
      <c r="CA340" s="42" t="str">
        <f t="shared" si="228"/>
        <v>0</v>
      </c>
      <c r="CB340" s="62">
        <f t="shared" si="229"/>
        <v>22.34513888888614</v>
      </c>
      <c r="CC340" s="42">
        <f t="shared" si="230"/>
        <v>0</v>
      </c>
      <c r="CD340" s="62">
        <f t="shared" si="231"/>
        <v>22.34513888888614</v>
      </c>
      <c r="CE340" s="62">
        <f t="shared" si="232"/>
        <v>0.71787550276512024</v>
      </c>
      <c r="CF340" s="145">
        <f t="shared" si="233"/>
        <v>172</v>
      </c>
      <c r="CG340" s="145"/>
      <c r="CH340" s="443">
        <f t="shared" si="234"/>
        <v>6.2436673579687403</v>
      </c>
      <c r="CI340" s="996">
        <f t="shared" si="235"/>
        <v>6.2436673579687403</v>
      </c>
      <c r="CJ340" s="261">
        <f t="shared" si="236"/>
        <v>2.8666666666666667</v>
      </c>
      <c r="CK340" s="458" t="str">
        <f t="shared" si="237"/>
        <v/>
      </c>
      <c r="CL340" t="str">
        <f t="shared" si="238"/>
        <v>REV</v>
      </c>
      <c r="CM340" t="str">
        <f t="shared" si="239"/>
        <v/>
      </c>
      <c r="CN340" s="635"/>
      <c r="CO340" s="631"/>
      <c r="CP340" s="629" t="str">
        <f t="shared" si="216"/>
        <v>FOR ISSUANCE</v>
      </c>
      <c r="CQ340" s="635"/>
      <c r="CR340" s="697"/>
      <c r="CS340" s="633" t="str">
        <f t="shared" ca="1" si="240"/>
        <v>0</v>
      </c>
      <c r="CT340" s="635"/>
      <c r="CU340" s="631"/>
      <c r="CV340" s="638"/>
      <c r="CW340" s="156" t="s">
        <v>2121</v>
      </c>
      <c r="CX340" s="156" t="str">
        <f>VLOOKUP(E340,'[1]List of Work Orders'!$A:$I,9,FALSE)</f>
        <v>ME185284</v>
      </c>
      <c r="CY340" s="156"/>
      <c r="DA340" s="762">
        <f t="shared" si="208"/>
        <v>9.9277777777751908</v>
      </c>
      <c r="DS340" s="156" t="s">
        <v>397</v>
      </c>
    </row>
    <row r="341" spans="1:123" customFormat="1" ht="15" customHeight="1" x14ac:dyDescent="0.25">
      <c r="A341" s="242">
        <v>45715</v>
      </c>
      <c r="B341" s="222">
        <v>45679</v>
      </c>
      <c r="C341" s="223"/>
      <c r="D341" s="66" t="s">
        <v>234</v>
      </c>
      <c r="E341" s="404" t="s">
        <v>2122</v>
      </c>
      <c r="F341" s="95" t="s">
        <v>2123</v>
      </c>
      <c r="G341" s="95" t="s">
        <v>588</v>
      </c>
      <c r="H341" s="95" t="s">
        <v>238</v>
      </c>
      <c r="I341" s="95" t="s">
        <v>239</v>
      </c>
      <c r="J341" s="163"/>
      <c r="K341" s="101"/>
      <c r="L341" s="101" t="s">
        <v>242</v>
      </c>
      <c r="M341" s="345" t="s">
        <v>272</v>
      </c>
      <c r="N341" s="442" t="s">
        <v>467</v>
      </c>
      <c r="O341" s="165">
        <v>29.5181</v>
      </c>
      <c r="P341" s="933">
        <v>67.87</v>
      </c>
      <c r="Q341" s="157">
        <v>0</v>
      </c>
      <c r="R341" s="109" t="s">
        <v>327</v>
      </c>
      <c r="S341" s="110">
        <v>86997.81</v>
      </c>
      <c r="T341" s="93">
        <v>54655.919999999991</v>
      </c>
      <c r="U341" s="141">
        <v>40684.31</v>
      </c>
      <c r="V341" s="158">
        <f t="shared" si="217"/>
        <v>0.74437151547352975</v>
      </c>
      <c r="W341" s="159">
        <v>45677.379861111112</v>
      </c>
      <c r="X341" s="159">
        <v>45678.515277777777</v>
      </c>
      <c r="Y341" s="160">
        <v>45678</v>
      </c>
      <c r="Z341" s="470"/>
      <c r="AA341" s="470">
        <v>45693</v>
      </c>
      <c r="AB341" s="470"/>
      <c r="AC341" s="161">
        <f t="shared" si="218"/>
        <v>15.620138888887595</v>
      </c>
      <c r="AD341" s="161">
        <f t="shared" si="211"/>
        <v>14.484722222223354</v>
      </c>
      <c r="AE341" s="446">
        <f t="shared" si="241"/>
        <v>-45693</v>
      </c>
      <c r="AF341" s="160">
        <f t="shared" si="212"/>
        <v>45697.465362969851</v>
      </c>
      <c r="AG341" s="160">
        <f t="shared" si="209"/>
        <v>45706.621496798842</v>
      </c>
      <c r="AH341" s="159">
        <f t="shared" si="213"/>
        <v>45727.379861111112</v>
      </c>
      <c r="AI341" s="162">
        <f t="shared" si="219"/>
        <v>0.50746586486844958</v>
      </c>
      <c r="AJ341" s="224">
        <f t="shared" si="214"/>
        <v>-761.55</v>
      </c>
      <c r="AK341" s="225">
        <f t="shared" si="220"/>
        <v>23</v>
      </c>
      <c r="AL341" s="170">
        <f t="shared" si="221"/>
        <v>36</v>
      </c>
      <c r="AM341" s="170">
        <f t="shared" si="222"/>
        <v>23.085501858736059</v>
      </c>
      <c r="AN341" s="170">
        <f t="shared" si="223"/>
        <v>29.241635687732341</v>
      </c>
      <c r="AO341" s="226">
        <f t="shared" si="224"/>
        <v>20.085501858736059</v>
      </c>
      <c r="AP341" s="227">
        <v>60</v>
      </c>
      <c r="AQ341" s="228">
        <f t="shared" si="225"/>
        <v>57</v>
      </c>
      <c r="AR341" s="228">
        <f t="shared" si="210"/>
        <v>52</v>
      </c>
      <c r="AS341" s="229">
        <f t="shared" si="226"/>
        <v>45753</v>
      </c>
      <c r="AT341" s="982">
        <f t="shared" ca="1" si="227"/>
        <v>202</v>
      </c>
      <c r="AU341" s="50"/>
      <c r="AV341" s="51"/>
      <c r="AW341" s="49"/>
      <c r="AX341" s="49"/>
      <c r="AY341" s="49"/>
      <c r="AZ341" s="300"/>
      <c r="BA341" s="52"/>
      <c r="BB341" s="304"/>
      <c r="BC341" s="231" t="s">
        <v>12</v>
      </c>
      <c r="BD341" s="348" t="s">
        <v>601</v>
      </c>
      <c r="BE341" s="222">
        <f t="shared" ref="BE341:BE404" si="242">AA341+15</f>
        <v>45708</v>
      </c>
      <c r="BF341" s="233">
        <f t="shared" si="215"/>
        <v>1</v>
      </c>
      <c r="BG341" s="248">
        <v>45679</v>
      </c>
      <c r="BH341" s="235">
        <v>45709</v>
      </c>
      <c r="BI341" s="234"/>
      <c r="BJ341" s="236"/>
      <c r="BK341" s="222"/>
      <c r="BL341" s="222"/>
      <c r="BM341" s="238"/>
      <c r="BN341" s="222"/>
      <c r="BO341" s="222"/>
      <c r="BP341" s="243"/>
      <c r="BQ341" s="244"/>
      <c r="BR341" s="238"/>
      <c r="BS341" s="67"/>
      <c r="BT341" s="66"/>
      <c r="BU341" s="66"/>
      <c r="BV341" s="66"/>
      <c r="BW341" s="74"/>
      <c r="BX341" s="81"/>
      <c r="BY341" s="66" t="s">
        <v>308</v>
      </c>
      <c r="BZ341" s="944"/>
      <c r="CA341" s="42" t="str">
        <f t="shared" si="228"/>
        <v>0</v>
      </c>
      <c r="CB341" s="62">
        <f t="shared" si="229"/>
        <v>15.620138888887595</v>
      </c>
      <c r="CC341" s="42">
        <f t="shared" si="230"/>
        <v>0</v>
      </c>
      <c r="CD341" s="62">
        <f t="shared" si="231"/>
        <v>15.620138888887595</v>
      </c>
      <c r="CE341" s="62">
        <f t="shared" si="232"/>
        <v>0.50746586486844958</v>
      </c>
      <c r="CF341" s="145">
        <f t="shared" si="233"/>
        <v>176</v>
      </c>
      <c r="CG341" s="145"/>
      <c r="CH341" s="443">
        <f t="shared" si="234"/>
        <v>6.2253402610037156</v>
      </c>
      <c r="CI341" s="996">
        <f t="shared" si="235"/>
        <v>6.2253402610037156</v>
      </c>
      <c r="CJ341" s="261">
        <f t="shared" si="236"/>
        <v>2.9333333333333331</v>
      </c>
      <c r="CK341" s="458" t="str">
        <f t="shared" si="237"/>
        <v/>
      </c>
      <c r="CL341" t="str">
        <f t="shared" si="238"/>
        <v>NON-REV</v>
      </c>
      <c r="CM341" t="str">
        <f t="shared" si="239"/>
        <v/>
      </c>
      <c r="CN341" s="635"/>
      <c r="CO341" s="631"/>
      <c r="CP341" s="629" t="str">
        <f t="shared" si="216"/>
        <v>FOR ISSUANCE</v>
      </c>
      <c r="CQ341" s="635"/>
      <c r="CR341" s="697"/>
      <c r="CS341" s="633" t="str">
        <f t="shared" ca="1" si="240"/>
        <v>0</v>
      </c>
      <c r="CT341" s="635"/>
      <c r="CU341" s="631"/>
      <c r="CV341" s="638"/>
      <c r="CW341" s="156" t="s">
        <v>2124</v>
      </c>
      <c r="CX341" s="156" t="str">
        <f>VLOOKUP(E341,'[1]List of Work Orders'!$A:$I,9,FALSE)</f>
        <v>ME155242</v>
      </c>
      <c r="CY341" s="156"/>
      <c r="CZ341" s="63"/>
      <c r="DA341" s="762">
        <f t="shared" si="208"/>
        <v>1.1354166666642413</v>
      </c>
      <c r="DS341" s="156" t="s">
        <v>397</v>
      </c>
    </row>
    <row r="342" spans="1:123" customFormat="1" ht="15" customHeight="1" x14ac:dyDescent="0.25">
      <c r="A342" s="242">
        <v>45715</v>
      </c>
      <c r="B342" s="222">
        <v>45679</v>
      </c>
      <c r="C342" s="223" t="s">
        <v>247</v>
      </c>
      <c r="D342" s="66" t="s">
        <v>234</v>
      </c>
      <c r="E342" s="404" t="s">
        <v>2125</v>
      </c>
      <c r="F342" s="95" t="s">
        <v>598</v>
      </c>
      <c r="G342" s="95" t="s">
        <v>588</v>
      </c>
      <c r="H342" s="95" t="s">
        <v>238</v>
      </c>
      <c r="I342" s="95" t="s">
        <v>239</v>
      </c>
      <c r="J342" s="163"/>
      <c r="K342" s="101"/>
      <c r="L342" s="101" t="s">
        <v>242</v>
      </c>
      <c r="M342" s="345" t="s">
        <v>272</v>
      </c>
      <c r="N342" s="442" t="s">
        <v>467</v>
      </c>
      <c r="O342" s="165">
        <v>123.76480000000001</v>
      </c>
      <c r="P342" s="933">
        <v>196.43</v>
      </c>
      <c r="Q342" s="157">
        <v>0</v>
      </c>
      <c r="R342" s="109" t="s">
        <v>327</v>
      </c>
      <c r="S342" s="110">
        <v>584843.86</v>
      </c>
      <c r="T342" s="93">
        <v>158179.16999999998</v>
      </c>
      <c r="U342" s="141">
        <v>62538.81</v>
      </c>
      <c r="V342" s="158">
        <f t="shared" si="217"/>
        <v>0.39536691209089037</v>
      </c>
      <c r="W342" s="159">
        <v>45677.379861111112</v>
      </c>
      <c r="X342" s="159">
        <v>45678.512499999997</v>
      </c>
      <c r="Y342" s="160">
        <v>45678</v>
      </c>
      <c r="Z342" s="470">
        <v>45729</v>
      </c>
      <c r="AA342" s="470">
        <v>45733.363194444442</v>
      </c>
      <c r="AB342" s="470"/>
      <c r="AC342" s="161">
        <f t="shared" si="218"/>
        <v>55.983333333329938</v>
      </c>
      <c r="AD342" s="161">
        <f t="shared" si="211"/>
        <v>54.850694444445253</v>
      </c>
      <c r="AE342" s="446">
        <f t="shared" si="241"/>
        <v>-45733.363194444442</v>
      </c>
      <c r="AF342" s="160">
        <f t="shared" si="212"/>
        <v>45698.586757662837</v>
      </c>
      <c r="AG342" s="160">
        <f t="shared" si="209"/>
        <v>45708.04193007663</v>
      </c>
      <c r="AH342" s="159">
        <f t="shared" si="213"/>
        <v>45727.379861111112</v>
      </c>
      <c r="AI342" s="162">
        <f t="shared" si="219"/>
        <v>1.734526353276248</v>
      </c>
      <c r="AJ342" s="224">
        <f t="shared" si="214"/>
        <v>-762.2227199074074</v>
      </c>
      <c r="AK342" s="225">
        <f t="shared" si="220"/>
        <v>26</v>
      </c>
      <c r="AL342" s="170">
        <f t="shared" si="221"/>
        <v>36</v>
      </c>
      <c r="AM342" s="170">
        <f t="shared" si="222"/>
        <v>24.206896551724139</v>
      </c>
      <c r="AN342" s="170">
        <f t="shared" si="223"/>
        <v>30.662068965517239</v>
      </c>
      <c r="AO342" s="226">
        <f t="shared" si="224"/>
        <v>21.206896551724139</v>
      </c>
      <c r="AP342" s="227">
        <v>60</v>
      </c>
      <c r="AQ342" s="228">
        <f t="shared" si="225"/>
        <v>57</v>
      </c>
      <c r="AR342" s="228">
        <f t="shared" si="210"/>
        <v>52</v>
      </c>
      <c r="AS342" s="229">
        <f t="shared" si="226"/>
        <v>45793.363194444442</v>
      </c>
      <c r="AT342" s="982">
        <f t="shared" ca="1" si="227"/>
        <v>161.63680555555766</v>
      </c>
      <c r="AU342" s="50"/>
      <c r="AV342" s="51"/>
      <c r="AW342" s="49"/>
      <c r="AX342" s="49"/>
      <c r="AY342" s="49"/>
      <c r="AZ342" s="300"/>
      <c r="BA342" s="52"/>
      <c r="BB342" s="304"/>
      <c r="BC342" s="231" t="s">
        <v>13</v>
      </c>
      <c r="BD342" s="906" t="s">
        <v>601</v>
      </c>
      <c r="BE342" s="222">
        <f t="shared" si="242"/>
        <v>45748.363194444442</v>
      </c>
      <c r="BF342" s="233" t="e">
        <f t="shared" si="215"/>
        <v>#VALUE!</v>
      </c>
      <c r="BG342" s="248"/>
      <c r="BH342" s="235"/>
      <c r="BI342" s="234"/>
      <c r="BJ342" s="236"/>
      <c r="BK342" s="222"/>
      <c r="BL342" s="222"/>
      <c r="BM342" s="238"/>
      <c r="BN342" s="222"/>
      <c r="BO342" s="222"/>
      <c r="BP342" s="243"/>
      <c r="BQ342" s="244"/>
      <c r="BR342" s="238"/>
      <c r="BS342" s="67"/>
      <c r="BT342" s="66"/>
      <c r="BU342" s="66"/>
      <c r="BV342" s="66"/>
      <c r="BW342" s="74"/>
      <c r="BX342" s="81"/>
      <c r="BY342" s="66">
        <v>45684</v>
      </c>
      <c r="BZ342" s="944" t="s">
        <v>2126</v>
      </c>
      <c r="CA342" s="42" t="str">
        <f t="shared" si="228"/>
        <v>0</v>
      </c>
      <c r="CB342" s="62">
        <f t="shared" si="229"/>
        <v>55.983333333329938</v>
      </c>
      <c r="CC342" s="42">
        <f t="shared" si="230"/>
        <v>0</v>
      </c>
      <c r="CD342" s="62">
        <f t="shared" si="231"/>
        <v>55.983333333329938</v>
      </c>
      <c r="CE342" s="62">
        <f t="shared" si="232"/>
        <v>1.734526353276248</v>
      </c>
      <c r="CF342" s="145">
        <f t="shared" si="233"/>
        <v>135.63680555555766</v>
      </c>
      <c r="CG342" s="145"/>
      <c r="CH342" s="443">
        <f t="shared" si="234"/>
        <v>5.9369487476257898</v>
      </c>
      <c r="CI342" s="996">
        <f t="shared" si="235"/>
        <v>5.9369487476257898</v>
      </c>
      <c r="CJ342" s="261">
        <f t="shared" si="236"/>
        <v>2.2606134259259609</v>
      </c>
      <c r="CK342" s="458" t="str">
        <f t="shared" si="237"/>
        <v/>
      </c>
      <c r="CL342" t="str">
        <f t="shared" si="238"/>
        <v>NON-REV</v>
      </c>
      <c r="CM342" t="str">
        <f t="shared" si="239"/>
        <v/>
      </c>
      <c r="CN342" s="635"/>
      <c r="CO342" s="631"/>
      <c r="CP342" s="629" t="str">
        <f t="shared" si="216"/>
        <v>FOR ISSUANCE</v>
      </c>
      <c r="CQ342" s="635"/>
      <c r="CR342" s="697"/>
      <c r="CS342" s="633" t="str">
        <f t="shared" ca="1" si="240"/>
        <v>0</v>
      </c>
      <c r="CT342" s="635"/>
      <c r="CU342" s="631"/>
      <c r="CV342" s="638"/>
      <c r="CW342" s="156" t="s">
        <v>2127</v>
      </c>
      <c r="CX342" s="156" t="str">
        <f>VLOOKUP(E342,'[1]List of Work Orders'!$A:$I,9,FALSE)</f>
        <v>ME155242</v>
      </c>
      <c r="CY342" s="156"/>
      <c r="CZ342" s="63"/>
      <c r="DA342" s="762">
        <f t="shared" si="208"/>
        <v>1.132638888884685</v>
      </c>
      <c r="DS342" s="156" t="s">
        <v>381</v>
      </c>
    </row>
    <row r="343" spans="1:123" customFormat="1" ht="15" customHeight="1" x14ac:dyDescent="0.25">
      <c r="A343" s="242">
        <v>45684</v>
      </c>
      <c r="B343" s="222">
        <v>45679</v>
      </c>
      <c r="C343" s="223"/>
      <c r="D343" s="66" t="s">
        <v>320</v>
      </c>
      <c r="E343" s="404" t="s">
        <v>2128</v>
      </c>
      <c r="F343" s="95" t="s">
        <v>2129</v>
      </c>
      <c r="G343" s="95" t="s">
        <v>2130</v>
      </c>
      <c r="H343" s="344" t="s">
        <v>318</v>
      </c>
      <c r="I343" s="95" t="s">
        <v>239</v>
      </c>
      <c r="J343" s="163"/>
      <c r="K343" s="101"/>
      <c r="L343" s="101" t="s">
        <v>5</v>
      </c>
      <c r="M343" s="345" t="s">
        <v>256</v>
      </c>
      <c r="N343" s="442" t="s">
        <v>403</v>
      </c>
      <c r="O343" s="165">
        <v>5.58</v>
      </c>
      <c r="P343" s="933">
        <v>11.61</v>
      </c>
      <c r="Q343" s="157">
        <v>98</v>
      </c>
      <c r="R343" s="109" t="s">
        <v>244</v>
      </c>
      <c r="S343" s="110">
        <v>44190.67</v>
      </c>
      <c r="T343" s="93">
        <v>9373.380000000001</v>
      </c>
      <c r="U343" s="141"/>
      <c r="V343" s="158">
        <f t="shared" si="217"/>
        <v>0</v>
      </c>
      <c r="W343" s="159">
        <v>45677.521527777775</v>
      </c>
      <c r="X343" s="159">
        <v>45680.539583333331</v>
      </c>
      <c r="Y343" s="160">
        <v>45678</v>
      </c>
      <c r="Z343" s="470"/>
      <c r="AA343" s="470">
        <v>45703</v>
      </c>
      <c r="AB343" s="470">
        <v>45848</v>
      </c>
      <c r="AC343" s="161">
        <f t="shared" si="218"/>
        <v>25.478472222224809</v>
      </c>
      <c r="AD343" s="161">
        <f t="shared" si="211"/>
        <v>22.460416666668607</v>
      </c>
      <c r="AE343" s="446">
        <f t="shared" si="241"/>
        <v>145</v>
      </c>
      <c r="AF343" s="160">
        <f t="shared" si="212"/>
        <v>45695.595907943061</v>
      </c>
      <c r="AG343" s="160">
        <f t="shared" si="209"/>
        <v>45704.215742653811</v>
      </c>
      <c r="AH343" s="159">
        <f t="shared" si="213"/>
        <v>45727.521527777775</v>
      </c>
      <c r="AI343" s="162">
        <f t="shared" si="219"/>
        <v>0.90673386437917691</v>
      </c>
      <c r="AJ343" s="224">
        <f t="shared" si="214"/>
        <v>2.4166666666666665</v>
      </c>
      <c r="AK343" s="225">
        <f t="shared" si="220"/>
        <v>20</v>
      </c>
      <c r="AL343" s="170">
        <f t="shared" si="221"/>
        <v>34</v>
      </c>
      <c r="AM343" s="170">
        <f t="shared" si="222"/>
        <v>21.074380165289259</v>
      </c>
      <c r="AN343" s="170">
        <f t="shared" si="223"/>
        <v>26.694214876033058</v>
      </c>
      <c r="AO343" s="226">
        <f t="shared" si="224"/>
        <v>18.074380165289259</v>
      </c>
      <c r="AP343" s="227">
        <v>60</v>
      </c>
      <c r="AQ343" s="228">
        <f t="shared" si="225"/>
        <v>57</v>
      </c>
      <c r="AR343" s="228">
        <f t="shared" si="210"/>
        <v>52</v>
      </c>
      <c r="AS343" s="229">
        <f t="shared" si="226"/>
        <v>45763</v>
      </c>
      <c r="AT343" s="982">
        <f t="shared" ca="1" si="227"/>
        <v>192</v>
      </c>
      <c r="AU343" s="50"/>
      <c r="AV343" s="51"/>
      <c r="AW343" s="49"/>
      <c r="AX343" s="49"/>
      <c r="AY343" s="49"/>
      <c r="AZ343" s="300"/>
      <c r="BA343" s="52"/>
      <c r="BB343" s="304"/>
      <c r="BC343" s="231" t="s">
        <v>14</v>
      </c>
      <c r="BD343" s="232"/>
      <c r="BE343" s="222">
        <f t="shared" si="242"/>
        <v>45718</v>
      </c>
      <c r="BF343" s="233">
        <f t="shared" si="215"/>
        <v>-3</v>
      </c>
      <c r="BG343" s="248">
        <v>45703</v>
      </c>
      <c r="BH343" s="235">
        <v>45715</v>
      </c>
      <c r="BI343" s="234">
        <v>45777</v>
      </c>
      <c r="BJ343" s="250" t="s">
        <v>2097</v>
      </c>
      <c r="BK343" s="222" t="s">
        <v>246</v>
      </c>
      <c r="BL343" s="222"/>
      <c r="BM343" s="238"/>
      <c r="BN343" s="222"/>
      <c r="BO343" s="222">
        <v>45829</v>
      </c>
      <c r="BP343" s="243" t="s">
        <v>1084</v>
      </c>
      <c r="BQ343" s="244" t="s">
        <v>247</v>
      </c>
      <c r="BR343" s="238">
        <v>45702</v>
      </c>
      <c r="BS343" s="67"/>
      <c r="BT343" s="66"/>
      <c r="BU343" s="66"/>
      <c r="BV343" s="66"/>
      <c r="BW343" s="74"/>
      <c r="BX343" s="81"/>
      <c r="BY343" s="66" t="s">
        <v>308</v>
      </c>
      <c r="BZ343" s="944"/>
      <c r="CA343" s="42" t="str">
        <f t="shared" si="228"/>
        <v>0</v>
      </c>
      <c r="CB343" s="62">
        <f t="shared" si="229"/>
        <v>25.478472222224809</v>
      </c>
      <c r="CC343" s="42">
        <f t="shared" si="230"/>
        <v>0</v>
      </c>
      <c r="CD343" s="62">
        <f t="shared" si="231"/>
        <v>25.478472222224809</v>
      </c>
      <c r="CE343" s="62">
        <f t="shared" si="232"/>
        <v>0.90673386437917691</v>
      </c>
      <c r="CF343" s="145">
        <f t="shared" si="233"/>
        <v>166</v>
      </c>
      <c r="CG343" s="145"/>
      <c r="CH343" s="443">
        <f t="shared" si="234"/>
        <v>6.8143809232027062</v>
      </c>
      <c r="CI343" s="996">
        <f t="shared" si="235"/>
        <v>6.8143809232027062</v>
      </c>
      <c r="CJ343" s="261">
        <f t="shared" si="236"/>
        <v>2.7666666666666666</v>
      </c>
      <c r="CK343" s="458" t="str">
        <f t="shared" si="237"/>
        <v/>
      </c>
      <c r="CL343" t="str">
        <f t="shared" si="238"/>
        <v>REV</v>
      </c>
      <c r="CM343" t="str">
        <f t="shared" si="239"/>
        <v/>
      </c>
      <c r="CN343" s="635"/>
      <c r="CO343" s="631"/>
      <c r="CP343" s="629" t="str">
        <f t="shared" si="216"/>
        <v>FOR ISSUANCE</v>
      </c>
      <c r="CQ343" s="635"/>
      <c r="CR343" s="697"/>
      <c r="CS343" s="633" t="str">
        <f t="shared" ca="1" si="240"/>
        <v>0</v>
      </c>
      <c r="CT343" s="635"/>
      <c r="CU343" s="631"/>
      <c r="CV343" s="638"/>
      <c r="CW343" s="156" t="s">
        <v>2131</v>
      </c>
      <c r="CX343" s="156" t="str">
        <f>VLOOKUP(E343,'[1]List of Work Orders'!$A:$I,9,FALSE)</f>
        <v>ME166067</v>
      </c>
      <c r="CY343" s="156"/>
      <c r="DA343" s="762">
        <f t="shared" si="208"/>
        <v>3.0180555555562023</v>
      </c>
      <c r="DS343" s="156" t="s">
        <v>381</v>
      </c>
    </row>
    <row r="344" spans="1:123" customFormat="1" ht="15" customHeight="1" x14ac:dyDescent="0.25">
      <c r="A344" s="242">
        <v>45685</v>
      </c>
      <c r="B344" s="222">
        <v>45684</v>
      </c>
      <c r="C344" s="223"/>
      <c r="D344" s="66" t="s">
        <v>320</v>
      </c>
      <c r="E344" s="404" t="s">
        <v>2132</v>
      </c>
      <c r="F344" s="95" t="s">
        <v>2133</v>
      </c>
      <c r="G344" s="95" t="s">
        <v>2134</v>
      </c>
      <c r="H344" s="95" t="s">
        <v>253</v>
      </c>
      <c r="I344" s="95" t="s">
        <v>254</v>
      </c>
      <c r="J344" s="163"/>
      <c r="K344" s="101"/>
      <c r="L344" s="101" t="s">
        <v>242</v>
      </c>
      <c r="M344" s="345" t="s">
        <v>272</v>
      </c>
      <c r="N344" s="442" t="s">
        <v>467</v>
      </c>
      <c r="O344" s="165">
        <v>1.0495000000000001</v>
      </c>
      <c r="P344" s="933">
        <v>1.29</v>
      </c>
      <c r="Q344" s="157">
        <v>0</v>
      </c>
      <c r="R344" s="109" t="s">
        <v>327</v>
      </c>
      <c r="S344" s="110">
        <v>10873.51</v>
      </c>
      <c r="T344" s="93">
        <v>1038.46</v>
      </c>
      <c r="U344" s="141">
        <v>1038.46</v>
      </c>
      <c r="V344" s="158">
        <f t="shared" si="217"/>
        <v>1</v>
      </c>
      <c r="W344" s="159">
        <v>45678</v>
      </c>
      <c r="X344" s="159">
        <v>45685.370138888888</v>
      </c>
      <c r="Y344" s="160">
        <v>45685</v>
      </c>
      <c r="Z344" s="470"/>
      <c r="AA344" s="470">
        <v>45685</v>
      </c>
      <c r="AB344" s="470"/>
      <c r="AC344" s="161">
        <f t="shared" si="218"/>
        <v>7</v>
      </c>
      <c r="AD344" s="161">
        <f t="shared" si="211"/>
        <v>-0.37013888888759539</v>
      </c>
      <c r="AE344" s="446">
        <f t="shared" si="241"/>
        <v>-45685</v>
      </c>
      <c r="AF344" s="160">
        <f t="shared" si="212"/>
        <v>45696.774193548386</v>
      </c>
      <c r="AG344" s="160">
        <f t="shared" si="209"/>
        <v>45705.580645161288</v>
      </c>
      <c r="AH344" s="159">
        <f t="shared" si="213"/>
        <v>45728</v>
      </c>
      <c r="AI344" s="162">
        <f t="shared" si="219"/>
        <v>0.24111111111111111</v>
      </c>
      <c r="AJ344" s="224">
        <f t="shared" si="214"/>
        <v>-761.41666666666663</v>
      </c>
      <c r="AK344" s="225">
        <f t="shared" si="220"/>
        <v>20</v>
      </c>
      <c r="AL344" s="170">
        <f t="shared" si="221"/>
        <v>36</v>
      </c>
      <c r="AM344" s="170">
        <f t="shared" si="222"/>
        <v>21.774193548387096</v>
      </c>
      <c r="AN344" s="170">
        <f t="shared" si="223"/>
        <v>27.58064516129032</v>
      </c>
      <c r="AO344" s="226">
        <f t="shared" si="224"/>
        <v>18.774193548387096</v>
      </c>
      <c r="AP344" s="227">
        <v>60</v>
      </c>
      <c r="AQ344" s="228">
        <f t="shared" si="225"/>
        <v>57</v>
      </c>
      <c r="AR344" s="228">
        <f t="shared" si="210"/>
        <v>52</v>
      </c>
      <c r="AS344" s="229">
        <f t="shared" si="226"/>
        <v>45745</v>
      </c>
      <c r="AT344" s="982">
        <f t="shared" ca="1" si="227"/>
        <v>210</v>
      </c>
      <c r="AU344" s="50"/>
      <c r="AV344" s="51"/>
      <c r="AW344" s="49"/>
      <c r="AX344" s="49"/>
      <c r="AY344" s="49"/>
      <c r="AZ344" s="300"/>
      <c r="BA344" s="52"/>
      <c r="BB344" s="304"/>
      <c r="BC344" s="231" t="s">
        <v>13</v>
      </c>
      <c r="BD344" s="108" t="s">
        <v>265</v>
      </c>
      <c r="BE344" s="222">
        <f t="shared" si="242"/>
        <v>45700</v>
      </c>
      <c r="BF344" s="233" t="e">
        <f t="shared" si="215"/>
        <v>#VALUE!</v>
      </c>
      <c r="BG344" s="248"/>
      <c r="BH344" s="235"/>
      <c r="BI344" s="234"/>
      <c r="BJ344" s="236"/>
      <c r="BK344" s="222"/>
      <c r="BL344" s="222"/>
      <c r="BM344" s="238"/>
      <c r="BN344" s="222"/>
      <c r="BO344" s="222"/>
      <c r="BP344" s="243"/>
      <c r="BQ344" s="244"/>
      <c r="BR344" s="238"/>
      <c r="BS344" s="67"/>
      <c r="BT344" s="66"/>
      <c r="BU344" s="66"/>
      <c r="BV344" s="66"/>
      <c r="BW344" s="74"/>
      <c r="BX344" s="81"/>
      <c r="BY344" s="66" t="s">
        <v>308</v>
      </c>
      <c r="BZ344" s="944"/>
      <c r="CA344" s="42" t="str">
        <f t="shared" si="228"/>
        <v>0</v>
      </c>
      <c r="CB344" s="62">
        <f t="shared" si="229"/>
        <v>7</v>
      </c>
      <c r="CC344" s="42">
        <f t="shared" si="230"/>
        <v>0</v>
      </c>
      <c r="CD344" s="62">
        <f t="shared" si="231"/>
        <v>7</v>
      </c>
      <c r="CE344" s="62">
        <f t="shared" si="232"/>
        <v>0.24111111111111111</v>
      </c>
      <c r="CF344" s="145">
        <f t="shared" si="233"/>
        <v>184</v>
      </c>
      <c r="CG344" s="145"/>
      <c r="CH344" s="443">
        <f t="shared" si="234"/>
        <v>6.5788888888888888</v>
      </c>
      <c r="CI344" s="996">
        <f t="shared" si="235"/>
        <v>6.5788888888888888</v>
      </c>
      <c r="CJ344" s="261">
        <f t="shared" si="236"/>
        <v>3.0666666666666669</v>
      </c>
      <c r="CK344" s="458" t="str">
        <f t="shared" si="237"/>
        <v/>
      </c>
      <c r="CL344" t="str">
        <f t="shared" si="238"/>
        <v>NON-REV</v>
      </c>
      <c r="CM344" t="str">
        <f t="shared" si="239"/>
        <v/>
      </c>
      <c r="CN344" s="635"/>
      <c r="CO344" s="631"/>
      <c r="CP344" s="629" t="str">
        <f t="shared" si="216"/>
        <v>FOR ISSUANCE</v>
      </c>
      <c r="CQ344" s="635"/>
      <c r="CR344" s="697"/>
      <c r="CS344" s="633" t="str">
        <f t="shared" ca="1" si="240"/>
        <v>0</v>
      </c>
      <c r="CT344" s="635"/>
      <c r="CU344" s="631"/>
      <c r="CV344" s="638"/>
      <c r="CW344" s="156" t="s">
        <v>2135</v>
      </c>
      <c r="CX344" s="156" t="str">
        <f>VLOOKUP(E344,'[1]List of Work Orders'!$A:$I,9,FALSE)</f>
        <v>ME155242</v>
      </c>
      <c r="CY344" s="156"/>
      <c r="CZ344" s="63"/>
      <c r="DA344" s="762">
        <f t="shared" si="208"/>
        <v>7.3701388888875954</v>
      </c>
      <c r="DS344" s="156" t="s">
        <v>403</v>
      </c>
    </row>
    <row r="345" spans="1:123" customFormat="1" ht="15" customHeight="1" x14ac:dyDescent="0.25">
      <c r="A345" s="242">
        <v>45688</v>
      </c>
      <c r="B345" s="222">
        <v>45681</v>
      </c>
      <c r="C345" s="223"/>
      <c r="D345" s="66" t="s">
        <v>284</v>
      </c>
      <c r="E345" s="404" t="s">
        <v>2136</v>
      </c>
      <c r="F345" s="95" t="s">
        <v>2137</v>
      </c>
      <c r="G345" s="95" t="s">
        <v>2138</v>
      </c>
      <c r="H345" s="344" t="s">
        <v>378</v>
      </c>
      <c r="I345" s="95" t="s">
        <v>239</v>
      </c>
      <c r="J345" s="163"/>
      <c r="K345" s="101"/>
      <c r="L345" s="101" t="s">
        <v>288</v>
      </c>
      <c r="M345" s="345" t="s">
        <v>272</v>
      </c>
      <c r="N345" s="442" t="s">
        <v>381</v>
      </c>
      <c r="O345" s="165">
        <v>3.92</v>
      </c>
      <c r="P345" s="933">
        <v>18.12</v>
      </c>
      <c r="Q345" s="157">
        <v>30</v>
      </c>
      <c r="R345" s="109" t="s">
        <v>244</v>
      </c>
      <c r="S345" s="110">
        <v>48533.7</v>
      </c>
      <c r="T345" s="93">
        <v>14591.570000000002</v>
      </c>
      <c r="U345" s="141"/>
      <c r="V345" s="158">
        <f t="shared" si="217"/>
        <v>0</v>
      </c>
      <c r="W345" s="159">
        <v>45678.591666666667</v>
      </c>
      <c r="X345" s="159">
        <v>45685.32916666667</v>
      </c>
      <c r="Y345" s="160">
        <v>45681</v>
      </c>
      <c r="Z345" s="470"/>
      <c r="AA345" s="470">
        <v>45697</v>
      </c>
      <c r="AB345" s="470"/>
      <c r="AC345" s="161">
        <f t="shared" si="218"/>
        <v>18.408333333332848</v>
      </c>
      <c r="AD345" s="161">
        <f t="shared" si="211"/>
        <v>11.670833333329938</v>
      </c>
      <c r="AE345" s="446">
        <f t="shared" si="241"/>
        <v>-45697</v>
      </c>
      <c r="AF345" s="160">
        <f t="shared" si="212"/>
        <v>45697.365860215054</v>
      </c>
      <c r="AG345" s="160">
        <f t="shared" si="209"/>
        <v>45706.172311827955</v>
      </c>
      <c r="AH345" s="159">
        <f t="shared" si="213"/>
        <v>45728.591666666667</v>
      </c>
      <c r="AI345" s="162">
        <f t="shared" si="219"/>
        <v>0.63406481481479804</v>
      </c>
      <c r="AJ345" s="224">
        <f t="shared" si="214"/>
        <v>-761.61666666666667</v>
      </c>
      <c r="AK345" s="225">
        <f t="shared" si="220"/>
        <v>20</v>
      </c>
      <c r="AL345" s="170">
        <f t="shared" si="221"/>
        <v>36</v>
      </c>
      <c r="AM345" s="170">
        <f t="shared" si="222"/>
        <v>21.774193548387096</v>
      </c>
      <c r="AN345" s="170">
        <f t="shared" si="223"/>
        <v>27.58064516129032</v>
      </c>
      <c r="AO345" s="226">
        <f t="shared" si="224"/>
        <v>18.774193548387096</v>
      </c>
      <c r="AP345" s="227">
        <v>60</v>
      </c>
      <c r="AQ345" s="228">
        <f t="shared" si="225"/>
        <v>57</v>
      </c>
      <c r="AR345" s="228">
        <f t="shared" si="210"/>
        <v>52</v>
      </c>
      <c r="AS345" s="229">
        <f t="shared" si="226"/>
        <v>45757</v>
      </c>
      <c r="AT345" s="982">
        <f t="shared" ca="1" si="227"/>
        <v>198</v>
      </c>
      <c r="AU345" s="50"/>
      <c r="AV345" s="51"/>
      <c r="AW345" s="49"/>
      <c r="AX345" s="49"/>
      <c r="AY345" s="49"/>
      <c r="AZ345" s="300"/>
      <c r="BA345" s="52"/>
      <c r="BB345" s="304"/>
      <c r="BC345" s="231" t="s">
        <v>12</v>
      </c>
      <c r="BD345" s="232"/>
      <c r="BE345" s="222">
        <f t="shared" si="242"/>
        <v>45712</v>
      </c>
      <c r="BF345" s="233" t="e">
        <f t="shared" si="215"/>
        <v>#VALUE!</v>
      </c>
      <c r="BG345" s="248"/>
      <c r="BH345" s="235"/>
      <c r="BI345" s="234"/>
      <c r="BJ345" s="236"/>
      <c r="BK345" s="222"/>
      <c r="BL345" s="222"/>
      <c r="BM345" s="238"/>
      <c r="BN345" s="222"/>
      <c r="BO345" s="222"/>
      <c r="BP345" s="243"/>
      <c r="BQ345" s="244" t="s">
        <v>247</v>
      </c>
      <c r="BR345" s="238">
        <v>45695</v>
      </c>
      <c r="BS345" s="67"/>
      <c r="BT345" s="66"/>
      <c r="BU345" s="66"/>
      <c r="BV345" s="66"/>
      <c r="BW345" s="74"/>
      <c r="BX345" s="81"/>
      <c r="BY345" s="66" t="s">
        <v>308</v>
      </c>
      <c r="BZ345" s="944"/>
      <c r="CA345" s="42" t="str">
        <f t="shared" si="228"/>
        <v>0</v>
      </c>
      <c r="CB345" s="62">
        <f t="shared" si="229"/>
        <v>18.408333333332848</v>
      </c>
      <c r="CC345" s="42">
        <f t="shared" si="230"/>
        <v>0</v>
      </c>
      <c r="CD345" s="62">
        <f t="shared" si="231"/>
        <v>18.408333333332848</v>
      </c>
      <c r="CE345" s="62">
        <f t="shared" si="232"/>
        <v>0.63406481481479804</v>
      </c>
      <c r="CF345" s="145">
        <f t="shared" si="233"/>
        <v>172</v>
      </c>
      <c r="CG345" s="145"/>
      <c r="CH345" s="443">
        <f t="shared" si="234"/>
        <v>6.5585092592592424</v>
      </c>
      <c r="CI345" s="996">
        <f t="shared" si="235"/>
        <v>6.5585092592592424</v>
      </c>
      <c r="CJ345" s="261">
        <f t="shared" si="236"/>
        <v>2.8666666666666667</v>
      </c>
      <c r="CK345" s="458" t="str">
        <f t="shared" si="237"/>
        <v/>
      </c>
      <c r="CL345" t="str">
        <f t="shared" si="238"/>
        <v>REV</v>
      </c>
      <c r="CM345" t="str">
        <f t="shared" si="239"/>
        <v/>
      </c>
      <c r="CN345" s="635"/>
      <c r="CO345" s="631"/>
      <c r="CP345" s="629" t="str">
        <f t="shared" si="216"/>
        <v>FOR ISSUANCE</v>
      </c>
      <c r="CQ345" s="635"/>
      <c r="CR345" s="697"/>
      <c r="CS345" s="633" t="str">
        <f t="shared" ca="1" si="240"/>
        <v>0</v>
      </c>
      <c r="CT345" s="635"/>
      <c r="CU345" s="631"/>
      <c r="CV345" s="638"/>
      <c r="CW345" s="156" t="s">
        <v>2139</v>
      </c>
      <c r="CX345" s="156" t="str">
        <f>VLOOKUP(E345,'[1]List of Work Orders'!$A:$I,9,FALSE)</f>
        <v>ME185284</v>
      </c>
      <c r="CY345" s="156"/>
      <c r="DA345" s="762">
        <f t="shared" si="208"/>
        <v>6.7375000000029104</v>
      </c>
      <c r="DS345" s="156" t="s">
        <v>381</v>
      </c>
    </row>
    <row r="346" spans="1:123" ht="15" customHeight="1" x14ac:dyDescent="0.2">
      <c r="A346" s="242">
        <v>45685</v>
      </c>
      <c r="B346" s="222">
        <v>45681</v>
      </c>
      <c r="C346" s="223"/>
      <c r="D346" s="66" t="s">
        <v>320</v>
      </c>
      <c r="E346" s="404" t="s">
        <v>2140</v>
      </c>
      <c r="F346" s="95" t="s">
        <v>2141</v>
      </c>
      <c r="G346" s="95" t="s">
        <v>2142</v>
      </c>
      <c r="H346" s="344" t="s">
        <v>318</v>
      </c>
      <c r="I346" s="95" t="s">
        <v>239</v>
      </c>
      <c r="J346" s="163"/>
      <c r="K346" s="101"/>
      <c r="L346" s="101" t="s">
        <v>255</v>
      </c>
      <c r="M346" s="345" t="s">
        <v>272</v>
      </c>
      <c r="N346" s="442" t="s">
        <v>381</v>
      </c>
      <c r="O346" s="165">
        <v>72.122599999999991</v>
      </c>
      <c r="P346" s="933">
        <v>91.33</v>
      </c>
      <c r="Q346" s="157">
        <v>49</v>
      </c>
      <c r="R346" s="109" t="s">
        <v>244</v>
      </c>
      <c r="S346" s="110">
        <v>431235.62</v>
      </c>
      <c r="T346" s="93">
        <v>78471.11</v>
      </c>
      <c r="U346" s="141"/>
      <c r="V346" s="158">
        <f t="shared" si="217"/>
        <v>0</v>
      </c>
      <c r="W346" s="159">
        <v>45679.527777777781</v>
      </c>
      <c r="X346" s="159">
        <v>45685.324999999997</v>
      </c>
      <c r="Y346" s="160">
        <v>45681</v>
      </c>
      <c r="Z346" s="470"/>
      <c r="AA346" s="470">
        <v>45699</v>
      </c>
      <c r="AB346" s="470"/>
      <c r="AC346" s="161">
        <f t="shared" si="218"/>
        <v>19.472222222218988</v>
      </c>
      <c r="AD346" s="161">
        <f t="shared" si="211"/>
        <v>13.67500000000291</v>
      </c>
      <c r="AE346" s="446">
        <f t="shared" si="241"/>
        <v>-45699</v>
      </c>
      <c r="AF346" s="160">
        <f t="shared" si="212"/>
        <v>45699.61327963652</v>
      </c>
      <c r="AG346" s="160">
        <f t="shared" si="209"/>
        <v>45708.76941346551</v>
      </c>
      <c r="AH346" s="159">
        <f t="shared" si="213"/>
        <v>45729.527777777781</v>
      </c>
      <c r="AI346" s="162">
        <f t="shared" si="219"/>
        <v>0.63261205045614832</v>
      </c>
      <c r="AJ346" s="224">
        <f t="shared" si="214"/>
        <v>-761.65</v>
      </c>
      <c r="AK346" s="225">
        <f t="shared" si="220"/>
        <v>23</v>
      </c>
      <c r="AL346" s="170">
        <f t="shared" si="221"/>
        <v>36</v>
      </c>
      <c r="AM346" s="170">
        <f t="shared" si="222"/>
        <v>23.085501858736059</v>
      </c>
      <c r="AN346" s="170">
        <f t="shared" si="223"/>
        <v>29.241635687732341</v>
      </c>
      <c r="AO346" s="226">
        <f t="shared" si="224"/>
        <v>20.085501858736059</v>
      </c>
      <c r="AP346" s="227">
        <v>60</v>
      </c>
      <c r="AQ346" s="228">
        <f t="shared" si="225"/>
        <v>57</v>
      </c>
      <c r="AR346" s="228">
        <f t="shared" si="210"/>
        <v>52</v>
      </c>
      <c r="AS346" s="229">
        <f t="shared" si="226"/>
        <v>45759</v>
      </c>
      <c r="AT346" s="982">
        <f t="shared" ca="1" si="227"/>
        <v>196</v>
      </c>
      <c r="AU346" s="1077"/>
      <c r="AV346" s="1092"/>
      <c r="AW346" s="1079"/>
      <c r="AX346" s="1079"/>
      <c r="AY346" s="1079"/>
      <c r="AZ346" s="1080"/>
      <c r="BA346" s="1101"/>
      <c r="BB346" s="1091"/>
      <c r="BC346" s="231" t="s">
        <v>13</v>
      </c>
      <c r="BD346" s="232"/>
      <c r="BE346" s="222">
        <f t="shared" si="242"/>
        <v>45714</v>
      </c>
      <c r="BF346" s="233" t="e">
        <f t="shared" si="215"/>
        <v>#VALUE!</v>
      </c>
      <c r="BG346" s="248"/>
      <c r="BH346" s="235"/>
      <c r="BI346" s="234"/>
      <c r="BJ346" s="236"/>
      <c r="BK346" s="222"/>
      <c r="BL346" s="222"/>
      <c r="BM346" s="238"/>
      <c r="BN346" s="222"/>
      <c r="BO346" s="222"/>
      <c r="BP346" s="243"/>
      <c r="BQ346" s="244" t="s">
        <v>247</v>
      </c>
      <c r="BR346" s="238">
        <v>45698</v>
      </c>
      <c r="BS346" s="67"/>
      <c r="BT346" s="66"/>
      <c r="BU346" s="66"/>
      <c r="BV346" s="66"/>
      <c r="BW346" s="74"/>
      <c r="BX346" s="81"/>
      <c r="BY346" s="66">
        <v>45685</v>
      </c>
      <c r="BZ346" s="944" t="s">
        <v>2143</v>
      </c>
      <c r="CA346" s="42" t="str">
        <f t="shared" si="228"/>
        <v>0</v>
      </c>
      <c r="CB346" s="62">
        <f t="shared" si="229"/>
        <v>19.472222222218988</v>
      </c>
      <c r="CC346" s="42">
        <f t="shared" si="230"/>
        <v>0</v>
      </c>
      <c r="CD346" s="62">
        <f t="shared" si="231"/>
        <v>19.472222222218988</v>
      </c>
      <c r="CE346" s="62">
        <f t="shared" si="232"/>
        <v>0.63261205045614832</v>
      </c>
      <c r="CF346" s="1059">
        <f t="shared" si="233"/>
        <v>170</v>
      </c>
      <c r="CH346" s="1082">
        <f t="shared" si="234"/>
        <v>6.1555589103595292</v>
      </c>
      <c r="CI346" s="1083">
        <f t="shared" si="235"/>
        <v>6.1555589103595292</v>
      </c>
      <c r="CJ346" s="1084">
        <f t="shared" si="236"/>
        <v>2.8333333333333335</v>
      </c>
      <c r="CK346" s="1085" t="str">
        <f t="shared" si="237"/>
        <v/>
      </c>
      <c r="CL346" s="1057" t="str">
        <f t="shared" si="238"/>
        <v>REV</v>
      </c>
      <c r="CM346" s="1057" t="str">
        <f t="shared" si="239"/>
        <v/>
      </c>
      <c r="CN346" s="1086"/>
      <c r="CO346" s="1087"/>
      <c r="CP346" s="629" t="str">
        <f t="shared" si="216"/>
        <v>FOR ISSUANCE</v>
      </c>
      <c r="CQ346" s="1086"/>
      <c r="CR346" s="1088"/>
      <c r="CS346" s="1089" t="str">
        <f t="shared" ca="1" si="240"/>
        <v>0</v>
      </c>
      <c r="CT346" s="1086"/>
      <c r="CU346" s="1087"/>
      <c r="CV346" s="1090"/>
      <c r="CW346" s="156" t="s">
        <v>2144</v>
      </c>
      <c r="CX346" s="156" t="str">
        <f>VLOOKUP(E346,'[1]List of Work Orders'!$A:$I,9,FALSE)</f>
        <v>ME185284</v>
      </c>
      <c r="CY346" s="156"/>
      <c r="DA346" s="1100">
        <f t="shared" si="208"/>
        <v>5.7972222222160781</v>
      </c>
      <c r="DS346" s="156" t="s">
        <v>381</v>
      </c>
    </row>
    <row r="347" spans="1:123" customFormat="1" ht="15" customHeight="1" x14ac:dyDescent="0.25">
      <c r="A347" s="242">
        <v>45699</v>
      </c>
      <c r="B347" s="222">
        <v>45681</v>
      </c>
      <c r="C347" s="223"/>
      <c r="D347" s="66" t="s">
        <v>284</v>
      </c>
      <c r="E347" s="404" t="s">
        <v>2145</v>
      </c>
      <c r="F347" s="95" t="s">
        <v>2146</v>
      </c>
      <c r="G347" s="95" t="s">
        <v>2147</v>
      </c>
      <c r="H347" s="348" t="s">
        <v>378</v>
      </c>
      <c r="I347" s="95" t="s">
        <v>239</v>
      </c>
      <c r="J347" s="163"/>
      <c r="K347" s="101"/>
      <c r="L347" s="101" t="s">
        <v>288</v>
      </c>
      <c r="M347" s="345" t="s">
        <v>256</v>
      </c>
      <c r="N347" s="442" t="s">
        <v>381</v>
      </c>
      <c r="O347" s="165">
        <v>68.745900000000006</v>
      </c>
      <c r="P347" s="933">
        <v>138.22999999999999</v>
      </c>
      <c r="Q347" s="157">
        <v>215</v>
      </c>
      <c r="R347" s="109" t="s">
        <v>244</v>
      </c>
      <c r="S347" s="110">
        <v>833032.22</v>
      </c>
      <c r="T347" s="93">
        <v>97339.400000000023</v>
      </c>
      <c r="U347" s="141"/>
      <c r="V347" s="158">
        <f t="shared" si="217"/>
        <v>0</v>
      </c>
      <c r="W347" s="159">
        <v>45679.53125</v>
      </c>
      <c r="X347" s="159">
        <v>45685.329861111109</v>
      </c>
      <c r="Y347" s="160">
        <v>45681</v>
      </c>
      <c r="Z347" s="470"/>
      <c r="AA347" s="470">
        <v>45689</v>
      </c>
      <c r="AB347" s="470">
        <v>45838</v>
      </c>
      <c r="AC347" s="161">
        <f t="shared" si="218"/>
        <v>9.46875</v>
      </c>
      <c r="AD347" s="161">
        <f t="shared" si="211"/>
        <v>3.6701388888905058</v>
      </c>
      <c r="AE347" s="446">
        <f t="shared" si="241"/>
        <v>149</v>
      </c>
      <c r="AF347" s="160">
        <f t="shared" si="212"/>
        <v>45698.038602941175</v>
      </c>
      <c r="AG347" s="160">
        <f t="shared" si="209"/>
        <v>45706.773897058825</v>
      </c>
      <c r="AH347" s="159">
        <f t="shared" si="213"/>
        <v>45729.53125</v>
      </c>
      <c r="AI347" s="162">
        <f t="shared" si="219"/>
        <v>0.33019230769230767</v>
      </c>
      <c r="AJ347" s="224">
        <f t="shared" si="214"/>
        <v>2.4833333333333334</v>
      </c>
      <c r="AK347" s="225">
        <f t="shared" si="220"/>
        <v>26</v>
      </c>
      <c r="AL347" s="170">
        <f t="shared" si="221"/>
        <v>30</v>
      </c>
      <c r="AM347" s="170">
        <f t="shared" si="222"/>
        <v>21.507352941176471</v>
      </c>
      <c r="AN347" s="170">
        <f t="shared" si="223"/>
        <v>27.242647058823529</v>
      </c>
      <c r="AO347" s="226">
        <f t="shared" si="224"/>
        <v>18.507352941176471</v>
      </c>
      <c r="AP347" s="227">
        <v>60</v>
      </c>
      <c r="AQ347" s="228">
        <f t="shared" si="225"/>
        <v>57</v>
      </c>
      <c r="AR347" s="228">
        <f t="shared" si="210"/>
        <v>52</v>
      </c>
      <c r="AS347" s="229">
        <f t="shared" si="226"/>
        <v>45749</v>
      </c>
      <c r="AT347" s="982">
        <f t="shared" ca="1" si="227"/>
        <v>206</v>
      </c>
      <c r="AU347" s="50"/>
      <c r="AV347" s="51"/>
      <c r="AW347" s="49"/>
      <c r="AX347" s="49"/>
      <c r="AY347" s="49"/>
      <c r="AZ347" s="300"/>
      <c r="BA347" s="52"/>
      <c r="BB347" s="304"/>
      <c r="BC347" s="231" t="s">
        <v>14</v>
      </c>
      <c r="BD347" s="232"/>
      <c r="BE347" s="222">
        <f t="shared" si="242"/>
        <v>45704</v>
      </c>
      <c r="BF347" s="233">
        <f t="shared" si="215"/>
        <v>103</v>
      </c>
      <c r="BG347" s="248">
        <v>45689</v>
      </c>
      <c r="BH347" s="235">
        <v>45807</v>
      </c>
      <c r="BI347" s="234">
        <v>45833</v>
      </c>
      <c r="BJ347" s="236" t="s">
        <v>1119</v>
      </c>
      <c r="BK347" s="222" t="s">
        <v>247</v>
      </c>
      <c r="BL347" s="222" t="s">
        <v>247</v>
      </c>
      <c r="BM347" s="238"/>
      <c r="BN347" s="222"/>
      <c r="BO347" s="222">
        <v>45836</v>
      </c>
      <c r="BP347" s="243" t="s">
        <v>1084</v>
      </c>
      <c r="BQ347" s="244" t="s">
        <v>247</v>
      </c>
      <c r="BR347" s="238">
        <v>45687</v>
      </c>
      <c r="BS347" s="67"/>
      <c r="BT347" s="66"/>
      <c r="BU347" s="66"/>
      <c r="BV347" s="66"/>
      <c r="BW347" s="74"/>
      <c r="BX347" s="81"/>
      <c r="BY347" s="66">
        <v>45699</v>
      </c>
      <c r="BZ347" s="944" t="s">
        <v>2148</v>
      </c>
      <c r="CA347" s="42" t="str">
        <f t="shared" si="228"/>
        <v>0</v>
      </c>
      <c r="CB347" s="62">
        <f t="shared" si="229"/>
        <v>9.46875</v>
      </c>
      <c r="CC347" s="42">
        <f t="shared" si="230"/>
        <v>0</v>
      </c>
      <c r="CD347" s="62">
        <f t="shared" si="231"/>
        <v>9.46875</v>
      </c>
      <c r="CE347" s="62">
        <f t="shared" si="232"/>
        <v>0.33019230769230767</v>
      </c>
      <c r="CF347" s="145">
        <f t="shared" si="233"/>
        <v>180</v>
      </c>
      <c r="CG347" s="145"/>
      <c r="CH347" s="443">
        <f t="shared" si="234"/>
        <v>6.6071153846153843</v>
      </c>
      <c r="CI347" s="996">
        <f t="shared" si="235"/>
        <v>6.6071153846153843</v>
      </c>
      <c r="CJ347" s="261">
        <f t="shared" si="236"/>
        <v>3</v>
      </c>
      <c r="CK347" s="458" t="str">
        <f t="shared" si="237"/>
        <v/>
      </c>
      <c r="CL347" t="str">
        <f t="shared" si="238"/>
        <v>REV</v>
      </c>
      <c r="CM347" t="str">
        <f t="shared" si="239"/>
        <v/>
      </c>
      <c r="CN347" s="635"/>
      <c r="CO347" s="631"/>
      <c r="CP347" s="629" t="str">
        <f t="shared" si="216"/>
        <v>FOR ISSUANCE</v>
      </c>
      <c r="CQ347" s="635"/>
      <c r="CR347" s="697"/>
      <c r="CS347" s="633" t="str">
        <f t="shared" ca="1" si="240"/>
        <v>0</v>
      </c>
      <c r="CT347" s="635"/>
      <c r="CU347" s="631"/>
      <c r="CV347" s="638"/>
      <c r="CW347" s="156" t="s">
        <v>2149</v>
      </c>
      <c r="CX347" s="156" t="str">
        <f>VLOOKUP(E347,'[1]List of Work Orders'!$A:$I,9,FALSE)</f>
        <v>ME185284</v>
      </c>
      <c r="CY347" s="156"/>
      <c r="DA347" s="762">
        <f t="shared" si="208"/>
        <v>5.7986111111094942</v>
      </c>
      <c r="DS347" s="156" t="s">
        <v>403</v>
      </c>
    </row>
    <row r="348" spans="1:123" customFormat="1" ht="15" customHeight="1" x14ac:dyDescent="0.25">
      <c r="A348" s="242">
        <v>45688</v>
      </c>
      <c r="B348" s="222">
        <v>45681</v>
      </c>
      <c r="C348" s="223"/>
      <c r="D348" s="66" t="s">
        <v>284</v>
      </c>
      <c r="E348" s="404" t="s">
        <v>2150</v>
      </c>
      <c r="F348" s="95" t="s">
        <v>2151</v>
      </c>
      <c r="G348" s="95" t="s">
        <v>2152</v>
      </c>
      <c r="H348" s="95" t="s">
        <v>238</v>
      </c>
      <c r="I348" s="95" t="s">
        <v>239</v>
      </c>
      <c r="J348" s="163"/>
      <c r="K348" s="101"/>
      <c r="L348" s="101" t="s">
        <v>5</v>
      </c>
      <c r="M348" s="345" t="s">
        <v>256</v>
      </c>
      <c r="N348" s="442" t="s">
        <v>403</v>
      </c>
      <c r="O348" s="165">
        <v>301.80369999999999</v>
      </c>
      <c r="P348" s="933">
        <v>123.22</v>
      </c>
      <c r="Q348" s="157">
        <v>97</v>
      </c>
      <c r="R348" s="109" t="s">
        <v>244</v>
      </c>
      <c r="S348" s="110">
        <v>753143.29</v>
      </c>
      <c r="T348" s="93">
        <v>211552.3</v>
      </c>
      <c r="U348" s="141">
        <v>35306.57</v>
      </c>
      <c r="V348" s="158">
        <f t="shared" si="217"/>
        <v>0.16689286762658692</v>
      </c>
      <c r="W348" s="159">
        <v>45679.706944444442</v>
      </c>
      <c r="X348" s="159">
        <v>45685.347916666666</v>
      </c>
      <c r="Y348" s="160">
        <v>45681</v>
      </c>
      <c r="Z348" s="470"/>
      <c r="AA348" s="470">
        <v>45693</v>
      </c>
      <c r="AB348" s="470">
        <v>45818</v>
      </c>
      <c r="AC348" s="161">
        <f t="shared" si="218"/>
        <v>13.293055555557657</v>
      </c>
      <c r="AD348" s="161">
        <f t="shared" si="211"/>
        <v>7.6520833333343035</v>
      </c>
      <c r="AE348" s="446">
        <f t="shared" si="241"/>
        <v>125</v>
      </c>
      <c r="AF348" s="160">
        <f t="shared" si="212"/>
        <v>45700.052014866975</v>
      </c>
      <c r="AG348" s="160">
        <f t="shared" si="209"/>
        <v>45709.277366979652</v>
      </c>
      <c r="AH348" s="159">
        <f t="shared" si="213"/>
        <v>45729.706944444442</v>
      </c>
      <c r="AI348" s="162">
        <f t="shared" si="219"/>
        <v>0.42706196581203337</v>
      </c>
      <c r="AJ348" s="224">
        <f t="shared" si="214"/>
        <v>2.0833333333333335</v>
      </c>
      <c r="AK348" s="225">
        <f t="shared" si="220"/>
        <v>26</v>
      </c>
      <c r="AL348" s="170">
        <f t="shared" si="221"/>
        <v>34</v>
      </c>
      <c r="AM348" s="170">
        <f t="shared" si="222"/>
        <v>23.345070422535212</v>
      </c>
      <c r="AN348" s="170">
        <f t="shared" si="223"/>
        <v>29.570422535211268</v>
      </c>
      <c r="AO348" s="226">
        <f t="shared" si="224"/>
        <v>20.345070422535212</v>
      </c>
      <c r="AP348" s="227">
        <v>60</v>
      </c>
      <c r="AQ348" s="228">
        <f t="shared" si="225"/>
        <v>57</v>
      </c>
      <c r="AR348" s="228">
        <f t="shared" si="210"/>
        <v>52</v>
      </c>
      <c r="AS348" s="229">
        <f t="shared" si="226"/>
        <v>45753</v>
      </c>
      <c r="AT348" s="982">
        <f t="shared" ca="1" si="227"/>
        <v>202</v>
      </c>
      <c r="AU348" s="50"/>
      <c r="AV348" s="51"/>
      <c r="AW348" s="49"/>
      <c r="AX348" s="49"/>
      <c r="AY348" s="49"/>
      <c r="AZ348" s="300"/>
      <c r="BA348" s="52"/>
      <c r="BB348" s="304"/>
      <c r="BC348" s="231" t="s">
        <v>14</v>
      </c>
      <c r="BD348" s="348"/>
      <c r="BE348" s="222">
        <f t="shared" si="242"/>
        <v>45708</v>
      </c>
      <c r="BF348" s="233">
        <f t="shared" si="215"/>
        <v>1</v>
      </c>
      <c r="BG348" s="248">
        <v>45693</v>
      </c>
      <c r="BH348" s="235">
        <v>45709</v>
      </c>
      <c r="BI348" s="234">
        <v>45789</v>
      </c>
      <c r="BJ348" s="236" t="s">
        <v>245</v>
      </c>
      <c r="BK348" s="222" t="s">
        <v>246</v>
      </c>
      <c r="BL348" s="222"/>
      <c r="BM348" s="238"/>
      <c r="BN348" s="222"/>
      <c r="BO348" s="222">
        <v>45804</v>
      </c>
      <c r="BP348" s="243" t="s">
        <v>1084</v>
      </c>
      <c r="BQ348" s="244" t="s">
        <v>247</v>
      </c>
      <c r="BR348" s="238">
        <v>45691</v>
      </c>
      <c r="BS348" s="67"/>
      <c r="BT348" s="66"/>
      <c r="BU348" s="66"/>
      <c r="BV348" s="66"/>
      <c r="BW348" s="74"/>
      <c r="BX348" s="81"/>
      <c r="BY348" s="66">
        <v>45688</v>
      </c>
      <c r="BZ348" s="944" t="s">
        <v>2153</v>
      </c>
      <c r="CA348" s="42" t="str">
        <f t="shared" si="228"/>
        <v>0</v>
      </c>
      <c r="CB348" s="62">
        <f t="shared" si="229"/>
        <v>13.293055555557657</v>
      </c>
      <c r="CC348" s="42">
        <f t="shared" si="230"/>
        <v>0</v>
      </c>
      <c r="CD348" s="62">
        <f t="shared" si="231"/>
        <v>13.293055555557657</v>
      </c>
      <c r="CE348" s="62">
        <f t="shared" si="232"/>
        <v>0.42706196581203337</v>
      </c>
      <c r="CF348" s="145">
        <f t="shared" si="233"/>
        <v>176</v>
      </c>
      <c r="CG348" s="145"/>
      <c r="CH348" s="443">
        <f t="shared" si="234"/>
        <v>6.0813606083459693</v>
      </c>
      <c r="CI348" s="996">
        <f t="shared" si="235"/>
        <v>6.0813606083459693</v>
      </c>
      <c r="CJ348" s="261">
        <f t="shared" si="236"/>
        <v>2.9333333333333331</v>
      </c>
      <c r="CK348" s="458" t="str">
        <f t="shared" si="237"/>
        <v/>
      </c>
      <c r="CL348" t="str">
        <f t="shared" si="238"/>
        <v>REV</v>
      </c>
      <c r="CM348" t="str">
        <f t="shared" si="239"/>
        <v/>
      </c>
      <c r="CN348" s="635"/>
      <c r="CO348" s="631"/>
      <c r="CP348" s="629" t="str">
        <f t="shared" si="216"/>
        <v>FOR ISSUANCE</v>
      </c>
      <c r="CQ348" s="635"/>
      <c r="CR348" s="697"/>
      <c r="CS348" s="633" t="str">
        <f t="shared" ca="1" si="240"/>
        <v>0</v>
      </c>
      <c r="CT348" s="635"/>
      <c r="CU348" s="631"/>
      <c r="CV348" s="638"/>
      <c r="CW348" s="156" t="s">
        <v>2154</v>
      </c>
      <c r="CX348" s="156" t="str">
        <f>VLOOKUP(E348,'[1]List of Work Orders'!$A:$I,9,FALSE)</f>
        <v>ME166067</v>
      </c>
      <c r="CY348" s="156"/>
      <c r="DA348" s="762">
        <f t="shared" si="208"/>
        <v>5.640972222223354</v>
      </c>
      <c r="DS348" s="156" t="s">
        <v>403</v>
      </c>
    </row>
    <row r="349" spans="1:123" customFormat="1" ht="15" customHeight="1" x14ac:dyDescent="0.25">
      <c r="A349" s="242">
        <v>45685</v>
      </c>
      <c r="B349" s="222">
        <v>45681</v>
      </c>
      <c r="C349" s="223" t="s">
        <v>247</v>
      </c>
      <c r="D349" s="66" t="s">
        <v>284</v>
      </c>
      <c r="E349" s="404" t="s">
        <v>2155</v>
      </c>
      <c r="F349" s="95" t="s">
        <v>2156</v>
      </c>
      <c r="G349" s="95" t="s">
        <v>2157</v>
      </c>
      <c r="H349" s="95" t="s">
        <v>238</v>
      </c>
      <c r="I349" s="95" t="s">
        <v>239</v>
      </c>
      <c r="J349" s="163"/>
      <c r="K349" s="101"/>
      <c r="L349" s="101" t="s">
        <v>5</v>
      </c>
      <c r="M349" s="345" t="s">
        <v>272</v>
      </c>
      <c r="N349" s="442" t="s">
        <v>403</v>
      </c>
      <c r="O349" s="165">
        <v>33.4983</v>
      </c>
      <c r="P349" s="933">
        <v>33.5</v>
      </c>
      <c r="Q349" s="157">
        <v>35</v>
      </c>
      <c r="R349" s="109" t="s">
        <v>244</v>
      </c>
      <c r="S349" s="110">
        <v>241637.84</v>
      </c>
      <c r="T349" s="93">
        <v>26975.31</v>
      </c>
      <c r="U349" s="141">
        <v>6007.35</v>
      </c>
      <c r="V349" s="158">
        <f t="shared" si="217"/>
        <v>0.2226980894751534</v>
      </c>
      <c r="W349" s="159">
        <v>45679.708333333336</v>
      </c>
      <c r="X349" s="159">
        <v>45685.351388888892</v>
      </c>
      <c r="Y349" s="160">
        <v>45681</v>
      </c>
      <c r="Z349" s="470">
        <v>45720.181250000001</v>
      </c>
      <c r="AA349" s="470">
        <v>45720</v>
      </c>
      <c r="AB349" s="470"/>
      <c r="AC349" s="161">
        <f t="shared" si="218"/>
        <v>40.291666666664241</v>
      </c>
      <c r="AD349" s="161">
        <f t="shared" si="211"/>
        <v>34.648611111108039</v>
      </c>
      <c r="AE349" s="446">
        <f t="shared" si="241"/>
        <v>-45720</v>
      </c>
      <c r="AF349" s="160">
        <f t="shared" si="212"/>
        <v>45698.482526881722</v>
      </c>
      <c r="AG349" s="160">
        <f t="shared" si="209"/>
        <v>45707.288978494624</v>
      </c>
      <c r="AH349" s="159">
        <f t="shared" si="213"/>
        <v>45729.708333333336</v>
      </c>
      <c r="AI349" s="162">
        <f t="shared" si="219"/>
        <v>1.3878240740739904</v>
      </c>
      <c r="AJ349" s="224">
        <f t="shared" si="214"/>
        <v>-762</v>
      </c>
      <c r="AK349" s="225">
        <f t="shared" si="220"/>
        <v>20</v>
      </c>
      <c r="AL349" s="170">
        <f t="shared" si="221"/>
        <v>36</v>
      </c>
      <c r="AM349" s="170">
        <f t="shared" si="222"/>
        <v>21.774193548387096</v>
      </c>
      <c r="AN349" s="170">
        <f t="shared" si="223"/>
        <v>27.58064516129032</v>
      </c>
      <c r="AO349" s="226">
        <f t="shared" si="224"/>
        <v>18.774193548387096</v>
      </c>
      <c r="AP349" s="227">
        <v>60</v>
      </c>
      <c r="AQ349" s="228">
        <f t="shared" si="225"/>
        <v>57</v>
      </c>
      <c r="AR349" s="228">
        <f t="shared" si="210"/>
        <v>52</v>
      </c>
      <c r="AS349" s="229">
        <f t="shared" si="226"/>
        <v>45780</v>
      </c>
      <c r="AT349" s="982">
        <f t="shared" ca="1" si="227"/>
        <v>175</v>
      </c>
      <c r="AU349" s="50"/>
      <c r="AV349" s="51"/>
      <c r="AW349" s="49"/>
      <c r="AX349" s="49"/>
      <c r="AY349" s="49"/>
      <c r="AZ349" s="300"/>
      <c r="BA349" s="52"/>
      <c r="BB349" s="304"/>
      <c r="BC349" s="231" t="s">
        <v>264</v>
      </c>
      <c r="BD349" s="906" t="s">
        <v>601</v>
      </c>
      <c r="BE349" s="222">
        <f t="shared" si="242"/>
        <v>45735</v>
      </c>
      <c r="BF349" s="233">
        <f t="shared" si="215"/>
        <v>-8</v>
      </c>
      <c r="BG349" s="248">
        <v>45723</v>
      </c>
      <c r="BH349" s="235">
        <v>45727</v>
      </c>
      <c r="BI349" s="234">
        <v>45740</v>
      </c>
      <c r="BJ349" s="236" t="s">
        <v>1119</v>
      </c>
      <c r="BK349" s="222"/>
      <c r="BL349" s="222"/>
      <c r="BM349" s="238"/>
      <c r="BN349" s="222"/>
      <c r="BO349" s="222">
        <v>45828</v>
      </c>
      <c r="BP349" s="243" t="s">
        <v>1084</v>
      </c>
      <c r="BQ349" s="244" t="s">
        <v>247</v>
      </c>
      <c r="BR349" s="238">
        <v>45721</v>
      </c>
      <c r="BS349" s="67"/>
      <c r="BT349" s="66"/>
      <c r="BU349" s="66"/>
      <c r="BV349" s="66"/>
      <c r="BW349" s="74"/>
      <c r="BX349" s="81"/>
      <c r="BY349" s="66"/>
      <c r="BZ349" s="944"/>
      <c r="CA349" s="42" t="str">
        <f t="shared" si="228"/>
        <v>0</v>
      </c>
      <c r="CB349" s="62">
        <f t="shared" si="229"/>
        <v>40.291666666664241</v>
      </c>
      <c r="CC349" s="42">
        <f t="shared" si="230"/>
        <v>0</v>
      </c>
      <c r="CD349" s="62">
        <f t="shared" si="231"/>
        <v>40.291666666664241</v>
      </c>
      <c r="CE349" s="62">
        <f t="shared" si="232"/>
        <v>1.3878240740739904</v>
      </c>
      <c r="CF349" s="145">
        <f t="shared" si="233"/>
        <v>149</v>
      </c>
      <c r="CG349" s="145"/>
      <c r="CH349" s="443">
        <f t="shared" si="234"/>
        <v>6.5200462962962131</v>
      </c>
      <c r="CI349" s="996">
        <f t="shared" si="235"/>
        <v>6.5200462962962131</v>
      </c>
      <c r="CJ349" s="261">
        <f t="shared" si="236"/>
        <v>2.4833333333333334</v>
      </c>
      <c r="CK349" s="458" t="str">
        <f t="shared" si="237"/>
        <v/>
      </c>
      <c r="CL349" t="str">
        <f t="shared" si="238"/>
        <v>REV</v>
      </c>
      <c r="CM349" t="str">
        <f t="shared" si="239"/>
        <v/>
      </c>
      <c r="CN349" s="635">
        <v>45831</v>
      </c>
      <c r="CO349" s="631">
        <v>8901.51</v>
      </c>
      <c r="CP349" s="629" t="str">
        <f t="shared" si="216"/>
        <v>NTC ISSUED</v>
      </c>
      <c r="CQ349" s="635">
        <v>45833</v>
      </c>
      <c r="CR349" s="697"/>
      <c r="CS349" s="633">
        <f t="shared" ca="1" si="240"/>
        <v>62</v>
      </c>
      <c r="CT349" s="635"/>
      <c r="CU349" s="631"/>
      <c r="CV349" s="638"/>
      <c r="CW349" s="156" t="s">
        <v>2158</v>
      </c>
      <c r="CX349" s="156" t="str">
        <f>VLOOKUP(E349,'[1]List of Work Orders'!$A:$I,9,FALSE)</f>
        <v>ME166067</v>
      </c>
      <c r="CY349" s="156"/>
      <c r="DA349" s="762">
        <f t="shared" si="208"/>
        <v>5.6430555555562023</v>
      </c>
      <c r="DS349" s="156" t="s">
        <v>381</v>
      </c>
    </row>
    <row r="350" spans="1:123" customFormat="1" ht="15" customHeight="1" x14ac:dyDescent="0.25">
      <c r="A350" s="242">
        <v>45691</v>
      </c>
      <c r="B350" s="222">
        <v>45681</v>
      </c>
      <c r="C350" s="223"/>
      <c r="D350" s="66" t="s">
        <v>320</v>
      </c>
      <c r="E350" s="404" t="s">
        <v>2159</v>
      </c>
      <c r="F350" s="95" t="s">
        <v>2160</v>
      </c>
      <c r="G350" s="95" t="s">
        <v>2161</v>
      </c>
      <c r="H350" s="95" t="s">
        <v>238</v>
      </c>
      <c r="I350" s="95" t="s">
        <v>239</v>
      </c>
      <c r="J350" s="163"/>
      <c r="K350" s="101"/>
      <c r="L350" s="101" t="s">
        <v>242</v>
      </c>
      <c r="M350" s="345" t="s">
        <v>272</v>
      </c>
      <c r="N350" s="442" t="s">
        <v>467</v>
      </c>
      <c r="O350" s="165">
        <v>2.73</v>
      </c>
      <c r="P350" s="933">
        <v>29.81</v>
      </c>
      <c r="Q350" s="157">
        <v>29</v>
      </c>
      <c r="R350" s="109" t="s">
        <v>244</v>
      </c>
      <c r="S350" s="110">
        <v>79996.160000000003</v>
      </c>
      <c r="T350" s="93">
        <v>24005.18</v>
      </c>
      <c r="U350" s="141"/>
      <c r="V350" s="158">
        <f t="shared" si="217"/>
        <v>0</v>
      </c>
      <c r="W350" s="159">
        <v>45679.709027777775</v>
      </c>
      <c r="X350" s="159">
        <v>45685.363194444442</v>
      </c>
      <c r="Y350" s="160">
        <v>45681</v>
      </c>
      <c r="Z350" s="470"/>
      <c r="AA350" s="470">
        <v>45688</v>
      </c>
      <c r="AB350" s="470"/>
      <c r="AC350" s="161">
        <f t="shared" si="218"/>
        <v>8.2909722222248092</v>
      </c>
      <c r="AD350" s="161">
        <f t="shared" si="211"/>
        <v>2.6368055555576575</v>
      </c>
      <c r="AE350" s="446">
        <f t="shared" si="241"/>
        <v>-45688</v>
      </c>
      <c r="AF350" s="160">
        <f t="shared" si="212"/>
        <v>45698.483221326162</v>
      </c>
      <c r="AG350" s="160">
        <f t="shared" si="209"/>
        <v>45707.289672939063</v>
      </c>
      <c r="AH350" s="159">
        <f t="shared" si="213"/>
        <v>45729.709027777775</v>
      </c>
      <c r="AI350" s="162">
        <f t="shared" si="219"/>
        <v>0.28557793209885451</v>
      </c>
      <c r="AJ350" s="224">
        <f t="shared" si="214"/>
        <v>-761.4666666666667</v>
      </c>
      <c r="AK350" s="225">
        <f t="shared" si="220"/>
        <v>20</v>
      </c>
      <c r="AL350" s="170">
        <f t="shared" si="221"/>
        <v>36</v>
      </c>
      <c r="AM350" s="170">
        <f t="shared" si="222"/>
        <v>21.774193548387096</v>
      </c>
      <c r="AN350" s="170">
        <f t="shared" si="223"/>
        <v>27.58064516129032</v>
      </c>
      <c r="AO350" s="226">
        <f t="shared" si="224"/>
        <v>18.774193548387096</v>
      </c>
      <c r="AP350" s="227">
        <v>60</v>
      </c>
      <c r="AQ350" s="228">
        <f t="shared" si="225"/>
        <v>57</v>
      </c>
      <c r="AR350" s="228">
        <f t="shared" si="210"/>
        <v>52</v>
      </c>
      <c r="AS350" s="229">
        <f t="shared" si="226"/>
        <v>45748</v>
      </c>
      <c r="AT350" s="982">
        <f t="shared" ca="1" si="227"/>
        <v>207</v>
      </c>
      <c r="AU350" s="50"/>
      <c r="AV350" s="51"/>
      <c r="AW350" s="49"/>
      <c r="AX350" s="49"/>
      <c r="AY350" s="49"/>
      <c r="AZ350" s="300"/>
      <c r="BA350" s="52"/>
      <c r="BB350" s="304"/>
      <c r="BC350" s="231" t="s">
        <v>13</v>
      </c>
      <c r="BD350" s="232"/>
      <c r="BE350" s="222">
        <f t="shared" si="242"/>
        <v>45703</v>
      </c>
      <c r="BF350" s="233" t="e">
        <f t="shared" si="215"/>
        <v>#VALUE!</v>
      </c>
      <c r="BG350" s="248"/>
      <c r="BH350" s="235"/>
      <c r="BI350" s="234"/>
      <c r="BJ350" s="236"/>
      <c r="BK350" s="222"/>
      <c r="BL350" s="222"/>
      <c r="BM350" s="238"/>
      <c r="BN350" s="222"/>
      <c r="BO350" s="222"/>
      <c r="BP350" s="243"/>
      <c r="BQ350" s="244"/>
      <c r="BR350" s="238"/>
      <c r="BS350" s="67"/>
      <c r="BT350" s="66"/>
      <c r="BU350" s="66"/>
      <c r="BV350" s="66"/>
      <c r="BW350" s="74"/>
      <c r="BX350" s="81"/>
      <c r="BY350" s="66" t="s">
        <v>308</v>
      </c>
      <c r="BZ350" s="944"/>
      <c r="CA350" s="42" t="str">
        <f t="shared" si="228"/>
        <v>0</v>
      </c>
      <c r="CB350" s="62">
        <f t="shared" si="229"/>
        <v>8.2909722222248092</v>
      </c>
      <c r="CC350" s="42">
        <f t="shared" si="230"/>
        <v>0</v>
      </c>
      <c r="CD350" s="62">
        <f t="shared" si="231"/>
        <v>8.2909722222248092</v>
      </c>
      <c r="CE350" s="62">
        <f t="shared" si="232"/>
        <v>0.28557793209885451</v>
      </c>
      <c r="CF350" s="145">
        <f t="shared" si="233"/>
        <v>181</v>
      </c>
      <c r="CG350" s="145"/>
      <c r="CH350" s="443">
        <f t="shared" si="234"/>
        <v>6.5200223765432987</v>
      </c>
      <c r="CI350" s="996">
        <f t="shared" si="235"/>
        <v>6.5200223765432987</v>
      </c>
      <c r="CJ350" s="261">
        <f t="shared" si="236"/>
        <v>3.0166666666666666</v>
      </c>
      <c r="CK350" s="458" t="str">
        <f t="shared" si="237"/>
        <v/>
      </c>
      <c r="CL350" t="str">
        <f t="shared" si="238"/>
        <v>REV</v>
      </c>
      <c r="CM350" t="str">
        <f t="shared" si="239"/>
        <v/>
      </c>
      <c r="CN350" s="635"/>
      <c r="CO350" s="631"/>
      <c r="CP350" s="629" t="str">
        <f t="shared" si="216"/>
        <v>FOR ISSUANCE</v>
      </c>
      <c r="CQ350" s="635"/>
      <c r="CR350" s="697"/>
      <c r="CS350" s="633" t="str">
        <f t="shared" ca="1" si="240"/>
        <v>0</v>
      </c>
      <c r="CT350" s="635"/>
      <c r="CU350" s="631"/>
      <c r="CV350" s="638"/>
      <c r="CW350" s="156" t="s">
        <v>2162</v>
      </c>
      <c r="CX350" s="156" t="str">
        <f>VLOOKUP(E350,'[1]List of Work Orders'!$A:$I,9,FALSE)</f>
        <v>ME155242</v>
      </c>
      <c r="CY350" s="156"/>
      <c r="CZ350" s="63"/>
      <c r="DA350" s="762">
        <f t="shared" si="208"/>
        <v>5.6541666666671517</v>
      </c>
      <c r="DS350" s="156" t="s">
        <v>397</v>
      </c>
    </row>
    <row r="351" spans="1:123" customFormat="1" ht="15" customHeight="1" x14ac:dyDescent="0.25">
      <c r="A351" s="242">
        <v>45688</v>
      </c>
      <c r="B351" s="222">
        <v>45681</v>
      </c>
      <c r="C351" s="223"/>
      <c r="D351" s="66" t="s">
        <v>320</v>
      </c>
      <c r="E351" s="404" t="s">
        <v>2163</v>
      </c>
      <c r="F351" s="95" t="s">
        <v>2164</v>
      </c>
      <c r="G351" s="95" t="s">
        <v>2165</v>
      </c>
      <c r="H351" s="95" t="s">
        <v>238</v>
      </c>
      <c r="I351" s="95" t="s">
        <v>239</v>
      </c>
      <c r="J351" s="163"/>
      <c r="K351" s="101"/>
      <c r="L351" s="101" t="s">
        <v>5</v>
      </c>
      <c r="M351" s="345" t="s">
        <v>272</v>
      </c>
      <c r="N351" s="442" t="s">
        <v>403</v>
      </c>
      <c r="O351" s="165">
        <v>260.13029999999998</v>
      </c>
      <c r="P351" s="933">
        <v>260.13</v>
      </c>
      <c r="Q351" s="157">
        <v>49</v>
      </c>
      <c r="R351" s="109" t="s">
        <v>548</v>
      </c>
      <c r="S351" s="110">
        <v>1097209.19</v>
      </c>
      <c r="T351" s="93">
        <v>209100.43</v>
      </c>
      <c r="U351" s="141"/>
      <c r="V351" s="158">
        <f t="shared" si="217"/>
        <v>0</v>
      </c>
      <c r="W351" s="159">
        <v>45679.711111111108</v>
      </c>
      <c r="X351" s="159">
        <v>45685.34652777778</v>
      </c>
      <c r="Y351" s="160">
        <v>45681</v>
      </c>
      <c r="Z351" s="470"/>
      <c r="AA351" s="470">
        <v>45726.823611111111</v>
      </c>
      <c r="AB351" s="470"/>
      <c r="AC351" s="161">
        <f t="shared" si="218"/>
        <v>47.11250000000291</v>
      </c>
      <c r="AD351" s="161">
        <f t="shared" si="211"/>
        <v>41.477083333331393</v>
      </c>
      <c r="AE351" s="446">
        <f t="shared" si="241"/>
        <v>-45726.823611111111</v>
      </c>
      <c r="AF351" s="160">
        <f t="shared" si="212"/>
        <v>45701.579532163742</v>
      </c>
      <c r="AG351" s="160">
        <f t="shared" si="209"/>
        <v>45711.211111111108</v>
      </c>
      <c r="AH351" s="159">
        <f t="shared" si="213"/>
        <v>45729.711111111108</v>
      </c>
      <c r="AI351" s="162">
        <f t="shared" si="219"/>
        <v>1.4208531746032622</v>
      </c>
      <c r="AJ351" s="224">
        <f t="shared" si="214"/>
        <v>-762.11372685185188</v>
      </c>
      <c r="AK351" s="225">
        <f t="shared" si="220"/>
        <v>28</v>
      </c>
      <c r="AL351" s="170">
        <f t="shared" si="221"/>
        <v>36</v>
      </c>
      <c r="AM351" s="170">
        <f t="shared" si="222"/>
        <v>24.868421052631579</v>
      </c>
      <c r="AN351" s="170">
        <f t="shared" si="223"/>
        <v>31.499999999999996</v>
      </c>
      <c r="AO351" s="226">
        <f t="shared" si="224"/>
        <v>21.868421052631579</v>
      </c>
      <c r="AP351" s="227">
        <v>60</v>
      </c>
      <c r="AQ351" s="228">
        <f t="shared" si="225"/>
        <v>57</v>
      </c>
      <c r="AR351" s="228">
        <f t="shared" si="210"/>
        <v>52</v>
      </c>
      <c r="AS351" s="229">
        <f t="shared" si="226"/>
        <v>45786.823611111111</v>
      </c>
      <c r="AT351" s="982">
        <f t="shared" ca="1" si="227"/>
        <v>168.17638888888905</v>
      </c>
      <c r="AU351" s="50" t="s">
        <v>61</v>
      </c>
      <c r="AV351" s="51" t="s">
        <v>247</v>
      </c>
      <c r="AW351" s="49"/>
      <c r="AX351" s="49"/>
      <c r="AY351" s="49" t="s">
        <v>247</v>
      </c>
      <c r="AZ351" s="300">
        <v>45727</v>
      </c>
      <c r="BA351" s="52">
        <v>7</v>
      </c>
      <c r="BB351" s="304">
        <v>45741</v>
      </c>
      <c r="BC351" s="231" t="s">
        <v>264</v>
      </c>
      <c r="BD351" s="232"/>
      <c r="BE351" s="222">
        <f t="shared" si="242"/>
        <v>45741.823611111111</v>
      </c>
      <c r="BF351" s="233">
        <f t="shared" si="215"/>
        <v>30.176388888889051</v>
      </c>
      <c r="BG351" s="248">
        <v>45726</v>
      </c>
      <c r="BH351" s="235">
        <v>45772</v>
      </c>
      <c r="BI351" s="234"/>
      <c r="BJ351" s="236"/>
      <c r="BK351" s="222"/>
      <c r="BL351" s="222"/>
      <c r="BM351" s="238"/>
      <c r="BN351" s="222"/>
      <c r="BO351" s="222">
        <v>45883</v>
      </c>
      <c r="BP351" s="243" t="s">
        <v>1084</v>
      </c>
      <c r="BQ351" s="244"/>
      <c r="BR351" s="238"/>
      <c r="BS351" s="67"/>
      <c r="BT351" s="66"/>
      <c r="BU351" s="66"/>
      <c r="BV351" s="66"/>
      <c r="BW351" s="74"/>
      <c r="BX351" s="81"/>
      <c r="BY351" s="66">
        <v>45688</v>
      </c>
      <c r="BZ351" s="944" t="s">
        <v>2166</v>
      </c>
      <c r="CA351" s="42">
        <f t="shared" si="228"/>
        <v>7</v>
      </c>
      <c r="CB351" s="62">
        <f t="shared" si="229"/>
        <v>40.11250000000291</v>
      </c>
      <c r="CC351" s="42">
        <f t="shared" si="230"/>
        <v>7</v>
      </c>
      <c r="CD351" s="62">
        <f t="shared" si="231"/>
        <v>40.11250000000291</v>
      </c>
      <c r="CE351" s="62">
        <f t="shared" si="232"/>
        <v>1.2097420634921514</v>
      </c>
      <c r="CF351" s="145">
        <f t="shared" si="233"/>
        <v>142.17638888888905</v>
      </c>
      <c r="CG351" s="145"/>
      <c r="CH351" s="443">
        <f t="shared" si="234"/>
        <v>5.708712522045948</v>
      </c>
      <c r="CI351" s="996">
        <f t="shared" si="235"/>
        <v>5.708712522045948</v>
      </c>
      <c r="CJ351" s="261">
        <f t="shared" si="236"/>
        <v>2.3696064814814841</v>
      </c>
      <c r="CK351" s="458" t="str">
        <f t="shared" si="237"/>
        <v/>
      </c>
      <c r="CL351" t="str">
        <f t="shared" si="238"/>
        <v>NON-REV</v>
      </c>
      <c r="CM351" t="str">
        <f t="shared" si="239"/>
        <v/>
      </c>
      <c r="CN351" s="635">
        <v>45883</v>
      </c>
      <c r="CO351" s="631">
        <v>95143.43</v>
      </c>
      <c r="CP351" s="629" t="str">
        <f t="shared" si="216"/>
        <v>NTC ISSUED</v>
      </c>
      <c r="CQ351" s="635">
        <v>45884</v>
      </c>
      <c r="CR351" s="697"/>
      <c r="CS351" s="633">
        <f t="shared" ca="1" si="240"/>
        <v>11</v>
      </c>
      <c r="CT351" s="635"/>
      <c r="CU351" s="631"/>
      <c r="CV351" s="638"/>
      <c r="CW351" s="156" t="s">
        <v>2167</v>
      </c>
      <c r="CX351" s="156" t="str">
        <f>VLOOKUP(E351,'[1]List of Work Orders'!$A:$I,9,FALSE)</f>
        <v>ME166067</v>
      </c>
      <c r="CY351" s="156"/>
      <c r="DA351" s="762">
        <f t="shared" si="208"/>
        <v>5.6354166666715173</v>
      </c>
      <c r="DS351" s="156" t="s">
        <v>397</v>
      </c>
    </row>
    <row r="352" spans="1:123" customFormat="1" ht="15" customHeight="1" x14ac:dyDescent="0.25">
      <c r="A352" s="242">
        <v>45684</v>
      </c>
      <c r="B352" s="222">
        <v>45681</v>
      </c>
      <c r="C352" s="223"/>
      <c r="D352" s="66" t="s">
        <v>320</v>
      </c>
      <c r="E352" s="404" t="s">
        <v>2168</v>
      </c>
      <c r="F352" s="95" t="s">
        <v>2169</v>
      </c>
      <c r="G352" s="95" t="s">
        <v>2170</v>
      </c>
      <c r="H352" s="95" t="s">
        <v>238</v>
      </c>
      <c r="I352" s="95" t="s">
        <v>239</v>
      </c>
      <c r="J352" s="163"/>
      <c r="K352" s="101"/>
      <c r="L352" s="101" t="s">
        <v>242</v>
      </c>
      <c r="M352" s="345" t="s">
        <v>256</v>
      </c>
      <c r="N352" s="442" t="s">
        <v>467</v>
      </c>
      <c r="O352" s="165">
        <v>16.0428</v>
      </c>
      <c r="P352" s="933">
        <v>57.36</v>
      </c>
      <c r="Q352" s="157">
        <v>155</v>
      </c>
      <c r="R352" s="109" t="s">
        <v>244</v>
      </c>
      <c r="S352" s="110">
        <v>465687.7</v>
      </c>
      <c r="T352" s="93">
        <v>31619.429999999997</v>
      </c>
      <c r="U352" s="141">
        <v>36417.199999999997</v>
      </c>
      <c r="V352" s="158">
        <f t="shared" si="217"/>
        <v>1.1517348668208125</v>
      </c>
      <c r="W352" s="159">
        <v>45679.713194444441</v>
      </c>
      <c r="X352" s="159">
        <v>45684.57916666667</v>
      </c>
      <c r="Y352" s="160">
        <v>45681</v>
      </c>
      <c r="Z352" s="470"/>
      <c r="AA352" s="470">
        <v>45684</v>
      </c>
      <c r="AB352" s="470">
        <v>45828.447916666664</v>
      </c>
      <c r="AC352" s="161">
        <f t="shared" si="218"/>
        <v>4.2868055555591127</v>
      </c>
      <c r="AD352" s="161">
        <f t="shared" si="211"/>
        <v>-0.57916666667006211</v>
      </c>
      <c r="AE352" s="446">
        <f t="shared" si="241"/>
        <v>144.44791666666424</v>
      </c>
      <c r="AF352" s="160">
        <f t="shared" si="212"/>
        <v>45698.191793666228</v>
      </c>
      <c r="AG352" s="160">
        <f t="shared" si="209"/>
        <v>45706.919420125378</v>
      </c>
      <c r="AH352" s="159">
        <f t="shared" si="213"/>
        <v>45729.713194444441</v>
      </c>
      <c r="AI352" s="162">
        <f t="shared" si="219"/>
        <v>0.14968872660036575</v>
      </c>
      <c r="AJ352" s="224">
        <f t="shared" si="214"/>
        <v>2.4074652777777374</v>
      </c>
      <c r="AK352" s="225">
        <f t="shared" si="220"/>
        <v>23</v>
      </c>
      <c r="AL352" s="170">
        <f t="shared" si="221"/>
        <v>32</v>
      </c>
      <c r="AM352" s="170">
        <f t="shared" si="222"/>
        <v>21.478599221789885</v>
      </c>
      <c r="AN352" s="170">
        <f t="shared" si="223"/>
        <v>27.206225680933851</v>
      </c>
      <c r="AO352" s="226">
        <f t="shared" si="224"/>
        <v>18.478599221789885</v>
      </c>
      <c r="AP352" s="227">
        <v>60</v>
      </c>
      <c r="AQ352" s="228">
        <f t="shared" si="225"/>
        <v>57</v>
      </c>
      <c r="AR352" s="228">
        <f t="shared" si="210"/>
        <v>52</v>
      </c>
      <c r="AS352" s="229">
        <f t="shared" si="226"/>
        <v>45744</v>
      </c>
      <c r="AT352" s="982">
        <f t="shared" ca="1" si="227"/>
        <v>211</v>
      </c>
      <c r="AU352" s="50"/>
      <c r="AV352" s="51"/>
      <c r="AW352" s="49"/>
      <c r="AX352" s="49"/>
      <c r="AY352" s="49"/>
      <c r="AZ352" s="300"/>
      <c r="BA352" s="52"/>
      <c r="BB352" s="304"/>
      <c r="BC352" s="231" t="s">
        <v>14</v>
      </c>
      <c r="BD352" s="232"/>
      <c r="BE352" s="222">
        <f t="shared" si="242"/>
        <v>45699</v>
      </c>
      <c r="BF352" s="233">
        <f t="shared" si="215"/>
        <v>3</v>
      </c>
      <c r="BG352" s="248">
        <v>45682</v>
      </c>
      <c r="BH352" s="235">
        <v>45702</v>
      </c>
      <c r="BI352" s="234">
        <v>45771</v>
      </c>
      <c r="BJ352" s="236" t="s">
        <v>245</v>
      </c>
      <c r="BK352" s="222" t="s">
        <v>246</v>
      </c>
      <c r="BL352" s="222"/>
      <c r="BM352" s="238"/>
      <c r="BN352" s="222"/>
      <c r="BO352" s="222">
        <v>45819</v>
      </c>
      <c r="BP352" s="243" t="s">
        <v>1084</v>
      </c>
      <c r="BQ352" s="244"/>
      <c r="BR352" s="238"/>
      <c r="BS352" s="67"/>
      <c r="BT352" s="66"/>
      <c r="BU352" s="66"/>
      <c r="BV352" s="66"/>
      <c r="BW352" s="74"/>
      <c r="BX352" s="81"/>
      <c r="BY352" s="66">
        <v>45684</v>
      </c>
      <c r="BZ352" s="944" t="s">
        <v>2171</v>
      </c>
      <c r="CA352" s="42" t="str">
        <f t="shared" si="228"/>
        <v>0</v>
      </c>
      <c r="CB352" s="62">
        <f t="shared" si="229"/>
        <v>4.2868055555591127</v>
      </c>
      <c r="CC352" s="42">
        <f t="shared" si="230"/>
        <v>0</v>
      </c>
      <c r="CD352" s="62">
        <f t="shared" si="231"/>
        <v>4.2868055555591127</v>
      </c>
      <c r="CE352" s="62">
        <f t="shared" si="232"/>
        <v>0.14968872660036575</v>
      </c>
      <c r="CF352" s="145">
        <f t="shared" si="233"/>
        <v>185</v>
      </c>
      <c r="CG352" s="145"/>
      <c r="CH352" s="443">
        <f t="shared" si="234"/>
        <v>6.609607204861236</v>
      </c>
      <c r="CI352" s="996">
        <f t="shared" si="235"/>
        <v>6.609607204861236</v>
      </c>
      <c r="CJ352" s="261">
        <f t="shared" si="236"/>
        <v>3.0833333333333335</v>
      </c>
      <c r="CK352" s="458" t="str">
        <f t="shared" si="237"/>
        <v/>
      </c>
      <c r="CL352" t="str">
        <f t="shared" si="238"/>
        <v>REV</v>
      </c>
      <c r="CM352" t="str">
        <f t="shared" si="239"/>
        <v/>
      </c>
      <c r="CN352" s="635"/>
      <c r="CO352" s="631"/>
      <c r="CP352" s="629" t="str">
        <f t="shared" si="216"/>
        <v>FOR ISSUANCE</v>
      </c>
      <c r="CQ352" s="635"/>
      <c r="CR352" s="697"/>
      <c r="CS352" s="633" t="str">
        <f t="shared" ca="1" si="240"/>
        <v>0</v>
      </c>
      <c r="CT352" s="635"/>
      <c r="CU352" s="631"/>
      <c r="CV352" s="638"/>
      <c r="CW352" s="156" t="s">
        <v>2172</v>
      </c>
      <c r="CX352" s="156" t="str">
        <f>VLOOKUP(E352,'[1]List of Work Orders'!$A:$I,9,FALSE)</f>
        <v>ME155242</v>
      </c>
      <c r="CY352" s="156"/>
      <c r="CZ352" s="63"/>
      <c r="DA352" s="762">
        <f t="shared" si="208"/>
        <v>4.8659722222291748</v>
      </c>
      <c r="DS352" s="156" t="s">
        <v>381</v>
      </c>
    </row>
    <row r="353" spans="1:123" customFormat="1" ht="15" customHeight="1" x14ac:dyDescent="0.25">
      <c r="A353" s="242">
        <v>45688</v>
      </c>
      <c r="B353" s="222">
        <v>45681</v>
      </c>
      <c r="C353" s="223"/>
      <c r="D353" s="66" t="s">
        <v>284</v>
      </c>
      <c r="E353" s="404" t="s">
        <v>2173</v>
      </c>
      <c r="F353" s="95" t="s">
        <v>2174</v>
      </c>
      <c r="G353" s="95" t="s">
        <v>2175</v>
      </c>
      <c r="H353" s="344" t="s">
        <v>378</v>
      </c>
      <c r="I353" s="95" t="s">
        <v>239</v>
      </c>
      <c r="J353" s="163"/>
      <c r="K353" s="101"/>
      <c r="L353" s="101" t="s">
        <v>288</v>
      </c>
      <c r="M353" s="345" t="s">
        <v>272</v>
      </c>
      <c r="N353" s="442" t="s">
        <v>381</v>
      </c>
      <c r="O353" s="165">
        <v>17.072799999999997</v>
      </c>
      <c r="P353" s="933">
        <v>20.45</v>
      </c>
      <c r="Q353" s="157">
        <v>20</v>
      </c>
      <c r="R353" s="109" t="s">
        <v>244</v>
      </c>
      <c r="S353" s="110">
        <v>227982.95</v>
      </c>
      <c r="T353" s="93">
        <v>16467.329999999998</v>
      </c>
      <c r="U353" s="141"/>
      <c r="V353" s="158">
        <f t="shared" si="217"/>
        <v>0</v>
      </c>
      <c r="W353" s="159">
        <v>45680.54791666667</v>
      </c>
      <c r="X353" s="159">
        <v>45685.370833333334</v>
      </c>
      <c r="Y353" s="160">
        <v>45681</v>
      </c>
      <c r="Z353" s="470"/>
      <c r="AA353" s="470">
        <v>45743.343055555553</v>
      </c>
      <c r="AB353" s="470"/>
      <c r="AC353" s="161">
        <f t="shared" si="218"/>
        <v>62.79513888888323</v>
      </c>
      <c r="AD353" s="161">
        <f t="shared" si="211"/>
        <v>57.972222222218988</v>
      </c>
      <c r="AE353" s="446">
        <f t="shared" si="241"/>
        <v>-45743.343055555553</v>
      </c>
      <c r="AF353" s="160">
        <f t="shared" si="212"/>
        <v>45699.322110215056</v>
      </c>
      <c r="AG353" s="160">
        <f t="shared" si="209"/>
        <v>45708.128561827958</v>
      </c>
      <c r="AH353" s="159">
        <f t="shared" si="213"/>
        <v>45730.54791666667</v>
      </c>
      <c r="AI353" s="162">
        <f t="shared" si="219"/>
        <v>2.1629436728393112</v>
      </c>
      <c r="AJ353" s="224">
        <f t="shared" si="214"/>
        <v>-762.38905092592586</v>
      </c>
      <c r="AK353" s="225">
        <f t="shared" si="220"/>
        <v>20</v>
      </c>
      <c r="AL353" s="170">
        <f t="shared" si="221"/>
        <v>36</v>
      </c>
      <c r="AM353" s="170">
        <f t="shared" si="222"/>
        <v>21.774193548387096</v>
      </c>
      <c r="AN353" s="170">
        <f t="shared" si="223"/>
        <v>27.58064516129032</v>
      </c>
      <c r="AO353" s="226">
        <f t="shared" si="224"/>
        <v>18.774193548387096</v>
      </c>
      <c r="AP353" s="227">
        <v>60</v>
      </c>
      <c r="AQ353" s="228">
        <f t="shared" si="225"/>
        <v>57</v>
      </c>
      <c r="AR353" s="228">
        <f t="shared" si="210"/>
        <v>52</v>
      </c>
      <c r="AS353" s="229">
        <f t="shared" si="226"/>
        <v>45803.343055555553</v>
      </c>
      <c r="AT353" s="982">
        <f t="shared" ca="1" si="227"/>
        <v>151.65694444444671</v>
      </c>
      <c r="AU353" s="50" t="s">
        <v>61</v>
      </c>
      <c r="AV353" s="51" t="s">
        <v>247</v>
      </c>
      <c r="AW353" s="49" t="s">
        <v>247</v>
      </c>
      <c r="AX353" s="49"/>
      <c r="AY353" s="49"/>
      <c r="AZ353" s="300">
        <v>45737</v>
      </c>
      <c r="BA353" s="52">
        <f>BB353-AZ353</f>
        <v>5</v>
      </c>
      <c r="BB353" s="304">
        <v>45742</v>
      </c>
      <c r="BC353" s="231" t="s">
        <v>12</v>
      </c>
      <c r="BD353" s="232"/>
      <c r="BE353" s="222">
        <f t="shared" si="242"/>
        <v>45758.343055555553</v>
      </c>
      <c r="BF353" s="233">
        <f t="shared" si="215"/>
        <v>79.656944444446708</v>
      </c>
      <c r="BG353" s="248">
        <v>45743</v>
      </c>
      <c r="BH353" s="235">
        <v>45838</v>
      </c>
      <c r="BI353" s="234"/>
      <c r="BJ353" s="236"/>
      <c r="BK353" s="222"/>
      <c r="BL353" s="222"/>
      <c r="BM353" s="238"/>
      <c r="BN353" s="222"/>
      <c r="BO353" s="222"/>
      <c r="BP353" s="243"/>
      <c r="BQ353" s="244" t="s">
        <v>247</v>
      </c>
      <c r="BR353" s="238">
        <v>45740</v>
      </c>
      <c r="BS353" s="67"/>
      <c r="BT353" s="66"/>
      <c r="BU353" s="66"/>
      <c r="BV353" s="66"/>
      <c r="BW353" s="74"/>
      <c r="BX353" s="81"/>
      <c r="BY353" s="66" t="s">
        <v>308</v>
      </c>
      <c r="BZ353" s="944"/>
      <c r="CA353" s="42" t="str">
        <f t="shared" si="228"/>
        <v>0</v>
      </c>
      <c r="CB353" s="62">
        <f t="shared" si="229"/>
        <v>62.79513888888323</v>
      </c>
      <c r="CC353" s="42">
        <f t="shared" si="230"/>
        <v>5</v>
      </c>
      <c r="CD353" s="62">
        <f t="shared" si="231"/>
        <v>57.79513888888323</v>
      </c>
      <c r="CE353" s="62">
        <f t="shared" si="232"/>
        <v>1.9907214506170887</v>
      </c>
      <c r="CF353" s="145">
        <f t="shared" si="233"/>
        <v>125.65694444444671</v>
      </c>
      <c r="CG353" s="145">
        <f xml:space="preserve"> (0.3)*(($CF$1-W353-CF353)/AK353)+(0.7)*(($CF$1-W353-CF353)/AL353)</f>
        <v>2.1629436728393112</v>
      </c>
      <c r="CH353" s="443">
        <f t="shared" si="234"/>
        <v>6.4911273148146975</v>
      </c>
      <c r="CI353" s="996">
        <f t="shared" si="235"/>
        <v>4.3281836419753859</v>
      </c>
      <c r="CJ353" s="261">
        <f t="shared" si="236"/>
        <v>2.0942824074074453</v>
      </c>
      <c r="CK353" s="458" t="str">
        <f t="shared" si="237"/>
        <v/>
      </c>
      <c r="CL353" t="str">
        <f t="shared" si="238"/>
        <v>REV</v>
      </c>
      <c r="CM353" t="str">
        <f t="shared" si="239"/>
        <v/>
      </c>
      <c r="CN353" s="635"/>
      <c r="CO353" s="631"/>
      <c r="CP353" s="629" t="str">
        <f t="shared" si="216"/>
        <v>FOR ISSUANCE</v>
      </c>
      <c r="CQ353" s="635"/>
      <c r="CR353" s="697"/>
      <c r="CS353" s="633" t="str">
        <f t="shared" ca="1" si="240"/>
        <v>0</v>
      </c>
      <c r="CT353" s="635"/>
      <c r="CU353" s="631"/>
      <c r="CV353" s="638"/>
      <c r="CW353" s="156" t="s">
        <v>2176</v>
      </c>
      <c r="CX353" s="156" t="str">
        <f>VLOOKUP(E353,'[1]List of Work Orders'!$A:$I,9,FALSE)</f>
        <v>ME185284</v>
      </c>
      <c r="CY353" s="156"/>
      <c r="DA353" s="762">
        <f t="shared" si="208"/>
        <v>4.8229166666642413</v>
      </c>
      <c r="DS353" s="156" t="s">
        <v>397</v>
      </c>
    </row>
    <row r="354" spans="1:123" customFormat="1" ht="15" customHeight="1" x14ac:dyDescent="0.25">
      <c r="A354" s="242">
        <v>45691</v>
      </c>
      <c r="B354" s="222">
        <v>45681</v>
      </c>
      <c r="C354" s="223"/>
      <c r="D354" s="66" t="s">
        <v>284</v>
      </c>
      <c r="E354" s="404" t="s">
        <v>2177</v>
      </c>
      <c r="F354" s="95" t="s">
        <v>2178</v>
      </c>
      <c r="G354" s="95" t="s">
        <v>2179</v>
      </c>
      <c r="H354" s="95" t="s">
        <v>238</v>
      </c>
      <c r="I354" s="95" t="s">
        <v>239</v>
      </c>
      <c r="J354" s="163"/>
      <c r="K354" s="101"/>
      <c r="L354" s="101" t="s">
        <v>288</v>
      </c>
      <c r="M354" s="345" t="s">
        <v>272</v>
      </c>
      <c r="N354" s="442" t="s">
        <v>381</v>
      </c>
      <c r="O354" s="165">
        <v>9.75</v>
      </c>
      <c r="P354" s="933">
        <v>9.9</v>
      </c>
      <c r="Q354" s="157">
        <v>10</v>
      </c>
      <c r="R354" s="109" t="s">
        <v>244</v>
      </c>
      <c r="S354" s="110">
        <v>30397.4</v>
      </c>
      <c r="T354" s="93">
        <v>10452.539999999997</v>
      </c>
      <c r="U354" s="141"/>
      <c r="V354" s="158">
        <f t="shared" si="217"/>
        <v>0</v>
      </c>
      <c r="W354" s="159">
        <v>45680.725694444445</v>
      </c>
      <c r="X354" s="159">
        <v>45685.375</v>
      </c>
      <c r="Y354" s="160">
        <v>45681</v>
      </c>
      <c r="Z354" s="470"/>
      <c r="AA354" s="470">
        <v>45702</v>
      </c>
      <c r="AB354" s="470"/>
      <c r="AC354" s="161">
        <f t="shared" si="218"/>
        <v>21.274305555554747</v>
      </c>
      <c r="AD354" s="161">
        <f t="shared" si="211"/>
        <v>16.625</v>
      </c>
      <c r="AE354" s="446">
        <f t="shared" si="241"/>
        <v>-45702</v>
      </c>
      <c r="AF354" s="160">
        <f t="shared" si="212"/>
        <v>45699.499887992832</v>
      </c>
      <c r="AG354" s="160">
        <f t="shared" si="209"/>
        <v>45708.306339605733</v>
      </c>
      <c r="AH354" s="159">
        <f t="shared" si="213"/>
        <v>45730.725694444445</v>
      </c>
      <c r="AI354" s="162">
        <f t="shared" si="219"/>
        <v>0.73278163580244127</v>
      </c>
      <c r="AJ354" s="224">
        <f t="shared" si="214"/>
        <v>-761.7</v>
      </c>
      <c r="AK354" s="225">
        <f t="shared" si="220"/>
        <v>20</v>
      </c>
      <c r="AL354" s="170">
        <f t="shared" si="221"/>
        <v>36</v>
      </c>
      <c r="AM354" s="170">
        <f t="shared" si="222"/>
        <v>21.774193548387096</v>
      </c>
      <c r="AN354" s="170">
        <f t="shared" si="223"/>
        <v>27.58064516129032</v>
      </c>
      <c r="AO354" s="226">
        <f t="shared" si="224"/>
        <v>18.774193548387096</v>
      </c>
      <c r="AP354" s="227">
        <v>60</v>
      </c>
      <c r="AQ354" s="228">
        <f t="shared" si="225"/>
        <v>57</v>
      </c>
      <c r="AR354" s="228">
        <f t="shared" si="210"/>
        <v>52</v>
      </c>
      <c r="AS354" s="229">
        <f t="shared" si="226"/>
        <v>45762</v>
      </c>
      <c r="AT354" s="982">
        <f t="shared" ca="1" si="227"/>
        <v>193</v>
      </c>
      <c r="AU354" s="50"/>
      <c r="AV354" s="51"/>
      <c r="AW354" s="49"/>
      <c r="AX354" s="49"/>
      <c r="AY354" s="49"/>
      <c r="AZ354" s="300"/>
      <c r="BA354" s="52"/>
      <c r="BB354" s="304"/>
      <c r="BC354" s="231" t="s">
        <v>13</v>
      </c>
      <c r="BD354" s="232"/>
      <c r="BE354" s="222">
        <f t="shared" si="242"/>
        <v>45717</v>
      </c>
      <c r="BF354" s="233" t="e">
        <f t="shared" si="215"/>
        <v>#VALUE!</v>
      </c>
      <c r="BG354" s="248"/>
      <c r="BH354" s="235"/>
      <c r="BI354" s="234"/>
      <c r="BJ354" s="236"/>
      <c r="BK354" s="222"/>
      <c r="BL354" s="222"/>
      <c r="BM354" s="238"/>
      <c r="BN354" s="222"/>
      <c r="BO354" s="222"/>
      <c r="BP354" s="243"/>
      <c r="BQ354" s="244" t="s">
        <v>247</v>
      </c>
      <c r="BR354" s="238">
        <v>45702</v>
      </c>
      <c r="BS354" s="67"/>
      <c r="BT354" s="66"/>
      <c r="BU354" s="66"/>
      <c r="BV354" s="66"/>
      <c r="BW354" s="74"/>
      <c r="BX354" s="81"/>
      <c r="BY354" s="66">
        <v>45691</v>
      </c>
      <c r="BZ354" s="947" t="s">
        <v>2180</v>
      </c>
      <c r="CA354" s="42" t="str">
        <f t="shared" si="228"/>
        <v>0</v>
      </c>
      <c r="CB354" s="62">
        <f t="shared" si="229"/>
        <v>21.274305555554747</v>
      </c>
      <c r="CC354" s="42">
        <f t="shared" si="230"/>
        <v>0</v>
      </c>
      <c r="CD354" s="62">
        <f t="shared" si="231"/>
        <v>21.274305555554747</v>
      </c>
      <c r="CE354" s="62">
        <f t="shared" si="232"/>
        <v>0.73278163580244127</v>
      </c>
      <c r="CF354" s="145">
        <f t="shared" si="233"/>
        <v>167</v>
      </c>
      <c r="CG354" s="145"/>
      <c r="CH354" s="443">
        <f t="shared" si="234"/>
        <v>6.4850038580246636</v>
      </c>
      <c r="CI354" s="996">
        <f t="shared" si="235"/>
        <v>6.4850038580246636</v>
      </c>
      <c r="CJ354" s="261">
        <f t="shared" si="236"/>
        <v>2.7833333333333332</v>
      </c>
      <c r="CK354" s="458" t="str">
        <f t="shared" si="237"/>
        <v/>
      </c>
      <c r="CL354" t="str">
        <f t="shared" si="238"/>
        <v>REV</v>
      </c>
      <c r="CM354" t="str">
        <f t="shared" si="239"/>
        <v/>
      </c>
      <c r="CN354" s="635"/>
      <c r="CO354" s="631"/>
      <c r="CP354" s="629" t="str">
        <f t="shared" si="216"/>
        <v>FOR ISSUANCE</v>
      </c>
      <c r="CQ354" s="635"/>
      <c r="CR354" s="697"/>
      <c r="CS354" s="633" t="str">
        <f t="shared" ca="1" si="240"/>
        <v>0</v>
      </c>
      <c r="CT354" s="635"/>
      <c r="CU354" s="631"/>
      <c r="CV354" s="638"/>
      <c r="CW354" s="156" t="s">
        <v>2181</v>
      </c>
      <c r="CX354" s="156" t="str">
        <f>VLOOKUP(E354,'[1]List of Work Orders'!$A:$I,9,FALSE)</f>
        <v>ME185284</v>
      </c>
      <c r="CY354" s="156"/>
      <c r="DA354" s="762">
        <f t="shared" si="208"/>
        <v>4.6493055555547471</v>
      </c>
      <c r="DS354" s="156" t="s">
        <v>397</v>
      </c>
    </row>
    <row r="355" spans="1:123" customFormat="1" ht="15" customHeight="1" x14ac:dyDescent="0.25">
      <c r="A355" s="242">
        <v>45691</v>
      </c>
      <c r="B355" s="222">
        <v>45688</v>
      </c>
      <c r="C355" s="223"/>
      <c r="D355" s="66" t="s">
        <v>320</v>
      </c>
      <c r="E355" s="404" t="s">
        <v>2182</v>
      </c>
      <c r="F355" s="95" t="s">
        <v>2183</v>
      </c>
      <c r="G355" s="95" t="s">
        <v>2184</v>
      </c>
      <c r="H355" s="344" t="s">
        <v>318</v>
      </c>
      <c r="I355" s="95" t="s">
        <v>239</v>
      </c>
      <c r="J355" s="163"/>
      <c r="K355" s="101"/>
      <c r="L355" s="101" t="s">
        <v>242</v>
      </c>
      <c r="M355" s="345" t="s">
        <v>331</v>
      </c>
      <c r="N355" s="442" t="s">
        <v>467</v>
      </c>
      <c r="O355" s="165">
        <v>37.549500000000002</v>
      </c>
      <c r="P355" s="165">
        <v>66.489999999999995</v>
      </c>
      <c r="Q355" s="157">
        <v>57</v>
      </c>
      <c r="R355" s="109" t="s">
        <v>548</v>
      </c>
      <c r="S355" s="110">
        <v>286792.48</v>
      </c>
      <c r="T355" s="93">
        <v>37209.299999999996</v>
      </c>
      <c r="U355" s="141"/>
      <c r="V355" s="158">
        <f t="shared" si="217"/>
        <v>0</v>
      </c>
      <c r="W355" s="159">
        <v>45681.584027777775</v>
      </c>
      <c r="X355" s="159">
        <v>45688.629166666666</v>
      </c>
      <c r="Y355" s="160">
        <v>45687</v>
      </c>
      <c r="Z355" s="470"/>
      <c r="AA355" s="470"/>
      <c r="AB355" s="470"/>
      <c r="AC355" s="161">
        <f t="shared" si="218"/>
        <v>-45681.584027777775</v>
      </c>
      <c r="AD355" s="161">
        <f t="shared" si="211"/>
        <v>-45688.629166666666</v>
      </c>
      <c r="AE355" s="446">
        <f t="shared" si="241"/>
        <v>0</v>
      </c>
      <c r="AF355" s="160">
        <f t="shared" si="212"/>
        <v>45700.884408005913</v>
      </c>
      <c r="AG355" s="160">
        <f t="shared" si="209"/>
        <v>45709.831176066749</v>
      </c>
      <c r="AH355" s="159">
        <f t="shared" si="213"/>
        <v>45731.584027777775</v>
      </c>
      <c r="AI355" s="162">
        <f t="shared" si="219"/>
        <v>-1536.3499487603012</v>
      </c>
      <c r="AJ355" s="224">
        <f t="shared" si="214"/>
        <v>0</v>
      </c>
      <c r="AK355" s="225">
        <f t="shared" si="220"/>
        <v>23</v>
      </c>
      <c r="AL355" s="170">
        <f t="shared" si="221"/>
        <v>34</v>
      </c>
      <c r="AM355" s="170">
        <f t="shared" si="222"/>
        <v>22.300380228136884</v>
      </c>
      <c r="AN355" s="170">
        <f t="shared" si="223"/>
        <v>28.247148288973385</v>
      </c>
      <c r="AO355" s="226">
        <f t="shared" si="224"/>
        <v>19.300380228136884</v>
      </c>
      <c r="AP355" s="227">
        <v>60</v>
      </c>
      <c r="AQ355" s="228">
        <f t="shared" si="225"/>
        <v>57</v>
      </c>
      <c r="AR355" s="228">
        <f t="shared" si="210"/>
        <v>52</v>
      </c>
      <c r="AS355" s="229">
        <f t="shared" si="226"/>
        <v>60</v>
      </c>
      <c r="AT355" s="982">
        <f t="shared" ca="1" si="227"/>
        <v>45895</v>
      </c>
      <c r="AU355" s="50"/>
      <c r="AV355" s="51"/>
      <c r="AW355" s="49"/>
      <c r="AX355" s="49"/>
      <c r="AY355" s="49"/>
      <c r="AZ355" s="300"/>
      <c r="BA355" s="52"/>
      <c r="BB355" s="304"/>
      <c r="BC355" s="231" t="s">
        <v>2185</v>
      </c>
      <c r="BD355" s="232"/>
      <c r="BE355" s="222">
        <f t="shared" si="242"/>
        <v>15</v>
      </c>
      <c r="BF355" s="233">
        <f t="shared" si="215"/>
        <v>0</v>
      </c>
      <c r="BG355" s="248"/>
      <c r="BH355" s="235"/>
      <c r="BI355" s="234"/>
      <c r="BJ355" s="236"/>
      <c r="BK355" s="222"/>
      <c r="BL355" s="222"/>
      <c r="BM355" s="238"/>
      <c r="BN355" s="222"/>
      <c r="BO355" s="222"/>
      <c r="BP355" s="243"/>
      <c r="BQ355" s="244"/>
      <c r="BR355" s="238"/>
      <c r="BS355" s="67"/>
      <c r="BT355" s="66"/>
      <c r="BU355" s="66"/>
      <c r="BV355" s="66"/>
      <c r="BW355" s="74"/>
      <c r="BX355" s="81"/>
      <c r="BY355" s="66">
        <v>45691</v>
      </c>
      <c r="BZ355" s="947" t="s">
        <v>2186</v>
      </c>
      <c r="CA355" s="42" t="str">
        <f t="shared" si="228"/>
        <v>0</v>
      </c>
      <c r="CB355" s="62">
        <f t="shared" si="229"/>
        <v>-45681.584027777775</v>
      </c>
      <c r="CC355" s="42">
        <f t="shared" si="230"/>
        <v>0</v>
      </c>
      <c r="CD355" s="62">
        <f t="shared" si="231"/>
        <v>-45681.584027777775</v>
      </c>
      <c r="CE355" s="62">
        <f t="shared" si="232"/>
        <v>-1536.3499487603012</v>
      </c>
      <c r="CF355" s="145" t="str">
        <f t="shared" si="233"/>
        <v>0</v>
      </c>
      <c r="CG355" s="145"/>
      <c r="CH355" s="443">
        <f t="shared" si="234"/>
        <v>6.3031202934073054</v>
      </c>
      <c r="CI355" s="996">
        <f t="shared" si="235"/>
        <v>6.3031202934073054</v>
      </c>
      <c r="CJ355" s="261">
        <f t="shared" si="236"/>
        <v>0</v>
      </c>
      <c r="CK355" s="458">
        <f t="shared" si="237"/>
        <v>174.41597222222481</v>
      </c>
      <c r="CL355" t="str">
        <f t="shared" si="238"/>
        <v>NON-REV</v>
      </c>
      <c r="CM355" t="str">
        <f t="shared" si="239"/>
        <v>4-6 MONTHS</v>
      </c>
      <c r="CN355" s="635"/>
      <c r="CO355" s="631"/>
      <c r="CP355" s="629" t="str">
        <f t="shared" si="216"/>
        <v>FOR ISSUANCE</v>
      </c>
      <c r="CQ355" s="635"/>
      <c r="CR355" s="697"/>
      <c r="CS355" s="633" t="str">
        <f t="shared" ca="1" si="240"/>
        <v>0</v>
      </c>
      <c r="CT355" s="635"/>
      <c r="CU355" s="631"/>
      <c r="CV355" s="638"/>
      <c r="CW355" s="156" t="s">
        <v>2187</v>
      </c>
      <c r="CX355" s="156" t="str">
        <f>VLOOKUP(E355,'[1]List of Work Orders'!$A:$I,9,FALSE)</f>
        <v>ME155242</v>
      </c>
      <c r="CY355" s="156"/>
      <c r="CZ355" s="63"/>
      <c r="DA355" s="762">
        <f t="shared" si="208"/>
        <v>7.0451388888905058</v>
      </c>
      <c r="DS355" s="156" t="s">
        <v>397</v>
      </c>
    </row>
    <row r="356" spans="1:123" ht="15" customHeight="1" x14ac:dyDescent="0.2">
      <c r="A356" s="242">
        <v>45691</v>
      </c>
      <c r="B356" s="222">
        <v>45688</v>
      </c>
      <c r="C356" s="223" t="s">
        <v>247</v>
      </c>
      <c r="D356" s="66" t="s">
        <v>284</v>
      </c>
      <c r="E356" s="404" t="s">
        <v>2188</v>
      </c>
      <c r="F356" s="95" t="s">
        <v>1985</v>
      </c>
      <c r="G356" s="95" t="s">
        <v>2189</v>
      </c>
      <c r="H356" s="95" t="s">
        <v>253</v>
      </c>
      <c r="I356" s="95" t="s">
        <v>254</v>
      </c>
      <c r="J356" s="163"/>
      <c r="K356" s="101"/>
      <c r="L356" s="101" t="s">
        <v>255</v>
      </c>
      <c r="M356" s="345" t="s">
        <v>272</v>
      </c>
      <c r="N356" s="442" t="s">
        <v>381</v>
      </c>
      <c r="O356" s="165">
        <v>36.519499999999994</v>
      </c>
      <c r="P356" s="933">
        <v>39.53</v>
      </c>
      <c r="Q356" s="157">
        <v>28</v>
      </c>
      <c r="R356" s="109" t="s">
        <v>244</v>
      </c>
      <c r="S356" s="110">
        <v>281351.55</v>
      </c>
      <c r="T356" s="93">
        <v>33962.659999999996</v>
      </c>
      <c r="U356" s="141"/>
      <c r="V356" s="158">
        <f t="shared" si="217"/>
        <v>0</v>
      </c>
      <c r="W356" s="159">
        <v>45681.588888888888</v>
      </c>
      <c r="X356" s="159">
        <v>45688.630555555559</v>
      </c>
      <c r="Y356" s="160">
        <v>45687</v>
      </c>
      <c r="Z356" s="470"/>
      <c r="AA356" s="470">
        <v>45747</v>
      </c>
      <c r="AB356" s="470"/>
      <c r="AC356" s="161">
        <f t="shared" si="218"/>
        <v>65.411111111112405</v>
      </c>
      <c r="AD356" s="161">
        <f t="shared" si="211"/>
        <v>58.369444444440887</v>
      </c>
      <c r="AE356" s="446">
        <f t="shared" si="241"/>
        <v>-45747</v>
      </c>
      <c r="AF356" s="160">
        <f t="shared" si="212"/>
        <v>45700.363082437274</v>
      </c>
      <c r="AG356" s="160">
        <f t="shared" si="209"/>
        <v>45709.169534050176</v>
      </c>
      <c r="AH356" s="159">
        <f t="shared" si="213"/>
        <v>45731.588888888888</v>
      </c>
      <c r="AI356" s="162">
        <f t="shared" si="219"/>
        <v>2.2530493827160938</v>
      </c>
      <c r="AJ356" s="224">
        <f t="shared" si="214"/>
        <v>-762.45</v>
      </c>
      <c r="AK356" s="225">
        <f t="shared" si="220"/>
        <v>20</v>
      </c>
      <c r="AL356" s="170">
        <f t="shared" si="221"/>
        <v>36</v>
      </c>
      <c r="AM356" s="170">
        <f t="shared" si="222"/>
        <v>21.774193548387096</v>
      </c>
      <c r="AN356" s="170">
        <f t="shared" si="223"/>
        <v>27.58064516129032</v>
      </c>
      <c r="AO356" s="226">
        <f t="shared" si="224"/>
        <v>18.774193548387096</v>
      </c>
      <c r="AP356" s="227">
        <v>60</v>
      </c>
      <c r="AQ356" s="228">
        <f t="shared" si="225"/>
        <v>57</v>
      </c>
      <c r="AR356" s="228">
        <f t="shared" si="210"/>
        <v>52</v>
      </c>
      <c r="AS356" s="229">
        <f t="shared" si="226"/>
        <v>45807</v>
      </c>
      <c r="AT356" s="982">
        <f t="shared" ca="1" si="227"/>
        <v>148</v>
      </c>
      <c r="AU356" s="1077"/>
      <c r="AV356" s="1092"/>
      <c r="AW356" s="1079"/>
      <c r="AX356" s="1079"/>
      <c r="AY356" s="1079"/>
      <c r="AZ356" s="1080"/>
      <c r="BA356" s="1101"/>
      <c r="BB356" s="1091"/>
      <c r="BC356" s="231" t="s">
        <v>13</v>
      </c>
      <c r="BD356" s="232"/>
      <c r="BE356" s="222">
        <f t="shared" si="242"/>
        <v>45762</v>
      </c>
      <c r="BF356" s="233" t="e">
        <f t="shared" si="215"/>
        <v>#VALUE!</v>
      </c>
      <c r="BG356" s="248"/>
      <c r="BH356" s="235"/>
      <c r="BI356" s="234"/>
      <c r="BJ356" s="236"/>
      <c r="BK356" s="222"/>
      <c r="BL356" s="222"/>
      <c r="BM356" s="238"/>
      <c r="BN356" s="222"/>
      <c r="BO356" s="222"/>
      <c r="BP356" s="243"/>
      <c r="BQ356" s="244" t="s">
        <v>247</v>
      </c>
      <c r="BR356" s="238">
        <v>45741</v>
      </c>
      <c r="BS356" s="67"/>
      <c r="BT356" s="66"/>
      <c r="BU356" s="66"/>
      <c r="BV356" s="66"/>
      <c r="BW356" s="74"/>
      <c r="BX356" s="81"/>
      <c r="BY356" s="66">
        <v>45691</v>
      </c>
      <c r="BZ356" s="947" t="s">
        <v>2190</v>
      </c>
      <c r="CA356" s="42" t="str">
        <f t="shared" si="228"/>
        <v>0</v>
      </c>
      <c r="CB356" s="62">
        <f t="shared" si="229"/>
        <v>65.411111111112405</v>
      </c>
      <c r="CC356" s="42">
        <f t="shared" si="230"/>
        <v>0</v>
      </c>
      <c r="CD356" s="62">
        <f t="shared" si="231"/>
        <v>65.411111111112405</v>
      </c>
      <c r="CE356" s="62">
        <f t="shared" si="232"/>
        <v>2.2530493827160938</v>
      </c>
      <c r="CF356" s="1059">
        <f t="shared" si="233"/>
        <v>122</v>
      </c>
      <c r="CH356" s="1082">
        <f t="shared" si="234"/>
        <v>6.4552716049383161</v>
      </c>
      <c r="CI356" s="1083">
        <f t="shared" si="235"/>
        <v>6.4552716049383161</v>
      </c>
      <c r="CJ356" s="1084">
        <f t="shared" si="236"/>
        <v>2.0333333333333332</v>
      </c>
      <c r="CK356" s="1085" t="str">
        <f t="shared" si="237"/>
        <v/>
      </c>
      <c r="CL356" s="1057" t="str">
        <f t="shared" si="238"/>
        <v>REV</v>
      </c>
      <c r="CM356" s="1057" t="str">
        <f t="shared" si="239"/>
        <v/>
      </c>
      <c r="CN356" s="1086"/>
      <c r="CO356" s="1087"/>
      <c r="CP356" s="629" t="str">
        <f t="shared" si="216"/>
        <v>FOR ISSUANCE</v>
      </c>
      <c r="CQ356" s="1086"/>
      <c r="CR356" s="1088"/>
      <c r="CS356" s="1089" t="str">
        <f t="shared" ca="1" si="240"/>
        <v>0</v>
      </c>
      <c r="CT356" s="1086"/>
      <c r="CU356" s="1087"/>
      <c r="CV356" s="1090"/>
      <c r="CW356" s="156" t="s">
        <v>2191</v>
      </c>
      <c r="CX356" s="156" t="str">
        <f>VLOOKUP(E356,'[1]List of Work Orders'!$A:$I,9,FALSE)</f>
        <v>ME185284</v>
      </c>
      <c r="CY356" s="156"/>
      <c r="DA356" s="1100">
        <f t="shared" si="208"/>
        <v>7.0416666666715173</v>
      </c>
      <c r="DS356" s="156" t="s">
        <v>397</v>
      </c>
    </row>
    <row r="357" spans="1:123" customFormat="1" ht="15" customHeight="1" x14ac:dyDescent="0.25">
      <c r="A357" s="242">
        <v>45691</v>
      </c>
      <c r="B357" s="222">
        <v>45688</v>
      </c>
      <c r="C357" s="223"/>
      <c r="D357" s="66" t="s">
        <v>320</v>
      </c>
      <c r="E357" s="404" t="s">
        <v>2192</v>
      </c>
      <c r="F357" s="95" t="s">
        <v>2193</v>
      </c>
      <c r="G357" s="95" t="s">
        <v>2194</v>
      </c>
      <c r="H357" s="344" t="s">
        <v>318</v>
      </c>
      <c r="I357" s="95" t="s">
        <v>239</v>
      </c>
      <c r="J357" s="163"/>
      <c r="K357" s="101"/>
      <c r="L357" s="101" t="s">
        <v>5</v>
      </c>
      <c r="M357" s="345" t="s">
        <v>256</v>
      </c>
      <c r="N357" s="442" t="s">
        <v>403</v>
      </c>
      <c r="O357" s="165">
        <v>100.24850000000001</v>
      </c>
      <c r="P357" s="933">
        <v>104.47</v>
      </c>
      <c r="Q357" s="157">
        <v>294</v>
      </c>
      <c r="R357" s="109" t="s">
        <v>244</v>
      </c>
      <c r="S357" s="110">
        <v>846988.2</v>
      </c>
      <c r="T357" s="93">
        <v>80751.899999999994</v>
      </c>
      <c r="U357" s="141">
        <v>84452.5</v>
      </c>
      <c r="V357" s="158">
        <f t="shared" si="217"/>
        <v>1.045826785499784</v>
      </c>
      <c r="W357" s="159">
        <v>45681.59652777778</v>
      </c>
      <c r="X357" s="159">
        <v>45688.631249999999</v>
      </c>
      <c r="Y357" s="160">
        <v>45687</v>
      </c>
      <c r="Z357" s="470">
        <v>45699</v>
      </c>
      <c r="AA357" s="470">
        <v>45699</v>
      </c>
      <c r="AB357" s="470">
        <v>45797.313888888886</v>
      </c>
      <c r="AC357" s="161">
        <f t="shared" si="218"/>
        <v>17.403472222220444</v>
      </c>
      <c r="AD357" s="161">
        <f t="shared" si="211"/>
        <v>10.368750000001455</v>
      </c>
      <c r="AE357" s="446">
        <f t="shared" si="241"/>
        <v>98.31388888888614</v>
      </c>
      <c r="AF357" s="160">
        <f t="shared" si="212"/>
        <v>45700.103880718954</v>
      </c>
      <c r="AG357" s="160">
        <f t="shared" si="209"/>
        <v>45708.839174836605</v>
      </c>
      <c r="AH357" s="159">
        <f t="shared" si="213"/>
        <v>45731.59652777778</v>
      </c>
      <c r="AI357" s="162">
        <f t="shared" si="219"/>
        <v>0.60689031339025146</v>
      </c>
      <c r="AJ357" s="224">
        <f t="shared" si="214"/>
        <v>1.6385648148147689</v>
      </c>
      <c r="AK357" s="225">
        <f t="shared" si="220"/>
        <v>26</v>
      </c>
      <c r="AL357" s="170">
        <f t="shared" si="221"/>
        <v>30</v>
      </c>
      <c r="AM357" s="170">
        <f t="shared" si="222"/>
        <v>21.507352941176471</v>
      </c>
      <c r="AN357" s="170">
        <f t="shared" si="223"/>
        <v>27.242647058823529</v>
      </c>
      <c r="AO357" s="226">
        <f t="shared" si="224"/>
        <v>18.507352941176471</v>
      </c>
      <c r="AP357" s="227">
        <v>60</v>
      </c>
      <c r="AQ357" s="228">
        <f t="shared" si="225"/>
        <v>57</v>
      </c>
      <c r="AR357" s="228">
        <f t="shared" si="210"/>
        <v>52</v>
      </c>
      <c r="AS357" s="229">
        <f t="shared" si="226"/>
        <v>45759</v>
      </c>
      <c r="AT357" s="982">
        <f t="shared" ca="1" si="227"/>
        <v>196</v>
      </c>
      <c r="AU357" s="50"/>
      <c r="AV357" s="51"/>
      <c r="AW357" s="49"/>
      <c r="AX357" s="49"/>
      <c r="AY357" s="49"/>
      <c r="AZ357" s="300"/>
      <c r="BA357" s="52"/>
      <c r="BB357" s="304"/>
      <c r="BC357" s="231" t="s">
        <v>14</v>
      </c>
      <c r="BD357" s="232"/>
      <c r="BE357" s="222">
        <f t="shared" si="242"/>
        <v>45714</v>
      </c>
      <c r="BF357" s="233">
        <f t="shared" si="215"/>
        <v>-5</v>
      </c>
      <c r="BG357" s="248">
        <v>45699</v>
      </c>
      <c r="BH357" s="235">
        <v>45709</v>
      </c>
      <c r="BI357" s="234">
        <v>45748</v>
      </c>
      <c r="BJ357" s="236" t="s">
        <v>245</v>
      </c>
      <c r="BK357" s="222" t="s">
        <v>246</v>
      </c>
      <c r="BL357" s="222"/>
      <c r="BM357" s="238">
        <v>45771</v>
      </c>
      <c r="BN357" s="222"/>
      <c r="BO357" s="222">
        <v>45771</v>
      </c>
      <c r="BP357" s="243" t="s">
        <v>1084</v>
      </c>
      <c r="BQ357" s="244" t="s">
        <v>247</v>
      </c>
      <c r="BR357" s="238">
        <v>45699</v>
      </c>
      <c r="BS357" s="67"/>
      <c r="BT357" s="66"/>
      <c r="BU357" s="66"/>
      <c r="BV357" s="66"/>
      <c r="BW357" s="74"/>
      <c r="BX357" s="81"/>
      <c r="BY357" s="66">
        <v>45691</v>
      </c>
      <c r="BZ357" s="947" t="s">
        <v>2195</v>
      </c>
      <c r="CA357" s="42" t="str">
        <f t="shared" si="228"/>
        <v>0</v>
      </c>
      <c r="CB357" s="62">
        <f t="shared" si="229"/>
        <v>17.403472222220444</v>
      </c>
      <c r="CC357" s="42">
        <f t="shared" si="230"/>
        <v>0</v>
      </c>
      <c r="CD357" s="62">
        <f t="shared" si="231"/>
        <v>17.403472222220444</v>
      </c>
      <c r="CE357" s="62">
        <f t="shared" si="232"/>
        <v>0.60689031339025146</v>
      </c>
      <c r="CF357" s="145">
        <f t="shared" si="233"/>
        <v>170</v>
      </c>
      <c r="CG357" s="145"/>
      <c r="CH357" s="443">
        <f t="shared" si="234"/>
        <v>6.535095441595379</v>
      </c>
      <c r="CI357" s="996">
        <f t="shared" si="235"/>
        <v>6.535095441595379</v>
      </c>
      <c r="CJ357" s="261">
        <f t="shared" si="236"/>
        <v>2.8333333333333335</v>
      </c>
      <c r="CK357" s="458" t="str">
        <f t="shared" si="237"/>
        <v/>
      </c>
      <c r="CL357" t="str">
        <f t="shared" si="238"/>
        <v>REV</v>
      </c>
      <c r="CM357" t="str">
        <f t="shared" si="239"/>
        <v/>
      </c>
      <c r="CN357" s="635"/>
      <c r="CO357" s="631"/>
      <c r="CP357" s="629" t="str">
        <f t="shared" si="216"/>
        <v>FOR ISSUANCE</v>
      </c>
      <c r="CQ357" s="635"/>
      <c r="CR357" s="697"/>
      <c r="CS357" s="633" t="str">
        <f t="shared" ca="1" si="240"/>
        <v>0</v>
      </c>
      <c r="CT357" s="635"/>
      <c r="CU357" s="631"/>
      <c r="CV357" s="638"/>
      <c r="CW357" s="156" t="s">
        <v>2196</v>
      </c>
      <c r="CX357" s="156" t="str">
        <f>VLOOKUP(E357,'[1]List of Work Orders'!$A:$I,9,FALSE)</f>
        <v>ME166067</v>
      </c>
      <c r="CY357" s="156"/>
      <c r="DA357" s="762">
        <f t="shared" si="208"/>
        <v>7.0347222222189885</v>
      </c>
      <c r="DS357" s="156" t="s">
        <v>397</v>
      </c>
    </row>
    <row r="358" spans="1:123" ht="15" customHeight="1" x14ac:dyDescent="0.2">
      <c r="A358" s="242">
        <v>45694</v>
      </c>
      <c r="B358" s="222">
        <v>45693</v>
      </c>
      <c r="C358" s="223"/>
      <c r="D358" s="66" t="s">
        <v>284</v>
      </c>
      <c r="E358" s="404" t="s">
        <v>2197</v>
      </c>
      <c r="F358" s="95" t="s">
        <v>2198</v>
      </c>
      <c r="G358" s="95" t="s">
        <v>1007</v>
      </c>
      <c r="H358" s="95" t="s">
        <v>238</v>
      </c>
      <c r="I358" s="95" t="s">
        <v>239</v>
      </c>
      <c r="J358" s="163"/>
      <c r="K358" s="101"/>
      <c r="L358" s="101" t="s">
        <v>255</v>
      </c>
      <c r="M358" s="345" t="s">
        <v>272</v>
      </c>
      <c r="N358" s="442" t="s">
        <v>381</v>
      </c>
      <c r="O358" s="165">
        <v>1.72</v>
      </c>
      <c r="P358" s="933">
        <v>3.58</v>
      </c>
      <c r="Q358" s="157">
        <v>15</v>
      </c>
      <c r="R358" s="109" t="s">
        <v>244</v>
      </c>
      <c r="S358" s="110">
        <v>16056.92</v>
      </c>
      <c r="T358" s="93">
        <v>3075.97</v>
      </c>
      <c r="U358" s="141"/>
      <c r="V358" s="158">
        <f t="shared" si="217"/>
        <v>0</v>
      </c>
      <c r="W358" s="159">
        <v>45684</v>
      </c>
      <c r="X358" s="159">
        <v>45691.563194444447</v>
      </c>
      <c r="Y358" s="160">
        <v>45692</v>
      </c>
      <c r="Z358" s="470"/>
      <c r="AA358" s="470">
        <v>45735</v>
      </c>
      <c r="AB358" s="470"/>
      <c r="AC358" s="161">
        <f t="shared" si="218"/>
        <v>51</v>
      </c>
      <c r="AD358" s="161">
        <f t="shared" si="211"/>
        <v>43.436805555553292</v>
      </c>
      <c r="AE358" s="446">
        <f t="shared" si="241"/>
        <v>-45735</v>
      </c>
      <c r="AF358" s="160">
        <f t="shared" si="212"/>
        <v>45702.774193548386</v>
      </c>
      <c r="AG358" s="160">
        <f t="shared" si="209"/>
        <v>45711.580645161288</v>
      </c>
      <c r="AH358" s="159">
        <f t="shared" si="213"/>
        <v>45734</v>
      </c>
      <c r="AI358" s="162">
        <f t="shared" si="219"/>
        <v>1.7566666666666666</v>
      </c>
      <c r="AJ358" s="224">
        <f t="shared" si="214"/>
        <v>-762.25</v>
      </c>
      <c r="AK358" s="225">
        <f t="shared" si="220"/>
        <v>20</v>
      </c>
      <c r="AL358" s="170">
        <f t="shared" si="221"/>
        <v>36</v>
      </c>
      <c r="AM358" s="170">
        <f t="shared" si="222"/>
        <v>21.774193548387096</v>
      </c>
      <c r="AN358" s="170">
        <f t="shared" si="223"/>
        <v>27.58064516129032</v>
      </c>
      <c r="AO358" s="226">
        <f t="shared" si="224"/>
        <v>18.774193548387096</v>
      </c>
      <c r="AP358" s="227">
        <v>60</v>
      </c>
      <c r="AQ358" s="228">
        <f t="shared" si="225"/>
        <v>57</v>
      </c>
      <c r="AR358" s="228">
        <f t="shared" si="210"/>
        <v>52</v>
      </c>
      <c r="AS358" s="229">
        <f t="shared" si="226"/>
        <v>45795</v>
      </c>
      <c r="AT358" s="982">
        <f t="shared" ca="1" si="227"/>
        <v>160</v>
      </c>
      <c r="AU358" s="1077"/>
      <c r="AV358" s="1092"/>
      <c r="AW358" s="1079"/>
      <c r="AX358" s="1079"/>
      <c r="AY358" s="1079"/>
      <c r="AZ358" s="1080"/>
      <c r="BA358" s="1101"/>
      <c r="BB358" s="1091"/>
      <c r="BC358" s="231" t="s">
        <v>13</v>
      </c>
      <c r="BD358" s="232"/>
      <c r="BE358" s="222">
        <f t="shared" si="242"/>
        <v>45750</v>
      </c>
      <c r="BF358" s="233" t="e">
        <f t="shared" si="215"/>
        <v>#VALUE!</v>
      </c>
      <c r="BG358" s="248"/>
      <c r="BH358" s="235"/>
      <c r="BI358" s="234"/>
      <c r="BJ358" s="236"/>
      <c r="BK358" s="222"/>
      <c r="BL358" s="222"/>
      <c r="BM358" s="238"/>
      <c r="BN358" s="222"/>
      <c r="BO358" s="222"/>
      <c r="BP358" s="243"/>
      <c r="BQ358" s="244" t="s">
        <v>247</v>
      </c>
      <c r="BR358" s="238">
        <v>45726</v>
      </c>
      <c r="BS358" s="67"/>
      <c r="BT358" s="66"/>
      <c r="BU358" s="66"/>
      <c r="BV358" s="66"/>
      <c r="BW358" s="74"/>
      <c r="BX358" s="81"/>
      <c r="BY358" s="66" t="s">
        <v>308</v>
      </c>
      <c r="BZ358" s="944"/>
      <c r="CA358" s="42" t="str">
        <f t="shared" si="228"/>
        <v>0</v>
      </c>
      <c r="CB358" s="62">
        <f t="shared" si="229"/>
        <v>51</v>
      </c>
      <c r="CC358" s="42">
        <f t="shared" si="230"/>
        <v>0</v>
      </c>
      <c r="CD358" s="62">
        <f t="shared" si="231"/>
        <v>51</v>
      </c>
      <c r="CE358" s="62">
        <f t="shared" si="232"/>
        <v>1.7566666666666666</v>
      </c>
      <c r="CF358" s="1059">
        <f t="shared" si="233"/>
        <v>134</v>
      </c>
      <c r="CH358" s="1082">
        <f t="shared" si="234"/>
        <v>6.3722222222222218</v>
      </c>
      <c r="CI358" s="1083">
        <f t="shared" si="235"/>
        <v>6.3722222222222218</v>
      </c>
      <c r="CJ358" s="1084">
        <f t="shared" si="236"/>
        <v>2.2333333333333334</v>
      </c>
      <c r="CK358" s="1085" t="str">
        <f t="shared" si="237"/>
        <v/>
      </c>
      <c r="CL358" s="1057" t="str">
        <f t="shared" si="238"/>
        <v>REV</v>
      </c>
      <c r="CM358" s="1057" t="str">
        <f t="shared" si="239"/>
        <v/>
      </c>
      <c r="CN358" s="1086"/>
      <c r="CO358" s="1087"/>
      <c r="CP358" s="629" t="str">
        <f t="shared" si="216"/>
        <v>FOR ISSUANCE</v>
      </c>
      <c r="CQ358" s="1086"/>
      <c r="CR358" s="1088"/>
      <c r="CS358" s="1089" t="str">
        <f t="shared" ca="1" si="240"/>
        <v>0</v>
      </c>
      <c r="CT358" s="1086"/>
      <c r="CU358" s="1087"/>
      <c r="CV358" s="1090"/>
      <c r="CW358" s="156" t="s">
        <v>2199</v>
      </c>
      <c r="CX358" s="156" t="str">
        <f>VLOOKUP(E358,'[1]List of Work Orders'!$A:$I,9,FALSE)</f>
        <v>ME185284</v>
      </c>
      <c r="CY358" s="156"/>
      <c r="DA358" s="1100">
        <f t="shared" si="208"/>
        <v>7.5631944444467081</v>
      </c>
      <c r="DS358" s="156" t="s">
        <v>381</v>
      </c>
    </row>
    <row r="359" spans="1:123" customFormat="1" ht="15" customHeight="1" x14ac:dyDescent="0.25">
      <c r="A359" s="242">
        <v>45692</v>
      </c>
      <c r="B359" s="222">
        <v>45688</v>
      </c>
      <c r="C359" s="223" t="s">
        <v>247</v>
      </c>
      <c r="D359" s="66" t="s">
        <v>284</v>
      </c>
      <c r="E359" s="404" t="s">
        <v>2200</v>
      </c>
      <c r="F359" s="95" t="s">
        <v>1134</v>
      </c>
      <c r="G359" s="95" t="s">
        <v>2201</v>
      </c>
      <c r="H359" s="95" t="s">
        <v>253</v>
      </c>
      <c r="I359" s="95" t="s">
        <v>254</v>
      </c>
      <c r="J359" s="163"/>
      <c r="K359" s="101"/>
      <c r="L359" s="101" t="s">
        <v>263</v>
      </c>
      <c r="M359" s="345" t="s">
        <v>272</v>
      </c>
      <c r="N359" s="442" t="s">
        <v>467</v>
      </c>
      <c r="O359" s="165">
        <v>9.9328000000000003</v>
      </c>
      <c r="P359" s="933">
        <v>13.29</v>
      </c>
      <c r="Q359" s="157">
        <v>20</v>
      </c>
      <c r="R359" s="109" t="s">
        <v>244</v>
      </c>
      <c r="S359" s="110">
        <v>145240.66</v>
      </c>
      <c r="T359" s="93">
        <v>11416.91</v>
      </c>
      <c r="U359" s="141"/>
      <c r="V359" s="158">
        <f t="shared" si="217"/>
        <v>0</v>
      </c>
      <c r="W359" s="159">
        <v>45684.511111111111</v>
      </c>
      <c r="X359" s="159">
        <v>45691</v>
      </c>
      <c r="Y359" s="160">
        <v>45687</v>
      </c>
      <c r="Z359" s="470">
        <v>45776</v>
      </c>
      <c r="AA359" s="470">
        <v>45777</v>
      </c>
      <c r="AB359" s="470"/>
      <c r="AC359" s="161">
        <f t="shared" si="218"/>
        <v>92.488888888889051</v>
      </c>
      <c r="AD359" s="161">
        <f t="shared" si="211"/>
        <v>86</v>
      </c>
      <c r="AE359" s="446">
        <f t="shared" si="241"/>
        <v>-45777</v>
      </c>
      <c r="AF359" s="160">
        <f t="shared" si="212"/>
        <v>45703.285304659497</v>
      </c>
      <c r="AG359" s="160">
        <f t="shared" si="209"/>
        <v>45712.091756272399</v>
      </c>
      <c r="AH359" s="159">
        <f t="shared" si="213"/>
        <v>45734.511111111111</v>
      </c>
      <c r="AI359" s="162">
        <f t="shared" si="219"/>
        <v>3.1857283950617337</v>
      </c>
      <c r="AJ359" s="224">
        <f t="shared" si="214"/>
        <v>-762.95</v>
      </c>
      <c r="AK359" s="225">
        <f t="shared" si="220"/>
        <v>20</v>
      </c>
      <c r="AL359" s="170">
        <f t="shared" si="221"/>
        <v>36</v>
      </c>
      <c r="AM359" s="170">
        <f t="shared" si="222"/>
        <v>21.774193548387096</v>
      </c>
      <c r="AN359" s="170">
        <f t="shared" si="223"/>
        <v>27.58064516129032</v>
      </c>
      <c r="AO359" s="226">
        <f t="shared" si="224"/>
        <v>18.774193548387096</v>
      </c>
      <c r="AP359" s="227">
        <v>60</v>
      </c>
      <c r="AQ359" s="228">
        <f t="shared" si="225"/>
        <v>57</v>
      </c>
      <c r="AR359" s="228">
        <f t="shared" si="210"/>
        <v>52</v>
      </c>
      <c r="AS359" s="229">
        <f t="shared" si="226"/>
        <v>45837</v>
      </c>
      <c r="AT359" s="982">
        <f t="shared" ca="1" si="227"/>
        <v>118</v>
      </c>
      <c r="AU359" s="50"/>
      <c r="AV359" s="51"/>
      <c r="AW359" s="49"/>
      <c r="AX359" s="49"/>
      <c r="AY359" s="49"/>
      <c r="AZ359" s="300"/>
      <c r="BA359" s="52"/>
      <c r="BB359" s="304"/>
      <c r="BC359" s="231" t="s">
        <v>13</v>
      </c>
      <c r="BD359" s="232"/>
      <c r="BE359" s="222">
        <f t="shared" si="242"/>
        <v>45792</v>
      </c>
      <c r="BF359" s="233" t="e">
        <f t="shared" si="215"/>
        <v>#VALUE!</v>
      </c>
      <c r="BG359" s="248"/>
      <c r="BH359" s="235"/>
      <c r="BI359" s="234"/>
      <c r="BJ359" s="236"/>
      <c r="BK359" s="222"/>
      <c r="BL359" s="222"/>
      <c r="BM359" s="238"/>
      <c r="BN359" s="222"/>
      <c r="BO359" s="222"/>
      <c r="BP359" s="243"/>
      <c r="BQ359" s="244" t="s">
        <v>247</v>
      </c>
      <c r="BR359" s="238">
        <v>45775</v>
      </c>
      <c r="BS359" s="67"/>
      <c r="BT359" s="66"/>
      <c r="BU359" s="66"/>
      <c r="BV359" s="66"/>
      <c r="BW359" s="74"/>
      <c r="BX359" s="81"/>
      <c r="BY359" s="66">
        <v>45693</v>
      </c>
      <c r="BZ359" s="947" t="s">
        <v>2202</v>
      </c>
      <c r="CA359" s="42" t="str">
        <f t="shared" si="228"/>
        <v>0</v>
      </c>
      <c r="CB359" s="62">
        <f t="shared" si="229"/>
        <v>92.488888888889051</v>
      </c>
      <c r="CC359" s="42">
        <f t="shared" si="230"/>
        <v>0</v>
      </c>
      <c r="CD359" s="62">
        <f t="shared" si="231"/>
        <v>92.488888888889051</v>
      </c>
      <c r="CE359" s="62">
        <f t="shared" si="232"/>
        <v>3.1857283950617337</v>
      </c>
      <c r="CF359" s="145">
        <f t="shared" si="233"/>
        <v>92</v>
      </c>
      <c r="CG359" s="145"/>
      <c r="CH359" s="443">
        <f t="shared" si="234"/>
        <v>6.3546172839506223</v>
      </c>
      <c r="CI359" s="996">
        <f t="shared" si="235"/>
        <v>6.3546172839506223</v>
      </c>
      <c r="CJ359" s="261">
        <f t="shared" si="236"/>
        <v>1.5333333333333334</v>
      </c>
      <c r="CK359" s="458" t="str">
        <f t="shared" si="237"/>
        <v/>
      </c>
      <c r="CL359" t="str">
        <f t="shared" si="238"/>
        <v>REV</v>
      </c>
      <c r="CM359" t="str">
        <f t="shared" si="239"/>
        <v/>
      </c>
      <c r="CN359" s="635"/>
      <c r="CO359" s="631"/>
      <c r="CP359" s="629" t="str">
        <f t="shared" si="216"/>
        <v>FOR ISSUANCE</v>
      </c>
      <c r="CQ359" s="635"/>
      <c r="CR359" s="697"/>
      <c r="CS359" s="633" t="str">
        <f t="shared" ca="1" si="240"/>
        <v>0</v>
      </c>
      <c r="CT359" s="635"/>
      <c r="CU359" s="631"/>
      <c r="CV359" s="638"/>
      <c r="CW359" s="156" t="s">
        <v>2203</v>
      </c>
      <c r="CX359" s="156" t="str">
        <f>VLOOKUP(E359,'[1]List of Work Orders'!$A:$I,9,FALSE)</f>
        <v>ME155242</v>
      </c>
      <c r="CY359" s="156"/>
      <c r="DA359" s="762">
        <f t="shared" si="208"/>
        <v>6.4888888888890506</v>
      </c>
      <c r="DS359" s="156" t="s">
        <v>381</v>
      </c>
    </row>
    <row r="360" spans="1:123" customFormat="1" ht="15" customHeight="1" x14ac:dyDescent="0.25">
      <c r="A360" s="242">
        <v>45694</v>
      </c>
      <c r="B360" s="222">
        <v>45688</v>
      </c>
      <c r="C360" s="223"/>
      <c r="D360" s="66" t="s">
        <v>320</v>
      </c>
      <c r="E360" s="404" t="s">
        <v>2204</v>
      </c>
      <c r="F360" s="95" t="s">
        <v>2205</v>
      </c>
      <c r="G360" s="95" t="s">
        <v>854</v>
      </c>
      <c r="H360" s="344" t="s">
        <v>318</v>
      </c>
      <c r="I360" s="95" t="s">
        <v>239</v>
      </c>
      <c r="J360" s="163"/>
      <c r="K360" s="101"/>
      <c r="L360" s="101" t="s">
        <v>242</v>
      </c>
      <c r="M360" s="345" t="s">
        <v>272</v>
      </c>
      <c r="N360" s="442" t="s">
        <v>467</v>
      </c>
      <c r="O360" s="165">
        <v>9.2899999999999991</v>
      </c>
      <c r="P360" s="933">
        <v>10.7</v>
      </c>
      <c r="Q360" s="157">
        <v>0</v>
      </c>
      <c r="R360" s="109" t="s">
        <v>327</v>
      </c>
      <c r="S360" s="110">
        <v>35440.5</v>
      </c>
      <c r="T360" s="93">
        <v>8616.68</v>
      </c>
      <c r="U360" s="141"/>
      <c r="V360" s="158">
        <f t="shared" si="217"/>
        <v>0</v>
      </c>
      <c r="W360" s="159">
        <v>45684.584722222222</v>
      </c>
      <c r="X360" s="159">
        <v>45691.5625</v>
      </c>
      <c r="Y360" s="160">
        <v>45687</v>
      </c>
      <c r="Z360" s="470"/>
      <c r="AA360" s="470">
        <v>45793</v>
      </c>
      <c r="AB360" s="470"/>
      <c r="AC360" s="161">
        <f t="shared" si="218"/>
        <v>108.4152777777781</v>
      </c>
      <c r="AD360" s="161">
        <f t="shared" si="211"/>
        <v>101.4375</v>
      </c>
      <c r="AE360" s="446">
        <f t="shared" si="241"/>
        <v>-45793</v>
      </c>
      <c r="AF360" s="160">
        <f t="shared" si="212"/>
        <v>45703.358915770608</v>
      </c>
      <c r="AG360" s="160">
        <f t="shared" si="209"/>
        <v>45712.16536738351</v>
      </c>
      <c r="AH360" s="159">
        <f t="shared" si="213"/>
        <v>45734.584722222222</v>
      </c>
      <c r="AI360" s="162">
        <f t="shared" si="219"/>
        <v>3.7343040123456896</v>
      </c>
      <c r="AJ360" s="224">
        <f t="shared" si="214"/>
        <v>-763.2166666666667</v>
      </c>
      <c r="AK360" s="225">
        <f t="shared" si="220"/>
        <v>20</v>
      </c>
      <c r="AL360" s="170">
        <f t="shared" si="221"/>
        <v>36</v>
      </c>
      <c r="AM360" s="170">
        <f t="shared" si="222"/>
        <v>21.774193548387096</v>
      </c>
      <c r="AN360" s="170">
        <f t="shared" si="223"/>
        <v>27.58064516129032</v>
      </c>
      <c r="AO360" s="226">
        <f t="shared" si="224"/>
        <v>18.774193548387096</v>
      </c>
      <c r="AP360" s="227">
        <v>60</v>
      </c>
      <c r="AQ360" s="228">
        <f t="shared" si="225"/>
        <v>57</v>
      </c>
      <c r="AR360" s="228">
        <f t="shared" si="210"/>
        <v>52</v>
      </c>
      <c r="AS360" s="229">
        <f t="shared" si="226"/>
        <v>45853</v>
      </c>
      <c r="AT360" s="982">
        <f t="shared" ca="1" si="227"/>
        <v>102</v>
      </c>
      <c r="AU360" s="50"/>
      <c r="AV360" s="51"/>
      <c r="AW360" s="49"/>
      <c r="AX360" s="49"/>
      <c r="AY360" s="49"/>
      <c r="AZ360" s="300"/>
      <c r="BA360" s="52"/>
      <c r="BB360" s="304"/>
      <c r="BC360" s="231" t="s">
        <v>12</v>
      </c>
      <c r="BD360" s="232"/>
      <c r="BE360" s="222">
        <f t="shared" si="242"/>
        <v>45808</v>
      </c>
      <c r="BF360" s="233">
        <f t="shared" si="215"/>
        <v>-4</v>
      </c>
      <c r="BG360" s="248">
        <v>45794</v>
      </c>
      <c r="BH360" s="235">
        <v>45804</v>
      </c>
      <c r="BI360" s="234"/>
      <c r="BJ360" s="236"/>
      <c r="BK360" s="222"/>
      <c r="BL360" s="222"/>
      <c r="BM360" s="238"/>
      <c r="BN360" s="222"/>
      <c r="BO360" s="222"/>
      <c r="BP360" s="243"/>
      <c r="BQ360" s="244"/>
      <c r="BR360" s="238"/>
      <c r="BS360" s="67"/>
      <c r="BT360" s="66"/>
      <c r="BU360" s="66"/>
      <c r="BV360" s="66"/>
      <c r="BW360" s="74"/>
      <c r="BX360" s="81"/>
      <c r="BY360" s="66">
        <v>45694</v>
      </c>
      <c r="BZ360" s="947" t="s">
        <v>2206</v>
      </c>
      <c r="CA360" s="42" t="str">
        <f t="shared" si="228"/>
        <v>0</v>
      </c>
      <c r="CB360" s="62">
        <f t="shared" si="229"/>
        <v>108.4152777777781</v>
      </c>
      <c r="CC360" s="42">
        <f t="shared" si="230"/>
        <v>0</v>
      </c>
      <c r="CD360" s="62">
        <f t="shared" si="231"/>
        <v>108.4152777777781</v>
      </c>
      <c r="CE360" s="62">
        <f t="shared" si="232"/>
        <v>3.7343040123456896</v>
      </c>
      <c r="CF360" s="145">
        <f t="shared" si="233"/>
        <v>76</v>
      </c>
      <c r="CG360" s="145"/>
      <c r="CH360" s="443">
        <f t="shared" si="234"/>
        <v>6.3520817901234672</v>
      </c>
      <c r="CI360" s="996">
        <f t="shared" si="235"/>
        <v>6.3520817901234672</v>
      </c>
      <c r="CJ360" s="261">
        <f t="shared" si="236"/>
        <v>1.2666666666666666</v>
      </c>
      <c r="CK360" s="458" t="str">
        <f t="shared" si="237"/>
        <v/>
      </c>
      <c r="CL360" t="str">
        <f t="shared" si="238"/>
        <v>NON-REV</v>
      </c>
      <c r="CM360" t="str">
        <f t="shared" si="239"/>
        <v/>
      </c>
      <c r="CN360" s="635"/>
      <c r="CO360" s="631"/>
      <c r="CP360" s="629" t="str">
        <f t="shared" si="216"/>
        <v>FOR ISSUANCE</v>
      </c>
      <c r="CQ360" s="635"/>
      <c r="CR360" s="697"/>
      <c r="CS360" s="633" t="str">
        <f t="shared" ca="1" si="240"/>
        <v>0</v>
      </c>
      <c r="CT360" s="635"/>
      <c r="CU360" s="631"/>
      <c r="CV360" s="638"/>
      <c r="CW360" s="156" t="s">
        <v>2207</v>
      </c>
      <c r="CX360" s="156" t="str">
        <f>VLOOKUP(E360,'[1]List of Work Orders'!$A:$I,9,FALSE)</f>
        <v>ME155242</v>
      </c>
      <c r="CY360" s="156"/>
      <c r="CZ360" s="63"/>
      <c r="DA360" s="762">
        <f t="shared" si="208"/>
        <v>6.9777777777781012</v>
      </c>
      <c r="DS360" s="156" t="s">
        <v>403</v>
      </c>
    </row>
    <row r="361" spans="1:123" customFormat="1" ht="15" customHeight="1" x14ac:dyDescent="0.25">
      <c r="A361" s="242">
        <v>45692</v>
      </c>
      <c r="B361" s="222">
        <v>45688</v>
      </c>
      <c r="C361" s="223"/>
      <c r="D361" s="66" t="s">
        <v>320</v>
      </c>
      <c r="E361" s="404" t="s">
        <v>2208</v>
      </c>
      <c r="F361" s="95" t="s">
        <v>2209</v>
      </c>
      <c r="G361" s="95" t="s">
        <v>2210</v>
      </c>
      <c r="H361" s="95" t="s">
        <v>253</v>
      </c>
      <c r="I361" s="95" t="s">
        <v>254</v>
      </c>
      <c r="J361" s="163"/>
      <c r="K361" s="101"/>
      <c r="L361" s="101" t="s">
        <v>5</v>
      </c>
      <c r="M361" s="345" t="s">
        <v>272</v>
      </c>
      <c r="N361" s="442" t="s">
        <v>403</v>
      </c>
      <c r="O361" s="165">
        <v>327.98789999999957</v>
      </c>
      <c r="P361" s="933">
        <v>413.38</v>
      </c>
      <c r="Q361" s="157">
        <v>60</v>
      </c>
      <c r="R361" s="109" t="s">
        <v>244</v>
      </c>
      <c r="S361" s="110">
        <v>2137566.1</v>
      </c>
      <c r="T361" s="93">
        <v>332127.99999999994</v>
      </c>
      <c r="U361" s="141">
        <v>82065.53</v>
      </c>
      <c r="V361" s="158">
        <f t="shared" si="217"/>
        <v>0.24709006768474809</v>
      </c>
      <c r="W361" s="159">
        <v>45684.665277777778</v>
      </c>
      <c r="X361" s="159">
        <v>45691.533333333333</v>
      </c>
      <c r="Y361" s="160">
        <v>45687</v>
      </c>
      <c r="Z361" s="470"/>
      <c r="AA361" s="470">
        <v>45729</v>
      </c>
      <c r="AB361" s="470"/>
      <c r="AC361" s="161">
        <f t="shared" si="218"/>
        <v>44.334722222221899</v>
      </c>
      <c r="AD361" s="161">
        <f t="shared" si="211"/>
        <v>37.466666666667152</v>
      </c>
      <c r="AE361" s="446">
        <f t="shared" si="241"/>
        <v>-45729</v>
      </c>
      <c r="AF361" s="160">
        <f t="shared" si="212"/>
        <v>45706.695952624403</v>
      </c>
      <c r="AG361" s="160">
        <f t="shared" si="209"/>
        <v>45716.370799250173</v>
      </c>
      <c r="AH361" s="159">
        <f t="shared" si="213"/>
        <v>45734.665277777778</v>
      </c>
      <c r="AI361" s="162">
        <f t="shared" si="219"/>
        <v>1.3284117136437812</v>
      </c>
      <c r="AJ361" s="224">
        <f t="shared" si="214"/>
        <v>-762.15</v>
      </c>
      <c r="AK361" s="225">
        <f t="shared" si="220"/>
        <v>32</v>
      </c>
      <c r="AL361" s="170">
        <f t="shared" si="221"/>
        <v>34</v>
      </c>
      <c r="AM361" s="170">
        <f t="shared" si="222"/>
        <v>25.030674846625768</v>
      </c>
      <c r="AN361" s="170">
        <f t="shared" si="223"/>
        <v>31.70552147239264</v>
      </c>
      <c r="AO361" s="226">
        <f t="shared" si="224"/>
        <v>22.030674846625768</v>
      </c>
      <c r="AP361" s="227">
        <v>60</v>
      </c>
      <c r="AQ361" s="228">
        <f t="shared" si="225"/>
        <v>57</v>
      </c>
      <c r="AR361" s="228">
        <f t="shared" si="210"/>
        <v>52</v>
      </c>
      <c r="AS361" s="229">
        <f t="shared" si="226"/>
        <v>45789</v>
      </c>
      <c r="AT361" s="982">
        <f t="shared" ca="1" si="227"/>
        <v>166</v>
      </c>
      <c r="AU361" s="50"/>
      <c r="AV361" s="51"/>
      <c r="AW361" s="49"/>
      <c r="AX361" s="49"/>
      <c r="AY361" s="49"/>
      <c r="AZ361" s="300"/>
      <c r="BA361" s="52"/>
      <c r="BB361" s="304"/>
      <c r="BC361" s="231" t="s">
        <v>264</v>
      </c>
      <c r="BD361" s="232" t="s">
        <v>601</v>
      </c>
      <c r="BE361" s="222">
        <f t="shared" si="242"/>
        <v>45744</v>
      </c>
      <c r="BF361" s="233">
        <f t="shared" si="215"/>
        <v>13</v>
      </c>
      <c r="BG361" s="248">
        <v>45729</v>
      </c>
      <c r="BH361" s="235">
        <v>45757</v>
      </c>
      <c r="BI361" s="234">
        <v>45838</v>
      </c>
      <c r="BJ361" s="236" t="s">
        <v>1119</v>
      </c>
      <c r="BK361" s="222" t="s">
        <v>247</v>
      </c>
      <c r="BL361" s="222"/>
      <c r="BM361" s="238"/>
      <c r="BN361" s="222"/>
      <c r="BO361" s="222">
        <v>45850</v>
      </c>
      <c r="BP361" s="243" t="s">
        <v>1084</v>
      </c>
      <c r="BQ361" s="244" t="s">
        <v>247</v>
      </c>
      <c r="BR361" s="238">
        <v>45727</v>
      </c>
      <c r="BS361" s="67"/>
      <c r="BT361" s="66"/>
      <c r="BU361" s="66"/>
      <c r="BV361" s="66"/>
      <c r="BW361" s="74"/>
      <c r="BX361" s="81"/>
      <c r="BY361" s="66">
        <v>45692</v>
      </c>
      <c r="BZ361" s="947" t="s">
        <v>2211</v>
      </c>
      <c r="CA361" s="42" t="str">
        <f t="shared" si="228"/>
        <v>0</v>
      </c>
      <c r="CB361" s="62">
        <f t="shared" si="229"/>
        <v>44.334722222221899</v>
      </c>
      <c r="CC361" s="42">
        <f t="shared" si="230"/>
        <v>0</v>
      </c>
      <c r="CD361" s="62">
        <f t="shared" si="231"/>
        <v>44.334722222221899</v>
      </c>
      <c r="CE361" s="62">
        <f t="shared" si="232"/>
        <v>1.3284117136437812</v>
      </c>
      <c r="CF361" s="145">
        <f t="shared" si="233"/>
        <v>140</v>
      </c>
      <c r="CG361" s="145"/>
      <c r="CH361" s="443">
        <f t="shared" si="234"/>
        <v>5.5232646548202515</v>
      </c>
      <c r="CI361" s="996">
        <f t="shared" si="235"/>
        <v>5.5232646548202515</v>
      </c>
      <c r="CJ361" s="261">
        <f t="shared" si="236"/>
        <v>2.3333333333333335</v>
      </c>
      <c r="CK361" s="458" t="str">
        <f t="shared" si="237"/>
        <v/>
      </c>
      <c r="CL361" t="str">
        <f t="shared" si="238"/>
        <v>REV</v>
      </c>
      <c r="CM361" t="str">
        <f t="shared" si="239"/>
        <v/>
      </c>
      <c r="CN361" s="635">
        <v>45854</v>
      </c>
      <c r="CO361" s="631">
        <v>78054.880000000005</v>
      </c>
      <c r="CP361" s="629" t="str">
        <f t="shared" si="216"/>
        <v>NTC ISSUED</v>
      </c>
      <c r="CQ361" s="635">
        <v>45856</v>
      </c>
      <c r="CR361" s="697"/>
      <c r="CS361" s="633">
        <f t="shared" ca="1" si="240"/>
        <v>39</v>
      </c>
      <c r="CT361" s="635">
        <v>45867</v>
      </c>
      <c r="CU361" s="631">
        <v>78054.880000000005</v>
      </c>
      <c r="CV361" s="638"/>
      <c r="CW361" s="156" t="s">
        <v>2212</v>
      </c>
      <c r="CX361" s="156" t="str">
        <f>VLOOKUP(E361,'[1]List of Work Orders'!$A:$I,9,FALSE)</f>
        <v>ME166067</v>
      </c>
      <c r="CY361" s="156"/>
      <c r="DA361" s="762">
        <f t="shared" si="208"/>
        <v>6.8680555555547471</v>
      </c>
      <c r="DS361" s="156" t="s">
        <v>403</v>
      </c>
    </row>
    <row r="362" spans="1:123" customFormat="1" ht="15" customHeight="1" x14ac:dyDescent="0.25">
      <c r="A362" s="242">
        <v>45692</v>
      </c>
      <c r="B362" s="222">
        <v>45688</v>
      </c>
      <c r="C362" s="223"/>
      <c r="D362" s="66" t="s">
        <v>320</v>
      </c>
      <c r="E362" s="404" t="s">
        <v>2213</v>
      </c>
      <c r="F362" s="95" t="s">
        <v>2214</v>
      </c>
      <c r="G362" s="95" t="s">
        <v>2215</v>
      </c>
      <c r="H362" s="95" t="s">
        <v>253</v>
      </c>
      <c r="I362" s="95" t="s">
        <v>254</v>
      </c>
      <c r="J362" s="163"/>
      <c r="K362" s="101"/>
      <c r="L362" s="101" t="s">
        <v>263</v>
      </c>
      <c r="M362" s="345" t="s">
        <v>331</v>
      </c>
      <c r="N362" s="442" t="s">
        <v>467</v>
      </c>
      <c r="O362" s="165">
        <v>434.52479999999974</v>
      </c>
      <c r="P362" s="165">
        <v>1557.75</v>
      </c>
      <c r="Q362" s="157">
        <v>130</v>
      </c>
      <c r="R362" s="109" t="s">
        <v>244</v>
      </c>
      <c r="S362" s="110">
        <v>2659180.85</v>
      </c>
      <c r="T362" s="93">
        <v>481239.28999999934</v>
      </c>
      <c r="U362" s="141"/>
      <c r="V362" s="158">
        <f t="shared" si="217"/>
        <v>0</v>
      </c>
      <c r="W362" s="159">
        <v>45684.665972222225</v>
      </c>
      <c r="X362" s="159">
        <v>45691</v>
      </c>
      <c r="Y362" s="160">
        <v>45687</v>
      </c>
      <c r="Z362" s="470"/>
      <c r="AA362" s="470"/>
      <c r="AB362" s="470"/>
      <c r="AC362" s="161">
        <f t="shared" si="218"/>
        <v>-45684.665972222225</v>
      </c>
      <c r="AD362" s="161">
        <f t="shared" si="211"/>
        <v>-45691</v>
      </c>
      <c r="AE362" s="446">
        <f t="shared" si="241"/>
        <v>0</v>
      </c>
      <c r="AF362" s="160">
        <f t="shared" si="212"/>
        <v>45708.571801818638</v>
      </c>
      <c r="AG362" s="160">
        <f t="shared" si="209"/>
        <v>45718.746689711013</v>
      </c>
      <c r="AH362" s="159">
        <f t="shared" si="213"/>
        <v>45734.665972222225</v>
      </c>
      <c r="AI362" s="162">
        <f t="shared" si="219"/>
        <v>-1273.4600639756945</v>
      </c>
      <c r="AJ362" s="224">
        <f t="shared" si="214"/>
        <v>0</v>
      </c>
      <c r="AK362" s="225">
        <f t="shared" si="220"/>
        <v>50</v>
      </c>
      <c r="AL362" s="170">
        <f t="shared" si="221"/>
        <v>32</v>
      </c>
      <c r="AM362" s="170">
        <f t="shared" si="222"/>
        <v>26.905829596412559</v>
      </c>
      <c r="AN362" s="170">
        <f t="shared" si="223"/>
        <v>34.08071748878924</v>
      </c>
      <c r="AO362" s="226">
        <f t="shared" si="224"/>
        <v>23.905829596412559</v>
      </c>
      <c r="AP362" s="227">
        <v>60</v>
      </c>
      <c r="AQ362" s="228">
        <f t="shared" si="225"/>
        <v>57</v>
      </c>
      <c r="AR362" s="228">
        <f t="shared" si="210"/>
        <v>52</v>
      </c>
      <c r="AS362" s="229">
        <f t="shared" si="226"/>
        <v>60</v>
      </c>
      <c r="AT362" s="982">
        <f t="shared" ca="1" si="227"/>
        <v>45895</v>
      </c>
      <c r="AU362" s="50"/>
      <c r="AV362" s="51"/>
      <c r="AW362" s="49"/>
      <c r="AX362" s="49"/>
      <c r="AY362" s="49"/>
      <c r="AZ362" s="300"/>
      <c r="BA362" s="52"/>
      <c r="BB362" s="304"/>
      <c r="BC362" s="231"/>
      <c r="BD362" s="232"/>
      <c r="BE362" s="222">
        <f t="shared" si="242"/>
        <v>15</v>
      </c>
      <c r="BF362" s="233">
        <f t="shared" si="215"/>
        <v>0</v>
      </c>
      <c r="BG362" s="248"/>
      <c r="BH362" s="235"/>
      <c r="BI362" s="234"/>
      <c r="BJ362" s="236"/>
      <c r="BK362" s="222"/>
      <c r="BL362" s="222"/>
      <c r="BM362" s="238"/>
      <c r="BN362" s="222"/>
      <c r="BO362" s="222"/>
      <c r="BP362" s="243"/>
      <c r="BQ362" s="244"/>
      <c r="BR362" s="238"/>
      <c r="BS362" s="67"/>
      <c r="BT362" s="66"/>
      <c r="BU362" s="66"/>
      <c r="BV362" s="66"/>
      <c r="BW362" s="74"/>
      <c r="BX362" s="81"/>
      <c r="BY362" s="66">
        <v>45693</v>
      </c>
      <c r="BZ362" s="947" t="s">
        <v>2216</v>
      </c>
      <c r="CA362" s="42" t="str">
        <f t="shared" si="228"/>
        <v>0</v>
      </c>
      <c r="CB362" s="62">
        <f t="shared" si="229"/>
        <v>-45684.665972222225</v>
      </c>
      <c r="CC362" s="42">
        <f t="shared" si="230"/>
        <v>0</v>
      </c>
      <c r="CD362" s="62">
        <f t="shared" si="231"/>
        <v>-45684.665972222225</v>
      </c>
      <c r="CE362" s="62">
        <f t="shared" si="232"/>
        <v>-1273.4600639756945</v>
      </c>
      <c r="CF362" s="145" t="str">
        <f t="shared" si="233"/>
        <v>0</v>
      </c>
      <c r="CG362" s="145"/>
      <c r="CH362" s="443">
        <f t="shared" si="234"/>
        <v>5.1383110243054837</v>
      </c>
      <c r="CI362" s="996">
        <f t="shared" si="235"/>
        <v>5.1383110243054837</v>
      </c>
      <c r="CJ362" s="261">
        <f t="shared" si="236"/>
        <v>0</v>
      </c>
      <c r="CK362" s="458">
        <f t="shared" si="237"/>
        <v>171.33402777777519</v>
      </c>
      <c r="CL362" t="str">
        <f t="shared" si="238"/>
        <v>REV</v>
      </c>
      <c r="CM362" t="str">
        <f t="shared" si="239"/>
        <v>4-6 MONTHS</v>
      </c>
      <c r="CN362" s="635"/>
      <c r="CO362" s="631"/>
      <c r="CP362" s="629" t="str">
        <f t="shared" si="216"/>
        <v>FOR ISSUANCE</v>
      </c>
      <c r="CQ362" s="635"/>
      <c r="CR362" s="697"/>
      <c r="CS362" s="633" t="str">
        <f t="shared" ca="1" si="240"/>
        <v>0</v>
      </c>
      <c r="CT362" s="635"/>
      <c r="CU362" s="631"/>
      <c r="CV362" s="638"/>
      <c r="CW362" s="156" t="s">
        <v>2217</v>
      </c>
      <c r="CX362" s="156" t="str">
        <f>VLOOKUP(E362,'[1]List of Work Orders'!$A:$I,9,FALSE)</f>
        <v>ME155242</v>
      </c>
      <c r="CY362" s="156"/>
      <c r="DA362" s="762">
        <f t="shared" ref="DA362:DA425" si="243">X362-W362</f>
        <v>6.3340277777751908</v>
      </c>
      <c r="DS362" s="156" t="s">
        <v>403</v>
      </c>
    </row>
    <row r="363" spans="1:123" customFormat="1" ht="15" customHeight="1" x14ac:dyDescent="0.25">
      <c r="A363" s="242">
        <v>45692</v>
      </c>
      <c r="B363" s="222">
        <v>45691</v>
      </c>
      <c r="C363" s="223"/>
      <c r="D363" s="66" t="s">
        <v>320</v>
      </c>
      <c r="E363" s="404" t="s">
        <v>2218</v>
      </c>
      <c r="F363" s="95" t="s">
        <v>2219</v>
      </c>
      <c r="G363" s="95" t="s">
        <v>2220</v>
      </c>
      <c r="H363" s="95" t="s">
        <v>253</v>
      </c>
      <c r="I363" s="95" t="s">
        <v>254</v>
      </c>
      <c r="J363" s="854" t="s">
        <v>2221</v>
      </c>
      <c r="K363" s="101"/>
      <c r="L363" s="101" t="s">
        <v>263</v>
      </c>
      <c r="M363" s="345" t="s">
        <v>331</v>
      </c>
      <c r="N363" s="442" t="s">
        <v>467</v>
      </c>
      <c r="O363" s="165">
        <v>238.29549999999989</v>
      </c>
      <c r="P363" s="165">
        <v>717.03</v>
      </c>
      <c r="Q363" s="157">
        <v>25</v>
      </c>
      <c r="R363" s="109" t="s">
        <v>244</v>
      </c>
      <c r="S363" s="110">
        <v>1198475.06</v>
      </c>
      <c r="T363" s="93">
        <v>279373.33999999991</v>
      </c>
      <c r="U363" s="141"/>
      <c r="V363" s="158">
        <f t="shared" si="217"/>
        <v>0</v>
      </c>
      <c r="W363" s="159">
        <v>45685.631249999999</v>
      </c>
      <c r="X363" s="159">
        <v>45691</v>
      </c>
      <c r="Y363" s="160">
        <v>45688</v>
      </c>
      <c r="Z363" s="470"/>
      <c r="AA363" s="470"/>
      <c r="AB363" s="470"/>
      <c r="AC363" s="161">
        <f t="shared" si="218"/>
        <v>-45685.631249999999</v>
      </c>
      <c r="AD363" s="161">
        <f t="shared" si="211"/>
        <v>-45691</v>
      </c>
      <c r="AE363" s="446">
        <f t="shared" si="241"/>
        <v>0</v>
      </c>
      <c r="AF363" s="160">
        <f t="shared" si="212"/>
        <v>45710.466301546388</v>
      </c>
      <c r="AG363" s="160">
        <f t="shared" si="209"/>
        <v>45720.888981958764</v>
      </c>
      <c r="AH363" s="159">
        <f t="shared" si="213"/>
        <v>45735.631249999999</v>
      </c>
      <c r="AI363" s="162">
        <f t="shared" si="219"/>
        <v>-1230.973953125</v>
      </c>
      <c r="AJ363" s="224">
        <f t="shared" si="214"/>
        <v>0</v>
      </c>
      <c r="AK363" s="225">
        <f t="shared" si="220"/>
        <v>40</v>
      </c>
      <c r="AL363" s="170">
        <f t="shared" si="221"/>
        <v>36</v>
      </c>
      <c r="AM363" s="170">
        <f t="shared" si="222"/>
        <v>27.835051546391753</v>
      </c>
      <c r="AN363" s="170">
        <f t="shared" si="223"/>
        <v>35.257731958762882</v>
      </c>
      <c r="AO363" s="226">
        <f t="shared" si="224"/>
        <v>24.835051546391753</v>
      </c>
      <c r="AP363" s="227">
        <v>60</v>
      </c>
      <c r="AQ363" s="228">
        <f t="shared" si="225"/>
        <v>57</v>
      </c>
      <c r="AR363" s="228">
        <f t="shared" si="210"/>
        <v>52</v>
      </c>
      <c r="AS363" s="229">
        <f t="shared" si="226"/>
        <v>60</v>
      </c>
      <c r="AT363" s="982">
        <f t="shared" ca="1" si="227"/>
        <v>45895</v>
      </c>
      <c r="AU363" s="50"/>
      <c r="AV363" s="51"/>
      <c r="AW363" s="49"/>
      <c r="AX363" s="49"/>
      <c r="AY363" s="49"/>
      <c r="AZ363" s="300"/>
      <c r="BA363" s="52"/>
      <c r="BB363" s="304"/>
      <c r="BC363" s="231"/>
      <c r="BD363" s="232"/>
      <c r="BE363" s="222">
        <f t="shared" si="242"/>
        <v>15</v>
      </c>
      <c r="BF363" s="233">
        <f t="shared" si="215"/>
        <v>0</v>
      </c>
      <c r="BG363" s="248"/>
      <c r="BH363" s="235"/>
      <c r="BI363" s="234"/>
      <c r="BJ363" s="236"/>
      <c r="BK363" s="222"/>
      <c r="BL363" s="222"/>
      <c r="BM363" s="238"/>
      <c r="BN363" s="222"/>
      <c r="BO363" s="222"/>
      <c r="BP363" s="243"/>
      <c r="BQ363" s="244"/>
      <c r="BR363" s="238"/>
      <c r="BS363" s="67"/>
      <c r="BT363" s="66"/>
      <c r="BU363" s="66"/>
      <c r="BV363" s="66"/>
      <c r="BW363" s="74"/>
      <c r="BX363" s="81"/>
      <c r="BY363" s="66">
        <v>45693</v>
      </c>
      <c r="BZ363" s="947" t="s">
        <v>2222</v>
      </c>
      <c r="CA363" s="42" t="str">
        <f t="shared" si="228"/>
        <v>0</v>
      </c>
      <c r="CB363" s="62">
        <f t="shared" si="229"/>
        <v>-45685.631249999999</v>
      </c>
      <c r="CC363" s="42">
        <f t="shared" si="230"/>
        <v>0</v>
      </c>
      <c r="CD363" s="62">
        <f t="shared" si="231"/>
        <v>-45685.631249999999</v>
      </c>
      <c r="CE363" s="62">
        <f t="shared" si="232"/>
        <v>-1230.973953125</v>
      </c>
      <c r="CF363" s="145" t="str">
        <f t="shared" si="233"/>
        <v>0</v>
      </c>
      <c r="CG363" s="145"/>
      <c r="CH363" s="443">
        <f t="shared" si="234"/>
        <v>4.9407690972222609</v>
      </c>
      <c r="CI363" s="996">
        <f t="shared" si="235"/>
        <v>4.9407690972222609</v>
      </c>
      <c r="CJ363" s="261">
        <f t="shared" si="236"/>
        <v>0</v>
      </c>
      <c r="CK363" s="458">
        <f t="shared" si="237"/>
        <v>170.36875000000146</v>
      </c>
      <c r="CL363" t="str">
        <f t="shared" si="238"/>
        <v>REV</v>
      </c>
      <c r="CM363" t="str">
        <f t="shared" si="239"/>
        <v>4-6 MONTHS</v>
      </c>
      <c r="CN363" s="635"/>
      <c r="CO363" s="631"/>
      <c r="CP363" s="629" t="str">
        <f t="shared" si="216"/>
        <v>FOR ISSUANCE</v>
      </c>
      <c r="CQ363" s="635"/>
      <c r="CR363" s="697"/>
      <c r="CS363" s="633" t="str">
        <f t="shared" ca="1" si="240"/>
        <v>0</v>
      </c>
      <c r="CT363" s="635"/>
      <c r="CU363" s="631"/>
      <c r="CV363" s="638"/>
      <c r="CW363" s="156" t="s">
        <v>2223</v>
      </c>
      <c r="CX363" s="156" t="str">
        <f>VLOOKUP(E363,'[1]List of Work Orders'!$A:$I,9,FALSE)</f>
        <v>ME155242</v>
      </c>
      <c r="CY363" s="156"/>
      <c r="DA363" s="762">
        <f t="shared" si="243"/>
        <v>5.3687500000014552</v>
      </c>
      <c r="DS363" s="156" t="s">
        <v>397</v>
      </c>
    </row>
    <row r="364" spans="1:123" customFormat="1" ht="15" customHeight="1" x14ac:dyDescent="0.25">
      <c r="A364" s="242"/>
      <c r="B364" s="222"/>
      <c r="C364" s="223"/>
      <c r="D364" s="66" t="s">
        <v>284</v>
      </c>
      <c r="E364" s="411" t="s">
        <v>2224</v>
      </c>
      <c r="F364" s="95" t="s">
        <v>2225</v>
      </c>
      <c r="G364" s="95" t="s">
        <v>2226</v>
      </c>
      <c r="H364" s="95" t="s">
        <v>238</v>
      </c>
      <c r="I364" s="95" t="s">
        <v>239</v>
      </c>
      <c r="J364" s="163"/>
      <c r="K364" s="101"/>
      <c r="L364" s="101" t="s">
        <v>1945</v>
      </c>
      <c r="M364" s="345" t="s">
        <v>1549</v>
      </c>
      <c r="N364" s="442" t="s">
        <v>1946</v>
      </c>
      <c r="O364" s="165">
        <v>17.11</v>
      </c>
      <c r="P364" s="933">
        <v>17.11</v>
      </c>
      <c r="Q364" s="157">
        <v>31</v>
      </c>
      <c r="R364" s="109" t="s">
        <v>244</v>
      </c>
      <c r="S364" s="110">
        <v>201536.4</v>
      </c>
      <c r="T364" s="93">
        <v>26159.77</v>
      </c>
      <c r="U364" s="141"/>
      <c r="V364" s="158">
        <f t="shared" si="217"/>
        <v>0</v>
      </c>
      <c r="W364" s="159">
        <v>45685.633333333331</v>
      </c>
      <c r="X364" s="159">
        <v>45691</v>
      </c>
      <c r="Y364" s="160">
        <v>45688</v>
      </c>
      <c r="Z364" s="470"/>
      <c r="AA364" s="470">
        <v>45698</v>
      </c>
      <c r="AB364" s="470">
        <v>45778.397222222222</v>
      </c>
      <c r="AC364" s="161">
        <f t="shared" si="218"/>
        <v>12.366666666668607</v>
      </c>
      <c r="AD364" s="161">
        <f t="shared" si="211"/>
        <v>7</v>
      </c>
      <c r="AE364" s="446">
        <f t="shared" si="241"/>
        <v>80.397222222221899</v>
      </c>
      <c r="AF364" s="160">
        <f t="shared" si="212"/>
        <v>45704.407526881718</v>
      </c>
      <c r="AG364" s="160">
        <f t="shared" si="209"/>
        <v>45713.213978494619</v>
      </c>
      <c r="AH364" s="159">
        <f t="shared" si="213"/>
        <v>45735.633333333331</v>
      </c>
      <c r="AI364" s="162">
        <f t="shared" si="219"/>
        <v>0.42596296296302971</v>
      </c>
      <c r="AJ364" s="224">
        <f t="shared" si="214"/>
        <v>1.3399537037036984</v>
      </c>
      <c r="AK364" s="225">
        <f t="shared" si="220"/>
        <v>20</v>
      </c>
      <c r="AL364" s="170">
        <f t="shared" si="221"/>
        <v>36</v>
      </c>
      <c r="AM364" s="170">
        <f t="shared" si="222"/>
        <v>21.774193548387096</v>
      </c>
      <c r="AN364" s="170">
        <f t="shared" si="223"/>
        <v>27.58064516129032</v>
      </c>
      <c r="AO364" s="226">
        <f t="shared" si="224"/>
        <v>18.774193548387096</v>
      </c>
      <c r="AP364" s="227">
        <v>60</v>
      </c>
      <c r="AQ364" s="228">
        <f t="shared" si="225"/>
        <v>57</v>
      </c>
      <c r="AR364" s="228">
        <f t="shared" si="210"/>
        <v>52</v>
      </c>
      <c r="AS364" s="229">
        <f t="shared" si="226"/>
        <v>45758</v>
      </c>
      <c r="AT364" s="982">
        <f t="shared" ca="1" si="227"/>
        <v>197</v>
      </c>
      <c r="AU364" s="50"/>
      <c r="AV364" s="51"/>
      <c r="AW364" s="49"/>
      <c r="AX364" s="49"/>
      <c r="AY364" s="49"/>
      <c r="AZ364" s="300"/>
      <c r="BA364" s="52"/>
      <c r="BB364" s="304"/>
      <c r="BC364" s="231" t="s">
        <v>14</v>
      </c>
      <c r="BD364" s="232"/>
      <c r="BE364" s="222">
        <f t="shared" si="242"/>
        <v>45713</v>
      </c>
      <c r="BF364" s="233" t="e">
        <f t="shared" si="215"/>
        <v>#VALUE!</v>
      </c>
      <c r="BG364" s="248"/>
      <c r="BH364" s="235"/>
      <c r="BI364" s="234"/>
      <c r="BJ364" s="236"/>
      <c r="BK364" s="222"/>
      <c r="BL364" s="222"/>
      <c r="BM364" s="238"/>
      <c r="BN364" s="222"/>
      <c r="BO364" s="222"/>
      <c r="BP364" s="243"/>
      <c r="BQ364" s="244" t="s">
        <v>247</v>
      </c>
      <c r="BR364" s="238">
        <v>45694</v>
      </c>
      <c r="BS364" s="67"/>
      <c r="BT364" s="66"/>
      <c r="BU364" s="66"/>
      <c r="BV364" s="66"/>
      <c r="BW364" s="74"/>
      <c r="BX364" s="81"/>
      <c r="BY364" s="66">
        <v>45693</v>
      </c>
      <c r="BZ364" s="947" t="s">
        <v>2227</v>
      </c>
      <c r="CA364" s="42" t="str">
        <f t="shared" si="228"/>
        <v>0</v>
      </c>
      <c r="CB364" s="62">
        <f t="shared" si="229"/>
        <v>12.366666666668607</v>
      </c>
      <c r="CC364" s="42">
        <f t="shared" si="230"/>
        <v>0</v>
      </c>
      <c r="CD364" s="62">
        <f t="shared" si="231"/>
        <v>12.366666666668607</v>
      </c>
      <c r="CE364" s="62">
        <f t="shared" si="232"/>
        <v>0.42596296296302971</v>
      </c>
      <c r="CF364" s="145">
        <f t="shared" si="233"/>
        <v>171</v>
      </c>
      <c r="CG364" s="145"/>
      <c r="CH364" s="443">
        <f t="shared" si="234"/>
        <v>6.3159629629630292</v>
      </c>
      <c r="CI364" s="996">
        <f t="shared" si="235"/>
        <v>6.3159629629630292</v>
      </c>
      <c r="CJ364" s="261">
        <f t="shared" si="236"/>
        <v>2.85</v>
      </c>
      <c r="CK364" s="458" t="str">
        <f t="shared" si="237"/>
        <v/>
      </c>
      <c r="CL364" t="str">
        <f t="shared" si="238"/>
        <v>REV</v>
      </c>
      <c r="CM364" t="str">
        <f t="shared" si="239"/>
        <v/>
      </c>
      <c r="CN364" s="635"/>
      <c r="CO364" s="631"/>
      <c r="CP364" s="629" t="str">
        <f t="shared" si="216"/>
        <v>FOR ISSUANCE</v>
      </c>
      <c r="CQ364" s="635"/>
      <c r="CR364" s="697"/>
      <c r="CS364" s="633" t="str">
        <f t="shared" ca="1" si="240"/>
        <v>0</v>
      </c>
      <c r="CT364" s="635"/>
      <c r="CU364" s="631"/>
      <c r="CV364" s="638"/>
      <c r="CW364" s="156" t="s">
        <v>2228</v>
      </c>
      <c r="CX364" s="156" t="str">
        <f>VLOOKUP(E364,'[1]List of Work Orders'!$A:$I,9,FALSE)</f>
        <v>ME194579</v>
      </c>
      <c r="CY364" s="156"/>
      <c r="DA364" s="762">
        <f t="shared" si="243"/>
        <v>5.3666666666686069</v>
      </c>
      <c r="DS364" s="156" t="s">
        <v>397</v>
      </c>
    </row>
    <row r="365" spans="1:123" customFormat="1" ht="15" customHeight="1" x14ac:dyDescent="0.25">
      <c r="A365" s="242"/>
      <c r="B365" s="222"/>
      <c r="C365" s="223"/>
      <c r="D365" s="66" t="s">
        <v>284</v>
      </c>
      <c r="E365" s="411" t="s">
        <v>2229</v>
      </c>
      <c r="F365" s="95" t="s">
        <v>2225</v>
      </c>
      <c r="G365" s="95" t="s">
        <v>2230</v>
      </c>
      <c r="H365" s="95" t="s">
        <v>238</v>
      </c>
      <c r="I365" s="95" t="s">
        <v>239</v>
      </c>
      <c r="J365" s="163"/>
      <c r="K365" s="101"/>
      <c r="L365" s="101" t="s">
        <v>1945</v>
      </c>
      <c r="M365" s="345" t="s">
        <v>1549</v>
      </c>
      <c r="N365" s="442" t="s">
        <v>1946</v>
      </c>
      <c r="O365" s="165">
        <v>9.31</v>
      </c>
      <c r="P365" s="933">
        <v>9.11</v>
      </c>
      <c r="Q365" s="157">
        <v>31</v>
      </c>
      <c r="R365" s="109" t="s">
        <v>244</v>
      </c>
      <c r="S365" s="110">
        <v>35550.33</v>
      </c>
      <c r="T365" s="93">
        <v>19424.84</v>
      </c>
      <c r="U365" s="141"/>
      <c r="V365" s="158">
        <f t="shared" si="217"/>
        <v>0</v>
      </c>
      <c r="W365" s="159">
        <v>45685.633333333331</v>
      </c>
      <c r="X365" s="159">
        <v>45691</v>
      </c>
      <c r="Y365" s="160">
        <v>45688</v>
      </c>
      <c r="Z365" s="470"/>
      <c r="AA365" s="470">
        <v>45698</v>
      </c>
      <c r="AB365" s="470">
        <v>45761.314583333333</v>
      </c>
      <c r="AC365" s="161">
        <f t="shared" si="218"/>
        <v>12.366666666668607</v>
      </c>
      <c r="AD365" s="161">
        <f t="shared" si="211"/>
        <v>7</v>
      </c>
      <c r="AE365" s="446">
        <f t="shared" si="241"/>
        <v>63.314583333332848</v>
      </c>
      <c r="AF365" s="160">
        <f t="shared" si="212"/>
        <v>45704.407526881718</v>
      </c>
      <c r="AG365" s="160">
        <f t="shared" ref="AG365:AG428" si="244">W365+AN365</f>
        <v>45713.213978494619</v>
      </c>
      <c r="AH365" s="159">
        <f t="shared" si="213"/>
        <v>45735.633333333331</v>
      </c>
      <c r="AI365" s="162">
        <f t="shared" si="219"/>
        <v>0.42596296296302971</v>
      </c>
      <c r="AJ365" s="224">
        <f t="shared" si="214"/>
        <v>1.0552430555555474</v>
      </c>
      <c r="AK365" s="225">
        <f t="shared" si="220"/>
        <v>20</v>
      </c>
      <c r="AL365" s="170">
        <f t="shared" si="221"/>
        <v>36</v>
      </c>
      <c r="AM365" s="170">
        <f t="shared" si="222"/>
        <v>21.774193548387096</v>
      </c>
      <c r="AN365" s="170">
        <f t="shared" si="223"/>
        <v>27.58064516129032</v>
      </c>
      <c r="AO365" s="226">
        <f t="shared" si="224"/>
        <v>18.774193548387096</v>
      </c>
      <c r="AP365" s="227">
        <v>60</v>
      </c>
      <c r="AQ365" s="228">
        <f t="shared" si="225"/>
        <v>57</v>
      </c>
      <c r="AR365" s="228">
        <f t="shared" ref="AR365:AR428" si="245">AQ365-5</f>
        <v>52</v>
      </c>
      <c r="AS365" s="229">
        <f t="shared" si="226"/>
        <v>45758</v>
      </c>
      <c r="AT365" s="982">
        <f t="shared" ca="1" si="227"/>
        <v>197</v>
      </c>
      <c r="AU365" s="50"/>
      <c r="AV365" s="51"/>
      <c r="AW365" s="49"/>
      <c r="AX365" s="49"/>
      <c r="AY365" s="49"/>
      <c r="AZ365" s="300"/>
      <c r="BA365" s="52"/>
      <c r="BB365" s="304"/>
      <c r="BC365" s="231" t="s">
        <v>14</v>
      </c>
      <c r="BD365" s="907"/>
      <c r="BE365" s="222">
        <f t="shared" si="242"/>
        <v>45713</v>
      </c>
      <c r="BF365" s="233" t="e">
        <f t="shared" si="215"/>
        <v>#VALUE!</v>
      </c>
      <c r="BG365" s="248"/>
      <c r="BH365" s="235"/>
      <c r="BI365" s="234"/>
      <c r="BJ365" s="236"/>
      <c r="BK365" s="222"/>
      <c r="BL365" s="222"/>
      <c r="BM365" s="238"/>
      <c r="BN365" s="222"/>
      <c r="BO365" s="222"/>
      <c r="BP365" s="243"/>
      <c r="BQ365" s="244" t="s">
        <v>247</v>
      </c>
      <c r="BR365" s="238">
        <v>45694</v>
      </c>
      <c r="BS365" s="67"/>
      <c r="BT365" s="66"/>
      <c r="BU365" s="66"/>
      <c r="BV365" s="66"/>
      <c r="BW365" s="74"/>
      <c r="BX365" s="81"/>
      <c r="BY365" s="66">
        <v>45693</v>
      </c>
      <c r="BZ365" s="947" t="s">
        <v>2231</v>
      </c>
      <c r="CA365" s="42" t="str">
        <f t="shared" si="228"/>
        <v>0</v>
      </c>
      <c r="CB365" s="62">
        <f t="shared" si="229"/>
        <v>12.366666666668607</v>
      </c>
      <c r="CC365" s="42">
        <f t="shared" si="230"/>
        <v>0</v>
      </c>
      <c r="CD365" s="62">
        <f t="shared" si="231"/>
        <v>12.366666666668607</v>
      </c>
      <c r="CE365" s="62">
        <f t="shared" si="232"/>
        <v>0.42596296296302971</v>
      </c>
      <c r="CF365" s="145">
        <f t="shared" si="233"/>
        <v>171</v>
      </c>
      <c r="CG365" s="145"/>
      <c r="CH365" s="443">
        <f t="shared" si="234"/>
        <v>6.3159629629630292</v>
      </c>
      <c r="CI365" s="996">
        <f t="shared" si="235"/>
        <v>6.3159629629630292</v>
      </c>
      <c r="CJ365" s="261">
        <f t="shared" si="236"/>
        <v>2.85</v>
      </c>
      <c r="CK365" s="458" t="str">
        <f t="shared" si="237"/>
        <v/>
      </c>
      <c r="CL365" t="str">
        <f t="shared" si="238"/>
        <v>REV</v>
      </c>
      <c r="CM365" t="str">
        <f t="shared" si="239"/>
        <v/>
      </c>
      <c r="CN365" s="635"/>
      <c r="CO365" s="631"/>
      <c r="CP365" s="629" t="str">
        <f t="shared" si="216"/>
        <v>FOR ISSUANCE</v>
      </c>
      <c r="CQ365" s="635"/>
      <c r="CR365" s="697"/>
      <c r="CS365" s="633" t="str">
        <f t="shared" ca="1" si="240"/>
        <v>0</v>
      </c>
      <c r="CT365" s="635"/>
      <c r="CU365" s="631"/>
      <c r="CV365" s="638"/>
      <c r="CW365" s="156" t="s">
        <v>2232</v>
      </c>
      <c r="CX365" s="156" t="str">
        <f>VLOOKUP(E365,'[1]List of Work Orders'!$A:$I,9,FALSE)</f>
        <v>ME194579</v>
      </c>
      <c r="CY365" s="156"/>
      <c r="DA365" s="762">
        <f t="shared" si="243"/>
        <v>5.3666666666686069</v>
      </c>
      <c r="DS365" s="156" t="s">
        <v>403</v>
      </c>
    </row>
    <row r="366" spans="1:123" customFormat="1" ht="15" customHeight="1" x14ac:dyDescent="0.25">
      <c r="A366" s="242">
        <v>45692</v>
      </c>
      <c r="B366" s="222">
        <v>45691</v>
      </c>
      <c r="C366" s="223"/>
      <c r="D366" s="66" t="s">
        <v>234</v>
      </c>
      <c r="E366" s="404" t="s">
        <v>2233</v>
      </c>
      <c r="F366" s="95" t="s">
        <v>926</v>
      </c>
      <c r="G366" s="95" t="s">
        <v>2234</v>
      </c>
      <c r="H366" s="348" t="s">
        <v>318</v>
      </c>
      <c r="I366" s="95" t="s">
        <v>239</v>
      </c>
      <c r="J366" s="163" t="s">
        <v>2235</v>
      </c>
      <c r="K366" s="101"/>
      <c r="L366" s="101" t="s">
        <v>5</v>
      </c>
      <c r="M366" s="345" t="s">
        <v>272</v>
      </c>
      <c r="N366" s="442" t="s">
        <v>403</v>
      </c>
      <c r="O366" s="165">
        <v>273.93739999999991</v>
      </c>
      <c r="P366" s="933">
        <v>321.07</v>
      </c>
      <c r="Q366" s="157">
        <v>31</v>
      </c>
      <c r="R366" s="109" t="s">
        <v>244</v>
      </c>
      <c r="S366" s="110">
        <v>4553436.26</v>
      </c>
      <c r="T366" s="93">
        <v>253515.87999999998</v>
      </c>
      <c r="U366" s="141">
        <v>56118.73</v>
      </c>
      <c r="V366" s="158">
        <f t="shared" si="217"/>
        <v>0.22136179398308306</v>
      </c>
      <c r="W366" s="159">
        <v>45685.636111111111</v>
      </c>
      <c r="X366" s="159">
        <v>45691.536111111112</v>
      </c>
      <c r="Y366" s="160">
        <v>45688</v>
      </c>
      <c r="Z366" s="470">
        <v>45712</v>
      </c>
      <c r="AA366" s="470">
        <v>45712</v>
      </c>
      <c r="AB366" s="470"/>
      <c r="AC366" s="161">
        <f t="shared" si="218"/>
        <v>26.363888888889051</v>
      </c>
      <c r="AD366" s="161">
        <f t="shared" ref="AD366:AD429" si="246">AA366-X366</f>
        <v>20.463888888887595</v>
      </c>
      <c r="AE366" s="446">
        <f t="shared" si="241"/>
        <v>-45712</v>
      </c>
      <c r="AF366" s="160">
        <f t="shared" ref="AF366:AF429" si="247">W366+AO366</f>
        <v>45708.107809224319</v>
      </c>
      <c r="AG366" s="160">
        <f t="shared" si="244"/>
        <v>45717.900262054507</v>
      </c>
      <c r="AH366" s="159">
        <f t="shared" ref="AH366:AH429" si="248">W366+50</f>
        <v>45735.636111111111</v>
      </c>
      <c r="AI366" s="162">
        <f t="shared" si="219"/>
        <v>0.77627006172839985</v>
      </c>
      <c r="AJ366" s="224">
        <f t="shared" ref="AJ366:AJ429" si="249">AE366/AP366</f>
        <v>-761.86666666666667</v>
      </c>
      <c r="AK366" s="225">
        <f t="shared" si="220"/>
        <v>30</v>
      </c>
      <c r="AL366" s="170">
        <f t="shared" si="221"/>
        <v>36</v>
      </c>
      <c r="AM366" s="170">
        <f t="shared" si="222"/>
        <v>25.471698113207545</v>
      </c>
      <c r="AN366" s="170">
        <f t="shared" si="223"/>
        <v>32.264150943396224</v>
      </c>
      <c r="AO366" s="226">
        <f t="shared" si="224"/>
        <v>22.471698113207545</v>
      </c>
      <c r="AP366" s="227">
        <v>60</v>
      </c>
      <c r="AQ366" s="228">
        <f t="shared" si="225"/>
        <v>57</v>
      </c>
      <c r="AR366" s="228">
        <f t="shared" si="245"/>
        <v>52</v>
      </c>
      <c r="AS366" s="229">
        <f t="shared" si="226"/>
        <v>45772</v>
      </c>
      <c r="AT366" s="982">
        <f t="shared" ca="1" si="227"/>
        <v>183</v>
      </c>
      <c r="AU366" s="50"/>
      <c r="AV366" s="51"/>
      <c r="AW366" s="49"/>
      <c r="AX366" s="49"/>
      <c r="AY366" s="49"/>
      <c r="AZ366" s="300"/>
      <c r="BA366" s="52"/>
      <c r="BB366" s="304"/>
      <c r="BC366" s="231" t="s">
        <v>12</v>
      </c>
      <c r="BD366" s="232" t="s">
        <v>601</v>
      </c>
      <c r="BE366" s="222">
        <f t="shared" si="242"/>
        <v>45727</v>
      </c>
      <c r="BF366" s="233">
        <f t="shared" si="215"/>
        <v>0</v>
      </c>
      <c r="BG366" s="248">
        <v>45712</v>
      </c>
      <c r="BH366" s="235">
        <v>45727</v>
      </c>
      <c r="BI366" s="234"/>
      <c r="BJ366" s="236"/>
      <c r="BK366" s="222"/>
      <c r="BL366" s="222"/>
      <c r="BM366" s="238"/>
      <c r="BN366" s="222"/>
      <c r="BO366" s="222"/>
      <c r="BP366" s="243"/>
      <c r="BQ366" s="244" t="s">
        <v>247</v>
      </c>
      <c r="BR366" s="238">
        <v>45709</v>
      </c>
      <c r="BS366" s="67"/>
      <c r="BT366" s="66"/>
      <c r="BU366" s="66"/>
      <c r="BV366" s="66"/>
      <c r="BW366" s="74"/>
      <c r="BX366" s="81"/>
      <c r="BY366" s="66">
        <v>45693</v>
      </c>
      <c r="BZ366" s="947" t="s">
        <v>2236</v>
      </c>
      <c r="CA366" s="42" t="str">
        <f t="shared" si="228"/>
        <v>0</v>
      </c>
      <c r="CB366" s="62">
        <f t="shared" si="229"/>
        <v>26.363888888889051</v>
      </c>
      <c r="CC366" s="42">
        <f t="shared" si="230"/>
        <v>0</v>
      </c>
      <c r="CD366" s="62">
        <f t="shared" si="231"/>
        <v>26.363888888889051</v>
      </c>
      <c r="CE366" s="62">
        <f t="shared" si="232"/>
        <v>0.77627006172839985</v>
      </c>
      <c r="CF366" s="145">
        <f t="shared" si="233"/>
        <v>157</v>
      </c>
      <c r="CG366" s="145"/>
      <c r="CH366" s="443">
        <f t="shared" si="234"/>
        <v>5.3990478395061769</v>
      </c>
      <c r="CI366" s="996">
        <f t="shared" si="235"/>
        <v>5.3990478395061769</v>
      </c>
      <c r="CJ366" s="261">
        <f t="shared" si="236"/>
        <v>2.6166666666666667</v>
      </c>
      <c r="CK366" s="458" t="str">
        <f t="shared" si="237"/>
        <v/>
      </c>
      <c r="CL366" t="str">
        <f t="shared" si="238"/>
        <v>REV</v>
      </c>
      <c r="CM366" t="str">
        <f t="shared" si="239"/>
        <v/>
      </c>
      <c r="CN366" s="635"/>
      <c r="CO366" s="631"/>
      <c r="CP366" s="629" t="str">
        <f t="shared" si="216"/>
        <v>FOR ISSUANCE</v>
      </c>
      <c r="CQ366" s="635"/>
      <c r="CR366" s="697"/>
      <c r="CS366" s="633" t="str">
        <f t="shared" ca="1" si="240"/>
        <v>0</v>
      </c>
      <c r="CT366" s="635"/>
      <c r="CU366" s="631"/>
      <c r="CV366" s="638"/>
      <c r="CW366" s="156" t="s">
        <v>2237</v>
      </c>
      <c r="CX366" s="156" t="str">
        <f>VLOOKUP(E366,'[1]List of Work Orders'!$A:$I,9,FALSE)</f>
        <v>ME166067</v>
      </c>
      <c r="CY366" s="156"/>
      <c r="DA366" s="762">
        <f t="shared" si="243"/>
        <v>5.9000000000014552</v>
      </c>
      <c r="DS366" s="156" t="s">
        <v>2238</v>
      </c>
    </row>
    <row r="367" spans="1:123" customFormat="1" ht="15" customHeight="1" x14ac:dyDescent="0.25">
      <c r="A367" s="242">
        <v>45729</v>
      </c>
      <c r="B367" s="222"/>
      <c r="C367" s="223" t="s">
        <v>247</v>
      </c>
      <c r="D367" s="66" t="s">
        <v>284</v>
      </c>
      <c r="E367" s="404" t="s">
        <v>2239</v>
      </c>
      <c r="F367" s="95" t="s">
        <v>2240</v>
      </c>
      <c r="G367" s="95" t="s">
        <v>2241</v>
      </c>
      <c r="H367" s="95" t="s">
        <v>238</v>
      </c>
      <c r="I367" s="95" t="s">
        <v>239</v>
      </c>
      <c r="J367" s="163"/>
      <c r="K367" s="101"/>
      <c r="L367" s="101" t="s">
        <v>5</v>
      </c>
      <c r="M367" s="345" t="s">
        <v>256</v>
      </c>
      <c r="N367" s="442" t="s">
        <v>403</v>
      </c>
      <c r="O367" s="165">
        <v>10.8028</v>
      </c>
      <c r="P367" s="933">
        <v>19.97</v>
      </c>
      <c r="Q367" s="157">
        <v>31</v>
      </c>
      <c r="R367" s="109" t="s">
        <v>244</v>
      </c>
      <c r="S367" s="110">
        <v>202246.77</v>
      </c>
      <c r="T367" s="93">
        <v>17159.97</v>
      </c>
      <c r="U367" s="141"/>
      <c r="V367" s="158">
        <f t="shared" si="217"/>
        <v>0</v>
      </c>
      <c r="W367" s="159">
        <v>45685.643055555556</v>
      </c>
      <c r="X367" s="159">
        <v>45691.568055555559</v>
      </c>
      <c r="Y367" s="160">
        <v>45688</v>
      </c>
      <c r="Z367" s="470">
        <v>45720.181250000001</v>
      </c>
      <c r="AA367" s="470">
        <v>45720</v>
      </c>
      <c r="AB367" s="470">
        <v>45848</v>
      </c>
      <c r="AC367" s="161">
        <f t="shared" si="218"/>
        <v>34.356944444443798</v>
      </c>
      <c r="AD367" s="161">
        <f t="shared" si="246"/>
        <v>28.431944444440887</v>
      </c>
      <c r="AE367" s="446">
        <f t="shared" si="241"/>
        <v>128</v>
      </c>
      <c r="AF367" s="160">
        <f t="shared" si="247"/>
        <v>45704.417249103943</v>
      </c>
      <c r="AG367" s="160">
        <f t="shared" si="244"/>
        <v>45713.223700716844</v>
      </c>
      <c r="AH367" s="159">
        <f t="shared" si="248"/>
        <v>45735.643055555556</v>
      </c>
      <c r="AI367" s="162">
        <f t="shared" si="219"/>
        <v>1.1834058641975085</v>
      </c>
      <c r="AJ367" s="224">
        <f t="shared" si="249"/>
        <v>2.1333333333333333</v>
      </c>
      <c r="AK367" s="225">
        <f t="shared" si="220"/>
        <v>20</v>
      </c>
      <c r="AL367" s="170">
        <f t="shared" si="221"/>
        <v>36</v>
      </c>
      <c r="AM367" s="170">
        <f t="shared" si="222"/>
        <v>21.774193548387096</v>
      </c>
      <c r="AN367" s="170">
        <f t="shared" si="223"/>
        <v>27.58064516129032</v>
      </c>
      <c r="AO367" s="226">
        <f t="shared" si="224"/>
        <v>18.774193548387096</v>
      </c>
      <c r="AP367" s="227">
        <v>60</v>
      </c>
      <c r="AQ367" s="228">
        <f t="shared" si="225"/>
        <v>57</v>
      </c>
      <c r="AR367" s="228">
        <f t="shared" si="245"/>
        <v>52</v>
      </c>
      <c r="AS367" s="229">
        <f t="shared" si="226"/>
        <v>45780</v>
      </c>
      <c r="AT367" s="982">
        <f t="shared" ca="1" si="227"/>
        <v>175</v>
      </c>
      <c r="AU367" s="50"/>
      <c r="AV367" s="51"/>
      <c r="AW367" s="49"/>
      <c r="AX367" s="49"/>
      <c r="AY367" s="49"/>
      <c r="AZ367" s="300"/>
      <c r="BA367" s="52"/>
      <c r="BB367" s="304"/>
      <c r="BC367" s="231" t="s">
        <v>14</v>
      </c>
      <c r="BD367" s="247" t="s">
        <v>2242</v>
      </c>
      <c r="BE367" s="222">
        <f t="shared" si="242"/>
        <v>45735</v>
      </c>
      <c r="BF367" s="233">
        <f t="shared" si="215"/>
        <v>-6</v>
      </c>
      <c r="BG367" s="248">
        <v>45712</v>
      </c>
      <c r="BH367" s="235">
        <v>45729</v>
      </c>
      <c r="BI367" s="234">
        <v>45741</v>
      </c>
      <c r="BJ367" s="236" t="s">
        <v>1119</v>
      </c>
      <c r="BK367" s="222" t="s">
        <v>246</v>
      </c>
      <c r="BL367" s="222"/>
      <c r="BM367" s="238"/>
      <c r="BN367" s="222"/>
      <c r="BO367" s="222">
        <v>45828</v>
      </c>
      <c r="BP367" s="243" t="s">
        <v>1084</v>
      </c>
      <c r="BQ367" s="244" t="s">
        <v>247</v>
      </c>
      <c r="BR367" s="238">
        <v>45719</v>
      </c>
      <c r="BS367" s="67"/>
      <c r="BT367" s="66"/>
      <c r="BU367" s="66"/>
      <c r="BV367" s="66"/>
      <c r="BW367" s="74"/>
      <c r="BX367" s="81"/>
      <c r="BY367" s="66">
        <v>45729</v>
      </c>
      <c r="BZ367" s="947" t="s">
        <v>2243</v>
      </c>
      <c r="CA367" s="42" t="str">
        <f t="shared" si="228"/>
        <v>0</v>
      </c>
      <c r="CB367" s="62">
        <f t="shared" si="229"/>
        <v>34.356944444443798</v>
      </c>
      <c r="CC367" s="42">
        <f t="shared" si="230"/>
        <v>0</v>
      </c>
      <c r="CD367" s="62">
        <f t="shared" si="231"/>
        <v>34.356944444443798</v>
      </c>
      <c r="CE367" s="62">
        <f t="shared" si="232"/>
        <v>1.1834058641975085</v>
      </c>
      <c r="CF367" s="145">
        <f t="shared" si="233"/>
        <v>149</v>
      </c>
      <c r="CG367" s="145"/>
      <c r="CH367" s="443">
        <f t="shared" si="234"/>
        <v>6.3156280864197303</v>
      </c>
      <c r="CI367" s="996">
        <f t="shared" si="235"/>
        <v>6.3156280864197303</v>
      </c>
      <c r="CJ367" s="261">
        <f t="shared" si="236"/>
        <v>2.4833333333333334</v>
      </c>
      <c r="CK367" s="458" t="str">
        <f t="shared" si="237"/>
        <v/>
      </c>
      <c r="CL367" t="str">
        <f t="shared" si="238"/>
        <v>REV</v>
      </c>
      <c r="CM367" t="str">
        <f t="shared" si="239"/>
        <v/>
      </c>
      <c r="CN367" s="635"/>
      <c r="CO367" s="631"/>
      <c r="CP367" s="629" t="str">
        <f t="shared" si="216"/>
        <v>FOR ISSUANCE</v>
      </c>
      <c r="CQ367" s="635"/>
      <c r="CR367" s="697"/>
      <c r="CS367" s="633" t="str">
        <f t="shared" ca="1" si="240"/>
        <v>0</v>
      </c>
      <c r="CT367" s="635"/>
      <c r="CU367" s="631"/>
      <c r="CV367" s="638"/>
      <c r="CW367" s="156" t="s">
        <v>2244</v>
      </c>
      <c r="CX367" s="156" t="str">
        <f>VLOOKUP(E367,'[1]List of Work Orders'!$A:$I,9,FALSE)</f>
        <v>ME166067</v>
      </c>
      <c r="CY367" s="156"/>
      <c r="DA367" s="762">
        <f t="shared" si="243"/>
        <v>5.9250000000029104</v>
      </c>
      <c r="DS367" s="156" t="s">
        <v>2238</v>
      </c>
    </row>
    <row r="368" spans="1:123" customFormat="1" ht="15" customHeight="1" x14ac:dyDescent="0.25">
      <c r="A368" s="242">
        <v>45692</v>
      </c>
      <c r="B368" s="222">
        <v>45691</v>
      </c>
      <c r="C368" s="223"/>
      <c r="D368" s="66" t="s">
        <v>320</v>
      </c>
      <c r="E368" s="404" t="s">
        <v>2245</v>
      </c>
      <c r="F368" s="95" t="s">
        <v>2246</v>
      </c>
      <c r="G368" s="95" t="s">
        <v>2247</v>
      </c>
      <c r="H368" s="95" t="s">
        <v>269</v>
      </c>
      <c r="I368" s="95" t="s">
        <v>239</v>
      </c>
      <c r="J368" s="163"/>
      <c r="K368" s="101"/>
      <c r="L368" s="101" t="s">
        <v>242</v>
      </c>
      <c r="M368" s="345" t="s">
        <v>272</v>
      </c>
      <c r="N368" s="442" t="s">
        <v>467</v>
      </c>
      <c r="O368" s="165">
        <v>4.32</v>
      </c>
      <c r="P368" s="933">
        <v>4.32</v>
      </c>
      <c r="Q368" s="157">
        <v>1.5</v>
      </c>
      <c r="R368" s="109" t="s">
        <v>244</v>
      </c>
      <c r="S368" s="110">
        <v>25562.85</v>
      </c>
      <c r="T368" s="93">
        <v>3478.78</v>
      </c>
      <c r="U368" s="141"/>
      <c r="V368" s="158">
        <f t="shared" si="217"/>
        <v>0</v>
      </c>
      <c r="W368" s="159">
        <v>45685.712500000001</v>
      </c>
      <c r="X368" s="159">
        <v>45691</v>
      </c>
      <c r="Y368" s="160">
        <v>45688</v>
      </c>
      <c r="Z368" s="470"/>
      <c r="AA368" s="470">
        <v>45712</v>
      </c>
      <c r="AB368" s="470"/>
      <c r="AC368" s="161">
        <f t="shared" si="218"/>
        <v>26.287499999998545</v>
      </c>
      <c r="AD368" s="161">
        <f t="shared" si="246"/>
        <v>21</v>
      </c>
      <c r="AE368" s="446">
        <f t="shared" si="241"/>
        <v>-45712</v>
      </c>
      <c r="AF368" s="160">
        <f t="shared" si="247"/>
        <v>45704.486693548388</v>
      </c>
      <c r="AG368" s="160">
        <f t="shared" si="244"/>
        <v>45713.293145161289</v>
      </c>
      <c r="AH368" s="159">
        <f t="shared" si="248"/>
        <v>45735.712500000001</v>
      </c>
      <c r="AI368" s="162">
        <f t="shared" si="219"/>
        <v>0.90545833333328307</v>
      </c>
      <c r="AJ368" s="224">
        <f t="shared" si="249"/>
        <v>-761.86666666666667</v>
      </c>
      <c r="AK368" s="225">
        <f t="shared" si="220"/>
        <v>20</v>
      </c>
      <c r="AL368" s="170">
        <f t="shared" si="221"/>
        <v>36</v>
      </c>
      <c r="AM368" s="170">
        <f t="shared" si="222"/>
        <v>21.774193548387096</v>
      </c>
      <c r="AN368" s="170">
        <f t="shared" si="223"/>
        <v>27.58064516129032</v>
      </c>
      <c r="AO368" s="226">
        <f t="shared" si="224"/>
        <v>18.774193548387096</v>
      </c>
      <c r="AP368" s="227">
        <v>60</v>
      </c>
      <c r="AQ368" s="228">
        <f t="shared" si="225"/>
        <v>57</v>
      </c>
      <c r="AR368" s="228">
        <f t="shared" si="245"/>
        <v>52</v>
      </c>
      <c r="AS368" s="229">
        <f t="shared" si="226"/>
        <v>45772</v>
      </c>
      <c r="AT368" s="982">
        <f t="shared" ca="1" si="227"/>
        <v>183</v>
      </c>
      <c r="AU368" s="50"/>
      <c r="AV368" s="51"/>
      <c r="AW368" s="49"/>
      <c r="AX368" s="49"/>
      <c r="AY368" s="49"/>
      <c r="AZ368" s="300"/>
      <c r="BA368" s="52"/>
      <c r="BB368" s="304"/>
      <c r="BC368" s="231" t="s">
        <v>12</v>
      </c>
      <c r="BD368" s="232"/>
      <c r="BE368" s="222">
        <f t="shared" si="242"/>
        <v>45727</v>
      </c>
      <c r="BF368" s="233">
        <f t="shared" si="215"/>
        <v>-20</v>
      </c>
      <c r="BG368" s="248">
        <v>45772</v>
      </c>
      <c r="BH368" s="235">
        <v>45707</v>
      </c>
      <c r="BI368" s="234"/>
      <c r="BJ368" s="236"/>
      <c r="BK368" s="222"/>
      <c r="BL368" s="222"/>
      <c r="BM368" s="238"/>
      <c r="BN368" s="222"/>
      <c r="BO368" s="222"/>
      <c r="BP368" s="243"/>
      <c r="BQ368" s="244" t="s">
        <v>247</v>
      </c>
      <c r="BR368" s="238">
        <v>45713</v>
      </c>
      <c r="BS368" s="67"/>
      <c r="BT368" s="66"/>
      <c r="BU368" s="66"/>
      <c r="BV368" s="66"/>
      <c r="BW368" s="74"/>
      <c r="BX368" s="81"/>
      <c r="BY368" s="66" t="s">
        <v>308</v>
      </c>
      <c r="BZ368" s="944"/>
      <c r="CA368" s="42" t="str">
        <f t="shared" si="228"/>
        <v>0</v>
      </c>
      <c r="CB368" s="62">
        <f t="shared" si="229"/>
        <v>26.287499999998545</v>
      </c>
      <c r="CC368" s="42">
        <f t="shared" si="230"/>
        <v>0</v>
      </c>
      <c r="CD368" s="62">
        <f t="shared" si="231"/>
        <v>26.287499999998545</v>
      </c>
      <c r="CE368" s="62">
        <f t="shared" si="232"/>
        <v>0.90545833333328307</v>
      </c>
      <c r="CF368" s="145">
        <f t="shared" si="233"/>
        <v>157</v>
      </c>
      <c r="CG368" s="145"/>
      <c r="CH368" s="443">
        <f t="shared" si="234"/>
        <v>6.3132361111110606</v>
      </c>
      <c r="CI368" s="996">
        <f t="shared" si="235"/>
        <v>6.3132361111110606</v>
      </c>
      <c r="CJ368" s="261">
        <f t="shared" si="236"/>
        <v>2.6166666666666667</v>
      </c>
      <c r="CK368" s="458" t="str">
        <f t="shared" si="237"/>
        <v/>
      </c>
      <c r="CL368" t="str">
        <f t="shared" si="238"/>
        <v>REV</v>
      </c>
      <c r="CM368" t="str">
        <f t="shared" si="239"/>
        <v/>
      </c>
      <c r="CN368" s="635"/>
      <c r="CO368" s="631"/>
      <c r="CP368" s="629" t="str">
        <f t="shared" si="216"/>
        <v>FOR ISSUANCE</v>
      </c>
      <c r="CQ368" s="635"/>
      <c r="CR368" s="697"/>
      <c r="CS368" s="633" t="str">
        <f t="shared" ca="1" si="240"/>
        <v>0</v>
      </c>
      <c r="CT368" s="635"/>
      <c r="CU368" s="631"/>
      <c r="CV368" s="638"/>
      <c r="CW368" s="156" t="s">
        <v>2248</v>
      </c>
      <c r="CX368" s="156" t="str">
        <f>VLOOKUP(E368,'[1]List of Work Orders'!$A:$I,9,FALSE)</f>
        <v>ME155242</v>
      </c>
      <c r="CY368" s="156"/>
      <c r="CZ368" s="63"/>
      <c r="DA368" s="762">
        <f t="shared" si="243"/>
        <v>5.2874999999985448</v>
      </c>
      <c r="DS368" s="156" t="s">
        <v>381</v>
      </c>
    </row>
    <row r="369" spans="1:123" customFormat="1" ht="15" customHeight="1" x14ac:dyDescent="0.25">
      <c r="A369" s="242">
        <v>45751</v>
      </c>
      <c r="B369" s="222">
        <v>45693</v>
      </c>
      <c r="C369" s="223"/>
      <c r="D369" s="66" t="s">
        <v>320</v>
      </c>
      <c r="E369" s="404" t="s">
        <v>2249</v>
      </c>
      <c r="F369" s="95" t="s">
        <v>2250</v>
      </c>
      <c r="G369" s="95" t="s">
        <v>2251</v>
      </c>
      <c r="H369" s="344" t="s">
        <v>378</v>
      </c>
      <c r="I369" s="95" t="s">
        <v>239</v>
      </c>
      <c r="J369" s="163"/>
      <c r="K369" s="101"/>
      <c r="L369" s="101" t="s">
        <v>288</v>
      </c>
      <c r="M369" s="345" t="s">
        <v>272</v>
      </c>
      <c r="N369" s="442" t="s">
        <v>381</v>
      </c>
      <c r="O369" s="165">
        <v>54.011680000000013</v>
      </c>
      <c r="P369" s="933">
        <v>31.58</v>
      </c>
      <c r="Q369" s="157">
        <v>7.5</v>
      </c>
      <c r="R369" s="109" t="s">
        <v>244</v>
      </c>
      <c r="S369" s="110">
        <v>32522.29</v>
      </c>
      <c r="T369" s="93">
        <v>202490.13</v>
      </c>
      <c r="U369" s="141"/>
      <c r="V369" s="158">
        <f t="shared" si="217"/>
        <v>0</v>
      </c>
      <c r="W369" s="159">
        <v>45687.899305555555</v>
      </c>
      <c r="X369" s="159">
        <v>45694.336111111108</v>
      </c>
      <c r="Y369" s="160">
        <v>45692</v>
      </c>
      <c r="Z369" s="470">
        <v>45819</v>
      </c>
      <c r="AA369" s="470">
        <v>45819</v>
      </c>
      <c r="AB369" s="470"/>
      <c r="AC369" s="161">
        <f t="shared" si="218"/>
        <v>131.10069444444525</v>
      </c>
      <c r="AD369" s="161">
        <f t="shared" si="246"/>
        <v>124.66388888889196</v>
      </c>
      <c r="AE369" s="446">
        <f t="shared" si="241"/>
        <v>-45819</v>
      </c>
      <c r="AF369" s="160">
        <f t="shared" si="247"/>
        <v>45706.673499103941</v>
      </c>
      <c r="AG369" s="160">
        <f t="shared" si="244"/>
        <v>45715.479950716843</v>
      </c>
      <c r="AH369" s="159">
        <f t="shared" si="248"/>
        <v>45737.899305555555</v>
      </c>
      <c r="AI369" s="162">
        <f t="shared" si="219"/>
        <v>4.5156905864197805</v>
      </c>
      <c r="AJ369" s="224">
        <f t="shared" si="249"/>
        <v>-763.65</v>
      </c>
      <c r="AK369" s="225">
        <f t="shared" si="220"/>
        <v>20</v>
      </c>
      <c r="AL369" s="170">
        <f t="shared" si="221"/>
        <v>36</v>
      </c>
      <c r="AM369" s="170">
        <f t="shared" si="222"/>
        <v>21.774193548387096</v>
      </c>
      <c r="AN369" s="170">
        <f t="shared" si="223"/>
        <v>27.58064516129032</v>
      </c>
      <c r="AO369" s="226">
        <f t="shared" si="224"/>
        <v>18.774193548387096</v>
      </c>
      <c r="AP369" s="227">
        <v>60</v>
      </c>
      <c r="AQ369" s="228">
        <f t="shared" si="225"/>
        <v>57</v>
      </c>
      <c r="AR369" s="228">
        <f t="shared" si="245"/>
        <v>52</v>
      </c>
      <c r="AS369" s="229">
        <f t="shared" si="226"/>
        <v>45879</v>
      </c>
      <c r="AT369" s="982">
        <f t="shared" ca="1" si="227"/>
        <v>76</v>
      </c>
      <c r="AU369" s="50" t="s">
        <v>58</v>
      </c>
      <c r="AV369" s="51" t="s">
        <v>247</v>
      </c>
      <c r="AW369" s="49" t="s">
        <v>247</v>
      </c>
      <c r="AX369" s="49"/>
      <c r="AY369" s="49"/>
      <c r="AZ369" s="300">
        <v>45806</v>
      </c>
      <c r="BA369" s="119">
        <f>BB369-AZ369</f>
        <v>13</v>
      </c>
      <c r="BB369" s="304">
        <v>45819</v>
      </c>
      <c r="BC369" s="231" t="s">
        <v>12</v>
      </c>
      <c r="BD369" s="232"/>
      <c r="BE369" s="222">
        <f t="shared" si="242"/>
        <v>45834</v>
      </c>
      <c r="BF369" s="233">
        <f t="shared" si="215"/>
        <v>22</v>
      </c>
      <c r="BG369" s="248">
        <v>45819</v>
      </c>
      <c r="BH369" s="235">
        <v>45856</v>
      </c>
      <c r="BI369" s="234"/>
      <c r="BJ369" s="236"/>
      <c r="BK369" s="222"/>
      <c r="BL369" s="222"/>
      <c r="BM369" s="238"/>
      <c r="BN369" s="222"/>
      <c r="BO369" s="222"/>
      <c r="BP369" s="243"/>
      <c r="BQ369" s="244" t="s">
        <v>247</v>
      </c>
      <c r="BR369" s="238">
        <v>45806</v>
      </c>
      <c r="BS369" s="67"/>
      <c r="BT369" s="66"/>
      <c r="BU369" s="66"/>
      <c r="BV369" s="66"/>
      <c r="BW369" s="74"/>
      <c r="BX369" s="81"/>
      <c r="BY369" s="242">
        <v>45754</v>
      </c>
      <c r="BZ369" s="944" t="s">
        <v>2252</v>
      </c>
      <c r="CA369" s="42" t="str">
        <f t="shared" si="228"/>
        <v>0</v>
      </c>
      <c r="CB369" s="62">
        <f t="shared" si="229"/>
        <v>131.10069444444525</v>
      </c>
      <c r="CC369" s="42">
        <f t="shared" si="230"/>
        <v>13</v>
      </c>
      <c r="CD369" s="62">
        <f t="shared" si="231"/>
        <v>118.10069444444525</v>
      </c>
      <c r="CE369" s="62">
        <f t="shared" si="232"/>
        <v>4.0679128086420029</v>
      </c>
      <c r="CF369" s="145">
        <f t="shared" si="233"/>
        <v>50</v>
      </c>
      <c r="CG369" s="145">
        <f xml:space="preserve"> (0.3)*(($CF$1-W369-CF369)/AK369)+(0.7)*(($CF$1-W369-CF369)/AL369)</f>
        <v>4.5156905864197805</v>
      </c>
      <c r="CH369" s="443">
        <f t="shared" si="234"/>
        <v>6.2379128086420028</v>
      </c>
      <c r="CI369" s="996">
        <f t="shared" si="235"/>
        <v>1.7222222222222223</v>
      </c>
      <c r="CJ369" s="261">
        <f t="shared" si="236"/>
        <v>0.83333333333333337</v>
      </c>
      <c r="CK369" s="458" t="str">
        <f t="shared" si="237"/>
        <v/>
      </c>
      <c r="CL369" t="str">
        <f t="shared" si="238"/>
        <v>REV</v>
      </c>
      <c r="CM369" t="str">
        <f t="shared" si="239"/>
        <v/>
      </c>
      <c r="CN369" s="635"/>
      <c r="CO369" s="631"/>
      <c r="CP369" s="629" t="str">
        <f t="shared" si="216"/>
        <v>FOR ISSUANCE</v>
      </c>
      <c r="CQ369" s="635"/>
      <c r="CR369" s="697"/>
      <c r="CS369" s="633" t="str">
        <f t="shared" ca="1" si="240"/>
        <v>0</v>
      </c>
      <c r="CT369" s="635"/>
      <c r="CU369" s="631"/>
      <c r="CV369" s="638"/>
      <c r="CW369" s="156" t="s">
        <v>2253</v>
      </c>
      <c r="CX369" s="156" t="str">
        <f>VLOOKUP(E369,'[1]List of Work Orders'!$A:$I,9,FALSE)</f>
        <v>ME185284</v>
      </c>
      <c r="CY369" s="156"/>
      <c r="DA369" s="762">
        <f t="shared" si="243"/>
        <v>6.4368055555532919</v>
      </c>
      <c r="DS369" s="156" t="s">
        <v>381</v>
      </c>
    </row>
    <row r="370" spans="1:123" customFormat="1" ht="15" customHeight="1" x14ac:dyDescent="0.25">
      <c r="A370" s="242">
        <v>45713</v>
      </c>
      <c r="B370" s="222">
        <v>45693</v>
      </c>
      <c r="C370" s="223" t="s">
        <v>247</v>
      </c>
      <c r="D370" s="66" t="s">
        <v>284</v>
      </c>
      <c r="E370" s="404" t="s">
        <v>2254</v>
      </c>
      <c r="F370" s="108" t="s">
        <v>2255</v>
      </c>
      <c r="G370" s="155" t="s">
        <v>2256</v>
      </c>
      <c r="H370" s="344" t="s">
        <v>378</v>
      </c>
      <c r="I370" s="95" t="s">
        <v>239</v>
      </c>
      <c r="J370" s="163"/>
      <c r="K370" s="101"/>
      <c r="L370" s="101" t="s">
        <v>288</v>
      </c>
      <c r="M370" s="345" t="s">
        <v>272</v>
      </c>
      <c r="N370" s="442" t="s">
        <v>381</v>
      </c>
      <c r="O370" s="165">
        <v>214.8948</v>
      </c>
      <c r="P370" s="933">
        <v>257.27999999999997</v>
      </c>
      <c r="Q370" s="157">
        <v>42</v>
      </c>
      <c r="R370" s="109" t="s">
        <v>548</v>
      </c>
      <c r="S370" s="110">
        <v>589728.55000000005</v>
      </c>
      <c r="T370" s="93">
        <v>173057.12</v>
      </c>
      <c r="U370" s="141">
        <v>96239.21</v>
      </c>
      <c r="V370" s="158">
        <f t="shared" si="217"/>
        <v>0.55611239803366663</v>
      </c>
      <c r="W370" s="159">
        <v>45688</v>
      </c>
      <c r="X370" s="159">
        <v>45693.342361111114</v>
      </c>
      <c r="Y370" s="160">
        <v>45692</v>
      </c>
      <c r="Z370" s="470"/>
      <c r="AA370" s="470">
        <v>45715</v>
      </c>
      <c r="AB370" s="470"/>
      <c r="AC370" s="161">
        <f t="shared" si="218"/>
        <v>27</v>
      </c>
      <c r="AD370" s="161">
        <f t="shared" si="246"/>
        <v>21.65763888888614</v>
      </c>
      <c r="AE370" s="446">
        <f t="shared" si="241"/>
        <v>-45715</v>
      </c>
      <c r="AF370" s="160">
        <f t="shared" si="247"/>
        <v>45709.868421052633</v>
      </c>
      <c r="AG370" s="160">
        <f t="shared" si="244"/>
        <v>45719.5</v>
      </c>
      <c r="AH370" s="159">
        <f t="shared" si="248"/>
        <v>45738</v>
      </c>
      <c r="AI370" s="162">
        <f t="shared" si="219"/>
        <v>0.81428571428571417</v>
      </c>
      <c r="AJ370" s="224">
        <f t="shared" si="249"/>
        <v>-761.91666666666663</v>
      </c>
      <c r="AK370" s="225">
        <f t="shared" si="220"/>
        <v>28</v>
      </c>
      <c r="AL370" s="170">
        <f t="shared" si="221"/>
        <v>36</v>
      </c>
      <c r="AM370" s="170">
        <f t="shared" si="222"/>
        <v>24.868421052631579</v>
      </c>
      <c r="AN370" s="170">
        <f t="shared" si="223"/>
        <v>31.499999999999996</v>
      </c>
      <c r="AO370" s="226">
        <f t="shared" si="224"/>
        <v>21.868421052631579</v>
      </c>
      <c r="AP370" s="227">
        <v>60</v>
      </c>
      <c r="AQ370" s="228">
        <f t="shared" si="225"/>
        <v>57</v>
      </c>
      <c r="AR370" s="228">
        <f t="shared" si="245"/>
        <v>52</v>
      </c>
      <c r="AS370" s="229">
        <f t="shared" si="226"/>
        <v>45775</v>
      </c>
      <c r="AT370" s="982">
        <f t="shared" ca="1" si="227"/>
        <v>180</v>
      </c>
      <c r="AU370" s="50"/>
      <c r="AV370" s="51"/>
      <c r="AW370" s="49"/>
      <c r="AX370" s="49"/>
      <c r="AY370" s="49"/>
      <c r="AZ370" s="300"/>
      <c r="BA370" s="52"/>
      <c r="BB370" s="304"/>
      <c r="BC370" s="231" t="s">
        <v>264</v>
      </c>
      <c r="BD370" s="232" t="s">
        <v>601</v>
      </c>
      <c r="BE370" s="222">
        <f t="shared" si="242"/>
        <v>45730</v>
      </c>
      <c r="BF370" s="233">
        <f t="shared" si="215"/>
        <v>38</v>
      </c>
      <c r="BG370" s="248">
        <v>45715</v>
      </c>
      <c r="BH370" s="235">
        <v>45768</v>
      </c>
      <c r="BI370" s="234">
        <v>45839</v>
      </c>
      <c r="BJ370" s="236" t="s">
        <v>245</v>
      </c>
      <c r="BK370" s="222" t="s">
        <v>247</v>
      </c>
      <c r="BL370" s="222"/>
      <c r="BM370" s="238"/>
      <c r="BN370" s="222"/>
      <c r="BO370" s="222">
        <v>45850</v>
      </c>
      <c r="BP370" s="243" t="s">
        <v>1084</v>
      </c>
      <c r="BQ370" s="244" t="s">
        <v>247</v>
      </c>
      <c r="BR370" s="238">
        <v>45713</v>
      </c>
      <c r="BS370" s="67"/>
      <c r="BT370" s="66"/>
      <c r="BU370" s="66"/>
      <c r="BV370" s="66"/>
      <c r="BW370" s="74"/>
      <c r="BX370" s="81"/>
      <c r="BY370" s="66">
        <v>45715</v>
      </c>
      <c r="BZ370" s="947" t="s">
        <v>2257</v>
      </c>
      <c r="CA370" s="42" t="str">
        <f t="shared" si="228"/>
        <v>0</v>
      </c>
      <c r="CB370" s="62">
        <f t="shared" si="229"/>
        <v>27</v>
      </c>
      <c r="CC370" s="42">
        <f t="shared" si="230"/>
        <v>0</v>
      </c>
      <c r="CD370" s="62">
        <f t="shared" si="231"/>
        <v>27</v>
      </c>
      <c r="CE370" s="62">
        <f t="shared" si="232"/>
        <v>0.81428571428571417</v>
      </c>
      <c r="CF370" s="145">
        <f t="shared" si="233"/>
        <v>154</v>
      </c>
      <c r="CG370" s="145"/>
      <c r="CH370" s="443">
        <f t="shared" si="234"/>
        <v>5.458730158730158</v>
      </c>
      <c r="CI370" s="996">
        <f t="shared" si="235"/>
        <v>5.458730158730158</v>
      </c>
      <c r="CJ370" s="261">
        <f t="shared" si="236"/>
        <v>2.5666666666666669</v>
      </c>
      <c r="CK370" s="458" t="str">
        <f t="shared" si="237"/>
        <v/>
      </c>
      <c r="CL370" t="str">
        <f t="shared" si="238"/>
        <v>NON-REV</v>
      </c>
      <c r="CM370" t="str">
        <f t="shared" si="239"/>
        <v/>
      </c>
      <c r="CN370" s="635"/>
      <c r="CO370" s="631"/>
      <c r="CP370" s="629" t="str">
        <f t="shared" si="216"/>
        <v>FOR ISSUANCE</v>
      </c>
      <c r="CQ370" s="635"/>
      <c r="CR370" s="697"/>
      <c r="CS370" s="633" t="str">
        <f t="shared" ca="1" si="240"/>
        <v>0</v>
      </c>
      <c r="CT370" s="635"/>
      <c r="CU370" s="631"/>
      <c r="CV370" s="638"/>
      <c r="CW370" s="156" t="s">
        <v>2258</v>
      </c>
      <c r="CX370" s="156" t="str">
        <f>VLOOKUP(E370,'[1]List of Work Orders'!$A:$I,9,FALSE)</f>
        <v>ME185284</v>
      </c>
      <c r="CY370" s="156"/>
      <c r="DA370" s="762">
        <f t="shared" si="243"/>
        <v>5.3423611111138598</v>
      </c>
      <c r="DS370" s="156" t="s">
        <v>397</v>
      </c>
    </row>
    <row r="371" spans="1:123" customFormat="1" ht="15" customHeight="1" x14ac:dyDescent="0.25">
      <c r="A371" s="242"/>
      <c r="B371" s="222"/>
      <c r="C371" s="223"/>
      <c r="D371" s="66" t="s">
        <v>284</v>
      </c>
      <c r="E371" s="404" t="s">
        <v>2259</v>
      </c>
      <c r="F371" s="95" t="s">
        <v>2260</v>
      </c>
      <c r="G371" s="95" t="s">
        <v>888</v>
      </c>
      <c r="H371" s="344" t="s">
        <v>378</v>
      </c>
      <c r="I371" s="95" t="s">
        <v>239</v>
      </c>
      <c r="J371" s="163"/>
      <c r="K371" s="101"/>
      <c r="L371" s="101" t="s">
        <v>1945</v>
      </c>
      <c r="M371" s="345" t="s">
        <v>256</v>
      </c>
      <c r="N371" s="442" t="s">
        <v>1946</v>
      </c>
      <c r="O371" s="165">
        <v>27.26</v>
      </c>
      <c r="P371" s="933">
        <v>27.26</v>
      </c>
      <c r="Q371" s="157">
        <v>57</v>
      </c>
      <c r="R371" s="109" t="s">
        <v>244</v>
      </c>
      <c r="S371" s="110">
        <v>242559.2</v>
      </c>
      <c r="T371" s="93">
        <v>33951.279999999999</v>
      </c>
      <c r="U371" s="141"/>
      <c r="V371" s="158">
        <f t="shared" si="217"/>
        <v>0</v>
      </c>
      <c r="W371" s="159">
        <v>45688</v>
      </c>
      <c r="X371" s="159">
        <v>45693.511805555558</v>
      </c>
      <c r="Y371" s="160" t="s">
        <v>308</v>
      </c>
      <c r="Z371" s="470"/>
      <c r="AA371" s="470">
        <v>45699</v>
      </c>
      <c r="AB371" s="470">
        <v>45839.517361111109</v>
      </c>
      <c r="AC371" s="161">
        <f t="shared" si="218"/>
        <v>11</v>
      </c>
      <c r="AD371" s="161">
        <f t="shared" si="246"/>
        <v>5.4881944444423425</v>
      </c>
      <c r="AE371" s="446">
        <f t="shared" si="241"/>
        <v>140.51736111110949</v>
      </c>
      <c r="AF371" s="160">
        <f t="shared" si="247"/>
        <v>45706.074380165286</v>
      </c>
      <c r="AG371" s="160">
        <f t="shared" si="244"/>
        <v>45714.694214876035</v>
      </c>
      <c r="AH371" s="159">
        <f t="shared" si="248"/>
        <v>45738</v>
      </c>
      <c r="AI371" s="162">
        <f t="shared" si="219"/>
        <v>0.39147058823529413</v>
      </c>
      <c r="AJ371" s="224">
        <f t="shared" si="249"/>
        <v>2.3419560185184918</v>
      </c>
      <c r="AK371" s="225">
        <f t="shared" si="220"/>
        <v>20</v>
      </c>
      <c r="AL371" s="170">
        <f t="shared" si="221"/>
        <v>34</v>
      </c>
      <c r="AM371" s="170">
        <f t="shared" si="222"/>
        <v>21.074380165289259</v>
      </c>
      <c r="AN371" s="170">
        <f t="shared" si="223"/>
        <v>26.694214876033058</v>
      </c>
      <c r="AO371" s="226">
        <f t="shared" si="224"/>
        <v>18.074380165289259</v>
      </c>
      <c r="AP371" s="227">
        <v>60</v>
      </c>
      <c r="AQ371" s="228">
        <f t="shared" si="225"/>
        <v>57</v>
      </c>
      <c r="AR371" s="228">
        <f t="shared" si="245"/>
        <v>52</v>
      </c>
      <c r="AS371" s="229">
        <f t="shared" si="226"/>
        <v>45759</v>
      </c>
      <c r="AT371" s="982">
        <f t="shared" ca="1" si="227"/>
        <v>196</v>
      </c>
      <c r="AU371" s="50"/>
      <c r="AV371" s="51"/>
      <c r="AW371" s="49"/>
      <c r="AX371" s="49"/>
      <c r="AY371" s="49"/>
      <c r="AZ371" s="300"/>
      <c r="BA371" s="52"/>
      <c r="BB371" s="304"/>
      <c r="BC371" s="231" t="s">
        <v>14</v>
      </c>
      <c r="BD371" s="232"/>
      <c r="BE371" s="222">
        <f t="shared" si="242"/>
        <v>45714</v>
      </c>
      <c r="BF371" s="233" t="e">
        <f t="shared" si="215"/>
        <v>#VALUE!</v>
      </c>
      <c r="BG371" s="248"/>
      <c r="BH371" s="235"/>
      <c r="BI371" s="234"/>
      <c r="BJ371" s="236"/>
      <c r="BK371" s="222"/>
      <c r="BL371" s="222"/>
      <c r="BM371" s="238"/>
      <c r="BN371" s="222"/>
      <c r="BO371" s="222"/>
      <c r="BP371" s="243"/>
      <c r="BQ371" s="244" t="s">
        <v>247</v>
      </c>
      <c r="BR371" s="238">
        <v>45693</v>
      </c>
      <c r="BS371" s="67"/>
      <c r="BT371" s="66"/>
      <c r="BU371" s="66"/>
      <c r="BV371" s="66"/>
      <c r="BW371" s="74"/>
      <c r="BX371" s="81"/>
      <c r="BY371" s="66"/>
      <c r="BZ371" s="944"/>
      <c r="CA371" s="42" t="str">
        <f t="shared" si="228"/>
        <v>0</v>
      </c>
      <c r="CB371" s="62">
        <f t="shared" si="229"/>
        <v>11</v>
      </c>
      <c r="CC371" s="42">
        <f t="shared" si="230"/>
        <v>0</v>
      </c>
      <c r="CD371" s="62">
        <f t="shared" si="231"/>
        <v>11</v>
      </c>
      <c r="CE371" s="62">
        <f t="shared" si="232"/>
        <v>0.39147058823529413</v>
      </c>
      <c r="CF371" s="145">
        <f t="shared" si="233"/>
        <v>170</v>
      </c>
      <c r="CG371" s="145"/>
      <c r="CH371" s="443">
        <f t="shared" si="234"/>
        <v>6.4414705882352941</v>
      </c>
      <c r="CI371" s="996">
        <f t="shared" si="235"/>
        <v>6.4414705882352941</v>
      </c>
      <c r="CJ371" s="261">
        <f t="shared" si="236"/>
        <v>2.8333333333333335</v>
      </c>
      <c r="CK371" s="458" t="str">
        <f t="shared" si="237"/>
        <v/>
      </c>
      <c r="CL371" t="str">
        <f t="shared" si="238"/>
        <v>REV</v>
      </c>
      <c r="CM371" t="str">
        <f t="shared" si="239"/>
        <v/>
      </c>
      <c r="CN371" s="635"/>
      <c r="CO371" s="631"/>
      <c r="CP371" s="629" t="str">
        <f t="shared" si="216"/>
        <v>FOR ISSUANCE</v>
      </c>
      <c r="CQ371" s="635"/>
      <c r="CR371" s="697"/>
      <c r="CS371" s="633" t="str">
        <f t="shared" ca="1" si="240"/>
        <v>0</v>
      </c>
      <c r="CT371" s="635"/>
      <c r="CU371" s="631"/>
      <c r="CV371" s="638"/>
      <c r="CW371" s="156" t="s">
        <v>2261</v>
      </c>
      <c r="CX371" s="156" t="str">
        <f>VLOOKUP(E371,'[1]List of Work Orders'!$A:$I,9,FALSE)</f>
        <v>ME194579</v>
      </c>
      <c r="CY371" s="156"/>
      <c r="DA371" s="762">
        <f t="shared" si="243"/>
        <v>5.5118055555576575</v>
      </c>
      <c r="DS371" s="156" t="s">
        <v>2238</v>
      </c>
    </row>
    <row r="372" spans="1:123" customFormat="1" ht="15" customHeight="1" x14ac:dyDescent="0.25">
      <c r="A372" s="242"/>
      <c r="B372" s="222"/>
      <c r="C372" s="223"/>
      <c r="D372" s="66" t="s">
        <v>320</v>
      </c>
      <c r="E372" s="404" t="s">
        <v>2262</v>
      </c>
      <c r="F372" s="95" t="s">
        <v>2263</v>
      </c>
      <c r="G372" s="95" t="s">
        <v>2264</v>
      </c>
      <c r="H372" s="344" t="s">
        <v>1513</v>
      </c>
      <c r="I372" s="95" t="s">
        <v>239</v>
      </c>
      <c r="J372" s="163"/>
      <c r="K372" s="101"/>
      <c r="L372" s="101" t="s">
        <v>1945</v>
      </c>
      <c r="M372" s="345" t="s">
        <v>1549</v>
      </c>
      <c r="N372" s="442" t="s">
        <v>1946</v>
      </c>
      <c r="O372" s="165">
        <v>5.78</v>
      </c>
      <c r="P372" s="933">
        <v>6.41</v>
      </c>
      <c r="Q372" s="157">
        <v>15</v>
      </c>
      <c r="R372" s="109" t="s">
        <v>244</v>
      </c>
      <c r="S372" s="110">
        <v>23600.21</v>
      </c>
      <c r="T372" s="93">
        <v>15220.48</v>
      </c>
      <c r="U372" s="141"/>
      <c r="V372" s="158">
        <f t="shared" si="217"/>
        <v>0</v>
      </c>
      <c r="W372" s="159">
        <v>45688</v>
      </c>
      <c r="X372" s="159">
        <v>45694.324305555558</v>
      </c>
      <c r="Y372" s="160" t="s">
        <v>308</v>
      </c>
      <c r="Z372" s="470"/>
      <c r="AA372" s="470">
        <v>45698</v>
      </c>
      <c r="AB372" s="470">
        <v>45761</v>
      </c>
      <c r="AC372" s="161">
        <f t="shared" si="218"/>
        <v>10</v>
      </c>
      <c r="AD372" s="161">
        <f t="shared" si="246"/>
        <v>3.6756944444423425</v>
      </c>
      <c r="AE372" s="446">
        <f t="shared" si="241"/>
        <v>63</v>
      </c>
      <c r="AF372" s="160">
        <f t="shared" si="247"/>
        <v>45706.774193548386</v>
      </c>
      <c r="AG372" s="160">
        <f t="shared" si="244"/>
        <v>45715.580645161288</v>
      </c>
      <c r="AH372" s="159">
        <f t="shared" si="248"/>
        <v>45738</v>
      </c>
      <c r="AI372" s="162">
        <f t="shared" si="219"/>
        <v>0.34444444444444444</v>
      </c>
      <c r="AJ372" s="224">
        <f t="shared" si="249"/>
        <v>1.05</v>
      </c>
      <c r="AK372" s="225">
        <f t="shared" si="220"/>
        <v>20</v>
      </c>
      <c r="AL372" s="170">
        <f t="shared" si="221"/>
        <v>36</v>
      </c>
      <c r="AM372" s="170">
        <f t="shared" si="222"/>
        <v>21.774193548387096</v>
      </c>
      <c r="AN372" s="170">
        <f t="shared" si="223"/>
        <v>27.58064516129032</v>
      </c>
      <c r="AO372" s="226">
        <f t="shared" si="224"/>
        <v>18.774193548387096</v>
      </c>
      <c r="AP372" s="227">
        <v>60</v>
      </c>
      <c r="AQ372" s="228">
        <f t="shared" si="225"/>
        <v>57</v>
      </c>
      <c r="AR372" s="228">
        <f t="shared" si="245"/>
        <v>52</v>
      </c>
      <c r="AS372" s="229">
        <f t="shared" si="226"/>
        <v>45758</v>
      </c>
      <c r="AT372" s="982">
        <f t="shared" ca="1" si="227"/>
        <v>197</v>
      </c>
      <c r="AU372" s="50"/>
      <c r="AV372" s="51"/>
      <c r="AW372" s="49"/>
      <c r="AX372" s="49"/>
      <c r="AY372" s="49"/>
      <c r="AZ372" s="300"/>
      <c r="BA372" s="52"/>
      <c r="BB372" s="304"/>
      <c r="BC372" s="231" t="s">
        <v>12</v>
      </c>
      <c r="BD372" s="232"/>
      <c r="BE372" s="222">
        <f t="shared" si="242"/>
        <v>45713</v>
      </c>
      <c r="BF372" s="233" t="e">
        <f t="shared" ref="BF372:BF435" si="250">IF(ISBLANK(AA372),0,IF(ISBLANK(BH372),(BE372-$L$1),(BH372-BE372)))</f>
        <v>#VALUE!</v>
      </c>
      <c r="BG372" s="248"/>
      <c r="BH372" s="235"/>
      <c r="BI372" s="234"/>
      <c r="BJ372" s="236"/>
      <c r="BK372" s="222"/>
      <c r="BL372" s="222"/>
      <c r="BM372" s="238"/>
      <c r="BN372" s="222"/>
      <c r="BO372" s="222"/>
      <c r="BP372" s="243"/>
      <c r="BQ372" s="244"/>
      <c r="BR372" s="238"/>
      <c r="BS372" s="67"/>
      <c r="BT372" s="66"/>
      <c r="BU372" s="66"/>
      <c r="BV372" s="66"/>
      <c r="BW372" s="74"/>
      <c r="BX372" s="81"/>
      <c r="BY372" s="66"/>
      <c r="BZ372" s="944"/>
      <c r="CA372" s="42" t="str">
        <f t="shared" si="228"/>
        <v>0</v>
      </c>
      <c r="CB372" s="62">
        <f t="shared" si="229"/>
        <v>10</v>
      </c>
      <c r="CC372" s="42">
        <f t="shared" si="230"/>
        <v>0</v>
      </c>
      <c r="CD372" s="62">
        <f t="shared" si="231"/>
        <v>10</v>
      </c>
      <c r="CE372" s="62">
        <f t="shared" si="232"/>
        <v>0.34444444444444444</v>
      </c>
      <c r="CF372" s="145">
        <f t="shared" si="233"/>
        <v>171</v>
      </c>
      <c r="CG372" s="145"/>
      <c r="CH372" s="443">
        <f t="shared" si="234"/>
        <v>6.2344444444444438</v>
      </c>
      <c r="CI372" s="996">
        <f t="shared" si="235"/>
        <v>6.2344444444444438</v>
      </c>
      <c r="CJ372" s="261">
        <f t="shared" si="236"/>
        <v>2.85</v>
      </c>
      <c r="CK372" s="458" t="str">
        <f t="shared" si="237"/>
        <v/>
      </c>
      <c r="CL372" t="str">
        <f t="shared" si="238"/>
        <v>REV</v>
      </c>
      <c r="CM372" t="str">
        <f t="shared" si="239"/>
        <v/>
      </c>
      <c r="CN372" s="635"/>
      <c r="CO372" s="631"/>
      <c r="CP372" s="629" t="str">
        <f t="shared" si="216"/>
        <v>FOR ISSUANCE</v>
      </c>
      <c r="CQ372" s="635"/>
      <c r="CR372" s="697"/>
      <c r="CS372" s="633" t="str">
        <f t="shared" ca="1" si="240"/>
        <v>0</v>
      </c>
      <c r="CT372" s="635"/>
      <c r="CU372" s="631"/>
      <c r="CV372" s="638"/>
      <c r="CW372" s="156" t="s">
        <v>2265</v>
      </c>
      <c r="CX372" s="156" t="str">
        <f>VLOOKUP(E372,'[1]List of Work Orders'!$A:$I,9,FALSE)</f>
        <v>ME194579</v>
      </c>
      <c r="CY372" s="156"/>
      <c r="DA372" s="762">
        <f t="shared" si="243"/>
        <v>6.3243055555576575</v>
      </c>
      <c r="DS372" s="156" t="s">
        <v>2238</v>
      </c>
    </row>
    <row r="373" spans="1:123" customFormat="1" ht="15" customHeight="1" x14ac:dyDescent="0.25">
      <c r="A373" s="242">
        <v>45699</v>
      </c>
      <c r="B373" s="222">
        <v>45693</v>
      </c>
      <c r="C373" s="223"/>
      <c r="D373" s="66" t="s">
        <v>320</v>
      </c>
      <c r="E373" s="404" t="s">
        <v>2266</v>
      </c>
      <c r="F373" s="95" t="s">
        <v>2267</v>
      </c>
      <c r="G373" s="95" t="s">
        <v>2268</v>
      </c>
      <c r="H373" s="348" t="s">
        <v>318</v>
      </c>
      <c r="I373" s="95" t="s">
        <v>239</v>
      </c>
      <c r="J373" s="163"/>
      <c r="K373" s="101"/>
      <c r="L373" s="101" t="s">
        <v>263</v>
      </c>
      <c r="M373" s="345" t="s">
        <v>331</v>
      </c>
      <c r="N373" s="442" t="s">
        <v>467</v>
      </c>
      <c r="O373" s="165">
        <v>71.243799999999993</v>
      </c>
      <c r="P373" s="165">
        <v>173.94</v>
      </c>
      <c r="Q373" s="157">
        <v>89</v>
      </c>
      <c r="R373" s="109" t="s">
        <v>244</v>
      </c>
      <c r="S373" s="110">
        <v>477133.36</v>
      </c>
      <c r="T373" s="93">
        <v>81814.33</v>
      </c>
      <c r="U373" s="141"/>
      <c r="V373" s="158">
        <f t="shared" si="217"/>
        <v>0</v>
      </c>
      <c r="W373" s="159">
        <v>45691</v>
      </c>
      <c r="X373" s="159">
        <v>45695.634027777778</v>
      </c>
      <c r="Y373" s="160">
        <v>45692</v>
      </c>
      <c r="Z373" s="470"/>
      <c r="AA373" s="470"/>
      <c r="AB373" s="470"/>
      <c r="AC373" s="161">
        <f t="shared" si="218"/>
        <v>-45691</v>
      </c>
      <c r="AD373" s="161">
        <f t="shared" si="246"/>
        <v>-45695.634027777778</v>
      </c>
      <c r="AE373" s="446">
        <f t="shared" si="241"/>
        <v>0</v>
      </c>
      <c r="AF373" s="160">
        <f t="shared" si="247"/>
        <v>45711.345070422532</v>
      </c>
      <c r="AG373" s="160">
        <f t="shared" si="244"/>
        <v>45720.570422535209</v>
      </c>
      <c r="AH373" s="159">
        <f t="shared" si="248"/>
        <v>45741</v>
      </c>
      <c r="AI373" s="162">
        <f t="shared" si="219"/>
        <v>-1467.9009049773754</v>
      </c>
      <c r="AJ373" s="224">
        <f t="shared" si="249"/>
        <v>0</v>
      </c>
      <c r="AK373" s="225">
        <f t="shared" si="220"/>
        <v>26</v>
      </c>
      <c r="AL373" s="170">
        <f t="shared" si="221"/>
        <v>34</v>
      </c>
      <c r="AM373" s="170">
        <f t="shared" si="222"/>
        <v>23.345070422535212</v>
      </c>
      <c r="AN373" s="170">
        <f t="shared" si="223"/>
        <v>29.570422535211268</v>
      </c>
      <c r="AO373" s="226">
        <f t="shared" si="224"/>
        <v>20.345070422535212</v>
      </c>
      <c r="AP373" s="227">
        <v>60</v>
      </c>
      <c r="AQ373" s="228">
        <f t="shared" si="225"/>
        <v>57</v>
      </c>
      <c r="AR373" s="228">
        <f t="shared" si="245"/>
        <v>52</v>
      </c>
      <c r="AS373" s="229">
        <f t="shared" si="226"/>
        <v>60</v>
      </c>
      <c r="AT373" s="982">
        <f t="shared" ca="1" si="227"/>
        <v>45895</v>
      </c>
      <c r="AU373" s="50"/>
      <c r="AV373" s="51"/>
      <c r="AW373" s="49"/>
      <c r="AX373" s="49"/>
      <c r="AY373" s="49"/>
      <c r="AZ373" s="300"/>
      <c r="BA373" s="52"/>
      <c r="BB373" s="304"/>
      <c r="BC373" s="231"/>
      <c r="BD373" s="907"/>
      <c r="BE373" s="222">
        <f t="shared" si="242"/>
        <v>15</v>
      </c>
      <c r="BF373" s="233">
        <f t="shared" si="250"/>
        <v>0</v>
      </c>
      <c r="BG373" s="248"/>
      <c r="BH373" s="235"/>
      <c r="BI373" s="234"/>
      <c r="BJ373" s="236"/>
      <c r="BK373" s="222"/>
      <c r="BL373" s="222"/>
      <c r="BM373" s="238"/>
      <c r="BN373" s="222"/>
      <c r="BO373" s="222"/>
      <c r="BP373" s="243"/>
      <c r="BQ373" s="244"/>
      <c r="BR373" s="238"/>
      <c r="BS373" s="67"/>
      <c r="BT373" s="66"/>
      <c r="BU373" s="66"/>
      <c r="BV373" s="66"/>
      <c r="BW373" s="74"/>
      <c r="BX373" s="81"/>
      <c r="BY373" s="66">
        <v>45699</v>
      </c>
      <c r="BZ373" s="944" t="s">
        <v>2269</v>
      </c>
      <c r="CA373" s="42" t="str">
        <f t="shared" si="228"/>
        <v>0</v>
      </c>
      <c r="CB373" s="62">
        <f t="shared" si="229"/>
        <v>-45691</v>
      </c>
      <c r="CC373" s="42">
        <f t="shared" si="230"/>
        <v>0</v>
      </c>
      <c r="CD373" s="62">
        <f t="shared" si="231"/>
        <v>-45691</v>
      </c>
      <c r="CE373" s="62">
        <f t="shared" si="232"/>
        <v>-1467.9009049773754</v>
      </c>
      <c r="CF373" s="145" t="str">
        <f t="shared" si="233"/>
        <v>0</v>
      </c>
      <c r="CG373" s="145"/>
      <c r="CH373" s="443">
        <f t="shared" si="234"/>
        <v>5.7185520361990942</v>
      </c>
      <c r="CI373" s="996">
        <f t="shared" si="235"/>
        <v>5.7185520361990942</v>
      </c>
      <c r="CJ373" s="261">
        <f t="shared" si="236"/>
        <v>0</v>
      </c>
      <c r="CK373" s="458">
        <f t="shared" si="237"/>
        <v>165</v>
      </c>
      <c r="CL373" t="str">
        <f t="shared" si="238"/>
        <v>REV</v>
      </c>
      <c r="CM373" t="str">
        <f t="shared" si="239"/>
        <v>4-6 MONTHS</v>
      </c>
      <c r="CN373" s="635"/>
      <c r="CO373" s="631"/>
      <c r="CP373" s="629" t="str">
        <f t="shared" si="216"/>
        <v>FOR ISSUANCE</v>
      </c>
      <c r="CQ373" s="635"/>
      <c r="CR373" s="697"/>
      <c r="CS373" s="633" t="str">
        <f t="shared" ca="1" si="240"/>
        <v>0</v>
      </c>
      <c r="CT373" s="635"/>
      <c r="CU373" s="631"/>
      <c r="CV373" s="638"/>
      <c r="CW373" s="156" t="s">
        <v>2270</v>
      </c>
      <c r="CX373" s="156" t="str">
        <f>VLOOKUP(E373,'[1]List of Work Orders'!$A:$I,9,FALSE)</f>
        <v>ME155242</v>
      </c>
      <c r="CY373" s="156"/>
      <c r="DA373" s="762">
        <f t="shared" si="243"/>
        <v>4.6340277777781012</v>
      </c>
      <c r="DS373" s="156" t="s">
        <v>403</v>
      </c>
    </row>
    <row r="374" spans="1:123" customFormat="1" ht="15" customHeight="1" x14ac:dyDescent="0.25">
      <c r="A374" s="242">
        <v>45699</v>
      </c>
      <c r="B374" s="222"/>
      <c r="C374" s="223"/>
      <c r="D374" s="66" t="s">
        <v>284</v>
      </c>
      <c r="E374" s="404" t="s">
        <v>2271</v>
      </c>
      <c r="F374" s="95" t="s">
        <v>2272</v>
      </c>
      <c r="G374" s="95" t="s">
        <v>2241</v>
      </c>
      <c r="H374" s="95" t="s">
        <v>238</v>
      </c>
      <c r="I374" s="95" t="s">
        <v>239</v>
      </c>
      <c r="J374" s="163"/>
      <c r="K374" s="101"/>
      <c r="L374" s="101" t="s">
        <v>5</v>
      </c>
      <c r="M374" s="345" t="s">
        <v>272</v>
      </c>
      <c r="N374" s="442" t="s">
        <v>403</v>
      </c>
      <c r="O374" s="165">
        <v>7.16</v>
      </c>
      <c r="P374" s="933">
        <v>7.4</v>
      </c>
      <c r="Q374" s="157" t="s">
        <v>2021</v>
      </c>
      <c r="R374" s="109" t="s">
        <v>319</v>
      </c>
      <c r="S374" s="110">
        <v>17205.11</v>
      </c>
      <c r="T374" s="93">
        <v>6358.25</v>
      </c>
      <c r="U374" s="141"/>
      <c r="V374" s="158">
        <f t="shared" si="217"/>
        <v>0</v>
      </c>
      <c r="W374" s="159">
        <v>45691</v>
      </c>
      <c r="X374" s="159">
        <v>45694.327777777777</v>
      </c>
      <c r="Y374" s="160"/>
      <c r="Z374" s="470"/>
      <c r="AA374" s="470">
        <v>45721</v>
      </c>
      <c r="AB374" s="470"/>
      <c r="AC374" s="161">
        <f t="shared" si="218"/>
        <v>30</v>
      </c>
      <c r="AD374" s="161">
        <f t="shared" si="246"/>
        <v>26.672222222223354</v>
      </c>
      <c r="AE374" s="446">
        <f t="shared" si="241"/>
        <v>-45721</v>
      </c>
      <c r="AF374" s="160">
        <f t="shared" si="247"/>
        <v>45703</v>
      </c>
      <c r="AG374" s="160">
        <f t="shared" si="244"/>
        <v>45710</v>
      </c>
      <c r="AH374" s="159">
        <f t="shared" si="248"/>
        <v>45741</v>
      </c>
      <c r="AI374" s="162">
        <f t="shared" si="219"/>
        <v>1.4999999999999998</v>
      </c>
      <c r="AJ374" s="224">
        <f t="shared" si="249"/>
        <v>-762.01666666666665</v>
      </c>
      <c r="AK374" s="225">
        <f t="shared" si="220"/>
        <v>20</v>
      </c>
      <c r="AL374" s="170">
        <f t="shared" si="221"/>
        <v>20</v>
      </c>
      <c r="AM374" s="170">
        <f t="shared" si="222"/>
        <v>15.000000000000002</v>
      </c>
      <c r="AN374" s="170">
        <f t="shared" si="223"/>
        <v>19</v>
      </c>
      <c r="AO374" s="226">
        <f t="shared" si="224"/>
        <v>12.000000000000002</v>
      </c>
      <c r="AP374" s="227">
        <v>60</v>
      </c>
      <c r="AQ374" s="228">
        <f t="shared" si="225"/>
        <v>57</v>
      </c>
      <c r="AR374" s="228">
        <f t="shared" si="245"/>
        <v>52</v>
      </c>
      <c r="AS374" s="229">
        <f t="shared" si="226"/>
        <v>45781</v>
      </c>
      <c r="AT374" s="982">
        <f t="shared" ca="1" si="227"/>
        <v>174</v>
      </c>
      <c r="AU374" s="50"/>
      <c r="AV374" s="51"/>
      <c r="AW374" s="49"/>
      <c r="AX374" s="49"/>
      <c r="AY374" s="49"/>
      <c r="AZ374" s="300"/>
      <c r="BA374" s="52"/>
      <c r="BB374" s="304"/>
      <c r="BC374" s="231" t="s">
        <v>12</v>
      </c>
      <c r="BD374" s="247" t="s">
        <v>2273</v>
      </c>
      <c r="BE374" s="222">
        <f t="shared" si="242"/>
        <v>45736</v>
      </c>
      <c r="BF374" s="233">
        <f t="shared" si="250"/>
        <v>22</v>
      </c>
      <c r="BG374" s="248">
        <v>45721</v>
      </c>
      <c r="BH374" s="235">
        <v>45758</v>
      </c>
      <c r="BI374" s="234"/>
      <c r="BJ374" s="236"/>
      <c r="BK374" s="222"/>
      <c r="BL374" s="222"/>
      <c r="BM374" s="238"/>
      <c r="BN374" s="222"/>
      <c r="BO374" s="222"/>
      <c r="BP374" s="243"/>
      <c r="BQ374" s="244"/>
      <c r="BR374" s="238"/>
      <c r="BS374" s="67"/>
      <c r="BT374" s="66"/>
      <c r="BU374" s="66"/>
      <c r="BV374" s="66"/>
      <c r="BW374" s="74"/>
      <c r="BX374" s="81"/>
      <c r="BY374" s="66" t="s">
        <v>308</v>
      </c>
      <c r="BZ374" s="944"/>
      <c r="CA374" s="42" t="str">
        <f t="shared" si="228"/>
        <v>0</v>
      </c>
      <c r="CB374" s="62">
        <f t="shared" si="229"/>
        <v>30</v>
      </c>
      <c r="CC374" s="42">
        <f t="shared" si="230"/>
        <v>0</v>
      </c>
      <c r="CD374" s="62">
        <f t="shared" si="231"/>
        <v>30</v>
      </c>
      <c r="CE374" s="62">
        <f t="shared" si="232"/>
        <v>1.4999999999999998</v>
      </c>
      <c r="CF374" s="145">
        <f t="shared" si="233"/>
        <v>148</v>
      </c>
      <c r="CG374" s="145"/>
      <c r="CH374" s="443">
        <f t="shared" si="234"/>
        <v>8.8999999999999986</v>
      </c>
      <c r="CI374" s="996">
        <f t="shared" si="235"/>
        <v>8.8999999999999986</v>
      </c>
      <c r="CJ374" s="261">
        <f t="shared" si="236"/>
        <v>2.4666666666666668</v>
      </c>
      <c r="CK374" s="458" t="str">
        <f t="shared" si="237"/>
        <v/>
      </c>
      <c r="CL374" t="str">
        <f t="shared" si="238"/>
        <v>NON-REV</v>
      </c>
      <c r="CM374" t="str">
        <f t="shared" si="239"/>
        <v/>
      </c>
      <c r="CN374" s="635"/>
      <c r="CO374" s="631"/>
      <c r="CP374" s="629" t="str">
        <f t="shared" si="216"/>
        <v>FOR ISSUANCE</v>
      </c>
      <c r="CQ374" s="635"/>
      <c r="CR374" s="697"/>
      <c r="CS374" s="633" t="str">
        <f t="shared" ca="1" si="240"/>
        <v>0</v>
      </c>
      <c r="CT374" s="635"/>
      <c r="CU374" s="631"/>
      <c r="CV374" s="638"/>
      <c r="CW374" s="156" t="s">
        <v>2274</v>
      </c>
      <c r="CX374" s="156" t="str">
        <f>VLOOKUP(E374,'[1]List of Work Orders'!$A:$I,9,FALSE)</f>
        <v>ME166067</v>
      </c>
      <c r="CY374" s="156"/>
      <c r="DA374" s="762">
        <f t="shared" si="243"/>
        <v>3.327777777776646</v>
      </c>
      <c r="DS374" s="156" t="s">
        <v>397</v>
      </c>
    </row>
    <row r="375" spans="1:123" ht="15" customHeight="1" x14ac:dyDescent="0.2">
      <c r="A375" s="242">
        <v>45705</v>
      </c>
      <c r="B375" s="222">
        <v>45699</v>
      </c>
      <c r="C375" s="223"/>
      <c r="D375" s="66" t="s">
        <v>234</v>
      </c>
      <c r="E375" s="404" t="s">
        <v>2275</v>
      </c>
      <c r="F375" s="155" t="s">
        <v>926</v>
      </c>
      <c r="G375" s="95" t="s">
        <v>2276</v>
      </c>
      <c r="H375" s="95" t="s">
        <v>238</v>
      </c>
      <c r="I375" s="95" t="s">
        <v>239</v>
      </c>
      <c r="J375" s="163" t="s">
        <v>2277</v>
      </c>
      <c r="K375" s="101"/>
      <c r="L375" s="101" t="s">
        <v>255</v>
      </c>
      <c r="M375" s="345" t="s">
        <v>272</v>
      </c>
      <c r="N375" s="442" t="s">
        <v>381</v>
      </c>
      <c r="O375" s="165">
        <v>37.616099999999996</v>
      </c>
      <c r="P375" s="933">
        <v>46.96</v>
      </c>
      <c r="Q375" s="157">
        <v>22</v>
      </c>
      <c r="R375" s="109" t="s">
        <v>244</v>
      </c>
      <c r="S375" s="110">
        <v>808167.06</v>
      </c>
      <c r="T375" s="93">
        <v>40352.42</v>
      </c>
      <c r="U375" s="141"/>
      <c r="V375" s="158">
        <f t="shared" si="217"/>
        <v>0</v>
      </c>
      <c r="W375" s="159">
        <v>45692</v>
      </c>
      <c r="X375" s="159">
        <v>45700.410416666666</v>
      </c>
      <c r="Y375" s="160">
        <v>45698</v>
      </c>
      <c r="Z375" s="470"/>
      <c r="AA375" s="470">
        <v>45805.611805555556</v>
      </c>
      <c r="AB375" s="470"/>
      <c r="AC375" s="161">
        <f t="shared" si="218"/>
        <v>113.6118055555562</v>
      </c>
      <c r="AD375" s="161">
        <f t="shared" si="246"/>
        <v>105.20138888889051</v>
      </c>
      <c r="AE375" s="446">
        <f t="shared" si="241"/>
        <v>-45805.611805555556</v>
      </c>
      <c r="AF375" s="160">
        <f t="shared" si="247"/>
        <v>45710.774193548386</v>
      </c>
      <c r="AG375" s="160">
        <f t="shared" si="244"/>
        <v>45719.580645161288</v>
      </c>
      <c r="AH375" s="159">
        <f t="shared" si="248"/>
        <v>45742</v>
      </c>
      <c r="AI375" s="162">
        <f t="shared" si="219"/>
        <v>3.9132955246913799</v>
      </c>
      <c r="AJ375" s="224">
        <f t="shared" si="249"/>
        <v>-763.42686342592594</v>
      </c>
      <c r="AK375" s="225">
        <f t="shared" si="220"/>
        <v>20</v>
      </c>
      <c r="AL375" s="170">
        <f t="shared" si="221"/>
        <v>36</v>
      </c>
      <c r="AM375" s="170">
        <f t="shared" si="222"/>
        <v>21.774193548387096</v>
      </c>
      <c r="AN375" s="170">
        <f t="shared" si="223"/>
        <v>27.58064516129032</v>
      </c>
      <c r="AO375" s="226">
        <f t="shared" si="224"/>
        <v>18.774193548387096</v>
      </c>
      <c r="AP375" s="227">
        <v>60</v>
      </c>
      <c r="AQ375" s="228">
        <f t="shared" si="225"/>
        <v>57</v>
      </c>
      <c r="AR375" s="228">
        <f t="shared" si="245"/>
        <v>52</v>
      </c>
      <c r="AS375" s="229">
        <f t="shared" si="226"/>
        <v>45865.611805555556</v>
      </c>
      <c r="AT375" s="982">
        <f t="shared" ca="1" si="227"/>
        <v>89.388194444443798</v>
      </c>
      <c r="AU375" s="1077"/>
      <c r="AV375" s="1092"/>
      <c r="AW375" s="1079"/>
      <c r="AX375" s="1079"/>
      <c r="AY375" s="1079"/>
      <c r="AZ375" s="1080"/>
      <c r="BA375" s="1101"/>
      <c r="BB375" s="1091"/>
      <c r="BC375" s="231" t="s">
        <v>13</v>
      </c>
      <c r="BD375" s="232"/>
      <c r="BE375" s="222">
        <f t="shared" si="242"/>
        <v>45820.611805555556</v>
      </c>
      <c r="BF375" s="233" t="e">
        <f t="shared" si="250"/>
        <v>#VALUE!</v>
      </c>
      <c r="BG375" s="248"/>
      <c r="BH375" s="235"/>
      <c r="BI375" s="234"/>
      <c r="BJ375" s="236"/>
      <c r="BK375" s="222"/>
      <c r="BL375" s="222"/>
      <c r="BM375" s="238"/>
      <c r="BN375" s="222"/>
      <c r="BO375" s="222"/>
      <c r="BP375" s="243"/>
      <c r="BQ375" s="244" t="s">
        <v>247</v>
      </c>
      <c r="BR375" s="238">
        <v>45804</v>
      </c>
      <c r="BS375" s="67"/>
      <c r="BT375" s="66"/>
      <c r="BU375" s="66"/>
      <c r="BV375" s="66"/>
      <c r="BW375" s="74"/>
      <c r="BX375" s="81"/>
      <c r="BY375" s="66">
        <v>45705</v>
      </c>
      <c r="BZ375" s="944" t="s">
        <v>2278</v>
      </c>
      <c r="CA375" s="42" t="str">
        <f t="shared" si="228"/>
        <v>0</v>
      </c>
      <c r="CB375" s="62">
        <f t="shared" si="229"/>
        <v>113.6118055555562</v>
      </c>
      <c r="CC375" s="42">
        <f t="shared" si="230"/>
        <v>0</v>
      </c>
      <c r="CD375" s="62">
        <f t="shared" si="231"/>
        <v>113.6118055555562</v>
      </c>
      <c r="CE375" s="62">
        <f t="shared" si="232"/>
        <v>3.9132955246913799</v>
      </c>
      <c r="CF375" s="1059">
        <f t="shared" si="233"/>
        <v>63.388194444443798</v>
      </c>
      <c r="CH375" s="1082">
        <f t="shared" si="234"/>
        <v>6.0966666666666667</v>
      </c>
      <c r="CI375" s="1083">
        <f t="shared" si="235"/>
        <v>6.0966666666666667</v>
      </c>
      <c r="CJ375" s="1084">
        <f t="shared" si="236"/>
        <v>1.0564699074073967</v>
      </c>
      <c r="CK375" s="1085" t="str">
        <f t="shared" si="237"/>
        <v/>
      </c>
      <c r="CL375" s="1057" t="str">
        <f t="shared" si="238"/>
        <v>REV</v>
      </c>
      <c r="CM375" s="1057" t="str">
        <f t="shared" si="239"/>
        <v/>
      </c>
      <c r="CN375" s="1086"/>
      <c r="CO375" s="1087"/>
      <c r="CP375" s="629" t="str">
        <f t="shared" si="216"/>
        <v>FOR ISSUANCE</v>
      </c>
      <c r="CQ375" s="1086"/>
      <c r="CR375" s="1088"/>
      <c r="CS375" s="1089" t="str">
        <f t="shared" ca="1" si="240"/>
        <v>0</v>
      </c>
      <c r="CT375" s="1086"/>
      <c r="CU375" s="1087"/>
      <c r="CV375" s="1090"/>
      <c r="CW375" s="156" t="s">
        <v>2279</v>
      </c>
      <c r="CX375" s="156" t="str">
        <f>VLOOKUP(E375,'[1]List of Work Orders'!$A:$I,9,FALSE)</f>
        <v>ME185284</v>
      </c>
      <c r="CY375" s="156"/>
      <c r="DA375" s="1100">
        <f t="shared" si="243"/>
        <v>8.4104166666656965</v>
      </c>
      <c r="DS375" s="156" t="s">
        <v>397</v>
      </c>
    </row>
    <row r="376" spans="1:123" customFormat="1" ht="15" customHeight="1" x14ac:dyDescent="0.25">
      <c r="A376" s="242">
        <v>45705</v>
      </c>
      <c r="B376" s="222">
        <v>45699</v>
      </c>
      <c r="C376" s="223"/>
      <c r="D376" s="66" t="s">
        <v>234</v>
      </c>
      <c r="E376" s="404" t="s">
        <v>2280</v>
      </c>
      <c r="F376" s="95" t="s">
        <v>926</v>
      </c>
      <c r="G376" s="95" t="s">
        <v>969</v>
      </c>
      <c r="H376" s="454" t="s">
        <v>378</v>
      </c>
      <c r="I376" s="95" t="s">
        <v>239</v>
      </c>
      <c r="J376" s="163" t="s">
        <v>2281</v>
      </c>
      <c r="K376" s="101"/>
      <c r="L376" s="101" t="s">
        <v>288</v>
      </c>
      <c r="M376" s="101" t="s">
        <v>331</v>
      </c>
      <c r="N376" s="442" t="s">
        <v>381</v>
      </c>
      <c r="O376" s="165">
        <v>57.99</v>
      </c>
      <c r="P376" s="165">
        <v>963.39</v>
      </c>
      <c r="Q376" s="157">
        <v>31</v>
      </c>
      <c r="R376" s="109" t="s">
        <v>244</v>
      </c>
      <c r="S376" s="110">
        <v>1025199.32</v>
      </c>
      <c r="T376" s="93">
        <v>37538.230000000003</v>
      </c>
      <c r="U376" s="141"/>
      <c r="V376" s="158">
        <f t="shared" si="217"/>
        <v>0</v>
      </c>
      <c r="W376" s="159">
        <v>45845.42291666667</v>
      </c>
      <c r="X376" s="159">
        <v>45849.304861111108</v>
      </c>
      <c r="Y376" s="160">
        <v>45698</v>
      </c>
      <c r="Z376" s="470"/>
      <c r="AA376" s="470"/>
      <c r="AB376" s="470"/>
      <c r="AC376" s="161">
        <f t="shared" si="218"/>
        <v>-45845.42291666667</v>
      </c>
      <c r="AD376" s="161">
        <f t="shared" si="246"/>
        <v>-45849.304861111108</v>
      </c>
      <c r="AE376" s="446">
        <f t="shared" si="241"/>
        <v>0</v>
      </c>
      <c r="AF376" s="160">
        <f t="shared" si="247"/>
        <v>45870.25796821306</v>
      </c>
      <c r="AG376" s="160">
        <f t="shared" si="244"/>
        <v>45880.680648625435</v>
      </c>
      <c r="AH376" s="159">
        <f t="shared" si="248"/>
        <v>45895.42291666667</v>
      </c>
      <c r="AI376" s="162">
        <f t="shared" si="219"/>
        <v>-1235.2794508101852</v>
      </c>
      <c r="AJ376" s="224">
        <f t="shared" si="249"/>
        <v>0</v>
      </c>
      <c r="AK376" s="225">
        <f t="shared" si="220"/>
        <v>40</v>
      </c>
      <c r="AL376" s="170">
        <f t="shared" si="221"/>
        <v>36</v>
      </c>
      <c r="AM376" s="170">
        <f t="shared" si="222"/>
        <v>27.835051546391753</v>
      </c>
      <c r="AN376" s="170">
        <f t="shared" si="223"/>
        <v>35.257731958762882</v>
      </c>
      <c r="AO376" s="226">
        <f t="shared" si="224"/>
        <v>24.835051546391753</v>
      </c>
      <c r="AP376" s="227">
        <v>60</v>
      </c>
      <c r="AQ376" s="228">
        <f t="shared" si="225"/>
        <v>57</v>
      </c>
      <c r="AR376" s="228">
        <f t="shared" si="245"/>
        <v>52</v>
      </c>
      <c r="AS376" s="229">
        <f t="shared" si="226"/>
        <v>60</v>
      </c>
      <c r="AT376" s="982">
        <f t="shared" ca="1" si="227"/>
        <v>45895</v>
      </c>
      <c r="AU376" s="50" t="s">
        <v>60</v>
      </c>
      <c r="AV376" s="51" t="s">
        <v>247</v>
      </c>
      <c r="AW376" s="49" t="s">
        <v>247</v>
      </c>
      <c r="AX376" s="49"/>
      <c r="AY376" s="49"/>
      <c r="AZ376" s="300">
        <v>45707</v>
      </c>
      <c r="BA376" s="52">
        <f>BB376-AZ376</f>
        <v>138</v>
      </c>
      <c r="BB376" s="304">
        <v>45845</v>
      </c>
      <c r="BC376" s="231"/>
      <c r="BD376" s="232"/>
      <c r="BE376" s="222">
        <f t="shared" si="242"/>
        <v>15</v>
      </c>
      <c r="BF376" s="233">
        <f t="shared" si="250"/>
        <v>0</v>
      </c>
      <c r="BG376" s="248"/>
      <c r="BH376" s="235"/>
      <c r="BI376" s="234"/>
      <c r="BJ376" s="236"/>
      <c r="BK376" s="222"/>
      <c r="BL376" s="222"/>
      <c r="BM376" s="238"/>
      <c r="BN376" s="222"/>
      <c r="BO376" s="222"/>
      <c r="BP376" s="243"/>
      <c r="BQ376" s="244"/>
      <c r="BR376" s="238"/>
      <c r="BS376" s="67"/>
      <c r="BT376" s="66"/>
      <c r="BU376" s="66"/>
      <c r="BV376" s="66"/>
      <c r="BW376" s="74"/>
      <c r="BX376" s="81"/>
      <c r="BY376" s="66">
        <v>45705</v>
      </c>
      <c r="BZ376" s="947" t="s">
        <v>2282</v>
      </c>
      <c r="CA376" s="42" t="str">
        <f t="shared" si="228"/>
        <v>0</v>
      </c>
      <c r="CB376" s="62">
        <f t="shared" si="229"/>
        <v>-45845.42291666667</v>
      </c>
      <c r="CC376" s="42">
        <f t="shared" si="230"/>
        <v>138</v>
      </c>
      <c r="CD376" s="62">
        <f t="shared" si="231"/>
        <v>-45983.42291666667</v>
      </c>
      <c r="CE376" s="62">
        <f t="shared" si="232"/>
        <v>-1238.9977841435186</v>
      </c>
      <c r="CF376" s="145" t="str">
        <f t="shared" si="233"/>
        <v>0</v>
      </c>
      <c r="CG376" s="145">
        <f xml:space="preserve"> (0.3)*(($CF$1-W376-CF376)/AK376)+(0.7)*(($CF$1-W376-CF376)/AL376)</f>
        <v>0.63527141203694548</v>
      </c>
      <c r="CH376" s="443">
        <f t="shared" si="234"/>
        <v>0.63527141203694548</v>
      </c>
      <c r="CI376" s="996">
        <f t="shared" si="235"/>
        <v>0</v>
      </c>
      <c r="CJ376" s="261">
        <f t="shared" si="236"/>
        <v>0</v>
      </c>
      <c r="CK376" s="458">
        <f t="shared" si="237"/>
        <v>10.577083333329938</v>
      </c>
      <c r="CL376" t="str">
        <f t="shared" si="238"/>
        <v>REV</v>
      </c>
      <c r="CM376" t="str">
        <f t="shared" si="239"/>
        <v>0-3 MONTHS</v>
      </c>
      <c r="CN376" s="635"/>
      <c r="CO376" s="631"/>
      <c r="CP376" s="629" t="str">
        <f t="shared" si="216"/>
        <v>FOR ISSUANCE</v>
      </c>
      <c r="CQ376" s="635"/>
      <c r="CR376" s="697"/>
      <c r="CS376" s="633" t="str">
        <f t="shared" ca="1" si="240"/>
        <v>0</v>
      </c>
      <c r="CT376" s="635"/>
      <c r="CU376" s="631"/>
      <c r="CV376" s="638"/>
      <c r="CW376" s="156" t="s">
        <v>2283</v>
      </c>
      <c r="CX376" s="156" t="str">
        <f>VLOOKUP(E376,'[1]List of Work Orders'!$A:$I,9,FALSE)</f>
        <v>ME185284</v>
      </c>
      <c r="CY376" s="156"/>
      <c r="DA376" s="762">
        <f t="shared" si="243"/>
        <v>3.8819444444379769</v>
      </c>
      <c r="DS376" s="156" t="s">
        <v>397</v>
      </c>
    </row>
    <row r="377" spans="1:123" customFormat="1" ht="15" customHeight="1" x14ac:dyDescent="0.25">
      <c r="A377" s="242">
        <v>45713</v>
      </c>
      <c r="B377" s="222">
        <v>45699</v>
      </c>
      <c r="C377" s="223"/>
      <c r="D377" s="66" t="s">
        <v>234</v>
      </c>
      <c r="E377" s="404" t="s">
        <v>2284</v>
      </c>
      <c r="F377" s="95" t="s">
        <v>926</v>
      </c>
      <c r="G377" s="95" t="s">
        <v>2285</v>
      </c>
      <c r="H377" s="454" t="s">
        <v>378</v>
      </c>
      <c r="I377" s="95" t="s">
        <v>239</v>
      </c>
      <c r="J377" s="163" t="s">
        <v>2286</v>
      </c>
      <c r="K377" s="101" t="s">
        <v>299</v>
      </c>
      <c r="L377" s="101" t="s">
        <v>5</v>
      </c>
      <c r="M377" s="345" t="s">
        <v>331</v>
      </c>
      <c r="N377" s="442" t="s">
        <v>403</v>
      </c>
      <c r="O377" s="165">
        <v>49.433199999999999</v>
      </c>
      <c r="P377" s="165">
        <v>81.7</v>
      </c>
      <c r="Q377" s="157">
        <v>22</v>
      </c>
      <c r="R377" s="109" t="s">
        <v>244</v>
      </c>
      <c r="S377" s="459">
        <v>306884.92</v>
      </c>
      <c r="T377" s="141">
        <v>49458.75</v>
      </c>
      <c r="U377" s="141"/>
      <c r="V377" s="158">
        <f t="shared" si="217"/>
        <v>0</v>
      </c>
      <c r="W377" s="159">
        <v>45692.585416666669</v>
      </c>
      <c r="X377" s="159">
        <v>45700.412499999999</v>
      </c>
      <c r="Y377" s="160">
        <v>45698</v>
      </c>
      <c r="Z377" s="470"/>
      <c r="AA377" s="470"/>
      <c r="AB377" s="470"/>
      <c r="AC377" s="161">
        <f t="shared" si="218"/>
        <v>-45692.585416666669</v>
      </c>
      <c r="AD377" s="161">
        <f t="shared" si="246"/>
        <v>-45700.412499999999</v>
      </c>
      <c r="AE377" s="446">
        <f t="shared" si="241"/>
        <v>0</v>
      </c>
      <c r="AF377" s="160">
        <f t="shared" si="247"/>
        <v>45712.670918525408</v>
      </c>
      <c r="AG377" s="160">
        <f t="shared" si="244"/>
        <v>45721.827052354398</v>
      </c>
      <c r="AH377" s="159">
        <f t="shared" si="248"/>
        <v>45742.585416666669</v>
      </c>
      <c r="AI377" s="162">
        <f t="shared" si="219"/>
        <v>-1484.4571832226247</v>
      </c>
      <c r="AJ377" s="224">
        <f t="shared" si="249"/>
        <v>0</v>
      </c>
      <c r="AK377" s="225">
        <f t="shared" si="220"/>
        <v>23</v>
      </c>
      <c r="AL377" s="170">
        <f t="shared" si="221"/>
        <v>36</v>
      </c>
      <c r="AM377" s="170">
        <f t="shared" si="222"/>
        <v>23.085501858736059</v>
      </c>
      <c r="AN377" s="170">
        <f t="shared" si="223"/>
        <v>29.241635687732341</v>
      </c>
      <c r="AO377" s="226">
        <f t="shared" si="224"/>
        <v>20.085501858736059</v>
      </c>
      <c r="AP377" s="227">
        <v>60</v>
      </c>
      <c r="AQ377" s="228">
        <f t="shared" si="225"/>
        <v>57</v>
      </c>
      <c r="AR377" s="228">
        <f t="shared" si="245"/>
        <v>52</v>
      </c>
      <c r="AS377" s="229">
        <f t="shared" si="226"/>
        <v>60</v>
      </c>
      <c r="AT377" s="982">
        <f t="shared" ca="1" si="227"/>
        <v>45895</v>
      </c>
      <c r="AU377" s="50" t="s">
        <v>60</v>
      </c>
      <c r="AV377" s="51" t="s">
        <v>247</v>
      </c>
      <c r="AW377" s="49"/>
      <c r="AX377" s="49"/>
      <c r="AY377" s="49"/>
      <c r="AZ377" s="300">
        <v>45793</v>
      </c>
      <c r="BA377" s="52"/>
      <c r="BB377" s="304"/>
      <c r="BC377" s="231"/>
      <c r="BD377" s="232"/>
      <c r="BE377" s="222">
        <f t="shared" si="242"/>
        <v>15</v>
      </c>
      <c r="BF377" s="233">
        <f t="shared" si="250"/>
        <v>0</v>
      </c>
      <c r="BG377" s="248"/>
      <c r="BH377" s="235"/>
      <c r="BI377" s="234"/>
      <c r="BJ377" s="236"/>
      <c r="BK377" s="222"/>
      <c r="BL377" s="222"/>
      <c r="BM377" s="238"/>
      <c r="BN377" s="222"/>
      <c r="BO377" s="222"/>
      <c r="BP377" s="243"/>
      <c r="BQ377" s="244"/>
      <c r="BR377" s="238"/>
      <c r="BS377" s="67"/>
      <c r="BT377" s="66"/>
      <c r="BU377" s="66"/>
      <c r="BV377" s="66"/>
      <c r="BW377" s="74"/>
      <c r="BX377" s="81"/>
      <c r="BY377" s="66">
        <v>45713</v>
      </c>
      <c r="BZ377" s="947" t="s">
        <v>2287</v>
      </c>
      <c r="CA377" s="42" t="str">
        <f t="shared" si="228"/>
        <v>0</v>
      </c>
      <c r="CB377" s="62">
        <f t="shared" si="229"/>
        <v>-45692.585416666669</v>
      </c>
      <c r="CC377" s="42">
        <f t="shared" si="230"/>
        <v>0</v>
      </c>
      <c r="CD377" s="62">
        <f t="shared" si="231"/>
        <v>-45692.585416666669</v>
      </c>
      <c r="CE377" s="62">
        <f t="shared" si="232"/>
        <v>-1484.4571832226247</v>
      </c>
      <c r="CF377" s="145" t="str">
        <f t="shared" si="233"/>
        <v>0</v>
      </c>
      <c r="CG377" s="145">
        <f xml:space="preserve"> (0.3)*(($CF$1-W377-CF377)/AK377)+(0.7)*(($CF$1-W377-CF377)/AL377)</f>
        <v>5.7313433474234472</v>
      </c>
      <c r="CH377" s="443">
        <f t="shared" si="234"/>
        <v>5.7313433474234472</v>
      </c>
      <c r="CI377" s="996">
        <f t="shared" si="235"/>
        <v>0</v>
      </c>
      <c r="CJ377" s="261">
        <f t="shared" si="236"/>
        <v>0</v>
      </c>
      <c r="CK377" s="458">
        <f t="shared" si="237"/>
        <v>163.41458333333139</v>
      </c>
      <c r="CL377" t="str">
        <f t="shared" si="238"/>
        <v>REV</v>
      </c>
      <c r="CM377" t="str">
        <f t="shared" si="239"/>
        <v>4-6 MONTHS</v>
      </c>
      <c r="CN377" s="635"/>
      <c r="CO377" s="631"/>
      <c r="CP377" s="629" t="str">
        <f t="shared" si="216"/>
        <v>FOR ISSUANCE</v>
      </c>
      <c r="CQ377" s="635"/>
      <c r="CR377" s="697"/>
      <c r="CS377" s="633" t="str">
        <f t="shared" ca="1" si="240"/>
        <v>0</v>
      </c>
      <c r="CT377" s="635"/>
      <c r="CU377" s="631"/>
      <c r="CV377" s="638"/>
      <c r="CW377" s="156" t="s">
        <v>2288</v>
      </c>
      <c r="CX377" s="156" t="str">
        <f>VLOOKUP(E377,'[1]List of Work Orders'!$A:$I,9,FALSE)</f>
        <v>ME166067</v>
      </c>
      <c r="CY377" s="156"/>
      <c r="DA377" s="762">
        <f t="shared" si="243"/>
        <v>7.8270833333299379</v>
      </c>
      <c r="DS377" s="156" t="s">
        <v>397</v>
      </c>
    </row>
    <row r="378" spans="1:123" customFormat="1" ht="15" customHeight="1" x14ac:dyDescent="0.25">
      <c r="A378" s="242">
        <v>45705</v>
      </c>
      <c r="B378" s="222">
        <v>45699</v>
      </c>
      <c r="C378" s="223"/>
      <c r="D378" s="66" t="s">
        <v>234</v>
      </c>
      <c r="E378" s="404" t="s">
        <v>2289</v>
      </c>
      <c r="F378" s="95" t="s">
        <v>926</v>
      </c>
      <c r="G378" s="95" t="s">
        <v>842</v>
      </c>
      <c r="H378" s="348" t="s">
        <v>318</v>
      </c>
      <c r="I378" s="95" t="s">
        <v>239</v>
      </c>
      <c r="J378" s="163"/>
      <c r="K378" s="101" t="s">
        <v>271</v>
      </c>
      <c r="L378" s="101" t="s">
        <v>5</v>
      </c>
      <c r="M378" s="345" t="s">
        <v>272</v>
      </c>
      <c r="N378" s="442" t="s">
        <v>403</v>
      </c>
      <c r="O378" s="165">
        <v>49.433200000000006</v>
      </c>
      <c r="P378" s="933">
        <v>78.87</v>
      </c>
      <c r="Q378" s="157">
        <v>20</v>
      </c>
      <c r="R378" s="109" t="s">
        <v>244</v>
      </c>
      <c r="S378" s="110">
        <v>346656.97</v>
      </c>
      <c r="T378" s="93">
        <v>52965.509999999995</v>
      </c>
      <c r="U378" s="141">
        <v>46902</v>
      </c>
      <c r="V378" s="158">
        <f t="shared" si="217"/>
        <v>0.88551965231714003</v>
      </c>
      <c r="W378" s="159">
        <v>45692.642361111109</v>
      </c>
      <c r="X378" s="159">
        <v>45700.411805555559</v>
      </c>
      <c r="Y378" s="160">
        <v>45698</v>
      </c>
      <c r="Z378" s="470"/>
      <c r="AA378" s="470">
        <v>45734</v>
      </c>
      <c r="AB378" s="470"/>
      <c r="AC378" s="161">
        <f t="shared" si="218"/>
        <v>41.357638888890506</v>
      </c>
      <c r="AD378" s="161">
        <f t="shared" si="246"/>
        <v>33.588194444440887</v>
      </c>
      <c r="AE378" s="446">
        <f t="shared" si="241"/>
        <v>-45734</v>
      </c>
      <c r="AF378" s="160">
        <f t="shared" si="247"/>
        <v>45712.727862969849</v>
      </c>
      <c r="AG378" s="160">
        <f t="shared" si="244"/>
        <v>45721.883996798839</v>
      </c>
      <c r="AH378" s="159">
        <f t="shared" si="248"/>
        <v>45742.642361111109</v>
      </c>
      <c r="AI378" s="162">
        <f t="shared" si="219"/>
        <v>1.3436237754965634</v>
      </c>
      <c r="AJ378" s="224">
        <f t="shared" si="249"/>
        <v>-762.23333333333335</v>
      </c>
      <c r="AK378" s="225">
        <f t="shared" si="220"/>
        <v>23</v>
      </c>
      <c r="AL378" s="170">
        <f t="shared" si="221"/>
        <v>36</v>
      </c>
      <c r="AM378" s="170">
        <f t="shared" si="222"/>
        <v>23.085501858736059</v>
      </c>
      <c r="AN378" s="170">
        <f t="shared" si="223"/>
        <v>29.241635687732341</v>
      </c>
      <c r="AO378" s="226">
        <f t="shared" si="224"/>
        <v>20.085501858736059</v>
      </c>
      <c r="AP378" s="227">
        <v>60</v>
      </c>
      <c r="AQ378" s="228">
        <f t="shared" si="225"/>
        <v>57</v>
      </c>
      <c r="AR378" s="228">
        <f t="shared" si="245"/>
        <v>52</v>
      </c>
      <c r="AS378" s="229">
        <f t="shared" si="226"/>
        <v>45794</v>
      </c>
      <c r="AT378" s="982">
        <f t="shared" ca="1" si="227"/>
        <v>161</v>
      </c>
      <c r="AU378" s="50"/>
      <c r="AV378" s="51" t="s">
        <v>247</v>
      </c>
      <c r="AW378" s="49"/>
      <c r="AX378" s="49"/>
      <c r="AY378" s="49" t="s">
        <v>247</v>
      </c>
      <c r="AZ378" s="300">
        <v>45728</v>
      </c>
      <c r="BA378" s="52">
        <v>6</v>
      </c>
      <c r="BB378" s="304">
        <v>45734</v>
      </c>
      <c r="BC378" s="231" t="s">
        <v>12</v>
      </c>
      <c r="BD378" s="232" t="s">
        <v>601</v>
      </c>
      <c r="BE378" s="222">
        <f t="shared" si="242"/>
        <v>45749</v>
      </c>
      <c r="BF378" s="233">
        <f t="shared" si="250"/>
        <v>8</v>
      </c>
      <c r="BG378" s="248">
        <v>45734</v>
      </c>
      <c r="BH378" s="235">
        <v>45757</v>
      </c>
      <c r="BI378" s="234"/>
      <c r="BJ378" s="236"/>
      <c r="BK378" s="222"/>
      <c r="BL378" s="222"/>
      <c r="BM378" s="238"/>
      <c r="BN378" s="222"/>
      <c r="BO378" s="222"/>
      <c r="BP378" s="243"/>
      <c r="BQ378" s="244"/>
      <c r="BR378" s="238"/>
      <c r="BS378" s="67"/>
      <c r="BT378" s="66"/>
      <c r="BU378" s="66"/>
      <c r="BV378" s="66"/>
      <c r="BW378" s="74"/>
      <c r="BX378" s="81"/>
      <c r="BY378" s="66">
        <v>45705</v>
      </c>
      <c r="BZ378" s="944" t="s">
        <v>2290</v>
      </c>
      <c r="CA378" s="42">
        <f t="shared" si="228"/>
        <v>6</v>
      </c>
      <c r="CB378" s="62">
        <f t="shared" si="229"/>
        <v>35.357638888890506</v>
      </c>
      <c r="CC378" s="42">
        <f t="shared" si="230"/>
        <v>6</v>
      </c>
      <c r="CD378" s="62">
        <f t="shared" si="231"/>
        <v>35.357638888890506</v>
      </c>
      <c r="CE378" s="62">
        <f t="shared" si="232"/>
        <v>1.1486962392646793</v>
      </c>
      <c r="CF378" s="145">
        <f t="shared" si="233"/>
        <v>135</v>
      </c>
      <c r="CG378" s="145"/>
      <c r="CH378" s="443">
        <f t="shared" si="234"/>
        <v>5.7294933407139546</v>
      </c>
      <c r="CI378" s="996">
        <f t="shared" si="235"/>
        <v>5.7294933407139546</v>
      </c>
      <c r="CJ378" s="261">
        <f t="shared" si="236"/>
        <v>2.25</v>
      </c>
      <c r="CK378" s="458" t="str">
        <f t="shared" si="237"/>
        <v/>
      </c>
      <c r="CL378" t="str">
        <f t="shared" si="238"/>
        <v>REV</v>
      </c>
      <c r="CM378" t="str">
        <f t="shared" si="239"/>
        <v/>
      </c>
      <c r="CN378" s="635"/>
      <c r="CO378" s="631"/>
      <c r="CP378" s="629" t="str">
        <f t="shared" si="216"/>
        <v>FOR ISSUANCE</v>
      </c>
      <c r="CQ378" s="635"/>
      <c r="CR378" s="697"/>
      <c r="CS378" s="633" t="str">
        <f t="shared" ca="1" si="240"/>
        <v>0</v>
      </c>
      <c r="CT378" s="635"/>
      <c r="CU378" s="631"/>
      <c r="CV378" s="638"/>
      <c r="CW378" s="156" t="s">
        <v>2291</v>
      </c>
      <c r="CX378" s="156" t="str">
        <f>VLOOKUP(E378,'[1]List of Work Orders'!$A:$I,9,FALSE)</f>
        <v>ME166067</v>
      </c>
      <c r="CY378" s="156"/>
      <c r="DA378" s="762">
        <f t="shared" si="243"/>
        <v>7.7694444444496185</v>
      </c>
      <c r="DS378" s="156" t="s">
        <v>381</v>
      </c>
    </row>
    <row r="379" spans="1:123" customFormat="1" ht="15" customHeight="1" x14ac:dyDescent="0.25">
      <c r="A379" s="242">
        <v>45705</v>
      </c>
      <c r="B379" s="222"/>
      <c r="C379" s="223"/>
      <c r="D379" s="66" t="s">
        <v>234</v>
      </c>
      <c r="E379" s="404" t="s">
        <v>2292</v>
      </c>
      <c r="F379" s="95" t="s">
        <v>926</v>
      </c>
      <c r="G379" s="95" t="s">
        <v>2293</v>
      </c>
      <c r="H379" s="348" t="s">
        <v>318</v>
      </c>
      <c r="I379" s="95" t="s">
        <v>239</v>
      </c>
      <c r="J379" s="163" t="s">
        <v>1908</v>
      </c>
      <c r="K379" s="101"/>
      <c r="L379" s="101" t="s">
        <v>1957</v>
      </c>
      <c r="M379" s="345" t="s">
        <v>272</v>
      </c>
      <c r="N379" s="442" t="s">
        <v>403</v>
      </c>
      <c r="O379" s="165">
        <v>20.78</v>
      </c>
      <c r="P379" s="933">
        <v>20.78</v>
      </c>
      <c r="Q379" s="157">
        <v>31</v>
      </c>
      <c r="R379" s="455" t="s">
        <v>244</v>
      </c>
      <c r="S379" s="110">
        <v>61546.71</v>
      </c>
      <c r="T379" s="93">
        <v>37641.08</v>
      </c>
      <c r="U379" s="141" t="s">
        <v>2294</v>
      </c>
      <c r="V379" s="158" t="e">
        <f t="shared" si="217"/>
        <v>#VALUE!</v>
      </c>
      <c r="W379" s="159">
        <v>45692.65902777778</v>
      </c>
      <c r="X379" s="159">
        <v>45700.413194444445</v>
      </c>
      <c r="Y379" s="160">
        <v>45698</v>
      </c>
      <c r="Z379" s="470"/>
      <c r="AA379" s="470">
        <v>45769</v>
      </c>
      <c r="AB379" s="470"/>
      <c r="AC379" s="161">
        <f t="shared" si="218"/>
        <v>76.340972222220444</v>
      </c>
      <c r="AD379" s="161">
        <f t="shared" si="246"/>
        <v>68.586805555554747</v>
      </c>
      <c r="AE379" s="446">
        <f t="shared" si="241"/>
        <v>-45769</v>
      </c>
      <c r="AF379" s="160">
        <f t="shared" si="247"/>
        <v>45711.433221326166</v>
      </c>
      <c r="AG379" s="160">
        <f t="shared" si="244"/>
        <v>45720.239672939068</v>
      </c>
      <c r="AH379" s="159">
        <f t="shared" si="248"/>
        <v>45742.65902777778</v>
      </c>
      <c r="AI379" s="162">
        <f t="shared" si="219"/>
        <v>2.6295223765431484</v>
      </c>
      <c r="AJ379" s="224">
        <f t="shared" si="249"/>
        <v>-762.81666666666672</v>
      </c>
      <c r="AK379" s="225">
        <f t="shared" si="220"/>
        <v>20</v>
      </c>
      <c r="AL379" s="170">
        <f t="shared" si="221"/>
        <v>36</v>
      </c>
      <c r="AM379" s="170">
        <f t="shared" si="222"/>
        <v>21.774193548387096</v>
      </c>
      <c r="AN379" s="170">
        <f t="shared" si="223"/>
        <v>27.58064516129032</v>
      </c>
      <c r="AO379" s="226">
        <f t="shared" si="224"/>
        <v>18.774193548387096</v>
      </c>
      <c r="AP379" s="227">
        <v>60</v>
      </c>
      <c r="AQ379" s="228">
        <f t="shared" si="225"/>
        <v>57</v>
      </c>
      <c r="AR379" s="228">
        <f t="shared" si="245"/>
        <v>52</v>
      </c>
      <c r="AS379" s="229">
        <f t="shared" si="226"/>
        <v>45829</v>
      </c>
      <c r="AT379" s="982">
        <f t="shared" ca="1" si="227"/>
        <v>126</v>
      </c>
      <c r="AU379" s="50"/>
      <c r="AV379" s="51"/>
      <c r="AW379" s="49"/>
      <c r="AX379" s="49"/>
      <c r="AY379" s="49"/>
      <c r="AZ379" s="300"/>
      <c r="BA379" s="52"/>
      <c r="BB379" s="304"/>
      <c r="BC379" s="231" t="s">
        <v>13</v>
      </c>
      <c r="BD379" s="232"/>
      <c r="BE379" s="222">
        <f t="shared" si="242"/>
        <v>45784</v>
      </c>
      <c r="BF379" s="233" t="e">
        <f t="shared" si="250"/>
        <v>#VALUE!</v>
      </c>
      <c r="BG379" s="248"/>
      <c r="BH379" s="235"/>
      <c r="BI379" s="234"/>
      <c r="BJ379" s="236"/>
      <c r="BK379" s="222"/>
      <c r="BL379" s="222"/>
      <c r="BM379" s="238"/>
      <c r="BN379" s="222"/>
      <c r="BO379" s="222"/>
      <c r="BP379" s="243"/>
      <c r="BQ379" s="244"/>
      <c r="BR379" s="238"/>
      <c r="BS379" s="67"/>
      <c r="BT379" s="66"/>
      <c r="BU379" s="66"/>
      <c r="BV379" s="66"/>
      <c r="BW379" s="74"/>
      <c r="BX379" s="81"/>
      <c r="BY379" s="66" t="s">
        <v>308</v>
      </c>
      <c r="BZ379" s="944"/>
      <c r="CA379" s="42" t="str">
        <f t="shared" si="228"/>
        <v>0</v>
      </c>
      <c r="CB379" s="62">
        <f t="shared" si="229"/>
        <v>76.340972222220444</v>
      </c>
      <c r="CC379" s="42">
        <f t="shared" si="230"/>
        <v>0</v>
      </c>
      <c r="CD379" s="62">
        <f t="shared" si="231"/>
        <v>76.340972222220444</v>
      </c>
      <c r="CE379" s="62">
        <f t="shared" si="232"/>
        <v>2.6295223765431484</v>
      </c>
      <c r="CF379" s="145">
        <f t="shared" si="233"/>
        <v>100</v>
      </c>
      <c r="CG379" s="145"/>
      <c r="CH379" s="443">
        <f t="shared" si="234"/>
        <v>6.073966820987593</v>
      </c>
      <c r="CI379" s="996">
        <f t="shared" si="235"/>
        <v>6.073966820987593</v>
      </c>
      <c r="CJ379" s="261">
        <f t="shared" si="236"/>
        <v>1.6666666666666667</v>
      </c>
      <c r="CK379" s="458" t="str">
        <f t="shared" si="237"/>
        <v/>
      </c>
      <c r="CL379" t="str">
        <f t="shared" si="238"/>
        <v>REV</v>
      </c>
      <c r="CM379" t="str">
        <f t="shared" si="239"/>
        <v/>
      </c>
      <c r="CN379" s="635"/>
      <c r="CO379" s="631"/>
      <c r="CP379" s="629" t="str">
        <f t="shared" si="216"/>
        <v>FOR ISSUANCE</v>
      </c>
      <c r="CQ379" s="635"/>
      <c r="CR379" s="697"/>
      <c r="CS379" s="633" t="str">
        <f t="shared" ca="1" si="240"/>
        <v>0</v>
      </c>
      <c r="CT379" s="635"/>
      <c r="CU379" s="631"/>
      <c r="CV379" s="638"/>
      <c r="CW379" s="156" t="s">
        <v>2295</v>
      </c>
      <c r="CX379" s="156" t="str">
        <f>VLOOKUP(E379,'[1]List of Work Orders'!$A:$I,9,FALSE)</f>
        <v>ME166067</v>
      </c>
      <c r="CY379" s="156"/>
      <c r="DA379" s="762">
        <f t="shared" si="243"/>
        <v>7.7541666666656965</v>
      </c>
      <c r="DS379" s="156" t="s">
        <v>381</v>
      </c>
    </row>
    <row r="380" spans="1:123" customFormat="1" ht="15" customHeight="1" x14ac:dyDescent="0.25">
      <c r="A380" s="242">
        <v>45713</v>
      </c>
      <c r="B380" s="222">
        <v>45699</v>
      </c>
      <c r="C380" s="223"/>
      <c r="D380" s="66" t="s">
        <v>320</v>
      </c>
      <c r="E380" s="404" t="s">
        <v>2296</v>
      </c>
      <c r="F380" s="95" t="s">
        <v>2297</v>
      </c>
      <c r="G380" s="95" t="s">
        <v>2298</v>
      </c>
      <c r="H380" s="454" t="s">
        <v>378</v>
      </c>
      <c r="I380" s="95" t="s">
        <v>239</v>
      </c>
      <c r="J380" s="163"/>
      <c r="K380" s="101"/>
      <c r="L380" s="101" t="s">
        <v>288</v>
      </c>
      <c r="M380" s="345" t="s">
        <v>272</v>
      </c>
      <c r="N380" s="442" t="s">
        <v>381</v>
      </c>
      <c r="O380" s="165">
        <v>122.57080000000001</v>
      </c>
      <c r="P380" s="933">
        <v>333.45</v>
      </c>
      <c r="Q380" s="157">
        <v>263</v>
      </c>
      <c r="R380" s="109" t="s">
        <v>244</v>
      </c>
      <c r="S380" s="110">
        <v>1097984.1299999999</v>
      </c>
      <c r="T380" s="93">
        <v>142064.76999999999</v>
      </c>
      <c r="U380" s="141">
        <v>61066.720000000001</v>
      </c>
      <c r="V380" s="158">
        <f t="shared" si="217"/>
        <v>0.42985125728215379</v>
      </c>
      <c r="W380" s="159">
        <v>45693</v>
      </c>
      <c r="X380" s="159">
        <v>45700.434027777781</v>
      </c>
      <c r="Y380" s="160">
        <v>45698</v>
      </c>
      <c r="Z380" s="470">
        <v>45829</v>
      </c>
      <c r="AA380" s="470">
        <v>45829</v>
      </c>
      <c r="AB380" s="470"/>
      <c r="AC380" s="161">
        <f t="shared" si="218"/>
        <v>136</v>
      </c>
      <c r="AD380" s="161">
        <f t="shared" si="246"/>
        <v>128.56597222221899</v>
      </c>
      <c r="AE380" s="446">
        <f t="shared" si="241"/>
        <v>-45829</v>
      </c>
      <c r="AF380" s="160">
        <f t="shared" si="247"/>
        <v>45712.5</v>
      </c>
      <c r="AG380" s="160">
        <f t="shared" si="244"/>
        <v>45721.5</v>
      </c>
      <c r="AH380" s="159">
        <f t="shared" si="248"/>
        <v>45743</v>
      </c>
      <c r="AI380" s="162">
        <f t="shared" si="219"/>
        <v>4.5333333333333332</v>
      </c>
      <c r="AJ380" s="224">
        <f t="shared" si="249"/>
        <v>-763.81666666666672</v>
      </c>
      <c r="AK380" s="225">
        <f t="shared" si="220"/>
        <v>30</v>
      </c>
      <c r="AL380" s="170">
        <f t="shared" si="221"/>
        <v>30</v>
      </c>
      <c r="AM380" s="170">
        <f t="shared" si="222"/>
        <v>22.5</v>
      </c>
      <c r="AN380" s="170">
        <f t="shared" si="223"/>
        <v>28.5</v>
      </c>
      <c r="AO380" s="226">
        <f t="shared" si="224"/>
        <v>19.5</v>
      </c>
      <c r="AP380" s="227">
        <v>60</v>
      </c>
      <c r="AQ380" s="228">
        <f t="shared" si="225"/>
        <v>57</v>
      </c>
      <c r="AR380" s="228">
        <f t="shared" si="245"/>
        <v>52</v>
      </c>
      <c r="AS380" s="229">
        <f t="shared" si="226"/>
        <v>45889</v>
      </c>
      <c r="AT380" s="982">
        <f t="shared" ca="1" si="227"/>
        <v>66</v>
      </c>
      <c r="AU380" s="50" t="s">
        <v>55</v>
      </c>
      <c r="AV380" s="51" t="s">
        <v>247</v>
      </c>
      <c r="AW380" s="49" t="s">
        <v>247</v>
      </c>
      <c r="AX380" s="49"/>
      <c r="AY380" s="49"/>
      <c r="AZ380" s="300">
        <v>45729</v>
      </c>
      <c r="BA380" s="52">
        <f>BB380-AZ380</f>
        <v>99</v>
      </c>
      <c r="BB380" s="304">
        <v>45828</v>
      </c>
      <c r="BC380" s="231" t="s">
        <v>12</v>
      </c>
      <c r="BD380" s="232"/>
      <c r="BE380" s="222">
        <f t="shared" si="242"/>
        <v>45844</v>
      </c>
      <c r="BF380" s="233">
        <f t="shared" si="250"/>
        <v>22</v>
      </c>
      <c r="BG380" s="248">
        <v>45829</v>
      </c>
      <c r="BH380" s="235">
        <v>45866</v>
      </c>
      <c r="BI380" s="234"/>
      <c r="BJ380" s="236"/>
      <c r="BK380" s="222"/>
      <c r="BL380" s="222"/>
      <c r="BM380" s="238"/>
      <c r="BN380" s="222"/>
      <c r="BO380" s="222"/>
      <c r="BP380" s="243"/>
      <c r="BQ380" s="244" t="s">
        <v>247</v>
      </c>
      <c r="BR380" s="238">
        <v>45826</v>
      </c>
      <c r="BS380" s="67"/>
      <c r="BT380" s="66"/>
      <c r="BU380" s="66"/>
      <c r="BV380" s="66"/>
      <c r="BW380" s="74"/>
      <c r="BX380" s="81"/>
      <c r="BY380" s="66">
        <v>45713</v>
      </c>
      <c r="BZ380" s="947" t="s">
        <v>2299</v>
      </c>
      <c r="CA380" s="42" t="str">
        <f t="shared" si="228"/>
        <v>0</v>
      </c>
      <c r="CB380" s="62">
        <f t="shared" si="229"/>
        <v>136</v>
      </c>
      <c r="CC380" s="42">
        <f t="shared" si="230"/>
        <v>99</v>
      </c>
      <c r="CD380" s="62">
        <f t="shared" si="231"/>
        <v>37</v>
      </c>
      <c r="CE380" s="62">
        <f t="shared" si="232"/>
        <v>1.2333333333333334</v>
      </c>
      <c r="CF380" s="145">
        <f t="shared" si="233"/>
        <v>40</v>
      </c>
      <c r="CG380" s="145">
        <f xml:space="preserve"> (0.3)*(($CF$1-W380-CF380)/AK380)+(0.7)*(($CF$1-W380-CF380)/AL380)</f>
        <v>4.5333333333333332</v>
      </c>
      <c r="CH380" s="443">
        <f t="shared" si="234"/>
        <v>5.8666666666666663</v>
      </c>
      <c r="CI380" s="996">
        <f t="shared" si="235"/>
        <v>1.333333333333333</v>
      </c>
      <c r="CJ380" s="261">
        <f t="shared" si="236"/>
        <v>0.66666666666666663</v>
      </c>
      <c r="CK380" s="458" t="str">
        <f t="shared" si="237"/>
        <v/>
      </c>
      <c r="CL380" t="str">
        <f t="shared" si="238"/>
        <v>REV</v>
      </c>
      <c r="CM380" t="str">
        <f t="shared" si="239"/>
        <v/>
      </c>
      <c r="CN380" s="635"/>
      <c r="CO380" s="631"/>
      <c r="CP380" s="629" t="str">
        <f t="shared" si="216"/>
        <v>FOR ISSUANCE</v>
      </c>
      <c r="CQ380" s="635"/>
      <c r="CR380" s="697"/>
      <c r="CS380" s="633" t="str">
        <f t="shared" ca="1" si="240"/>
        <v>0</v>
      </c>
      <c r="CT380" s="635"/>
      <c r="CU380" s="631"/>
      <c r="CV380" s="638"/>
      <c r="CW380" s="156" t="s">
        <v>2300</v>
      </c>
      <c r="CX380" s="156" t="str">
        <f>VLOOKUP(E380,'[1]List of Work Orders'!$A:$I,9,FALSE)</f>
        <v>ME185284</v>
      </c>
      <c r="CY380" s="156"/>
      <c r="DA380" s="762">
        <f t="shared" si="243"/>
        <v>7.4340277777810115</v>
      </c>
      <c r="DS380" s="156" t="s">
        <v>381</v>
      </c>
    </row>
    <row r="381" spans="1:123" customFormat="1" ht="15" customHeight="1" x14ac:dyDescent="0.25">
      <c r="A381" s="242">
        <v>45709</v>
      </c>
      <c r="B381" s="222">
        <v>45699</v>
      </c>
      <c r="C381" s="223"/>
      <c r="D381" s="66" t="s">
        <v>284</v>
      </c>
      <c r="E381" s="404" t="s">
        <v>2301</v>
      </c>
      <c r="F381" s="95" t="s">
        <v>2302</v>
      </c>
      <c r="G381" s="95" t="s">
        <v>2303</v>
      </c>
      <c r="H381" s="454" t="s">
        <v>378</v>
      </c>
      <c r="I381" s="95" t="s">
        <v>239</v>
      </c>
      <c r="J381" s="163"/>
      <c r="K381" s="101"/>
      <c r="L381" s="101" t="s">
        <v>288</v>
      </c>
      <c r="M381" s="345" t="s">
        <v>272</v>
      </c>
      <c r="N381" s="442" t="s">
        <v>381</v>
      </c>
      <c r="O381" s="165">
        <v>2.58</v>
      </c>
      <c r="P381" s="933">
        <v>4.59</v>
      </c>
      <c r="Q381" s="157">
        <v>10</v>
      </c>
      <c r="R381" s="109" t="s">
        <v>244</v>
      </c>
      <c r="S381" s="110">
        <v>21877.86</v>
      </c>
      <c r="T381" s="93">
        <v>3696.19</v>
      </c>
      <c r="U381" s="141"/>
      <c r="V381" s="158">
        <f t="shared" si="217"/>
        <v>0</v>
      </c>
      <c r="W381" s="159">
        <v>45693</v>
      </c>
      <c r="X381" s="159">
        <v>45700.43472222222</v>
      </c>
      <c r="Y381" s="160">
        <v>45698</v>
      </c>
      <c r="Z381" s="470"/>
      <c r="AA381" s="470">
        <v>45713</v>
      </c>
      <c r="AB381" s="470"/>
      <c r="AC381" s="161">
        <f t="shared" si="218"/>
        <v>20</v>
      </c>
      <c r="AD381" s="161">
        <f t="shared" si="246"/>
        <v>12.565277777779556</v>
      </c>
      <c r="AE381" s="446">
        <f t="shared" si="241"/>
        <v>-45713</v>
      </c>
      <c r="AF381" s="160">
        <f t="shared" si="247"/>
        <v>45711.774193548386</v>
      </c>
      <c r="AG381" s="160">
        <f t="shared" si="244"/>
        <v>45720.580645161288</v>
      </c>
      <c r="AH381" s="159">
        <f t="shared" si="248"/>
        <v>45743</v>
      </c>
      <c r="AI381" s="162">
        <f t="shared" si="219"/>
        <v>0.68888888888888888</v>
      </c>
      <c r="AJ381" s="224">
        <f t="shared" si="249"/>
        <v>-761.88333333333333</v>
      </c>
      <c r="AK381" s="225">
        <f t="shared" si="220"/>
        <v>20</v>
      </c>
      <c r="AL381" s="170">
        <f t="shared" si="221"/>
        <v>36</v>
      </c>
      <c r="AM381" s="170">
        <f t="shared" si="222"/>
        <v>21.774193548387096</v>
      </c>
      <c r="AN381" s="170">
        <f t="shared" si="223"/>
        <v>27.58064516129032</v>
      </c>
      <c r="AO381" s="226">
        <f t="shared" si="224"/>
        <v>18.774193548387096</v>
      </c>
      <c r="AP381" s="227">
        <v>60</v>
      </c>
      <c r="AQ381" s="228">
        <f t="shared" si="225"/>
        <v>57</v>
      </c>
      <c r="AR381" s="228">
        <f t="shared" si="245"/>
        <v>52</v>
      </c>
      <c r="AS381" s="229">
        <f t="shared" si="226"/>
        <v>45773</v>
      </c>
      <c r="AT381" s="982">
        <f t="shared" ca="1" si="227"/>
        <v>182</v>
      </c>
      <c r="AU381" s="50"/>
      <c r="AV381" s="51"/>
      <c r="AW381" s="49"/>
      <c r="AX381" s="49"/>
      <c r="AY381" s="49"/>
      <c r="AZ381" s="300"/>
      <c r="BA381" s="52"/>
      <c r="BB381" s="304"/>
      <c r="BC381" s="231" t="s">
        <v>12</v>
      </c>
      <c r="BD381" s="232"/>
      <c r="BE381" s="222">
        <f t="shared" si="242"/>
        <v>45728</v>
      </c>
      <c r="BF381" s="233">
        <f t="shared" si="250"/>
        <v>79</v>
      </c>
      <c r="BG381" s="248">
        <v>45713</v>
      </c>
      <c r="BH381" s="235">
        <v>45807</v>
      </c>
      <c r="BI381" s="234"/>
      <c r="BJ381" s="236"/>
      <c r="BK381" s="222"/>
      <c r="BL381" s="222"/>
      <c r="BM381" s="238"/>
      <c r="BN381" s="222"/>
      <c r="BO381" s="222"/>
      <c r="BP381" s="243"/>
      <c r="BQ381" s="244" t="s">
        <v>247</v>
      </c>
      <c r="BR381" s="238">
        <v>45712</v>
      </c>
      <c r="BS381" s="67"/>
      <c r="BT381" s="66"/>
      <c r="BU381" s="66"/>
      <c r="BV381" s="66"/>
      <c r="BW381" s="74"/>
      <c r="BX381" s="81"/>
      <c r="BY381" s="66" t="s">
        <v>308</v>
      </c>
      <c r="BZ381" s="944"/>
      <c r="CA381" s="42" t="str">
        <f t="shared" si="228"/>
        <v>0</v>
      </c>
      <c r="CB381" s="62">
        <f t="shared" si="229"/>
        <v>20</v>
      </c>
      <c r="CC381" s="42">
        <f t="shared" si="230"/>
        <v>0</v>
      </c>
      <c r="CD381" s="62">
        <f t="shared" si="231"/>
        <v>20</v>
      </c>
      <c r="CE381" s="62">
        <f t="shared" si="232"/>
        <v>0.68888888888888888</v>
      </c>
      <c r="CF381" s="145">
        <f t="shared" si="233"/>
        <v>156</v>
      </c>
      <c r="CG381" s="145"/>
      <c r="CH381" s="443">
        <f t="shared" si="234"/>
        <v>6.0622222222222231</v>
      </c>
      <c r="CI381" s="996">
        <f t="shared" si="235"/>
        <v>6.0622222222222231</v>
      </c>
      <c r="CJ381" s="261">
        <f t="shared" si="236"/>
        <v>2.6</v>
      </c>
      <c r="CK381" s="458" t="str">
        <f t="shared" si="237"/>
        <v/>
      </c>
      <c r="CL381" t="str">
        <f t="shared" si="238"/>
        <v>REV</v>
      </c>
      <c r="CM381" t="str">
        <f t="shared" si="239"/>
        <v/>
      </c>
      <c r="CN381" s="635"/>
      <c r="CO381" s="631"/>
      <c r="CP381" s="629" t="str">
        <f t="shared" si="216"/>
        <v>FOR ISSUANCE</v>
      </c>
      <c r="CQ381" s="635"/>
      <c r="CR381" s="697"/>
      <c r="CS381" s="633" t="str">
        <f t="shared" ca="1" si="240"/>
        <v>0</v>
      </c>
      <c r="CT381" s="635"/>
      <c r="CU381" s="631"/>
      <c r="CV381" s="638"/>
      <c r="CW381" s="156" t="s">
        <v>2304</v>
      </c>
      <c r="CX381" s="156" t="str">
        <f>VLOOKUP(E381,'[1]List of Work Orders'!$A:$I,9,FALSE)</f>
        <v>ME185284</v>
      </c>
      <c r="CY381" s="156"/>
      <c r="DA381" s="762">
        <f t="shared" si="243"/>
        <v>7.4347222222204437</v>
      </c>
      <c r="DS381" s="156" t="s">
        <v>381</v>
      </c>
    </row>
    <row r="382" spans="1:123" customFormat="1" ht="15" customHeight="1" x14ac:dyDescent="0.25">
      <c r="A382" s="242">
        <v>45705</v>
      </c>
      <c r="B382" s="222">
        <v>45699</v>
      </c>
      <c r="C382" s="223"/>
      <c r="D382" s="66" t="s">
        <v>320</v>
      </c>
      <c r="E382" s="404" t="s">
        <v>2305</v>
      </c>
      <c r="F382" s="95" t="s">
        <v>2306</v>
      </c>
      <c r="G382" s="95" t="s">
        <v>2307</v>
      </c>
      <c r="H382" s="95" t="s">
        <v>269</v>
      </c>
      <c r="I382" s="95" t="s">
        <v>239</v>
      </c>
      <c r="J382" s="163"/>
      <c r="K382" s="101"/>
      <c r="L382" s="101" t="s">
        <v>242</v>
      </c>
      <c r="M382" s="345" t="s">
        <v>272</v>
      </c>
      <c r="N382" s="442" t="s">
        <v>467</v>
      </c>
      <c r="O382" s="165">
        <v>123.4425</v>
      </c>
      <c r="P382" s="933">
        <v>399.38</v>
      </c>
      <c r="Q382" s="157">
        <v>339</v>
      </c>
      <c r="R382" s="109" t="s">
        <v>548</v>
      </c>
      <c r="S382" s="110">
        <v>1353967.43</v>
      </c>
      <c r="T382" s="93">
        <v>182994.22</v>
      </c>
      <c r="U382" s="141">
        <v>84000.89</v>
      </c>
      <c r="V382" s="158">
        <f t="shared" si="217"/>
        <v>0.45903575533697183</v>
      </c>
      <c r="W382" s="159">
        <v>45693.551388888889</v>
      </c>
      <c r="X382" s="159">
        <v>45700.432638888888</v>
      </c>
      <c r="Y382" s="160">
        <v>45698</v>
      </c>
      <c r="Z382" s="470"/>
      <c r="AA382" s="470">
        <v>45733.363194444442</v>
      </c>
      <c r="AB382" s="470"/>
      <c r="AC382" s="161">
        <f t="shared" si="218"/>
        <v>39.811805555553292</v>
      </c>
      <c r="AD382" s="161">
        <f t="shared" si="246"/>
        <v>32.930555555554747</v>
      </c>
      <c r="AE382" s="446">
        <f t="shared" si="241"/>
        <v>-45733.363194444442</v>
      </c>
      <c r="AF382" s="160">
        <f t="shared" si="247"/>
        <v>45711.979960317462</v>
      </c>
      <c r="AG382" s="160">
        <f t="shared" si="244"/>
        <v>45720.694246031744</v>
      </c>
      <c r="AH382" s="159">
        <f t="shared" si="248"/>
        <v>45743.551388888889</v>
      </c>
      <c r="AI382" s="162">
        <f t="shared" si="219"/>
        <v>1.3934131944443651</v>
      </c>
      <c r="AJ382" s="224">
        <f t="shared" si="249"/>
        <v>-762.2227199074074</v>
      </c>
      <c r="AK382" s="225">
        <f t="shared" si="220"/>
        <v>30</v>
      </c>
      <c r="AL382" s="170">
        <f t="shared" si="221"/>
        <v>28</v>
      </c>
      <c r="AM382" s="170">
        <f t="shared" si="222"/>
        <v>21.428571428571431</v>
      </c>
      <c r="AN382" s="170">
        <f t="shared" si="223"/>
        <v>27.142857142857146</v>
      </c>
      <c r="AO382" s="226">
        <f t="shared" si="224"/>
        <v>18.428571428571431</v>
      </c>
      <c r="AP382" s="227">
        <v>60</v>
      </c>
      <c r="AQ382" s="228">
        <f t="shared" si="225"/>
        <v>57</v>
      </c>
      <c r="AR382" s="228">
        <f t="shared" si="245"/>
        <v>52</v>
      </c>
      <c r="AS382" s="229">
        <f t="shared" si="226"/>
        <v>45793.363194444442</v>
      </c>
      <c r="AT382" s="982">
        <f t="shared" ca="1" si="227"/>
        <v>161.63680555555766</v>
      </c>
      <c r="AU382" s="50"/>
      <c r="AV382" s="51"/>
      <c r="AW382" s="49"/>
      <c r="AX382" s="49"/>
      <c r="AY382" s="49"/>
      <c r="AZ382" s="300"/>
      <c r="BA382" s="52"/>
      <c r="BB382" s="304"/>
      <c r="BC382" s="231" t="s">
        <v>13</v>
      </c>
      <c r="BD382" s="907" t="s">
        <v>601</v>
      </c>
      <c r="BE382" s="222">
        <f t="shared" si="242"/>
        <v>45748.363194444442</v>
      </c>
      <c r="BF382" s="233" t="e">
        <f t="shared" si="250"/>
        <v>#VALUE!</v>
      </c>
      <c r="BG382" s="248"/>
      <c r="BH382" s="235"/>
      <c r="BI382" s="234"/>
      <c r="BJ382" s="236"/>
      <c r="BK382" s="222"/>
      <c r="BL382" s="222"/>
      <c r="BM382" s="238"/>
      <c r="BN382" s="222"/>
      <c r="BO382" s="222"/>
      <c r="BP382" s="243"/>
      <c r="BQ382" s="244" t="s">
        <v>247</v>
      </c>
      <c r="BR382" s="238">
        <v>45727</v>
      </c>
      <c r="BS382" s="67"/>
      <c r="BT382" s="66"/>
      <c r="BU382" s="66"/>
      <c r="BV382" s="66"/>
      <c r="BW382" s="74"/>
      <c r="BX382" s="81"/>
      <c r="BY382" s="66">
        <v>45705</v>
      </c>
      <c r="BZ382" s="947" t="s">
        <v>2308</v>
      </c>
      <c r="CA382" s="42" t="str">
        <f t="shared" si="228"/>
        <v>0</v>
      </c>
      <c r="CB382" s="62">
        <f t="shared" si="229"/>
        <v>39.811805555553292</v>
      </c>
      <c r="CC382" s="42">
        <f t="shared" si="230"/>
        <v>0</v>
      </c>
      <c r="CD382" s="62">
        <f t="shared" si="231"/>
        <v>39.811805555553292</v>
      </c>
      <c r="CE382" s="62">
        <f t="shared" si="232"/>
        <v>1.3934131944443651</v>
      </c>
      <c r="CF382" s="145">
        <f t="shared" si="233"/>
        <v>135.63680555555766</v>
      </c>
      <c r="CG382" s="145"/>
      <c r="CH382" s="443">
        <f t="shared" si="234"/>
        <v>6.1407013888888828</v>
      </c>
      <c r="CI382" s="996">
        <f t="shared" si="235"/>
        <v>6.1407013888888828</v>
      </c>
      <c r="CJ382" s="261">
        <f t="shared" si="236"/>
        <v>2.2606134259259609</v>
      </c>
      <c r="CK382" s="458" t="str">
        <f t="shared" si="237"/>
        <v/>
      </c>
      <c r="CL382" t="str">
        <f t="shared" si="238"/>
        <v>NON-REV</v>
      </c>
      <c r="CM382" t="str">
        <f t="shared" si="239"/>
        <v/>
      </c>
      <c r="CN382" s="635"/>
      <c r="CO382" s="631"/>
      <c r="CP382" s="629" t="str">
        <f t="shared" si="216"/>
        <v>FOR ISSUANCE</v>
      </c>
      <c r="CQ382" s="635"/>
      <c r="CR382" s="697"/>
      <c r="CS382" s="633" t="str">
        <f t="shared" ca="1" si="240"/>
        <v>0</v>
      </c>
      <c r="CT382" s="635"/>
      <c r="CU382" s="631"/>
      <c r="CV382" s="638"/>
      <c r="CW382" s="156" t="s">
        <v>2309</v>
      </c>
      <c r="CX382" s="156" t="str">
        <f>VLOOKUP(E382,'[1]List of Work Orders'!$A:$I,9,FALSE)</f>
        <v>ME155242</v>
      </c>
      <c r="CY382" s="156"/>
      <c r="CZ382" s="63"/>
      <c r="DA382" s="762">
        <f t="shared" si="243"/>
        <v>6.8812499999985448</v>
      </c>
      <c r="DS382" s="156" t="s">
        <v>381</v>
      </c>
    </row>
    <row r="383" spans="1:123" customFormat="1" ht="15" customHeight="1" x14ac:dyDescent="0.25">
      <c r="A383" s="242">
        <v>45705</v>
      </c>
      <c r="B383" s="222"/>
      <c r="C383" s="223"/>
      <c r="D383" s="66" t="s">
        <v>320</v>
      </c>
      <c r="E383" s="404" t="s">
        <v>2310</v>
      </c>
      <c r="F383" s="95" t="s">
        <v>2311</v>
      </c>
      <c r="G383" s="95" t="s">
        <v>2312</v>
      </c>
      <c r="H383" s="344" t="s">
        <v>318</v>
      </c>
      <c r="I383" s="95" t="s">
        <v>239</v>
      </c>
      <c r="J383" s="163" t="s">
        <v>1908</v>
      </c>
      <c r="K383" s="101"/>
      <c r="L383" s="101" t="s">
        <v>1957</v>
      </c>
      <c r="M383" s="345" t="s">
        <v>272</v>
      </c>
      <c r="N383" s="442" t="s">
        <v>403</v>
      </c>
      <c r="O383" s="165">
        <v>19.13</v>
      </c>
      <c r="P383" s="933">
        <v>19.13</v>
      </c>
      <c r="Q383" s="157">
        <v>100</v>
      </c>
      <c r="R383" s="109" t="s">
        <v>548</v>
      </c>
      <c r="S383" s="110">
        <v>58152.36</v>
      </c>
      <c r="T383" s="93">
        <v>26972.79</v>
      </c>
      <c r="U383" s="141"/>
      <c r="V383" s="158">
        <f t="shared" si="217"/>
        <v>0</v>
      </c>
      <c r="W383" s="159">
        <v>45693.677777777775</v>
      </c>
      <c r="X383" s="159">
        <v>45700.43472222222</v>
      </c>
      <c r="Y383" s="160">
        <v>45698</v>
      </c>
      <c r="Z383" s="470"/>
      <c r="AA383" s="470">
        <v>45744</v>
      </c>
      <c r="AB383" s="470"/>
      <c r="AC383" s="161">
        <f t="shared" si="218"/>
        <v>50.322222222224809</v>
      </c>
      <c r="AD383" s="161">
        <f t="shared" si="246"/>
        <v>43.565277777779556</v>
      </c>
      <c r="AE383" s="446">
        <f t="shared" si="241"/>
        <v>-45744</v>
      </c>
      <c r="AF383" s="160">
        <f t="shared" si="247"/>
        <v>45711.752157943061</v>
      </c>
      <c r="AG383" s="160">
        <f t="shared" si="244"/>
        <v>45720.371992653811</v>
      </c>
      <c r="AH383" s="159">
        <f t="shared" si="248"/>
        <v>45743.677777777775</v>
      </c>
      <c r="AI383" s="162">
        <f t="shared" si="219"/>
        <v>1.7908790849674121</v>
      </c>
      <c r="AJ383" s="224">
        <f t="shared" si="249"/>
        <v>-762.4</v>
      </c>
      <c r="AK383" s="225">
        <f t="shared" si="220"/>
        <v>20</v>
      </c>
      <c r="AL383" s="170">
        <f t="shared" si="221"/>
        <v>34</v>
      </c>
      <c r="AM383" s="170">
        <f t="shared" si="222"/>
        <v>21.074380165289259</v>
      </c>
      <c r="AN383" s="170">
        <f t="shared" si="223"/>
        <v>26.694214876033058</v>
      </c>
      <c r="AO383" s="226">
        <f t="shared" si="224"/>
        <v>18.074380165289259</v>
      </c>
      <c r="AP383" s="227">
        <v>60</v>
      </c>
      <c r="AQ383" s="228">
        <f t="shared" si="225"/>
        <v>57</v>
      </c>
      <c r="AR383" s="228">
        <f t="shared" si="245"/>
        <v>52</v>
      </c>
      <c r="AS383" s="229">
        <f t="shared" si="226"/>
        <v>45804</v>
      </c>
      <c r="AT383" s="982">
        <f t="shared" ca="1" si="227"/>
        <v>151</v>
      </c>
      <c r="AU383" s="50"/>
      <c r="AV383" s="51"/>
      <c r="AW383" s="49"/>
      <c r="AX383" s="49"/>
      <c r="AY383" s="49"/>
      <c r="AZ383" s="300"/>
      <c r="BA383" s="52"/>
      <c r="BB383" s="304"/>
      <c r="BC383" s="231" t="s">
        <v>12</v>
      </c>
      <c r="BD383" s="232"/>
      <c r="BE383" s="222">
        <f t="shared" si="242"/>
        <v>45759</v>
      </c>
      <c r="BF383" s="233" t="e">
        <f t="shared" si="250"/>
        <v>#VALUE!</v>
      </c>
      <c r="BG383" s="248"/>
      <c r="BH383" s="235"/>
      <c r="BI383" s="234"/>
      <c r="BJ383" s="236"/>
      <c r="BK383" s="222"/>
      <c r="BL383" s="222"/>
      <c r="BM383" s="238"/>
      <c r="BN383" s="222"/>
      <c r="BO383" s="222"/>
      <c r="BP383" s="243"/>
      <c r="BQ383" s="244"/>
      <c r="BR383" s="238"/>
      <c r="BS383" s="67"/>
      <c r="BT383" s="66"/>
      <c r="BU383" s="66"/>
      <c r="BV383" s="66"/>
      <c r="BW383" s="74"/>
      <c r="BX383" s="81"/>
      <c r="BY383" s="66" t="s">
        <v>308</v>
      </c>
      <c r="BZ383" s="944"/>
      <c r="CA383" s="42" t="str">
        <f t="shared" si="228"/>
        <v>0</v>
      </c>
      <c r="CB383" s="62">
        <f t="shared" si="229"/>
        <v>50.322222222224809</v>
      </c>
      <c r="CC383" s="42">
        <f t="shared" si="230"/>
        <v>0</v>
      </c>
      <c r="CD383" s="62">
        <f t="shared" si="231"/>
        <v>50.322222222224809</v>
      </c>
      <c r="CE383" s="62">
        <f t="shared" si="232"/>
        <v>1.7908790849674121</v>
      </c>
      <c r="CF383" s="145">
        <f t="shared" si="233"/>
        <v>125</v>
      </c>
      <c r="CG383" s="145"/>
      <c r="CH383" s="443">
        <f t="shared" si="234"/>
        <v>6.2394084967321177</v>
      </c>
      <c r="CI383" s="996">
        <f t="shared" si="235"/>
        <v>6.2394084967321177</v>
      </c>
      <c r="CJ383" s="261">
        <f t="shared" si="236"/>
        <v>2.0833333333333335</v>
      </c>
      <c r="CK383" s="458" t="str">
        <f t="shared" si="237"/>
        <v/>
      </c>
      <c r="CL383" t="str">
        <f t="shared" si="238"/>
        <v>NON-REV</v>
      </c>
      <c r="CM383" t="str">
        <f t="shared" si="239"/>
        <v/>
      </c>
      <c r="CN383" s="635"/>
      <c r="CO383" s="631"/>
      <c r="CP383" s="629" t="str">
        <f t="shared" si="216"/>
        <v>FOR ISSUANCE</v>
      </c>
      <c r="CQ383" s="635"/>
      <c r="CR383" s="697"/>
      <c r="CS383" s="633" t="str">
        <f t="shared" ca="1" si="240"/>
        <v>0</v>
      </c>
      <c r="CT383" s="635"/>
      <c r="CU383" s="631"/>
      <c r="CV383" s="638"/>
      <c r="CW383" s="156" t="s">
        <v>2313</v>
      </c>
      <c r="CX383" s="156" t="str">
        <f>VLOOKUP(E383,'[1]List of Work Orders'!$A:$I,9,FALSE)</f>
        <v>ME166067</v>
      </c>
      <c r="CY383" s="156"/>
      <c r="DA383" s="762">
        <f t="shared" si="243"/>
        <v>6.7569444444452529</v>
      </c>
      <c r="DS383" s="156" t="s">
        <v>381</v>
      </c>
    </row>
    <row r="384" spans="1:123" customFormat="1" ht="15" customHeight="1" x14ac:dyDescent="0.25">
      <c r="A384" s="242">
        <v>45751</v>
      </c>
      <c r="B384" s="222">
        <v>45699</v>
      </c>
      <c r="C384" s="223"/>
      <c r="D384" s="66" t="s">
        <v>320</v>
      </c>
      <c r="E384" s="404" t="s">
        <v>2314</v>
      </c>
      <c r="F384" s="95" t="s">
        <v>2315</v>
      </c>
      <c r="G384" s="95" t="s">
        <v>2316</v>
      </c>
      <c r="H384" s="95" t="s">
        <v>269</v>
      </c>
      <c r="I384" s="95" t="s">
        <v>239</v>
      </c>
      <c r="J384" s="163"/>
      <c r="K384" s="101"/>
      <c r="L384" s="101" t="s">
        <v>263</v>
      </c>
      <c r="M384" s="345" t="s">
        <v>331</v>
      </c>
      <c r="N384" s="442" t="s">
        <v>467</v>
      </c>
      <c r="O384" s="165">
        <v>281.947</v>
      </c>
      <c r="P384" s="165">
        <v>740.63</v>
      </c>
      <c r="Q384" s="157">
        <v>63.1</v>
      </c>
      <c r="R384" s="109" t="s">
        <v>548</v>
      </c>
      <c r="S384" s="110">
        <v>1339954.29</v>
      </c>
      <c r="T384" s="93">
        <v>300056.58</v>
      </c>
      <c r="U384" s="141"/>
      <c r="V384" s="158">
        <f t="shared" si="217"/>
        <v>0</v>
      </c>
      <c r="W384" s="159">
        <v>45694</v>
      </c>
      <c r="X384" s="159">
        <v>45700.4375</v>
      </c>
      <c r="Y384" s="160">
        <v>45698</v>
      </c>
      <c r="Z384" s="470"/>
      <c r="AA384" s="470"/>
      <c r="AB384" s="470"/>
      <c r="AC384" s="161">
        <f t="shared" si="218"/>
        <v>-45694</v>
      </c>
      <c r="AD384" s="161">
        <f t="shared" si="246"/>
        <v>-45700.4375</v>
      </c>
      <c r="AE384" s="446">
        <f t="shared" si="241"/>
        <v>0</v>
      </c>
      <c r="AF384" s="160">
        <f t="shared" si="247"/>
        <v>45717.701570680627</v>
      </c>
      <c r="AG384" s="160">
        <f t="shared" si="244"/>
        <v>45727.821989528798</v>
      </c>
      <c r="AH384" s="159">
        <f t="shared" si="248"/>
        <v>45744</v>
      </c>
      <c r="AI384" s="162">
        <f t="shared" si="219"/>
        <v>-1283.4638235294117</v>
      </c>
      <c r="AJ384" s="224">
        <f t="shared" si="249"/>
        <v>0</v>
      </c>
      <c r="AK384" s="225">
        <f t="shared" si="220"/>
        <v>40</v>
      </c>
      <c r="AL384" s="170">
        <f t="shared" si="221"/>
        <v>34</v>
      </c>
      <c r="AM384" s="170">
        <f t="shared" si="222"/>
        <v>26.701570680628272</v>
      </c>
      <c r="AN384" s="170">
        <f t="shared" si="223"/>
        <v>33.821989528795811</v>
      </c>
      <c r="AO384" s="226">
        <f t="shared" si="224"/>
        <v>23.701570680628272</v>
      </c>
      <c r="AP384" s="227">
        <v>60</v>
      </c>
      <c r="AQ384" s="228">
        <f t="shared" si="225"/>
        <v>57</v>
      </c>
      <c r="AR384" s="228">
        <f t="shared" si="245"/>
        <v>52</v>
      </c>
      <c r="AS384" s="229">
        <f t="shared" si="226"/>
        <v>60</v>
      </c>
      <c r="AT384" s="982">
        <f t="shared" ca="1" si="227"/>
        <v>45895</v>
      </c>
      <c r="AU384" s="50"/>
      <c r="AV384" s="51"/>
      <c r="AW384" s="49"/>
      <c r="AX384" s="49"/>
      <c r="AY384" s="49"/>
      <c r="AZ384" s="300"/>
      <c r="BA384" s="52"/>
      <c r="BB384" s="304"/>
      <c r="BC384" s="231"/>
      <c r="BD384" s="232"/>
      <c r="BE384" s="222">
        <f t="shared" si="242"/>
        <v>15</v>
      </c>
      <c r="BF384" s="233">
        <f t="shared" si="250"/>
        <v>0</v>
      </c>
      <c r="BG384" s="248"/>
      <c r="BH384" s="235"/>
      <c r="BI384" s="234"/>
      <c r="BJ384" s="236"/>
      <c r="BK384" s="222"/>
      <c r="BL384" s="222"/>
      <c r="BM384" s="238"/>
      <c r="BN384" s="222"/>
      <c r="BO384" s="222"/>
      <c r="BP384" s="243"/>
      <c r="BQ384" s="244"/>
      <c r="BR384" s="238"/>
      <c r="BS384" s="67"/>
      <c r="BT384" s="66"/>
      <c r="BU384" s="66"/>
      <c r="BV384" s="66"/>
      <c r="BW384" s="74"/>
      <c r="BX384" s="81"/>
      <c r="BY384" s="66">
        <v>45754</v>
      </c>
      <c r="BZ384" s="944" t="s">
        <v>2317</v>
      </c>
      <c r="CA384" s="42" t="str">
        <f t="shared" si="228"/>
        <v>0</v>
      </c>
      <c r="CB384" s="62">
        <f t="shared" si="229"/>
        <v>-45694</v>
      </c>
      <c r="CC384" s="42">
        <f t="shared" si="230"/>
        <v>0</v>
      </c>
      <c r="CD384" s="62">
        <f t="shared" si="231"/>
        <v>-45694</v>
      </c>
      <c r="CE384" s="62">
        <f t="shared" si="232"/>
        <v>-1283.4638235294117</v>
      </c>
      <c r="CF384" s="145" t="str">
        <f t="shared" si="233"/>
        <v>0</v>
      </c>
      <c r="CG384" s="145"/>
      <c r="CH384" s="443">
        <f t="shared" si="234"/>
        <v>4.9154411764705888</v>
      </c>
      <c r="CI384" s="996">
        <f t="shared" si="235"/>
        <v>4.9154411764705888</v>
      </c>
      <c r="CJ384" s="261">
        <f t="shared" si="236"/>
        <v>0</v>
      </c>
      <c r="CK384" s="458">
        <f t="shared" si="237"/>
        <v>162</v>
      </c>
      <c r="CL384" t="str">
        <f t="shared" si="238"/>
        <v>NON-REV</v>
      </c>
      <c r="CM384" t="str">
        <f t="shared" si="239"/>
        <v>4-6 MONTHS</v>
      </c>
      <c r="CN384" s="635"/>
      <c r="CO384" s="631"/>
      <c r="CP384" s="629" t="str">
        <f t="shared" si="216"/>
        <v>FOR ISSUANCE</v>
      </c>
      <c r="CQ384" s="635"/>
      <c r="CR384" s="697"/>
      <c r="CS384" s="633" t="str">
        <f t="shared" ca="1" si="240"/>
        <v>0</v>
      </c>
      <c r="CT384" s="635"/>
      <c r="CU384" s="631"/>
      <c r="CV384" s="638"/>
      <c r="CW384" s="156" t="s">
        <v>2318</v>
      </c>
      <c r="CX384" s="156" t="str">
        <f>VLOOKUP(E384,'[1]List of Work Orders'!$A:$I,9,FALSE)</f>
        <v>ME155242</v>
      </c>
      <c r="CY384" s="156"/>
      <c r="DA384" s="762">
        <f t="shared" si="243"/>
        <v>6.4375</v>
      </c>
      <c r="DS384" s="156" t="s">
        <v>403</v>
      </c>
    </row>
    <row r="385" spans="1:123" customFormat="1" ht="15" customHeight="1" x14ac:dyDescent="0.25">
      <c r="A385" s="242">
        <v>45709</v>
      </c>
      <c r="B385" s="222">
        <v>45699</v>
      </c>
      <c r="C385" s="223"/>
      <c r="D385" s="66" t="s">
        <v>320</v>
      </c>
      <c r="E385" s="404" t="s">
        <v>2319</v>
      </c>
      <c r="F385" s="95" t="s">
        <v>1532</v>
      </c>
      <c r="G385" s="95" t="s">
        <v>1533</v>
      </c>
      <c r="H385" s="454" t="s">
        <v>378</v>
      </c>
      <c r="I385" s="95" t="s">
        <v>239</v>
      </c>
      <c r="J385" s="163"/>
      <c r="K385" s="101"/>
      <c r="L385" s="101" t="s">
        <v>288</v>
      </c>
      <c r="M385" s="345" t="s">
        <v>272</v>
      </c>
      <c r="N385" s="442" t="s">
        <v>381</v>
      </c>
      <c r="O385" s="165">
        <v>59.174999999999997</v>
      </c>
      <c r="P385" s="933">
        <v>151.12</v>
      </c>
      <c r="Q385" s="157">
        <v>15</v>
      </c>
      <c r="R385" s="109" t="s">
        <v>244</v>
      </c>
      <c r="S385" s="110">
        <v>344593.38</v>
      </c>
      <c r="T385" s="93">
        <v>58274.76</v>
      </c>
      <c r="U385" s="141"/>
      <c r="V385" s="158">
        <f t="shared" si="217"/>
        <v>0</v>
      </c>
      <c r="W385" s="159">
        <v>45694</v>
      </c>
      <c r="X385" s="159">
        <v>45700.439583333333</v>
      </c>
      <c r="Y385" s="160">
        <v>45698</v>
      </c>
      <c r="Z385" s="470"/>
      <c r="AA385" s="470">
        <v>45715</v>
      </c>
      <c r="AB385" s="470"/>
      <c r="AC385" s="161">
        <f t="shared" si="218"/>
        <v>21</v>
      </c>
      <c r="AD385" s="161">
        <f t="shared" si="246"/>
        <v>14.560416666667152</v>
      </c>
      <c r="AE385" s="446">
        <f t="shared" si="241"/>
        <v>-45715</v>
      </c>
      <c r="AF385" s="160">
        <f t="shared" si="247"/>
        <v>45715.206896551725</v>
      </c>
      <c r="AG385" s="160">
        <f t="shared" si="244"/>
        <v>45724.662068965517</v>
      </c>
      <c r="AH385" s="159">
        <f t="shared" si="248"/>
        <v>45744</v>
      </c>
      <c r="AI385" s="162">
        <f t="shared" si="219"/>
        <v>0.65064102564102566</v>
      </c>
      <c r="AJ385" s="224">
        <f t="shared" si="249"/>
        <v>-761.91666666666663</v>
      </c>
      <c r="AK385" s="225">
        <f t="shared" si="220"/>
        <v>26</v>
      </c>
      <c r="AL385" s="170">
        <f t="shared" si="221"/>
        <v>36</v>
      </c>
      <c r="AM385" s="170">
        <f t="shared" si="222"/>
        <v>24.206896551724139</v>
      </c>
      <c r="AN385" s="170">
        <f t="shared" si="223"/>
        <v>30.662068965517239</v>
      </c>
      <c r="AO385" s="226">
        <f t="shared" si="224"/>
        <v>21.206896551724139</v>
      </c>
      <c r="AP385" s="227">
        <v>60</v>
      </c>
      <c r="AQ385" s="228">
        <f t="shared" si="225"/>
        <v>57</v>
      </c>
      <c r="AR385" s="228">
        <f t="shared" si="245"/>
        <v>52</v>
      </c>
      <c r="AS385" s="229">
        <f t="shared" si="226"/>
        <v>45775</v>
      </c>
      <c r="AT385" s="982">
        <f t="shared" ca="1" si="227"/>
        <v>180</v>
      </c>
      <c r="AU385" s="50"/>
      <c r="AV385" s="51"/>
      <c r="AW385" s="49"/>
      <c r="AX385" s="49"/>
      <c r="AY385" s="49"/>
      <c r="AZ385" s="300"/>
      <c r="BA385" s="52"/>
      <c r="BB385" s="304"/>
      <c r="BC385" s="231" t="s">
        <v>13</v>
      </c>
      <c r="BD385" s="247" t="s">
        <v>2320</v>
      </c>
      <c r="BE385" s="222">
        <f t="shared" si="242"/>
        <v>45730</v>
      </c>
      <c r="BF385" s="233" t="e">
        <f t="shared" si="250"/>
        <v>#VALUE!</v>
      </c>
      <c r="BG385" s="248"/>
      <c r="BH385" s="235"/>
      <c r="BI385" s="234"/>
      <c r="BJ385" s="236"/>
      <c r="BK385" s="222"/>
      <c r="BL385" s="222"/>
      <c r="BM385" s="238"/>
      <c r="BN385" s="222"/>
      <c r="BO385" s="222"/>
      <c r="BP385" s="243"/>
      <c r="BQ385" s="244"/>
      <c r="BR385" s="238"/>
      <c r="BS385" s="67"/>
      <c r="BT385" s="66"/>
      <c r="BU385" s="66"/>
      <c r="BV385" s="66"/>
      <c r="BW385" s="74"/>
      <c r="BX385" s="81"/>
      <c r="BY385" s="66">
        <v>45709</v>
      </c>
      <c r="BZ385" s="944" t="s">
        <v>2321</v>
      </c>
      <c r="CA385" s="42" t="str">
        <f t="shared" si="228"/>
        <v>0</v>
      </c>
      <c r="CB385" s="62">
        <f t="shared" si="229"/>
        <v>21</v>
      </c>
      <c r="CC385" s="42">
        <f t="shared" si="230"/>
        <v>0</v>
      </c>
      <c r="CD385" s="62">
        <f t="shared" si="231"/>
        <v>21</v>
      </c>
      <c r="CE385" s="62">
        <f t="shared" si="232"/>
        <v>0.65064102564102566</v>
      </c>
      <c r="CF385" s="145">
        <f t="shared" si="233"/>
        <v>154</v>
      </c>
      <c r="CG385" s="145"/>
      <c r="CH385" s="443">
        <f t="shared" si="234"/>
        <v>5.4220085470085468</v>
      </c>
      <c r="CI385" s="996">
        <f t="shared" si="235"/>
        <v>5.4220085470085468</v>
      </c>
      <c r="CJ385" s="261">
        <f t="shared" si="236"/>
        <v>2.5666666666666669</v>
      </c>
      <c r="CK385" s="458" t="str">
        <f t="shared" si="237"/>
        <v/>
      </c>
      <c r="CL385" t="str">
        <f t="shared" si="238"/>
        <v>REV</v>
      </c>
      <c r="CM385" t="str">
        <f t="shared" si="239"/>
        <v/>
      </c>
      <c r="CN385" s="635"/>
      <c r="CO385" s="631"/>
      <c r="CP385" s="629" t="str">
        <f t="shared" ref="CP385:CP448" si="251">IF(CQ385,"NTC ISSUED","FOR ISSUANCE")</f>
        <v>FOR ISSUANCE</v>
      </c>
      <c r="CQ385" s="635"/>
      <c r="CR385" s="697"/>
      <c r="CS385" s="633" t="str">
        <f t="shared" ca="1" si="240"/>
        <v>0</v>
      </c>
      <c r="CT385" s="635"/>
      <c r="CU385" s="631"/>
      <c r="CV385" s="638"/>
      <c r="CW385" s="156" t="s">
        <v>2322</v>
      </c>
      <c r="CX385" s="156" t="str">
        <f>VLOOKUP(E385,'[1]List of Work Orders'!$A:$I,9,FALSE)</f>
        <v>ME185284</v>
      </c>
      <c r="CY385" s="156"/>
      <c r="DA385" s="762">
        <f t="shared" si="243"/>
        <v>6.4395833333328483</v>
      </c>
      <c r="DS385" s="156" t="s">
        <v>403</v>
      </c>
    </row>
    <row r="386" spans="1:123" customFormat="1" ht="15" customHeight="1" x14ac:dyDescent="0.25">
      <c r="A386" s="242">
        <v>45705</v>
      </c>
      <c r="B386" s="222">
        <v>45699</v>
      </c>
      <c r="C386" s="223"/>
      <c r="D386" s="66" t="s">
        <v>234</v>
      </c>
      <c r="E386" s="404" t="s">
        <v>2323</v>
      </c>
      <c r="F386" s="95" t="s">
        <v>2324</v>
      </c>
      <c r="G386" s="95" t="s">
        <v>237</v>
      </c>
      <c r="H386" s="95" t="s">
        <v>238</v>
      </c>
      <c r="I386" s="95" t="s">
        <v>239</v>
      </c>
      <c r="J386" s="163"/>
      <c r="K386" s="101"/>
      <c r="L386" s="101" t="s">
        <v>263</v>
      </c>
      <c r="M386" s="345" t="s">
        <v>272</v>
      </c>
      <c r="N386" s="442" t="s">
        <v>467</v>
      </c>
      <c r="O386" s="165">
        <v>198.17739999999998</v>
      </c>
      <c r="P386" s="933">
        <v>396.26</v>
      </c>
      <c r="Q386" s="157">
        <v>838</v>
      </c>
      <c r="R386" s="109" t="s">
        <v>244</v>
      </c>
      <c r="S386" s="110">
        <v>2855707.96</v>
      </c>
      <c r="T386" s="93">
        <v>318164.19</v>
      </c>
      <c r="U386" s="141"/>
      <c r="V386" s="158">
        <f t="shared" si="217"/>
        <v>0</v>
      </c>
      <c r="W386" s="159">
        <v>45694.31527777778</v>
      </c>
      <c r="X386" s="159">
        <v>45699.724305555559</v>
      </c>
      <c r="Y386" s="160">
        <v>45698</v>
      </c>
      <c r="Z386" s="470"/>
      <c r="AA386" s="470">
        <v>45736</v>
      </c>
      <c r="AB386" s="470"/>
      <c r="AC386" s="161">
        <f t="shared" si="218"/>
        <v>41.684722222220444</v>
      </c>
      <c r="AD386" s="161">
        <f t="shared" si="246"/>
        <v>36.275694444440887</v>
      </c>
      <c r="AE386" s="446">
        <f t="shared" si="241"/>
        <v>-45736</v>
      </c>
      <c r="AF386" s="160">
        <f t="shared" si="247"/>
        <v>45709.863664874552</v>
      </c>
      <c r="AG386" s="160">
        <f t="shared" si="244"/>
        <v>45717.809901433691</v>
      </c>
      <c r="AH386" s="159">
        <f t="shared" si="248"/>
        <v>45744.31527777778</v>
      </c>
      <c r="AI386" s="162">
        <f t="shared" si="219"/>
        <v>1.6855126811593482</v>
      </c>
      <c r="AJ386" s="224">
        <f t="shared" si="249"/>
        <v>-762.26666666666665</v>
      </c>
      <c r="AK386" s="225">
        <f t="shared" si="220"/>
        <v>30</v>
      </c>
      <c r="AL386" s="170">
        <f t="shared" si="221"/>
        <v>23</v>
      </c>
      <c r="AM386" s="170">
        <f t="shared" si="222"/>
        <v>18.548387096774192</v>
      </c>
      <c r="AN386" s="170">
        <f t="shared" si="223"/>
        <v>23.494623655913976</v>
      </c>
      <c r="AO386" s="226">
        <f t="shared" si="224"/>
        <v>15.548387096774192</v>
      </c>
      <c r="AP386" s="227">
        <v>60</v>
      </c>
      <c r="AQ386" s="228">
        <f t="shared" si="225"/>
        <v>57</v>
      </c>
      <c r="AR386" s="228">
        <f t="shared" si="245"/>
        <v>52</v>
      </c>
      <c r="AS386" s="229">
        <f t="shared" si="226"/>
        <v>45796</v>
      </c>
      <c r="AT386" s="982">
        <f t="shared" ca="1" si="227"/>
        <v>159</v>
      </c>
      <c r="AU386" s="50"/>
      <c r="AV386" s="51"/>
      <c r="AW386" s="49"/>
      <c r="AX386" s="49"/>
      <c r="AY386" s="49"/>
      <c r="AZ386" s="300"/>
      <c r="BA386" s="52"/>
      <c r="BB386" s="304"/>
      <c r="BC386" s="231" t="s">
        <v>13</v>
      </c>
      <c r="BD386" s="907"/>
      <c r="BE386" s="222">
        <f t="shared" si="242"/>
        <v>45751</v>
      </c>
      <c r="BF386" s="233" t="e">
        <f t="shared" si="250"/>
        <v>#VALUE!</v>
      </c>
      <c r="BG386" s="248"/>
      <c r="BH386" s="235"/>
      <c r="BI386" s="234"/>
      <c r="BJ386" s="236"/>
      <c r="BK386" s="222"/>
      <c r="BL386" s="222"/>
      <c r="BM386" s="238"/>
      <c r="BN386" s="222"/>
      <c r="BO386" s="222"/>
      <c r="BP386" s="243"/>
      <c r="BQ386" s="244"/>
      <c r="BR386" s="238"/>
      <c r="BS386" s="67"/>
      <c r="BT386" s="66"/>
      <c r="BU386" s="66"/>
      <c r="BV386" s="66"/>
      <c r="BW386" s="74"/>
      <c r="BX386" s="81"/>
      <c r="BY386" s="66">
        <v>45705</v>
      </c>
      <c r="BZ386" s="947" t="s">
        <v>2325</v>
      </c>
      <c r="CA386" s="42" t="str">
        <f t="shared" si="228"/>
        <v>0</v>
      </c>
      <c r="CB386" s="62">
        <f t="shared" si="229"/>
        <v>41.684722222220444</v>
      </c>
      <c r="CC386" s="42">
        <f t="shared" si="230"/>
        <v>0</v>
      </c>
      <c r="CD386" s="62">
        <f t="shared" si="231"/>
        <v>41.684722222220444</v>
      </c>
      <c r="CE386" s="62">
        <f t="shared" si="232"/>
        <v>1.6855126811593482</v>
      </c>
      <c r="CF386" s="145">
        <f t="shared" si="233"/>
        <v>133</v>
      </c>
      <c r="CG386" s="145"/>
      <c r="CH386" s="443">
        <f t="shared" si="234"/>
        <v>7.0633387681158695</v>
      </c>
      <c r="CI386" s="996">
        <f t="shared" si="235"/>
        <v>7.0633387681158695</v>
      </c>
      <c r="CJ386" s="261">
        <f t="shared" si="236"/>
        <v>2.2166666666666668</v>
      </c>
      <c r="CK386" s="458" t="str">
        <f t="shared" si="237"/>
        <v/>
      </c>
      <c r="CL386" t="str">
        <f t="shared" si="238"/>
        <v>REV</v>
      </c>
      <c r="CM386" t="str">
        <f t="shared" si="239"/>
        <v/>
      </c>
      <c r="CN386" s="635"/>
      <c r="CO386" s="631"/>
      <c r="CP386" s="629" t="str">
        <f t="shared" si="251"/>
        <v>FOR ISSUANCE</v>
      </c>
      <c r="CQ386" s="635"/>
      <c r="CR386" s="697"/>
      <c r="CS386" s="633" t="str">
        <f t="shared" ca="1" si="240"/>
        <v>0</v>
      </c>
      <c r="CT386" s="635"/>
      <c r="CU386" s="631"/>
      <c r="CV386" s="638"/>
      <c r="CW386" s="156" t="s">
        <v>2326</v>
      </c>
      <c r="CX386" s="156" t="str">
        <f>VLOOKUP(E386,'[1]List of Work Orders'!$A:$I,9,FALSE)</f>
        <v>ME155242</v>
      </c>
      <c r="CY386" s="156"/>
      <c r="DA386" s="762">
        <f t="shared" si="243"/>
        <v>5.4090277777795563</v>
      </c>
      <c r="DS386" s="156" t="s">
        <v>2238</v>
      </c>
    </row>
    <row r="387" spans="1:123" customFormat="1" ht="15" customHeight="1" x14ac:dyDescent="0.25">
      <c r="A387" s="242"/>
      <c r="B387" s="222"/>
      <c r="C387" s="223"/>
      <c r="D387" s="66" t="s">
        <v>284</v>
      </c>
      <c r="E387" s="404" t="s">
        <v>2327</v>
      </c>
      <c r="F387" s="155" t="s">
        <v>2272</v>
      </c>
      <c r="G387" s="95" t="s">
        <v>2226</v>
      </c>
      <c r="H387" s="95" t="s">
        <v>238</v>
      </c>
      <c r="I387" s="95" t="s">
        <v>239</v>
      </c>
      <c r="J387" s="163"/>
      <c r="K387" s="101"/>
      <c r="L387" s="101" t="s">
        <v>1945</v>
      </c>
      <c r="M387" s="345" t="s">
        <v>256</v>
      </c>
      <c r="N387" s="442" t="s">
        <v>1946</v>
      </c>
      <c r="O387" s="165">
        <v>7.46</v>
      </c>
      <c r="P387" s="933">
        <v>7.46</v>
      </c>
      <c r="Q387" s="157" t="s">
        <v>2021</v>
      </c>
      <c r="R387" s="109" t="s">
        <v>319</v>
      </c>
      <c r="S387" s="110">
        <v>17390.27</v>
      </c>
      <c r="T387" s="93">
        <v>16969.79</v>
      </c>
      <c r="U387" s="141"/>
      <c r="V387" s="158">
        <f t="shared" ref="V387:V450" si="252">U387/T387</f>
        <v>0</v>
      </c>
      <c r="W387" s="159">
        <v>45694.374305555553</v>
      </c>
      <c r="X387" s="159">
        <v>45694.374305555553</v>
      </c>
      <c r="Y387" s="160">
        <v>45698</v>
      </c>
      <c r="Z387" s="470"/>
      <c r="AA387" s="470">
        <v>45699</v>
      </c>
      <c r="AB387" s="470">
        <v>45811.361111111109</v>
      </c>
      <c r="AC387" s="161">
        <f t="shared" ref="AC387:AC450" si="253">AA387-W387</f>
        <v>4.6256944444467081</v>
      </c>
      <c r="AD387" s="161">
        <f t="shared" si="246"/>
        <v>4.6256944444467081</v>
      </c>
      <c r="AE387" s="446">
        <f t="shared" si="241"/>
        <v>112.36111111110949</v>
      </c>
      <c r="AF387" s="160">
        <f t="shared" si="247"/>
        <v>45706.374305555553</v>
      </c>
      <c r="AG387" s="160">
        <f t="shared" si="244"/>
        <v>45713.374305555553</v>
      </c>
      <c r="AH387" s="159">
        <f t="shared" si="248"/>
        <v>45744.374305555553</v>
      </c>
      <c r="AI387" s="162">
        <f t="shared" ref="AI387:AI450" si="254" xml:space="preserve"> (0.3)*(AC387/AK387)+(0.7)*(AC387/AL387)</f>
        <v>0.2312847222223354</v>
      </c>
      <c r="AJ387" s="224">
        <f t="shared" si="249"/>
        <v>1.8726851851851583</v>
      </c>
      <c r="AK387" s="225">
        <f t="shared" ref="AK387:AK450" si="255">IF(P387&lt;51,20,(IF(P387&lt;101,23,(IF(P387&lt;201,26,IF(P387&lt;301,28,IF(P387&lt;401,30,(IF(P387&lt;501,32,(IF(P387&lt;1001,40,50)))))))))))</f>
        <v>20</v>
      </c>
      <c r="AL387" s="170">
        <f t="shared" ref="AL387:AL450" si="256">IF(Q387&lt;51,36,(IF(Q387&lt;101,34,(IF(Q387&lt;201,32,IF(Q387&lt;301,30,IF(Q387&lt;401,28,(IF(Q387&lt;501,26,(IF(Q387&lt;1001,23,20)))))))))))</f>
        <v>20</v>
      </c>
      <c r="AM387" s="170">
        <f t="shared" ref="AM387:AM450" si="257">(0.75)/((0.3/AK387)+(0.7/AL387))</f>
        <v>15.000000000000002</v>
      </c>
      <c r="AN387" s="170">
        <f t="shared" ref="AN387:AN450" si="258">(0.95)/((0.3/AK387)+(0.7/AL387))</f>
        <v>19</v>
      </c>
      <c r="AO387" s="226">
        <f t="shared" ref="AO387:AO450" si="259">AM387-3</f>
        <v>12.000000000000002</v>
      </c>
      <c r="AP387" s="227">
        <v>60</v>
      </c>
      <c r="AQ387" s="228">
        <f t="shared" ref="AQ387:AQ450" si="260">0.95*AP387</f>
        <v>57</v>
      </c>
      <c r="AR387" s="228">
        <f t="shared" si="245"/>
        <v>52</v>
      </c>
      <c r="AS387" s="229">
        <f t="shared" ref="AS387:AS450" si="261">AA387+AP387</f>
        <v>45759</v>
      </c>
      <c r="AT387" s="982">
        <f t="shared" ref="AT387:AT450" ca="1" si="262">IFERROR(TODAY()-AA387,"")</f>
        <v>196</v>
      </c>
      <c r="AU387" s="50"/>
      <c r="AV387" s="51"/>
      <c r="AW387" s="49"/>
      <c r="AX387" s="49"/>
      <c r="AY387" s="49"/>
      <c r="AZ387" s="300"/>
      <c r="BA387" s="52"/>
      <c r="BB387" s="304"/>
      <c r="BC387" s="231" t="s">
        <v>12</v>
      </c>
      <c r="BD387" s="247" t="s">
        <v>2328</v>
      </c>
      <c r="BE387" s="222">
        <f t="shared" si="242"/>
        <v>45714</v>
      </c>
      <c r="BF387" s="233" t="e">
        <f t="shared" si="250"/>
        <v>#VALUE!</v>
      </c>
      <c r="BG387" s="248"/>
      <c r="BH387" s="235"/>
      <c r="BI387" s="234"/>
      <c r="BJ387" s="236"/>
      <c r="BK387" s="222"/>
      <c r="BL387" s="222"/>
      <c r="BM387" s="238"/>
      <c r="BN387" s="222"/>
      <c r="BO387" s="222"/>
      <c r="BP387" s="243"/>
      <c r="BQ387" s="244"/>
      <c r="BR387" s="238"/>
      <c r="BS387" s="67"/>
      <c r="BT387" s="66"/>
      <c r="BU387" s="66"/>
      <c r="BV387" s="66"/>
      <c r="BW387" s="74"/>
      <c r="BX387" s="81"/>
      <c r="BY387" s="66"/>
      <c r="BZ387" s="944"/>
      <c r="CA387" s="42" t="str">
        <f t="shared" ref="CA387:CA450" si="263">IF(AY387="Y",BA387,"0")</f>
        <v>0</v>
      </c>
      <c r="CB387" s="62">
        <f t="shared" ref="CB387:CB450" si="264">AC387-CA387</f>
        <v>4.6256944444467081</v>
      </c>
      <c r="CC387" s="42">
        <f t="shared" ref="CC387:CC450" si="265">BA387</f>
        <v>0</v>
      </c>
      <c r="CD387" s="62">
        <f t="shared" ref="CD387:CD450" si="266">AC387-BA387</f>
        <v>4.6256944444467081</v>
      </c>
      <c r="CE387" s="62">
        <f t="shared" ref="CE387:CE450" si="267" xml:space="preserve"> (0.3)*(CD387/AK387)+(0.7)*(CD387/AL387)</f>
        <v>0.2312847222223354</v>
      </c>
      <c r="CF387" s="145">
        <f t="shared" ref="CF387:CF450" si="268">IF(AA387="","0",$CF$1-AA387)</f>
        <v>170</v>
      </c>
      <c r="CG387" s="145"/>
      <c r="CH387" s="443">
        <f t="shared" ref="CH387:CH450" si="269" xml:space="preserve"> (0.3)*(($CF$1-W387)/AK387)+(0.7)*(($CF$1-W387)/AL387)</f>
        <v>8.731284722222334</v>
      </c>
      <c r="CI387" s="996">
        <f t="shared" ref="CI387:CI450" si="270">CH387-CG387</f>
        <v>8.731284722222334</v>
      </c>
      <c r="CJ387" s="261">
        <f t="shared" ref="CJ387:CJ450" si="271">CF387/AP387</f>
        <v>2.8333333333333335</v>
      </c>
      <c r="CK387" s="458" t="str">
        <f t="shared" ref="CK387:CK450" si="272">IF(AA387&gt;0,"",$CK$1-W387)</f>
        <v/>
      </c>
      <c r="CL387" t="str">
        <f t="shared" ref="CL387:CL450" si="273">IF(R387="NEW","REV","NON-REV")</f>
        <v>NON-REV</v>
      </c>
      <c r="CM387" t="str">
        <f t="shared" ref="CM387:CM450" si="274">IF(CK387="","",IF(CK387&lt;91,"0-3 MONTHS",(IF(CK387&lt;181,"4-6 MONTHS",(IF(CK387&lt;271,"7-9 MONTHS",IF(CK387&gt;270,"10 MONTHS AND ABOVE",)))))))</f>
        <v/>
      </c>
      <c r="CN387" s="635"/>
      <c r="CO387" s="631"/>
      <c r="CP387" s="629" t="str">
        <f t="shared" si="251"/>
        <v>FOR ISSUANCE</v>
      </c>
      <c r="CQ387" s="635"/>
      <c r="CR387" s="697"/>
      <c r="CS387" s="633" t="str">
        <f t="shared" ref="CS387:CS450" ca="1" si="275">IF(AND(CQ387=0,CR387=0), "0",IF(CR387,(CR387-CQ387),TODAY()-CQ387))</f>
        <v>0</v>
      </c>
      <c r="CT387" s="635"/>
      <c r="CU387" s="631"/>
      <c r="CV387" s="638"/>
      <c r="CW387" s="156" t="s">
        <v>2329</v>
      </c>
      <c r="CX387" s="156" t="str">
        <f>VLOOKUP(E387,'[1]List of Work Orders'!$A:$I,9,FALSE)</f>
        <v>ME194579</v>
      </c>
      <c r="CY387" s="156"/>
      <c r="DA387" s="762">
        <f t="shared" si="243"/>
        <v>0</v>
      </c>
      <c r="DS387" s="156" t="s">
        <v>403</v>
      </c>
    </row>
    <row r="388" spans="1:123" customFormat="1" ht="15" customHeight="1" x14ac:dyDescent="0.25">
      <c r="A388" s="242">
        <v>45705</v>
      </c>
      <c r="B388" s="222">
        <v>45699</v>
      </c>
      <c r="C388" s="223" t="s">
        <v>247</v>
      </c>
      <c r="D388" s="66" t="s">
        <v>284</v>
      </c>
      <c r="E388" s="404" t="s">
        <v>2330</v>
      </c>
      <c r="F388" s="155" t="s">
        <v>2331</v>
      </c>
      <c r="G388" s="155" t="s">
        <v>2332</v>
      </c>
      <c r="H388" s="95" t="s">
        <v>238</v>
      </c>
      <c r="I388" s="95" t="s">
        <v>239</v>
      </c>
      <c r="J388" s="163"/>
      <c r="K388" s="101" t="s">
        <v>2333</v>
      </c>
      <c r="L388" s="101" t="s">
        <v>288</v>
      </c>
      <c r="M388" s="345" t="s">
        <v>272</v>
      </c>
      <c r="N388" s="442" t="s">
        <v>381</v>
      </c>
      <c r="O388" s="165">
        <v>70.673099999999991</v>
      </c>
      <c r="P388" s="933">
        <v>120.1</v>
      </c>
      <c r="Q388" s="157">
        <v>193</v>
      </c>
      <c r="R388" s="109" t="s">
        <v>244</v>
      </c>
      <c r="S388" s="110">
        <v>813015.11</v>
      </c>
      <c r="T388" s="93">
        <v>97030.12999999999</v>
      </c>
      <c r="U388" s="141">
        <v>47759.31</v>
      </c>
      <c r="V388" s="158">
        <f t="shared" si="252"/>
        <v>0.49221113070754419</v>
      </c>
      <c r="W388" s="159">
        <v>45694.551388888889</v>
      </c>
      <c r="X388" s="159">
        <v>45700.438888888886</v>
      </c>
      <c r="Y388" s="160">
        <v>45698</v>
      </c>
      <c r="Z388" s="470">
        <v>45719</v>
      </c>
      <c r="AA388" s="470">
        <v>45719</v>
      </c>
      <c r="AB388" s="470"/>
      <c r="AC388" s="161">
        <f t="shared" si="253"/>
        <v>24.448611111110949</v>
      </c>
      <c r="AD388" s="161">
        <f t="shared" si="246"/>
        <v>18.56111111111386</v>
      </c>
      <c r="AE388" s="446">
        <f t="shared" si="241"/>
        <v>-45719</v>
      </c>
      <c r="AF388" s="160">
        <f t="shared" si="247"/>
        <v>45713.997432054355</v>
      </c>
      <c r="AG388" s="160">
        <f t="shared" si="244"/>
        <v>45722.983043565146</v>
      </c>
      <c r="AH388" s="159">
        <f t="shared" si="248"/>
        <v>45744.551388888889</v>
      </c>
      <c r="AI388" s="162">
        <f t="shared" si="254"/>
        <v>0.81691272702990914</v>
      </c>
      <c r="AJ388" s="224">
        <f t="shared" si="249"/>
        <v>-761.98333333333335</v>
      </c>
      <c r="AK388" s="225">
        <f t="shared" si="255"/>
        <v>26</v>
      </c>
      <c r="AL388" s="170">
        <f t="shared" si="256"/>
        <v>32</v>
      </c>
      <c r="AM388" s="170">
        <f t="shared" si="257"/>
        <v>22.446043165467625</v>
      </c>
      <c r="AN388" s="170">
        <f t="shared" si="258"/>
        <v>28.431654676258994</v>
      </c>
      <c r="AO388" s="226">
        <f t="shared" si="259"/>
        <v>19.446043165467625</v>
      </c>
      <c r="AP388" s="227">
        <v>60</v>
      </c>
      <c r="AQ388" s="228">
        <f t="shared" si="260"/>
        <v>57</v>
      </c>
      <c r="AR388" s="228">
        <f t="shared" si="245"/>
        <v>52</v>
      </c>
      <c r="AS388" s="229">
        <f t="shared" si="261"/>
        <v>45779</v>
      </c>
      <c r="AT388" s="982">
        <f t="shared" ca="1" si="262"/>
        <v>176</v>
      </c>
      <c r="AU388" s="50"/>
      <c r="AV388" s="51"/>
      <c r="AW388" s="49"/>
      <c r="AX388" s="49"/>
      <c r="AY388" s="49"/>
      <c r="AZ388" s="300"/>
      <c r="BA388" s="52"/>
      <c r="BB388" s="304"/>
      <c r="BC388" s="231" t="s">
        <v>12</v>
      </c>
      <c r="BD388" s="232" t="s">
        <v>601</v>
      </c>
      <c r="BE388" s="222">
        <f t="shared" si="242"/>
        <v>45734</v>
      </c>
      <c r="BF388" s="233">
        <f t="shared" si="250"/>
        <v>43</v>
      </c>
      <c r="BG388" s="248">
        <v>45719</v>
      </c>
      <c r="BH388" s="235">
        <v>45777</v>
      </c>
      <c r="BI388" s="234"/>
      <c r="BJ388" s="236"/>
      <c r="BK388" s="222"/>
      <c r="BL388" s="222"/>
      <c r="BM388" s="238"/>
      <c r="BN388" s="222"/>
      <c r="BO388" s="222"/>
      <c r="BP388" s="243"/>
      <c r="BQ388" s="244" t="s">
        <v>247</v>
      </c>
      <c r="BR388" s="238">
        <v>45716</v>
      </c>
      <c r="BS388" s="67"/>
      <c r="BT388" s="66"/>
      <c r="BU388" s="66"/>
      <c r="BV388" s="66"/>
      <c r="BW388" s="74"/>
      <c r="BX388" s="81"/>
      <c r="BY388" s="66">
        <v>45705</v>
      </c>
      <c r="BZ388" s="947" t="s">
        <v>2334</v>
      </c>
      <c r="CA388" s="42" t="str">
        <f t="shared" si="263"/>
        <v>0</v>
      </c>
      <c r="CB388" s="62">
        <f t="shared" si="264"/>
        <v>24.448611111110949</v>
      </c>
      <c r="CC388" s="42">
        <f t="shared" si="265"/>
        <v>0</v>
      </c>
      <c r="CD388" s="62">
        <f t="shared" si="266"/>
        <v>24.448611111110949</v>
      </c>
      <c r="CE388" s="62">
        <f t="shared" si="267"/>
        <v>0.81691272702990914</v>
      </c>
      <c r="CF388" s="145">
        <f t="shared" si="268"/>
        <v>150</v>
      </c>
      <c r="CG388" s="145"/>
      <c r="CH388" s="443">
        <f t="shared" si="269"/>
        <v>5.8289319577991394</v>
      </c>
      <c r="CI388" s="996">
        <f t="shared" si="270"/>
        <v>5.8289319577991394</v>
      </c>
      <c r="CJ388" s="261">
        <f t="shared" si="271"/>
        <v>2.5</v>
      </c>
      <c r="CK388" s="458" t="str">
        <f t="shared" si="272"/>
        <v/>
      </c>
      <c r="CL388" t="str">
        <f t="shared" si="273"/>
        <v>REV</v>
      </c>
      <c r="CM388" t="str">
        <f t="shared" si="274"/>
        <v/>
      </c>
      <c r="CN388" s="635"/>
      <c r="CO388" s="631"/>
      <c r="CP388" s="629" t="str">
        <f t="shared" si="251"/>
        <v>FOR ISSUANCE</v>
      </c>
      <c r="CQ388" s="635"/>
      <c r="CR388" s="697"/>
      <c r="CS388" s="633" t="str">
        <f t="shared" ca="1" si="275"/>
        <v>0</v>
      </c>
      <c r="CT388" s="635"/>
      <c r="CU388" s="631"/>
      <c r="CV388" s="638"/>
      <c r="CW388" s="156" t="s">
        <v>2335</v>
      </c>
      <c r="CX388" s="156" t="str">
        <f>VLOOKUP(E388,'[1]List of Work Orders'!$A:$I,9,FALSE)</f>
        <v>ME185284</v>
      </c>
      <c r="CY388" s="156"/>
      <c r="DA388" s="762">
        <f t="shared" si="243"/>
        <v>5.8874999999970896</v>
      </c>
      <c r="DS388" s="156" t="s">
        <v>403</v>
      </c>
    </row>
    <row r="389" spans="1:123" customFormat="1" ht="15" customHeight="1" x14ac:dyDescent="0.25">
      <c r="A389" s="242">
        <v>45705</v>
      </c>
      <c r="B389" s="222">
        <v>45699</v>
      </c>
      <c r="C389" s="223"/>
      <c r="D389" s="66" t="s">
        <v>320</v>
      </c>
      <c r="E389" s="404" t="s">
        <v>2336</v>
      </c>
      <c r="F389" s="95" t="s">
        <v>2337</v>
      </c>
      <c r="G389" s="95" t="s">
        <v>2338</v>
      </c>
      <c r="H389" s="95" t="s">
        <v>253</v>
      </c>
      <c r="I389" s="95" t="s">
        <v>254</v>
      </c>
      <c r="J389" s="163"/>
      <c r="K389" s="101"/>
      <c r="L389" s="101" t="s">
        <v>263</v>
      </c>
      <c r="M389" s="345" t="s">
        <v>272</v>
      </c>
      <c r="N389" s="442" t="s">
        <v>467</v>
      </c>
      <c r="O389" s="165">
        <v>13.413600000000001</v>
      </c>
      <c r="P389" s="933">
        <v>18.46</v>
      </c>
      <c r="Q389" s="157" t="s">
        <v>2021</v>
      </c>
      <c r="R389" s="109" t="s">
        <v>327</v>
      </c>
      <c r="S389" s="110">
        <v>40378.97</v>
      </c>
      <c r="T389" s="93">
        <v>15581.73</v>
      </c>
      <c r="U389" s="141"/>
      <c r="V389" s="158">
        <f t="shared" si="252"/>
        <v>0</v>
      </c>
      <c r="W389" s="159">
        <v>45694.636111111111</v>
      </c>
      <c r="X389" s="159">
        <v>45700.438194444447</v>
      </c>
      <c r="Y389" s="160">
        <v>45698</v>
      </c>
      <c r="Z389" s="470"/>
      <c r="AA389" s="470">
        <v>45803.412499999999</v>
      </c>
      <c r="AB389" s="470"/>
      <c r="AC389" s="161">
        <f t="shared" si="253"/>
        <v>108.7763888888876</v>
      </c>
      <c r="AD389" s="161">
        <f t="shared" si="246"/>
        <v>102.97430555555184</v>
      </c>
      <c r="AE389" s="446">
        <f t="shared" si="241"/>
        <v>-45803.412499999999</v>
      </c>
      <c r="AF389" s="160">
        <f t="shared" si="247"/>
        <v>45706.636111111111</v>
      </c>
      <c r="AG389" s="160">
        <f t="shared" si="244"/>
        <v>45713.636111111111</v>
      </c>
      <c r="AH389" s="159">
        <f t="shared" si="248"/>
        <v>45744.636111111111</v>
      </c>
      <c r="AI389" s="162">
        <f t="shared" si="254"/>
        <v>5.4388194444443796</v>
      </c>
      <c r="AJ389" s="224">
        <f t="shared" si="249"/>
        <v>-763.39020833333336</v>
      </c>
      <c r="AK389" s="225">
        <f t="shared" si="255"/>
        <v>20</v>
      </c>
      <c r="AL389" s="170">
        <f t="shared" si="256"/>
        <v>20</v>
      </c>
      <c r="AM389" s="170">
        <f t="shared" si="257"/>
        <v>15.000000000000002</v>
      </c>
      <c r="AN389" s="170">
        <f t="shared" si="258"/>
        <v>19</v>
      </c>
      <c r="AO389" s="226">
        <f t="shared" si="259"/>
        <v>12.000000000000002</v>
      </c>
      <c r="AP389" s="227">
        <v>60</v>
      </c>
      <c r="AQ389" s="228">
        <f t="shared" si="260"/>
        <v>57</v>
      </c>
      <c r="AR389" s="228">
        <f t="shared" si="245"/>
        <v>52</v>
      </c>
      <c r="AS389" s="229">
        <f t="shared" si="261"/>
        <v>45863.412499999999</v>
      </c>
      <c r="AT389" s="982">
        <f t="shared" ca="1" si="262"/>
        <v>91.587500000001455</v>
      </c>
      <c r="AU389" s="50"/>
      <c r="AV389" s="51"/>
      <c r="AW389" s="49"/>
      <c r="AX389" s="49"/>
      <c r="AY389" s="49"/>
      <c r="AZ389" s="300"/>
      <c r="BA389" s="52"/>
      <c r="BB389" s="304"/>
      <c r="BC389" s="231" t="s">
        <v>13</v>
      </c>
      <c r="BD389" s="232"/>
      <c r="BE389" s="222">
        <f t="shared" si="242"/>
        <v>45818.412499999999</v>
      </c>
      <c r="BF389" s="233" t="e">
        <f t="shared" si="250"/>
        <v>#VALUE!</v>
      </c>
      <c r="BG389" s="248"/>
      <c r="BH389" s="235"/>
      <c r="BI389" s="234"/>
      <c r="BJ389" s="236"/>
      <c r="BK389" s="222"/>
      <c r="BL389" s="222"/>
      <c r="BM389" s="238"/>
      <c r="BN389" s="222"/>
      <c r="BO389" s="222"/>
      <c r="BP389" s="243"/>
      <c r="BQ389" s="244"/>
      <c r="BR389" s="238"/>
      <c r="BS389" s="67"/>
      <c r="BT389" s="66"/>
      <c r="BU389" s="66"/>
      <c r="BV389" s="66"/>
      <c r="BW389" s="74"/>
      <c r="BX389" s="81"/>
      <c r="BY389" s="66" t="s">
        <v>308</v>
      </c>
      <c r="BZ389" s="944"/>
      <c r="CA389" s="42" t="str">
        <f t="shared" si="263"/>
        <v>0</v>
      </c>
      <c r="CB389" s="62">
        <f t="shared" si="264"/>
        <v>108.7763888888876</v>
      </c>
      <c r="CC389" s="42">
        <f t="shared" si="265"/>
        <v>0</v>
      </c>
      <c r="CD389" s="62">
        <f t="shared" si="266"/>
        <v>108.7763888888876</v>
      </c>
      <c r="CE389" s="62">
        <f t="shared" si="267"/>
        <v>5.4388194444443796</v>
      </c>
      <c r="CF389" s="145">
        <f t="shared" si="268"/>
        <v>65.587500000001455</v>
      </c>
      <c r="CG389" s="145"/>
      <c r="CH389" s="443">
        <f t="shared" si="269"/>
        <v>8.7181944444444532</v>
      </c>
      <c r="CI389" s="996">
        <f t="shared" si="270"/>
        <v>8.7181944444444532</v>
      </c>
      <c r="CJ389" s="261">
        <f t="shared" si="271"/>
        <v>1.0931250000000243</v>
      </c>
      <c r="CK389" s="458" t="str">
        <f t="shared" si="272"/>
        <v/>
      </c>
      <c r="CL389" t="str">
        <f t="shared" si="273"/>
        <v>NON-REV</v>
      </c>
      <c r="CM389" t="str">
        <f t="shared" si="274"/>
        <v/>
      </c>
      <c r="CN389" s="635"/>
      <c r="CO389" s="631"/>
      <c r="CP389" s="629" t="str">
        <f t="shared" si="251"/>
        <v>FOR ISSUANCE</v>
      </c>
      <c r="CQ389" s="635"/>
      <c r="CR389" s="697"/>
      <c r="CS389" s="633" t="str">
        <f t="shared" ca="1" si="275"/>
        <v>0</v>
      </c>
      <c r="CT389" s="635"/>
      <c r="CU389" s="631"/>
      <c r="CV389" s="638"/>
      <c r="CW389" s="156" t="s">
        <v>2339</v>
      </c>
      <c r="CX389" s="156" t="str">
        <f>VLOOKUP(E389,'[1]List of Work Orders'!$A:$I,9,FALSE)</f>
        <v>ME155242</v>
      </c>
      <c r="CY389" s="156"/>
      <c r="DA389" s="762">
        <f t="shared" si="243"/>
        <v>5.8020833333357587</v>
      </c>
      <c r="DS389" s="442" t="s">
        <v>381</v>
      </c>
    </row>
    <row r="390" spans="1:123" customFormat="1" ht="15" customHeight="1" x14ac:dyDescent="0.25">
      <c r="A390" s="242">
        <v>45706</v>
      </c>
      <c r="B390" s="222">
        <v>45706</v>
      </c>
      <c r="C390" s="223"/>
      <c r="D390" s="66" t="s">
        <v>234</v>
      </c>
      <c r="E390" s="404" t="s">
        <v>2340</v>
      </c>
      <c r="F390" s="155" t="s">
        <v>1657</v>
      </c>
      <c r="G390" s="95" t="s">
        <v>1658</v>
      </c>
      <c r="H390" s="95" t="s">
        <v>238</v>
      </c>
      <c r="I390" s="95" t="s">
        <v>239</v>
      </c>
      <c r="J390" s="163"/>
      <c r="K390" s="101"/>
      <c r="L390" s="101" t="s">
        <v>263</v>
      </c>
      <c r="M390" s="345" t="s">
        <v>272</v>
      </c>
      <c r="N390" s="442" t="s">
        <v>467</v>
      </c>
      <c r="O390" s="165">
        <v>9.42</v>
      </c>
      <c r="P390" s="933">
        <v>19.34</v>
      </c>
      <c r="Q390" s="157" t="s">
        <v>2021</v>
      </c>
      <c r="R390" s="109" t="s">
        <v>319</v>
      </c>
      <c r="S390" s="110">
        <v>25833.16</v>
      </c>
      <c r="T390" s="93">
        <v>16625.89</v>
      </c>
      <c r="U390" s="141"/>
      <c r="V390" s="158">
        <f t="shared" si="252"/>
        <v>0</v>
      </c>
      <c r="W390" s="159">
        <v>45695.643750000003</v>
      </c>
      <c r="X390" s="159">
        <v>45701.537499999999</v>
      </c>
      <c r="Y390" s="160">
        <v>45705</v>
      </c>
      <c r="Z390" s="470"/>
      <c r="AA390" s="470">
        <v>45754</v>
      </c>
      <c r="AB390" s="470"/>
      <c r="AC390" s="161">
        <f t="shared" si="253"/>
        <v>58.35624999999709</v>
      </c>
      <c r="AD390" s="161">
        <f t="shared" si="246"/>
        <v>52.462500000001455</v>
      </c>
      <c r="AE390" s="446">
        <f t="shared" si="241"/>
        <v>-45754</v>
      </c>
      <c r="AF390" s="160">
        <f t="shared" si="247"/>
        <v>45707.643750000003</v>
      </c>
      <c r="AG390" s="160">
        <f t="shared" si="244"/>
        <v>45714.643750000003</v>
      </c>
      <c r="AH390" s="159">
        <f t="shared" si="248"/>
        <v>45745.643750000003</v>
      </c>
      <c r="AI390" s="162">
        <f t="shared" si="254"/>
        <v>2.9178124999998545</v>
      </c>
      <c r="AJ390" s="224">
        <f t="shared" si="249"/>
        <v>-762.56666666666672</v>
      </c>
      <c r="AK390" s="225">
        <f t="shared" si="255"/>
        <v>20</v>
      </c>
      <c r="AL390" s="170">
        <f t="shared" si="256"/>
        <v>20</v>
      </c>
      <c r="AM390" s="170">
        <f t="shared" si="257"/>
        <v>15.000000000000002</v>
      </c>
      <c r="AN390" s="170">
        <f t="shared" si="258"/>
        <v>19</v>
      </c>
      <c r="AO390" s="226">
        <f t="shared" si="259"/>
        <v>12.000000000000002</v>
      </c>
      <c r="AP390" s="227">
        <v>60</v>
      </c>
      <c r="AQ390" s="228">
        <f t="shared" si="260"/>
        <v>57</v>
      </c>
      <c r="AR390" s="228">
        <f t="shared" si="245"/>
        <v>52</v>
      </c>
      <c r="AS390" s="229">
        <f t="shared" si="261"/>
        <v>45814</v>
      </c>
      <c r="AT390" s="982">
        <f t="shared" ca="1" si="262"/>
        <v>141</v>
      </c>
      <c r="AU390" s="50"/>
      <c r="AV390" s="51"/>
      <c r="AW390" s="49"/>
      <c r="AX390" s="49"/>
      <c r="AY390" s="49"/>
      <c r="AZ390" s="300"/>
      <c r="BA390" s="52"/>
      <c r="BB390" s="304"/>
      <c r="BC390" s="231" t="s">
        <v>13</v>
      </c>
      <c r="BD390" s="232"/>
      <c r="BE390" s="222">
        <f t="shared" si="242"/>
        <v>45769</v>
      </c>
      <c r="BF390" s="233" t="e">
        <f t="shared" si="250"/>
        <v>#VALUE!</v>
      </c>
      <c r="BG390" s="248"/>
      <c r="BH390" s="235"/>
      <c r="BI390" s="234"/>
      <c r="BJ390" s="236"/>
      <c r="BK390" s="222"/>
      <c r="BL390" s="222"/>
      <c r="BM390" s="238"/>
      <c r="BN390" s="222"/>
      <c r="BO390" s="222"/>
      <c r="BP390" s="243"/>
      <c r="BQ390" s="244"/>
      <c r="BR390" s="238"/>
      <c r="BS390" s="67"/>
      <c r="BT390" s="66"/>
      <c r="BU390" s="66"/>
      <c r="BV390" s="66"/>
      <c r="BW390" s="74"/>
      <c r="BX390" s="81"/>
      <c r="BY390" s="66" t="s">
        <v>308</v>
      </c>
      <c r="BZ390" s="944"/>
      <c r="CA390" s="42" t="str">
        <f t="shared" si="263"/>
        <v>0</v>
      </c>
      <c r="CB390" s="62">
        <f t="shared" si="264"/>
        <v>58.35624999999709</v>
      </c>
      <c r="CC390" s="42">
        <f t="shared" si="265"/>
        <v>0</v>
      </c>
      <c r="CD390" s="62">
        <f t="shared" si="266"/>
        <v>58.35624999999709</v>
      </c>
      <c r="CE390" s="62">
        <f t="shared" si="267"/>
        <v>2.9178124999998545</v>
      </c>
      <c r="CF390" s="145">
        <f t="shared" si="268"/>
        <v>115</v>
      </c>
      <c r="CG390" s="145"/>
      <c r="CH390" s="443">
        <f t="shared" si="269"/>
        <v>8.6678124999998545</v>
      </c>
      <c r="CI390" s="996">
        <f t="shared" si="270"/>
        <v>8.6678124999998545</v>
      </c>
      <c r="CJ390" s="261">
        <f t="shared" si="271"/>
        <v>1.9166666666666667</v>
      </c>
      <c r="CK390" s="458" t="str">
        <f t="shared" si="272"/>
        <v/>
      </c>
      <c r="CL390" t="str">
        <f t="shared" si="273"/>
        <v>NON-REV</v>
      </c>
      <c r="CM390" t="str">
        <f t="shared" si="274"/>
        <v/>
      </c>
      <c r="CN390" s="635"/>
      <c r="CO390" s="631"/>
      <c r="CP390" s="629" t="str">
        <f t="shared" si="251"/>
        <v>FOR ISSUANCE</v>
      </c>
      <c r="CQ390" s="635"/>
      <c r="CR390" s="697"/>
      <c r="CS390" s="633" t="str">
        <f t="shared" ca="1" si="275"/>
        <v>0</v>
      </c>
      <c r="CT390" s="635"/>
      <c r="CU390" s="631"/>
      <c r="CV390" s="638"/>
      <c r="CW390" s="156" t="s">
        <v>2341</v>
      </c>
      <c r="CX390" s="156" t="str">
        <f>VLOOKUP(E390,'[1]List of Work Orders'!$A:$I,9,FALSE)</f>
        <v>ME155242</v>
      </c>
      <c r="CY390" s="156"/>
      <c r="DA390" s="762">
        <f t="shared" si="243"/>
        <v>5.8937499999956344</v>
      </c>
      <c r="DS390" s="442" t="s">
        <v>381</v>
      </c>
    </row>
    <row r="391" spans="1:123" customFormat="1" ht="15" customHeight="1" x14ac:dyDescent="0.25">
      <c r="A391" s="242">
        <v>45699</v>
      </c>
      <c r="B391" s="222">
        <v>45714</v>
      </c>
      <c r="C391" s="223" t="s">
        <v>247</v>
      </c>
      <c r="D391" s="66" t="s">
        <v>284</v>
      </c>
      <c r="E391" s="404" t="s">
        <v>2342</v>
      </c>
      <c r="F391" s="95" t="s">
        <v>2343</v>
      </c>
      <c r="G391" s="95" t="s">
        <v>2344</v>
      </c>
      <c r="H391" s="344" t="s">
        <v>318</v>
      </c>
      <c r="I391" s="95" t="s">
        <v>239</v>
      </c>
      <c r="J391" s="163"/>
      <c r="K391" s="101"/>
      <c r="L391" s="101" t="s">
        <v>263</v>
      </c>
      <c r="M391" s="345" t="s">
        <v>256</v>
      </c>
      <c r="N391" s="442" t="s">
        <v>467</v>
      </c>
      <c r="O391" s="165">
        <v>666.33040000000028</v>
      </c>
      <c r="P391" s="933">
        <v>2874.93</v>
      </c>
      <c r="Q391" s="157">
        <v>78</v>
      </c>
      <c r="R391" s="109" t="s">
        <v>244</v>
      </c>
      <c r="S391" s="110">
        <v>3575972.05</v>
      </c>
      <c r="T391" s="93">
        <v>828522.97999999835</v>
      </c>
      <c r="U391" s="141">
        <v>1303521.46</v>
      </c>
      <c r="V391" s="158">
        <f>U391/T391</f>
        <v>1.5733075502625196</v>
      </c>
      <c r="W391" s="159">
        <v>45696.840277777781</v>
      </c>
      <c r="X391" s="159">
        <v>45699.538194444445</v>
      </c>
      <c r="Y391" s="160">
        <v>45709</v>
      </c>
      <c r="Z391" s="470">
        <v>45714</v>
      </c>
      <c r="AA391" s="470">
        <v>45714</v>
      </c>
      <c r="AB391" s="470">
        <v>45868</v>
      </c>
      <c r="AC391" s="161">
        <f t="shared" si="253"/>
        <v>17.159722222218988</v>
      </c>
      <c r="AD391" s="161">
        <f t="shared" si="246"/>
        <v>14.461805555554747</v>
      </c>
      <c r="AE391" s="446">
        <f t="shared" si="241"/>
        <v>154</v>
      </c>
      <c r="AF391" s="160">
        <f t="shared" si="247"/>
        <v>45722.048242379547</v>
      </c>
      <c r="AG391" s="160">
        <f t="shared" si="244"/>
        <v>45732.570366273358</v>
      </c>
      <c r="AH391" s="159">
        <f t="shared" si="248"/>
        <v>45746.840277777781</v>
      </c>
      <c r="AI391" s="162">
        <f t="shared" si="254"/>
        <v>0.4562467320260577</v>
      </c>
      <c r="AJ391" s="224">
        <f t="shared" si="249"/>
        <v>2.5666666666666669</v>
      </c>
      <c r="AK391" s="225">
        <f t="shared" si="255"/>
        <v>50</v>
      </c>
      <c r="AL391" s="170">
        <f t="shared" si="256"/>
        <v>34</v>
      </c>
      <c r="AM391" s="170">
        <f t="shared" si="257"/>
        <v>28.207964601769909</v>
      </c>
      <c r="AN391" s="170">
        <f t="shared" si="258"/>
        <v>35.730088495575217</v>
      </c>
      <c r="AO391" s="226">
        <f t="shared" si="259"/>
        <v>25.207964601769909</v>
      </c>
      <c r="AP391" s="227">
        <v>60</v>
      </c>
      <c r="AQ391" s="228">
        <f t="shared" si="260"/>
        <v>57</v>
      </c>
      <c r="AR391" s="228">
        <f t="shared" si="245"/>
        <v>52</v>
      </c>
      <c r="AS391" s="229">
        <f t="shared" si="261"/>
        <v>45774</v>
      </c>
      <c r="AT391" s="982">
        <f t="shared" ca="1" si="262"/>
        <v>181</v>
      </c>
      <c r="AU391" s="50"/>
      <c r="AV391" s="51"/>
      <c r="AW391" s="49"/>
      <c r="AX391" s="49"/>
      <c r="AY391" s="49"/>
      <c r="AZ391" s="300"/>
      <c r="BA391" s="52"/>
      <c r="BB391" s="304"/>
      <c r="BC391" s="231" t="s">
        <v>14</v>
      </c>
      <c r="BD391" s="232"/>
      <c r="BE391" s="222">
        <f t="shared" si="242"/>
        <v>45729</v>
      </c>
      <c r="BF391" s="233">
        <f t="shared" si="250"/>
        <v>29</v>
      </c>
      <c r="BG391" s="248">
        <v>45714</v>
      </c>
      <c r="BH391" s="235">
        <v>45758</v>
      </c>
      <c r="BI391" s="234">
        <v>45834</v>
      </c>
      <c r="BJ391" s="236" t="s">
        <v>245</v>
      </c>
      <c r="BK391" s="222" t="s">
        <v>247</v>
      </c>
      <c r="BL391" s="222"/>
      <c r="BM391" s="238"/>
      <c r="BN391" s="222"/>
      <c r="BO391" s="222">
        <v>45863</v>
      </c>
      <c r="BP391" s="243" t="s">
        <v>1084</v>
      </c>
      <c r="BQ391" s="244" t="s">
        <v>247</v>
      </c>
      <c r="BR391" s="238">
        <v>45709</v>
      </c>
      <c r="BS391" s="67"/>
      <c r="BT391" s="66"/>
      <c r="BU391" s="66"/>
      <c r="BV391" s="66"/>
      <c r="BW391" s="74"/>
      <c r="BX391" s="81"/>
      <c r="BY391" s="66">
        <v>45699</v>
      </c>
      <c r="BZ391" s="947" t="s">
        <v>2345</v>
      </c>
      <c r="CA391" s="42" t="str">
        <f t="shared" si="263"/>
        <v>0</v>
      </c>
      <c r="CB391" s="62">
        <f t="shared" si="264"/>
        <v>17.159722222218988</v>
      </c>
      <c r="CC391" s="42">
        <f t="shared" si="265"/>
        <v>0</v>
      </c>
      <c r="CD391" s="62">
        <f t="shared" si="266"/>
        <v>17.159722222218988</v>
      </c>
      <c r="CE391" s="62">
        <f t="shared" si="267"/>
        <v>0.4562467320260577</v>
      </c>
      <c r="CF391" s="145">
        <f t="shared" si="268"/>
        <v>155</v>
      </c>
      <c r="CG391" s="145"/>
      <c r="CH391" s="443">
        <f t="shared" si="269"/>
        <v>4.5774232026142929</v>
      </c>
      <c r="CI391" s="996">
        <f t="shared" si="270"/>
        <v>4.5774232026142929</v>
      </c>
      <c r="CJ391" s="261">
        <f t="shared" si="271"/>
        <v>2.5833333333333335</v>
      </c>
      <c r="CK391" s="458" t="str">
        <f t="shared" si="272"/>
        <v/>
      </c>
      <c r="CL391" t="str">
        <f t="shared" si="273"/>
        <v>REV</v>
      </c>
      <c r="CM391" t="str">
        <f t="shared" si="274"/>
        <v/>
      </c>
      <c r="CN391" s="635"/>
      <c r="CO391" s="631"/>
      <c r="CP391" s="629" t="str">
        <f t="shared" si="251"/>
        <v>FOR ISSUANCE</v>
      </c>
      <c r="CQ391" s="635"/>
      <c r="CR391" s="697"/>
      <c r="CS391" s="633" t="str">
        <f t="shared" ca="1" si="275"/>
        <v>0</v>
      </c>
      <c r="CT391" s="635"/>
      <c r="CU391" s="631"/>
      <c r="CV391" s="638"/>
      <c r="CW391" s="156" t="s">
        <v>2346</v>
      </c>
      <c r="CX391" s="156" t="str">
        <f>VLOOKUP(E391,'[1]List of Work Orders'!$A:$I,9,FALSE)</f>
        <v>ME155242</v>
      </c>
      <c r="CY391" s="156"/>
      <c r="DA391" s="762">
        <f t="shared" si="243"/>
        <v>2.6979166666642413</v>
      </c>
      <c r="DS391" s="156" t="s">
        <v>397</v>
      </c>
    </row>
    <row r="392" spans="1:123" customFormat="1" ht="15" customHeight="1" x14ac:dyDescent="0.25">
      <c r="A392" s="242">
        <v>45709</v>
      </c>
      <c r="B392" s="222">
        <v>45706</v>
      </c>
      <c r="C392" s="223"/>
      <c r="D392" s="66" t="s">
        <v>320</v>
      </c>
      <c r="E392" s="404" t="s">
        <v>2347</v>
      </c>
      <c r="F392" s="155" t="s">
        <v>2348</v>
      </c>
      <c r="G392" s="95" t="s">
        <v>2349</v>
      </c>
      <c r="H392" s="95" t="s">
        <v>378</v>
      </c>
      <c r="I392" s="95" t="s">
        <v>239</v>
      </c>
      <c r="J392" s="163" t="s">
        <v>2350</v>
      </c>
      <c r="K392" s="101"/>
      <c r="L392" s="101" t="s">
        <v>288</v>
      </c>
      <c r="M392" s="345" t="s">
        <v>331</v>
      </c>
      <c r="N392" s="442" t="s">
        <v>381</v>
      </c>
      <c r="O392" s="165">
        <v>22.31</v>
      </c>
      <c r="P392" s="165">
        <v>102.16</v>
      </c>
      <c r="Q392" s="157">
        <v>5</v>
      </c>
      <c r="R392" s="109" t="s">
        <v>244</v>
      </c>
      <c r="S392" s="110">
        <v>141015.84</v>
      </c>
      <c r="T392" s="93">
        <v>20357.319999999996</v>
      </c>
      <c r="U392" s="141"/>
      <c r="V392" s="158">
        <f t="shared" si="252"/>
        <v>0</v>
      </c>
      <c r="W392" s="159">
        <v>45698.508333333331</v>
      </c>
      <c r="X392" s="159">
        <v>45706.606249999997</v>
      </c>
      <c r="Y392" s="160">
        <v>45705</v>
      </c>
      <c r="Z392" s="470"/>
      <c r="AA392" s="470"/>
      <c r="AB392" s="470"/>
      <c r="AC392" s="161">
        <f t="shared" si="253"/>
        <v>-45698.508333333331</v>
      </c>
      <c r="AD392" s="161">
        <f t="shared" si="246"/>
        <v>-45706.606249999997</v>
      </c>
      <c r="AE392" s="446">
        <f t="shared" si="241"/>
        <v>0</v>
      </c>
      <c r="AF392" s="160">
        <f t="shared" si="247"/>
        <v>45719.715229885056</v>
      </c>
      <c r="AG392" s="160">
        <f t="shared" si="244"/>
        <v>45729.170402298849</v>
      </c>
      <c r="AH392" s="159">
        <f t="shared" si="248"/>
        <v>45748.508333333331</v>
      </c>
      <c r="AI392" s="162">
        <f t="shared" si="254"/>
        <v>-1415.8725872507121</v>
      </c>
      <c r="AJ392" s="224">
        <f t="shared" si="249"/>
        <v>0</v>
      </c>
      <c r="AK392" s="225">
        <f t="shared" si="255"/>
        <v>26</v>
      </c>
      <c r="AL392" s="170">
        <f t="shared" si="256"/>
        <v>36</v>
      </c>
      <c r="AM392" s="170">
        <f t="shared" si="257"/>
        <v>24.206896551724139</v>
      </c>
      <c r="AN392" s="170">
        <f t="shared" si="258"/>
        <v>30.662068965517239</v>
      </c>
      <c r="AO392" s="226">
        <f t="shared" si="259"/>
        <v>21.206896551724139</v>
      </c>
      <c r="AP392" s="227">
        <v>60</v>
      </c>
      <c r="AQ392" s="228">
        <f t="shared" si="260"/>
        <v>57</v>
      </c>
      <c r="AR392" s="228">
        <f t="shared" si="245"/>
        <v>52</v>
      </c>
      <c r="AS392" s="229">
        <f t="shared" si="261"/>
        <v>60</v>
      </c>
      <c r="AT392" s="982">
        <f t="shared" ca="1" si="262"/>
        <v>45895</v>
      </c>
      <c r="AU392" s="50"/>
      <c r="AV392" s="51"/>
      <c r="AW392" s="49"/>
      <c r="AX392" s="49"/>
      <c r="AY392" s="49"/>
      <c r="AZ392" s="300"/>
      <c r="BA392" s="52"/>
      <c r="BB392" s="304"/>
      <c r="BC392" s="231"/>
      <c r="BD392" s="232"/>
      <c r="BE392" s="222">
        <f t="shared" si="242"/>
        <v>15</v>
      </c>
      <c r="BF392" s="233">
        <f t="shared" si="250"/>
        <v>0</v>
      </c>
      <c r="BG392" s="248"/>
      <c r="BH392" s="235"/>
      <c r="BI392" s="234"/>
      <c r="BJ392" s="236"/>
      <c r="BK392" s="222"/>
      <c r="BL392" s="222"/>
      <c r="BM392" s="238"/>
      <c r="BN392" s="222"/>
      <c r="BO392" s="222"/>
      <c r="BP392" s="243"/>
      <c r="BQ392" s="244"/>
      <c r="BR392" s="238"/>
      <c r="BS392" s="67"/>
      <c r="BT392" s="66"/>
      <c r="BU392" s="66"/>
      <c r="BV392" s="66"/>
      <c r="BW392" s="74"/>
      <c r="BX392" s="81"/>
      <c r="BY392" s="66">
        <v>45709</v>
      </c>
      <c r="BZ392" s="944" t="s">
        <v>2351</v>
      </c>
      <c r="CA392" s="42" t="str">
        <f t="shared" si="263"/>
        <v>0</v>
      </c>
      <c r="CB392" s="62">
        <f t="shared" si="264"/>
        <v>-45698.508333333331</v>
      </c>
      <c r="CC392" s="42">
        <f t="shared" si="265"/>
        <v>0</v>
      </c>
      <c r="CD392" s="62">
        <f t="shared" si="266"/>
        <v>-45698.508333333331</v>
      </c>
      <c r="CE392" s="62">
        <f t="shared" si="267"/>
        <v>-1415.8725872507121</v>
      </c>
      <c r="CF392" s="145" t="str">
        <f t="shared" si="268"/>
        <v>0</v>
      </c>
      <c r="CG392" s="145"/>
      <c r="CH392" s="443">
        <f t="shared" si="269"/>
        <v>5.282327279202339</v>
      </c>
      <c r="CI392" s="996">
        <f t="shared" si="270"/>
        <v>5.282327279202339</v>
      </c>
      <c r="CJ392" s="261">
        <f t="shared" si="271"/>
        <v>0</v>
      </c>
      <c r="CK392" s="458">
        <f t="shared" si="272"/>
        <v>157.49166666666861</v>
      </c>
      <c r="CL392" t="str">
        <f t="shared" si="273"/>
        <v>REV</v>
      </c>
      <c r="CM392" t="str">
        <f t="shared" si="274"/>
        <v>4-6 MONTHS</v>
      </c>
      <c r="CN392" s="635"/>
      <c r="CO392" s="631"/>
      <c r="CP392" s="629" t="str">
        <f t="shared" si="251"/>
        <v>FOR ISSUANCE</v>
      </c>
      <c r="CQ392" s="635"/>
      <c r="CR392" s="697"/>
      <c r="CS392" s="633" t="str">
        <f t="shared" ca="1" si="275"/>
        <v>0</v>
      </c>
      <c r="CT392" s="635"/>
      <c r="CU392" s="631"/>
      <c r="CV392" s="638"/>
      <c r="CW392" s="156" t="s">
        <v>2352</v>
      </c>
      <c r="CX392" s="156" t="str">
        <f>VLOOKUP(E392,'[1]List of Work Orders'!$A:$I,9,FALSE)</f>
        <v>ME185284</v>
      </c>
      <c r="CY392" s="156"/>
      <c r="DA392" s="762">
        <f t="shared" si="243"/>
        <v>8.0979166666656965</v>
      </c>
      <c r="DS392" s="156" t="s">
        <v>397</v>
      </c>
    </row>
    <row r="393" spans="1:123" customFormat="1" ht="15" customHeight="1" x14ac:dyDescent="0.25">
      <c r="A393" s="242">
        <v>45720</v>
      </c>
      <c r="B393" s="222"/>
      <c r="C393" s="223"/>
      <c r="D393" s="66" t="s">
        <v>320</v>
      </c>
      <c r="E393" s="404" t="s">
        <v>2353</v>
      </c>
      <c r="F393" s="155" t="s">
        <v>2354</v>
      </c>
      <c r="G393" s="95" t="s">
        <v>2355</v>
      </c>
      <c r="H393" s="344" t="s">
        <v>318</v>
      </c>
      <c r="I393" s="95" t="s">
        <v>239</v>
      </c>
      <c r="J393" s="163"/>
      <c r="K393" s="101"/>
      <c r="L393" s="101" t="s">
        <v>1957</v>
      </c>
      <c r="M393" s="345" t="s">
        <v>555</v>
      </c>
      <c r="N393" s="442" t="s">
        <v>403</v>
      </c>
      <c r="O393" s="165">
        <v>30.6</v>
      </c>
      <c r="P393" s="165">
        <v>30.6</v>
      </c>
      <c r="Q393" s="157">
        <v>60</v>
      </c>
      <c r="R393" s="109" t="s">
        <v>548</v>
      </c>
      <c r="S393" s="110">
        <v>209537.97</v>
      </c>
      <c r="T393" s="93"/>
      <c r="U393" s="141"/>
      <c r="V393" s="158" t="e">
        <f t="shared" si="252"/>
        <v>#DIV/0!</v>
      </c>
      <c r="W393" s="159">
        <v>45698.609027777777</v>
      </c>
      <c r="X393" s="159"/>
      <c r="Y393" s="160">
        <v>45705</v>
      </c>
      <c r="Z393" s="470"/>
      <c r="AA393" s="470"/>
      <c r="AB393" s="470"/>
      <c r="AC393" s="161">
        <f t="shared" si="253"/>
        <v>-45698.609027777777</v>
      </c>
      <c r="AD393" s="161">
        <f t="shared" si="246"/>
        <v>0</v>
      </c>
      <c r="AE393" s="446">
        <f t="shared" ref="AE393:AE456" si="276">AB393-AA393</f>
        <v>0</v>
      </c>
      <c r="AF393" s="160">
        <f t="shared" si="247"/>
        <v>45716.683407943063</v>
      </c>
      <c r="AG393" s="160">
        <f t="shared" si="244"/>
        <v>45725.303242653812</v>
      </c>
      <c r="AH393" s="159">
        <f t="shared" si="248"/>
        <v>45748.609027777777</v>
      </c>
      <c r="AI393" s="162">
        <f t="shared" si="254"/>
        <v>-1626.3328506944445</v>
      </c>
      <c r="AJ393" s="224">
        <f t="shared" si="249"/>
        <v>0</v>
      </c>
      <c r="AK393" s="225">
        <f t="shared" si="255"/>
        <v>20</v>
      </c>
      <c r="AL393" s="170">
        <f t="shared" si="256"/>
        <v>34</v>
      </c>
      <c r="AM393" s="170">
        <f t="shared" si="257"/>
        <v>21.074380165289259</v>
      </c>
      <c r="AN393" s="170">
        <f t="shared" si="258"/>
        <v>26.694214876033058</v>
      </c>
      <c r="AO393" s="226">
        <f t="shared" si="259"/>
        <v>18.074380165289259</v>
      </c>
      <c r="AP393" s="227">
        <v>60</v>
      </c>
      <c r="AQ393" s="228">
        <f t="shared" si="260"/>
        <v>57</v>
      </c>
      <c r="AR393" s="228">
        <f t="shared" si="245"/>
        <v>52</v>
      </c>
      <c r="AS393" s="229">
        <f t="shared" si="261"/>
        <v>60</v>
      </c>
      <c r="AT393" s="982">
        <f t="shared" ca="1" si="262"/>
        <v>45895</v>
      </c>
      <c r="AU393" s="50"/>
      <c r="AV393" s="51"/>
      <c r="AW393" s="49"/>
      <c r="AX393" s="49"/>
      <c r="AY393" s="49"/>
      <c r="AZ393" s="300"/>
      <c r="BA393" s="52"/>
      <c r="BB393" s="304"/>
      <c r="BC393" s="231"/>
      <c r="BD393" s="232"/>
      <c r="BE393" s="222">
        <f t="shared" si="242"/>
        <v>15</v>
      </c>
      <c r="BF393" s="233">
        <f t="shared" si="250"/>
        <v>0</v>
      </c>
      <c r="BG393" s="248"/>
      <c r="BH393" s="235"/>
      <c r="BI393" s="234"/>
      <c r="BJ393" s="236"/>
      <c r="BK393" s="222"/>
      <c r="BL393" s="222"/>
      <c r="BM393" s="238"/>
      <c r="BN393" s="222"/>
      <c r="BO393" s="222"/>
      <c r="BP393" s="243"/>
      <c r="BQ393" s="244"/>
      <c r="BR393" s="238"/>
      <c r="BS393" s="67"/>
      <c r="BT393" s="66"/>
      <c r="BU393" s="66"/>
      <c r="BV393" s="66"/>
      <c r="BW393" s="74"/>
      <c r="BX393" s="81"/>
      <c r="BY393" s="66"/>
      <c r="BZ393" s="944"/>
      <c r="CA393" s="42" t="str">
        <f t="shared" si="263"/>
        <v>0</v>
      </c>
      <c r="CB393" s="62">
        <f t="shared" si="264"/>
        <v>-45698.609027777777</v>
      </c>
      <c r="CC393" s="42">
        <f t="shared" si="265"/>
        <v>0</v>
      </c>
      <c r="CD393" s="62">
        <f t="shared" si="266"/>
        <v>-45698.609027777777</v>
      </c>
      <c r="CE393" s="62">
        <f t="shared" si="267"/>
        <v>-1626.3328506944445</v>
      </c>
      <c r="CF393" s="145" t="str">
        <f t="shared" si="268"/>
        <v>0</v>
      </c>
      <c r="CG393" s="145"/>
      <c r="CH393" s="443">
        <f t="shared" si="269"/>
        <v>6.0639140114379488</v>
      </c>
      <c r="CI393" s="996">
        <f t="shared" si="270"/>
        <v>6.0639140114379488</v>
      </c>
      <c r="CJ393" s="261">
        <f t="shared" si="271"/>
        <v>0</v>
      </c>
      <c r="CK393" s="458">
        <f t="shared" si="272"/>
        <v>157.39097222222335</v>
      </c>
      <c r="CL393" t="str">
        <f t="shared" si="273"/>
        <v>NON-REV</v>
      </c>
      <c r="CM393" t="str">
        <f t="shared" si="274"/>
        <v>4-6 MONTHS</v>
      </c>
      <c r="CN393" s="635"/>
      <c r="CO393" s="631"/>
      <c r="CP393" s="629" t="str">
        <f t="shared" si="251"/>
        <v>FOR ISSUANCE</v>
      </c>
      <c r="CQ393" s="635"/>
      <c r="CR393" s="697"/>
      <c r="CS393" s="633" t="str">
        <f t="shared" ca="1" si="275"/>
        <v>0</v>
      </c>
      <c r="CT393" s="635"/>
      <c r="CU393" s="631"/>
      <c r="CV393" s="638"/>
      <c r="CW393" s="156" t="s">
        <v>2356</v>
      </c>
      <c r="CX393" s="156" t="str">
        <f>VLOOKUP(E393,'[1]List of Work Orders'!$A:$I,9,FALSE)</f>
        <v>ME166067</v>
      </c>
      <c r="CY393" s="156"/>
      <c r="DA393" s="762">
        <f t="shared" si="243"/>
        <v>-45698.609027777777</v>
      </c>
      <c r="DS393" s="442" t="s">
        <v>403</v>
      </c>
    </row>
    <row r="394" spans="1:123" customFormat="1" ht="15" customHeight="1" x14ac:dyDescent="0.25">
      <c r="A394" s="242">
        <v>45707</v>
      </c>
      <c r="B394" s="222"/>
      <c r="C394" s="223"/>
      <c r="D394" s="66" t="s">
        <v>320</v>
      </c>
      <c r="E394" s="404" t="s">
        <v>2357</v>
      </c>
      <c r="F394" s="155" t="s">
        <v>2358</v>
      </c>
      <c r="G394" s="95" t="s">
        <v>2359</v>
      </c>
      <c r="H394" s="344" t="s">
        <v>318</v>
      </c>
      <c r="I394" s="95" t="s">
        <v>239</v>
      </c>
      <c r="J394" s="163"/>
      <c r="K394" s="101"/>
      <c r="L394" s="101" t="s">
        <v>1957</v>
      </c>
      <c r="M394" s="345" t="s">
        <v>272</v>
      </c>
      <c r="N394" s="442" t="s">
        <v>403</v>
      </c>
      <c r="O394" s="165">
        <v>20.14</v>
      </c>
      <c r="P394" s="933">
        <v>20.14</v>
      </c>
      <c r="Q394" s="157">
        <v>110</v>
      </c>
      <c r="R394" s="109" t="s">
        <v>244</v>
      </c>
      <c r="S394" s="110">
        <v>242142.06</v>
      </c>
      <c r="T394" s="93">
        <v>31416.7</v>
      </c>
      <c r="U394" s="141"/>
      <c r="V394" s="158">
        <f t="shared" si="252"/>
        <v>0</v>
      </c>
      <c r="W394" s="159">
        <v>45698.611805555556</v>
      </c>
      <c r="X394" s="159">
        <v>45706.461111111108</v>
      </c>
      <c r="Y394" s="160">
        <v>45705</v>
      </c>
      <c r="Z394" s="470"/>
      <c r="AA394" s="470">
        <v>45716</v>
      </c>
      <c r="AB394" s="470"/>
      <c r="AC394" s="161">
        <f t="shared" si="253"/>
        <v>17.388194444443798</v>
      </c>
      <c r="AD394" s="161">
        <f t="shared" si="246"/>
        <v>9.538888888891961</v>
      </c>
      <c r="AE394" s="446">
        <f t="shared" si="276"/>
        <v>-45716</v>
      </c>
      <c r="AF394" s="160">
        <f t="shared" si="247"/>
        <v>45715.950788606402</v>
      </c>
      <c r="AG394" s="160">
        <f t="shared" si="244"/>
        <v>45724.374517419965</v>
      </c>
      <c r="AH394" s="159">
        <f t="shared" si="248"/>
        <v>45748.611805555556</v>
      </c>
      <c r="AI394" s="162">
        <f t="shared" si="254"/>
        <v>0.64118967013886508</v>
      </c>
      <c r="AJ394" s="224">
        <f t="shared" si="249"/>
        <v>-761.93333333333328</v>
      </c>
      <c r="AK394" s="225">
        <f t="shared" si="255"/>
        <v>20</v>
      </c>
      <c r="AL394" s="170">
        <f t="shared" si="256"/>
        <v>32</v>
      </c>
      <c r="AM394" s="170">
        <f t="shared" si="257"/>
        <v>20.33898305084746</v>
      </c>
      <c r="AN394" s="170">
        <f t="shared" si="258"/>
        <v>25.762711864406779</v>
      </c>
      <c r="AO394" s="226">
        <f t="shared" si="259"/>
        <v>17.33898305084746</v>
      </c>
      <c r="AP394" s="227">
        <v>60</v>
      </c>
      <c r="AQ394" s="228">
        <f t="shared" si="260"/>
        <v>57</v>
      </c>
      <c r="AR394" s="228">
        <f t="shared" si="245"/>
        <v>52</v>
      </c>
      <c r="AS394" s="229">
        <f t="shared" si="261"/>
        <v>45776</v>
      </c>
      <c r="AT394" s="982">
        <f t="shared" ca="1" si="262"/>
        <v>179</v>
      </c>
      <c r="AU394" s="50"/>
      <c r="AV394" s="51"/>
      <c r="AW394" s="49"/>
      <c r="AX394" s="49"/>
      <c r="AY394" s="49"/>
      <c r="AZ394" s="300"/>
      <c r="BA394" s="52"/>
      <c r="BB394" s="304"/>
      <c r="BC394" s="231" t="s">
        <v>12</v>
      </c>
      <c r="BD394" s="232"/>
      <c r="BE394" s="222">
        <f t="shared" si="242"/>
        <v>45731</v>
      </c>
      <c r="BF394" s="233" t="e">
        <f t="shared" si="250"/>
        <v>#VALUE!</v>
      </c>
      <c r="BG394" s="248"/>
      <c r="BH394" s="235"/>
      <c r="BI394" s="234"/>
      <c r="BJ394" s="236"/>
      <c r="BK394" s="222"/>
      <c r="BL394" s="222"/>
      <c r="BM394" s="238"/>
      <c r="BN394" s="222"/>
      <c r="BO394" s="222"/>
      <c r="BP394" s="243"/>
      <c r="BQ394" s="244"/>
      <c r="BR394" s="238"/>
      <c r="BS394" s="67"/>
      <c r="BT394" s="66"/>
      <c r="BU394" s="66"/>
      <c r="BV394" s="66"/>
      <c r="BW394" s="74"/>
      <c r="BX394" s="81"/>
      <c r="BY394" s="66">
        <v>45707</v>
      </c>
      <c r="BZ394" s="947" t="s">
        <v>2360</v>
      </c>
      <c r="CA394" s="42" t="str">
        <f t="shared" si="263"/>
        <v>0</v>
      </c>
      <c r="CB394" s="62">
        <f t="shared" si="264"/>
        <v>17.388194444443798</v>
      </c>
      <c r="CC394" s="42">
        <f t="shared" si="265"/>
        <v>0</v>
      </c>
      <c r="CD394" s="62">
        <f t="shared" si="266"/>
        <v>17.388194444443798</v>
      </c>
      <c r="CE394" s="62">
        <f t="shared" si="267"/>
        <v>0.64118967013886508</v>
      </c>
      <c r="CF394" s="145">
        <f t="shared" si="268"/>
        <v>153</v>
      </c>
      <c r="CG394" s="145"/>
      <c r="CH394" s="443">
        <f t="shared" si="269"/>
        <v>6.2830646701388648</v>
      </c>
      <c r="CI394" s="996">
        <f t="shared" si="270"/>
        <v>6.2830646701388648</v>
      </c>
      <c r="CJ394" s="261">
        <f t="shared" si="271"/>
        <v>2.5499999999999998</v>
      </c>
      <c r="CK394" s="458" t="str">
        <f t="shared" si="272"/>
        <v/>
      </c>
      <c r="CL394" t="str">
        <f t="shared" si="273"/>
        <v>REV</v>
      </c>
      <c r="CM394" t="str">
        <f t="shared" si="274"/>
        <v/>
      </c>
      <c r="CN394" s="635"/>
      <c r="CO394" s="631"/>
      <c r="CP394" s="629" t="str">
        <f t="shared" si="251"/>
        <v>FOR ISSUANCE</v>
      </c>
      <c r="CQ394" s="635"/>
      <c r="CR394" s="697"/>
      <c r="CS394" s="633" t="str">
        <f t="shared" ca="1" si="275"/>
        <v>0</v>
      </c>
      <c r="CT394" s="635"/>
      <c r="CU394" s="631"/>
      <c r="CV394" s="638"/>
      <c r="CW394" s="156" t="s">
        <v>2361</v>
      </c>
      <c r="CX394" s="156" t="str">
        <f>VLOOKUP(E394,'[1]List of Work Orders'!$A:$I,9,FALSE)</f>
        <v>ME166067</v>
      </c>
      <c r="CY394" s="156"/>
      <c r="DA394" s="762">
        <f t="shared" si="243"/>
        <v>7.8493055555518367</v>
      </c>
      <c r="DS394" s="442" t="s">
        <v>403</v>
      </c>
    </row>
    <row r="395" spans="1:123" customFormat="1" ht="15" customHeight="1" x14ac:dyDescent="0.25">
      <c r="A395" s="242">
        <v>45707</v>
      </c>
      <c r="B395" s="222">
        <v>45706</v>
      </c>
      <c r="C395" s="223"/>
      <c r="D395" s="66" t="s">
        <v>284</v>
      </c>
      <c r="E395" s="404" t="s">
        <v>2362</v>
      </c>
      <c r="F395" s="155" t="s">
        <v>2363</v>
      </c>
      <c r="G395" s="95" t="s">
        <v>2364</v>
      </c>
      <c r="H395" s="344" t="s">
        <v>318</v>
      </c>
      <c r="I395" s="95" t="s">
        <v>239</v>
      </c>
      <c r="J395" s="163"/>
      <c r="K395" s="101"/>
      <c r="L395" s="101" t="s">
        <v>5</v>
      </c>
      <c r="M395" s="345" t="s">
        <v>272</v>
      </c>
      <c r="N395" s="442" t="s">
        <v>403</v>
      </c>
      <c r="O395" s="165">
        <v>55.5593</v>
      </c>
      <c r="P395" s="933">
        <v>65.08</v>
      </c>
      <c r="Q395" s="157">
        <v>16</v>
      </c>
      <c r="R395" s="109" t="s">
        <v>244</v>
      </c>
      <c r="S395" s="110">
        <v>335303.64</v>
      </c>
      <c r="T395" s="93">
        <v>52409.000000000007</v>
      </c>
      <c r="U395" s="141">
        <v>40226.699999999997</v>
      </c>
      <c r="V395" s="158">
        <f t="shared" si="252"/>
        <v>0.76755328283310098</v>
      </c>
      <c r="W395" s="159">
        <v>45698.708333333336</v>
      </c>
      <c r="X395" s="159">
        <v>45706.607638888891</v>
      </c>
      <c r="Y395" s="160">
        <v>45705</v>
      </c>
      <c r="Z395" s="470"/>
      <c r="AA395" s="470">
        <v>45735.675694444442</v>
      </c>
      <c r="AB395" s="470"/>
      <c r="AC395" s="161">
        <f t="shared" si="253"/>
        <v>36.967361111106584</v>
      </c>
      <c r="AD395" s="161">
        <f t="shared" si="246"/>
        <v>29.068055555551837</v>
      </c>
      <c r="AE395" s="446">
        <f t="shared" si="276"/>
        <v>-45735.675694444442</v>
      </c>
      <c r="AF395" s="160">
        <f t="shared" si="247"/>
        <v>45718.793835192075</v>
      </c>
      <c r="AG395" s="160">
        <f t="shared" si="244"/>
        <v>45727.949969021065</v>
      </c>
      <c r="AH395" s="159">
        <f t="shared" si="248"/>
        <v>45748.708333333336</v>
      </c>
      <c r="AI395" s="162">
        <f t="shared" si="254"/>
        <v>1.2009927703970615</v>
      </c>
      <c r="AJ395" s="224">
        <f t="shared" si="249"/>
        <v>-762.26126157407407</v>
      </c>
      <c r="AK395" s="225">
        <f t="shared" si="255"/>
        <v>23</v>
      </c>
      <c r="AL395" s="170">
        <f t="shared" si="256"/>
        <v>36</v>
      </c>
      <c r="AM395" s="170">
        <f t="shared" si="257"/>
        <v>23.085501858736059</v>
      </c>
      <c r="AN395" s="170">
        <f t="shared" si="258"/>
        <v>29.241635687732341</v>
      </c>
      <c r="AO395" s="226">
        <f t="shared" si="259"/>
        <v>20.085501858736059</v>
      </c>
      <c r="AP395" s="227">
        <v>60</v>
      </c>
      <c r="AQ395" s="228">
        <f t="shared" si="260"/>
        <v>57</v>
      </c>
      <c r="AR395" s="228">
        <f t="shared" si="245"/>
        <v>52</v>
      </c>
      <c r="AS395" s="229">
        <f t="shared" si="261"/>
        <v>45795.675694444442</v>
      </c>
      <c r="AT395" s="982">
        <f t="shared" ca="1" si="262"/>
        <v>159.32430555555766</v>
      </c>
      <c r="AU395" s="50"/>
      <c r="AV395" s="51"/>
      <c r="AW395" s="49"/>
      <c r="AX395" s="49"/>
      <c r="AY395" s="49"/>
      <c r="AZ395" s="300"/>
      <c r="BA395" s="52"/>
      <c r="BB395" s="304"/>
      <c r="BC395" s="231" t="s">
        <v>12</v>
      </c>
      <c r="BD395" s="232" t="s">
        <v>601</v>
      </c>
      <c r="BE395" s="222">
        <f t="shared" si="242"/>
        <v>45750.675694444442</v>
      </c>
      <c r="BF395" s="233">
        <f t="shared" si="250"/>
        <v>7.3243055555576575</v>
      </c>
      <c r="BG395" s="248">
        <v>45729</v>
      </c>
      <c r="BH395" s="235">
        <v>45758</v>
      </c>
      <c r="BI395" s="234"/>
      <c r="BJ395" s="236"/>
      <c r="BK395" s="222"/>
      <c r="BL395" s="222"/>
      <c r="BM395" s="238"/>
      <c r="BN395" s="222"/>
      <c r="BO395" s="222"/>
      <c r="BP395" s="243"/>
      <c r="BQ395" s="244"/>
      <c r="BR395" s="238"/>
      <c r="BS395" s="67"/>
      <c r="BT395" s="66"/>
      <c r="BU395" s="66"/>
      <c r="BV395" s="66"/>
      <c r="BW395" s="74"/>
      <c r="BX395" s="81"/>
      <c r="BY395" s="66">
        <v>45707</v>
      </c>
      <c r="BZ395" s="947" t="s">
        <v>2365</v>
      </c>
      <c r="CA395" s="42" t="str">
        <f t="shared" si="263"/>
        <v>0</v>
      </c>
      <c r="CB395" s="62">
        <f t="shared" si="264"/>
        <v>36.967361111106584</v>
      </c>
      <c r="CC395" s="42">
        <f t="shared" si="265"/>
        <v>0</v>
      </c>
      <c r="CD395" s="62">
        <f t="shared" si="266"/>
        <v>36.967361111106584</v>
      </c>
      <c r="CE395" s="62">
        <f t="shared" si="267"/>
        <v>1.2009927703970615</v>
      </c>
      <c r="CF395" s="145">
        <f t="shared" si="268"/>
        <v>133.32430555555766</v>
      </c>
      <c r="CG395" s="145"/>
      <c r="CH395" s="443">
        <f t="shared" si="269"/>
        <v>5.5324225040256856</v>
      </c>
      <c r="CI395" s="996">
        <f t="shared" si="270"/>
        <v>5.5324225040256856</v>
      </c>
      <c r="CJ395" s="261">
        <f t="shared" si="271"/>
        <v>2.2220717592592942</v>
      </c>
      <c r="CK395" s="458" t="str">
        <f t="shared" si="272"/>
        <v/>
      </c>
      <c r="CL395" t="str">
        <f t="shared" si="273"/>
        <v>REV</v>
      </c>
      <c r="CM395" t="str">
        <f t="shared" si="274"/>
        <v/>
      </c>
      <c r="CN395" s="635"/>
      <c r="CO395" s="631"/>
      <c r="CP395" s="629" t="str">
        <f t="shared" si="251"/>
        <v>FOR ISSUANCE</v>
      </c>
      <c r="CQ395" s="635"/>
      <c r="CR395" s="697"/>
      <c r="CS395" s="633" t="str">
        <f t="shared" ca="1" si="275"/>
        <v>0</v>
      </c>
      <c r="CT395" s="635"/>
      <c r="CU395" s="631"/>
      <c r="CV395" s="638"/>
      <c r="CW395" s="156" t="s">
        <v>2366</v>
      </c>
      <c r="CX395" s="156" t="str">
        <f>VLOOKUP(E395,'[1]List of Work Orders'!$A:$I,9,FALSE)</f>
        <v>ME166067</v>
      </c>
      <c r="CY395" s="156"/>
      <c r="DA395" s="762">
        <f t="shared" si="243"/>
        <v>7.8993055555547471</v>
      </c>
      <c r="DS395" s="442" t="s">
        <v>403</v>
      </c>
    </row>
    <row r="396" spans="1:123" ht="15" customHeight="1" x14ac:dyDescent="0.2">
      <c r="A396" s="242">
        <v>45706</v>
      </c>
      <c r="B396" s="222">
        <v>45706</v>
      </c>
      <c r="C396" s="223" t="s">
        <v>247</v>
      </c>
      <c r="D396" s="66" t="s">
        <v>234</v>
      </c>
      <c r="E396" s="404" t="s">
        <v>2367</v>
      </c>
      <c r="F396" s="155" t="s">
        <v>2114</v>
      </c>
      <c r="G396" s="95" t="s">
        <v>252</v>
      </c>
      <c r="H396" s="95" t="s">
        <v>253</v>
      </c>
      <c r="I396" s="95" t="s">
        <v>254</v>
      </c>
      <c r="J396" s="163"/>
      <c r="K396" s="101"/>
      <c r="L396" s="101" t="s">
        <v>255</v>
      </c>
      <c r="M396" s="345" t="s">
        <v>272</v>
      </c>
      <c r="N396" s="442" t="s">
        <v>381</v>
      </c>
      <c r="O396" s="165">
        <v>18.542799999999996</v>
      </c>
      <c r="P396" s="933">
        <v>24.46</v>
      </c>
      <c r="Q396" s="157">
        <v>45</v>
      </c>
      <c r="R396" s="109" t="s">
        <v>244</v>
      </c>
      <c r="S396" s="110">
        <v>364258.38</v>
      </c>
      <c r="T396" s="93">
        <v>21017.78</v>
      </c>
      <c r="U396" s="141"/>
      <c r="V396" s="158">
        <f t="shared" si="252"/>
        <v>0</v>
      </c>
      <c r="W396" s="159">
        <v>45699.568749999999</v>
      </c>
      <c r="X396" s="159">
        <v>45706.614583333336</v>
      </c>
      <c r="Y396" s="160">
        <v>45705</v>
      </c>
      <c r="Z396" s="470"/>
      <c r="AA396" s="470">
        <v>45727.306250000001</v>
      </c>
      <c r="AB396" s="470"/>
      <c r="AC396" s="161">
        <f t="shared" si="253"/>
        <v>27.73750000000291</v>
      </c>
      <c r="AD396" s="161">
        <f t="shared" si="246"/>
        <v>20.691666666665697</v>
      </c>
      <c r="AE396" s="446">
        <f t="shared" si="276"/>
        <v>-45727.306250000001</v>
      </c>
      <c r="AF396" s="160">
        <f t="shared" si="247"/>
        <v>45718.342943548385</v>
      </c>
      <c r="AG396" s="160">
        <f t="shared" si="244"/>
        <v>45727.149395161287</v>
      </c>
      <c r="AH396" s="159">
        <f t="shared" si="248"/>
        <v>45749.568749999999</v>
      </c>
      <c r="AI396" s="162">
        <f t="shared" si="254"/>
        <v>0.95540277777787797</v>
      </c>
      <c r="AJ396" s="224">
        <f t="shared" si="249"/>
        <v>-762.12177083333336</v>
      </c>
      <c r="AK396" s="225">
        <f t="shared" si="255"/>
        <v>20</v>
      </c>
      <c r="AL396" s="170">
        <f t="shared" si="256"/>
        <v>36</v>
      </c>
      <c r="AM396" s="170">
        <f t="shared" si="257"/>
        <v>21.774193548387096</v>
      </c>
      <c r="AN396" s="170">
        <f t="shared" si="258"/>
        <v>27.58064516129032</v>
      </c>
      <c r="AO396" s="226">
        <f t="shared" si="259"/>
        <v>18.774193548387096</v>
      </c>
      <c r="AP396" s="227">
        <v>60</v>
      </c>
      <c r="AQ396" s="228">
        <f t="shared" si="260"/>
        <v>57</v>
      </c>
      <c r="AR396" s="228">
        <f t="shared" si="245"/>
        <v>52</v>
      </c>
      <c r="AS396" s="229">
        <f t="shared" si="261"/>
        <v>45787.306250000001</v>
      </c>
      <c r="AT396" s="982">
        <f t="shared" ca="1" si="262"/>
        <v>167.69374999999854</v>
      </c>
      <c r="AU396" s="1077"/>
      <c r="AV396" s="1092"/>
      <c r="AW396" s="1079"/>
      <c r="AX396" s="1079"/>
      <c r="AY396" s="1079"/>
      <c r="AZ396" s="1080"/>
      <c r="BA396" s="1101"/>
      <c r="BB396" s="1091"/>
      <c r="BC396" s="231" t="s">
        <v>13</v>
      </c>
      <c r="BD396" s="232" t="s">
        <v>2368</v>
      </c>
      <c r="BE396" s="222">
        <f t="shared" si="242"/>
        <v>45742.306250000001</v>
      </c>
      <c r="BF396" s="233" t="e">
        <f t="shared" si="250"/>
        <v>#VALUE!</v>
      </c>
      <c r="BG396" s="248"/>
      <c r="BH396" s="235"/>
      <c r="BI396" s="234"/>
      <c r="BJ396" s="236"/>
      <c r="BK396" s="222"/>
      <c r="BL396" s="222"/>
      <c r="BM396" s="238"/>
      <c r="BN396" s="222"/>
      <c r="BO396" s="222"/>
      <c r="BP396" s="243"/>
      <c r="BQ396" s="244"/>
      <c r="BR396" s="238"/>
      <c r="BS396" s="67"/>
      <c r="BT396" s="66"/>
      <c r="BU396" s="66"/>
      <c r="BV396" s="66"/>
      <c r="BW396" s="74"/>
      <c r="BX396" s="81"/>
      <c r="BY396" s="66">
        <v>45706</v>
      </c>
      <c r="BZ396" s="947" t="s">
        <v>2369</v>
      </c>
      <c r="CA396" s="42" t="str">
        <f t="shared" si="263"/>
        <v>0</v>
      </c>
      <c r="CB396" s="62">
        <f t="shared" si="264"/>
        <v>27.73750000000291</v>
      </c>
      <c r="CC396" s="42">
        <f t="shared" si="265"/>
        <v>0</v>
      </c>
      <c r="CD396" s="62">
        <f t="shared" si="266"/>
        <v>27.73750000000291</v>
      </c>
      <c r="CE396" s="62">
        <f t="shared" si="267"/>
        <v>0.95540277777787797</v>
      </c>
      <c r="CF396" s="1059">
        <f t="shared" si="268"/>
        <v>141.69374999999854</v>
      </c>
      <c r="CH396" s="1082">
        <f t="shared" si="269"/>
        <v>5.8359652777778273</v>
      </c>
      <c r="CI396" s="1083">
        <f t="shared" si="270"/>
        <v>5.8359652777778273</v>
      </c>
      <c r="CJ396" s="1084">
        <f t="shared" si="271"/>
        <v>2.3615624999999758</v>
      </c>
      <c r="CK396" s="1085" t="str">
        <f t="shared" si="272"/>
        <v/>
      </c>
      <c r="CL396" s="1057" t="str">
        <f t="shared" si="273"/>
        <v>REV</v>
      </c>
      <c r="CM396" s="1057" t="str">
        <f t="shared" si="274"/>
        <v/>
      </c>
      <c r="CN396" s="1086"/>
      <c r="CO396" s="1087"/>
      <c r="CP396" s="629" t="str">
        <f t="shared" si="251"/>
        <v>FOR ISSUANCE</v>
      </c>
      <c r="CQ396" s="1086"/>
      <c r="CR396" s="1088"/>
      <c r="CS396" s="1089" t="str">
        <f t="shared" ca="1" si="275"/>
        <v>0</v>
      </c>
      <c r="CT396" s="1086"/>
      <c r="CU396" s="1087"/>
      <c r="CV396" s="1090"/>
      <c r="CW396" s="156" t="s">
        <v>2370</v>
      </c>
      <c r="CX396" s="156" t="str">
        <f>VLOOKUP(E396,'[1]List of Work Orders'!$A:$I,9,FALSE)</f>
        <v>ME185284</v>
      </c>
      <c r="CY396" s="156"/>
      <c r="DA396" s="1100">
        <f t="shared" si="243"/>
        <v>7.0458333333372138</v>
      </c>
      <c r="DS396" s="442" t="s">
        <v>381</v>
      </c>
    </row>
    <row r="397" spans="1:123" customFormat="1" ht="15" customHeight="1" x14ac:dyDescent="0.25">
      <c r="A397" s="242">
        <v>45706</v>
      </c>
      <c r="B397" s="222">
        <v>45706</v>
      </c>
      <c r="C397" s="223"/>
      <c r="D397" s="66" t="s">
        <v>284</v>
      </c>
      <c r="E397" s="404" t="s">
        <v>2371</v>
      </c>
      <c r="F397" s="155" t="s">
        <v>2372</v>
      </c>
      <c r="G397" s="95" t="s">
        <v>2373</v>
      </c>
      <c r="H397" s="454" t="s">
        <v>378</v>
      </c>
      <c r="I397" s="95" t="s">
        <v>239</v>
      </c>
      <c r="J397" s="163" t="s">
        <v>2374</v>
      </c>
      <c r="K397" s="101"/>
      <c r="L397" s="101" t="s">
        <v>242</v>
      </c>
      <c r="M397" s="345" t="s">
        <v>272</v>
      </c>
      <c r="N397" s="442" t="s">
        <v>467</v>
      </c>
      <c r="O397" s="165">
        <v>101.17830000000002</v>
      </c>
      <c r="P397" s="933">
        <v>257.92</v>
      </c>
      <c r="Q397" s="157">
        <v>220</v>
      </c>
      <c r="R397" s="109" t="s">
        <v>244</v>
      </c>
      <c r="S397" s="110">
        <v>1023594.08</v>
      </c>
      <c r="T397" s="93">
        <v>144686.01</v>
      </c>
      <c r="U397" s="141">
        <v>27500.98</v>
      </c>
      <c r="V397" s="158">
        <f t="shared" si="252"/>
        <v>0.19007352542239569</v>
      </c>
      <c r="W397" s="159">
        <v>45699.688194444447</v>
      </c>
      <c r="X397" s="159">
        <v>45706.611805555556</v>
      </c>
      <c r="Y397" s="160">
        <v>45705</v>
      </c>
      <c r="Z397" s="470"/>
      <c r="AA397" s="470">
        <v>45741.580555555556</v>
      </c>
      <c r="AB397" s="470"/>
      <c r="AC397" s="161">
        <f t="shared" si="253"/>
        <v>41.892361111109494</v>
      </c>
      <c r="AD397" s="161">
        <f t="shared" si="246"/>
        <v>34.96875</v>
      </c>
      <c r="AE397" s="446">
        <f t="shared" si="276"/>
        <v>-45741.580555555556</v>
      </c>
      <c r="AF397" s="160">
        <f t="shared" si="247"/>
        <v>45718.716166472419</v>
      </c>
      <c r="AG397" s="160">
        <f t="shared" si="244"/>
        <v>45727.590292346547</v>
      </c>
      <c r="AH397" s="159">
        <f t="shared" si="248"/>
        <v>45749.688194444447</v>
      </c>
      <c r="AI397" s="162">
        <f t="shared" si="254"/>
        <v>1.426335152116347</v>
      </c>
      <c r="AJ397" s="224">
        <f t="shared" si="249"/>
        <v>-762.3596759259259</v>
      </c>
      <c r="AK397" s="225">
        <f t="shared" si="255"/>
        <v>28</v>
      </c>
      <c r="AL397" s="170">
        <f t="shared" si="256"/>
        <v>30</v>
      </c>
      <c r="AM397" s="170">
        <f t="shared" si="257"/>
        <v>22.027972027972027</v>
      </c>
      <c r="AN397" s="170">
        <f t="shared" si="258"/>
        <v>27.9020979020979</v>
      </c>
      <c r="AO397" s="226">
        <f t="shared" si="259"/>
        <v>19.027972027972027</v>
      </c>
      <c r="AP397" s="227">
        <v>60</v>
      </c>
      <c r="AQ397" s="228">
        <f t="shared" si="260"/>
        <v>57</v>
      </c>
      <c r="AR397" s="228">
        <f t="shared" si="245"/>
        <v>52</v>
      </c>
      <c r="AS397" s="229">
        <f t="shared" si="261"/>
        <v>45801.580555555556</v>
      </c>
      <c r="AT397" s="982">
        <f t="shared" ca="1" si="262"/>
        <v>153.4194444444438</v>
      </c>
      <c r="AU397" s="50"/>
      <c r="AV397" s="51"/>
      <c r="AW397" s="49"/>
      <c r="AX397" s="49"/>
      <c r="AY397" s="49"/>
      <c r="AZ397" s="300"/>
      <c r="BA397" s="52"/>
      <c r="BB397" s="304"/>
      <c r="BC397" s="231" t="s">
        <v>264</v>
      </c>
      <c r="BD397" s="232" t="s">
        <v>601</v>
      </c>
      <c r="BE397" s="222">
        <f t="shared" si="242"/>
        <v>45756.580555555556</v>
      </c>
      <c r="BF397" s="233">
        <f t="shared" si="250"/>
        <v>-24.580555555556202</v>
      </c>
      <c r="BG397" s="248">
        <v>45758</v>
      </c>
      <c r="BH397" s="235">
        <v>45732</v>
      </c>
      <c r="BI397" s="234"/>
      <c r="BJ397" s="236"/>
      <c r="BK397" s="222"/>
      <c r="BL397" s="222"/>
      <c r="BM397" s="238"/>
      <c r="BN397" s="222"/>
      <c r="BO397" s="222">
        <v>45874</v>
      </c>
      <c r="BP397" s="243" t="s">
        <v>1084</v>
      </c>
      <c r="BQ397" s="244" t="s">
        <v>247</v>
      </c>
      <c r="BR397" s="238">
        <v>45724</v>
      </c>
      <c r="BS397" s="67"/>
      <c r="BT397" s="66"/>
      <c r="BU397" s="66"/>
      <c r="BV397" s="66"/>
      <c r="BW397" s="74"/>
      <c r="BX397" s="81"/>
      <c r="BY397" s="66">
        <v>45706</v>
      </c>
      <c r="BZ397" s="947" t="s">
        <v>2375</v>
      </c>
      <c r="CA397" s="42" t="str">
        <f t="shared" si="263"/>
        <v>0</v>
      </c>
      <c r="CB397" s="62">
        <f t="shared" si="264"/>
        <v>41.892361111109494</v>
      </c>
      <c r="CC397" s="42">
        <f t="shared" si="265"/>
        <v>0</v>
      </c>
      <c r="CD397" s="62">
        <f t="shared" si="266"/>
        <v>41.892361111109494</v>
      </c>
      <c r="CE397" s="62">
        <f t="shared" si="267"/>
        <v>1.426335152116347</v>
      </c>
      <c r="CF397" s="145">
        <f t="shared" si="268"/>
        <v>127.4194444444438</v>
      </c>
      <c r="CG397" s="145"/>
      <c r="CH397" s="443">
        <f t="shared" si="269"/>
        <v>5.7646638558200287</v>
      </c>
      <c r="CI397" s="996">
        <f t="shared" si="270"/>
        <v>5.7646638558200287</v>
      </c>
      <c r="CJ397" s="261">
        <f t="shared" si="271"/>
        <v>2.1236574074073968</v>
      </c>
      <c r="CK397" s="458" t="str">
        <f t="shared" si="272"/>
        <v/>
      </c>
      <c r="CL397" t="str">
        <f t="shared" si="273"/>
        <v>REV</v>
      </c>
      <c r="CM397" t="str">
        <f t="shared" si="274"/>
        <v/>
      </c>
      <c r="CN397" s="635">
        <v>45874</v>
      </c>
      <c r="CO397" s="631">
        <v>65037.66</v>
      </c>
      <c r="CP397" s="629" t="str">
        <f t="shared" si="251"/>
        <v>NTC ISSUED</v>
      </c>
      <c r="CQ397" s="635">
        <v>45876</v>
      </c>
      <c r="CR397" s="697"/>
      <c r="CS397" s="633">
        <f t="shared" ca="1" si="275"/>
        <v>19</v>
      </c>
      <c r="CT397" s="635"/>
      <c r="CU397" s="631"/>
      <c r="CV397" s="638"/>
      <c r="CW397" s="156" t="s">
        <v>2376</v>
      </c>
      <c r="CX397" s="156" t="str">
        <f>VLOOKUP(E397,'[1]List of Work Orders'!$A:$I,9,FALSE)</f>
        <v>ME155242</v>
      </c>
      <c r="CY397" s="156"/>
      <c r="CZ397" s="63"/>
      <c r="DA397" s="762">
        <f t="shared" si="243"/>
        <v>6.9236111111094942</v>
      </c>
      <c r="DS397" s="442" t="s">
        <v>381</v>
      </c>
    </row>
    <row r="398" spans="1:123" customFormat="1" ht="15" customHeight="1" x14ac:dyDescent="0.25">
      <c r="A398" s="242">
        <v>45709</v>
      </c>
      <c r="B398" s="222">
        <v>45706</v>
      </c>
      <c r="C398" s="223"/>
      <c r="D398" s="66" t="s">
        <v>320</v>
      </c>
      <c r="E398" s="404" t="s">
        <v>2377</v>
      </c>
      <c r="F398" s="155" t="s">
        <v>2378</v>
      </c>
      <c r="G398" s="95" t="s">
        <v>2379</v>
      </c>
      <c r="H398" s="95" t="s">
        <v>269</v>
      </c>
      <c r="I398" s="95" t="s">
        <v>239</v>
      </c>
      <c r="J398" s="163"/>
      <c r="K398" s="101"/>
      <c r="L398" s="101" t="s">
        <v>5</v>
      </c>
      <c r="M398" s="345" t="s">
        <v>272</v>
      </c>
      <c r="N398" s="442" t="s">
        <v>403</v>
      </c>
      <c r="O398" s="165">
        <v>43.706099999999999</v>
      </c>
      <c r="P398" s="933">
        <v>43.71</v>
      </c>
      <c r="Q398" s="157">
        <v>72.75</v>
      </c>
      <c r="R398" s="109" t="s">
        <v>244</v>
      </c>
      <c r="S398" s="110">
        <v>431455.57</v>
      </c>
      <c r="T398" s="93">
        <v>51274.68</v>
      </c>
      <c r="U398" s="141"/>
      <c r="V398" s="158">
        <f t="shared" si="252"/>
        <v>0</v>
      </c>
      <c r="W398" s="159">
        <v>45700.603472222225</v>
      </c>
      <c r="X398" s="159">
        <v>45706.620833333334</v>
      </c>
      <c r="Y398" s="160">
        <v>45705</v>
      </c>
      <c r="Z398" s="470"/>
      <c r="AA398" s="470">
        <v>45798</v>
      </c>
      <c r="AB398" s="470"/>
      <c r="AC398" s="161">
        <f t="shared" si="253"/>
        <v>97.396527777775191</v>
      </c>
      <c r="AD398" s="161">
        <f t="shared" si="246"/>
        <v>91.379166666665697</v>
      </c>
      <c r="AE398" s="446">
        <f t="shared" si="276"/>
        <v>-45798</v>
      </c>
      <c r="AF398" s="160">
        <f t="shared" si="247"/>
        <v>45718.677852387511</v>
      </c>
      <c r="AG398" s="160">
        <f t="shared" si="244"/>
        <v>45727.29768709826</v>
      </c>
      <c r="AH398" s="159">
        <f t="shared" si="248"/>
        <v>45750.603472222225</v>
      </c>
      <c r="AI398" s="162">
        <f t="shared" si="254"/>
        <v>3.4661705473855289</v>
      </c>
      <c r="AJ398" s="224">
        <f t="shared" si="249"/>
        <v>-763.3</v>
      </c>
      <c r="AK398" s="225">
        <f t="shared" si="255"/>
        <v>20</v>
      </c>
      <c r="AL398" s="170">
        <f t="shared" si="256"/>
        <v>34</v>
      </c>
      <c r="AM398" s="170">
        <f t="shared" si="257"/>
        <v>21.074380165289259</v>
      </c>
      <c r="AN398" s="170">
        <f t="shared" si="258"/>
        <v>26.694214876033058</v>
      </c>
      <c r="AO398" s="226">
        <f t="shared" si="259"/>
        <v>18.074380165289259</v>
      </c>
      <c r="AP398" s="227">
        <v>60</v>
      </c>
      <c r="AQ398" s="228">
        <f t="shared" si="260"/>
        <v>57</v>
      </c>
      <c r="AR398" s="228">
        <f t="shared" si="245"/>
        <v>52</v>
      </c>
      <c r="AS398" s="229">
        <f t="shared" si="261"/>
        <v>45858</v>
      </c>
      <c r="AT398" s="982">
        <f t="shared" ca="1" si="262"/>
        <v>97</v>
      </c>
      <c r="AU398" s="50"/>
      <c r="AV398" s="51"/>
      <c r="AW398" s="49"/>
      <c r="AX398" s="49"/>
      <c r="AY398" s="49"/>
      <c r="AZ398" s="300"/>
      <c r="BA398" s="52"/>
      <c r="BB398" s="304"/>
      <c r="BC398" s="231" t="s">
        <v>264</v>
      </c>
      <c r="BD398" s="232"/>
      <c r="BE398" s="222">
        <f t="shared" si="242"/>
        <v>45813</v>
      </c>
      <c r="BF398" s="233">
        <f t="shared" si="250"/>
        <v>-13</v>
      </c>
      <c r="BG398" s="248">
        <v>45761</v>
      </c>
      <c r="BH398" s="235">
        <v>45800</v>
      </c>
      <c r="BI398" s="234"/>
      <c r="BJ398" s="236"/>
      <c r="BK398" s="222"/>
      <c r="BL398" s="222"/>
      <c r="BM398" s="238"/>
      <c r="BN398" s="222"/>
      <c r="BO398" s="222">
        <v>45876</v>
      </c>
      <c r="BP398" s="243" t="s">
        <v>1084</v>
      </c>
      <c r="BQ398" s="244"/>
      <c r="BR398" s="238"/>
      <c r="BS398" s="67"/>
      <c r="BT398" s="66"/>
      <c r="BU398" s="66"/>
      <c r="BV398" s="66"/>
      <c r="BW398" s="74"/>
      <c r="BX398" s="81"/>
      <c r="BY398" s="66">
        <v>45709</v>
      </c>
      <c r="BZ398" s="944" t="s">
        <v>2380</v>
      </c>
      <c r="CA398" s="42" t="str">
        <f t="shared" si="263"/>
        <v>0</v>
      </c>
      <c r="CB398" s="62">
        <f t="shared" si="264"/>
        <v>97.396527777775191</v>
      </c>
      <c r="CC398" s="42">
        <f t="shared" si="265"/>
        <v>0</v>
      </c>
      <c r="CD398" s="62">
        <f t="shared" si="266"/>
        <v>97.396527777775191</v>
      </c>
      <c r="CE398" s="62">
        <f t="shared" si="267"/>
        <v>3.4661705473855289</v>
      </c>
      <c r="CF398" s="145">
        <f t="shared" si="268"/>
        <v>71</v>
      </c>
      <c r="CG398" s="145"/>
      <c r="CH398" s="443">
        <f t="shared" si="269"/>
        <v>5.9929352532678823</v>
      </c>
      <c r="CI398" s="996">
        <f t="shared" si="270"/>
        <v>5.9929352532678823</v>
      </c>
      <c r="CJ398" s="261">
        <f t="shared" si="271"/>
        <v>1.1833333333333333</v>
      </c>
      <c r="CK398" s="458" t="str">
        <f t="shared" si="272"/>
        <v/>
      </c>
      <c r="CL398" t="str">
        <f t="shared" si="273"/>
        <v>REV</v>
      </c>
      <c r="CM398" t="str">
        <f t="shared" si="274"/>
        <v/>
      </c>
      <c r="CN398" s="635">
        <v>45876</v>
      </c>
      <c r="CO398" s="631">
        <v>6727.15</v>
      </c>
      <c r="CP398" s="629" t="str">
        <f t="shared" si="251"/>
        <v>NTC ISSUED</v>
      </c>
      <c r="CQ398" s="635">
        <v>45876</v>
      </c>
      <c r="CR398" s="697"/>
      <c r="CS398" s="633">
        <f t="shared" ca="1" si="275"/>
        <v>19</v>
      </c>
      <c r="CT398" s="635"/>
      <c r="CU398" s="631"/>
      <c r="CV398" s="638"/>
      <c r="CW398" s="156" t="s">
        <v>2381</v>
      </c>
      <c r="CX398" s="156" t="str">
        <f>VLOOKUP(E398,'[1]List of Work Orders'!$A:$I,9,FALSE)</f>
        <v>ME166067</v>
      </c>
      <c r="CY398" s="156"/>
      <c r="DA398" s="762">
        <f t="shared" si="243"/>
        <v>6.0173611111094942</v>
      </c>
      <c r="DS398" s="442" t="s">
        <v>381</v>
      </c>
    </row>
    <row r="399" spans="1:123" customFormat="1" ht="15" customHeight="1" x14ac:dyDescent="0.25">
      <c r="A399" s="242">
        <v>45706</v>
      </c>
      <c r="B399" s="222">
        <v>45706</v>
      </c>
      <c r="C399" s="223"/>
      <c r="D399" s="66" t="s">
        <v>320</v>
      </c>
      <c r="E399" s="404" t="s">
        <v>2382</v>
      </c>
      <c r="F399" s="155" t="s">
        <v>2383</v>
      </c>
      <c r="G399" s="95" t="s">
        <v>2384</v>
      </c>
      <c r="H399" s="95" t="s">
        <v>253</v>
      </c>
      <c r="I399" s="95" t="s">
        <v>254</v>
      </c>
      <c r="J399" s="163"/>
      <c r="K399" s="101"/>
      <c r="L399" s="101" t="s">
        <v>263</v>
      </c>
      <c r="M399" s="345" t="s">
        <v>331</v>
      </c>
      <c r="N399" s="442" t="s">
        <v>467</v>
      </c>
      <c r="O399" s="165">
        <v>13.483599999999999</v>
      </c>
      <c r="P399" s="165">
        <v>16.61</v>
      </c>
      <c r="Q399" s="157">
        <v>0</v>
      </c>
      <c r="R399" s="109" t="s">
        <v>327</v>
      </c>
      <c r="S399" s="110">
        <v>41482.86</v>
      </c>
      <c r="T399" s="93">
        <v>14273.349999999999</v>
      </c>
      <c r="U399" s="141"/>
      <c r="V399" s="158">
        <f t="shared" si="252"/>
        <v>0</v>
      </c>
      <c r="W399" s="159">
        <v>45700.664583333331</v>
      </c>
      <c r="X399" s="159">
        <v>45706.619444444441</v>
      </c>
      <c r="Y399" s="160">
        <v>45705</v>
      </c>
      <c r="Z399" s="470"/>
      <c r="AA399" s="470"/>
      <c r="AB399" s="470"/>
      <c r="AC399" s="161">
        <f t="shared" si="253"/>
        <v>-45700.664583333331</v>
      </c>
      <c r="AD399" s="161">
        <f t="shared" si="246"/>
        <v>-45706.619444444441</v>
      </c>
      <c r="AE399" s="446">
        <f t="shared" si="276"/>
        <v>0</v>
      </c>
      <c r="AF399" s="160">
        <f t="shared" si="247"/>
        <v>45719.438776881718</v>
      </c>
      <c r="AG399" s="160">
        <f t="shared" si="244"/>
        <v>45728.245228494619</v>
      </c>
      <c r="AH399" s="159">
        <f t="shared" si="248"/>
        <v>45750.664583333331</v>
      </c>
      <c r="AI399" s="162">
        <f t="shared" si="254"/>
        <v>-1574.1340023148146</v>
      </c>
      <c r="AJ399" s="224">
        <f t="shared" si="249"/>
        <v>0</v>
      </c>
      <c r="AK399" s="225">
        <f t="shared" si="255"/>
        <v>20</v>
      </c>
      <c r="AL399" s="170">
        <f t="shared" si="256"/>
        <v>36</v>
      </c>
      <c r="AM399" s="170">
        <f t="shared" si="257"/>
        <v>21.774193548387096</v>
      </c>
      <c r="AN399" s="170">
        <f t="shared" si="258"/>
        <v>27.58064516129032</v>
      </c>
      <c r="AO399" s="226">
        <f t="shared" si="259"/>
        <v>18.774193548387096</v>
      </c>
      <c r="AP399" s="227">
        <v>60</v>
      </c>
      <c r="AQ399" s="228">
        <f t="shared" si="260"/>
        <v>57</v>
      </c>
      <c r="AR399" s="228">
        <f t="shared" si="245"/>
        <v>52</v>
      </c>
      <c r="AS399" s="229">
        <f t="shared" si="261"/>
        <v>60</v>
      </c>
      <c r="AT399" s="982">
        <f t="shared" ca="1" si="262"/>
        <v>45895</v>
      </c>
      <c r="AU399" s="50"/>
      <c r="AV399" s="51"/>
      <c r="AW399" s="49"/>
      <c r="AX399" s="49"/>
      <c r="AY399" s="49"/>
      <c r="AZ399" s="300"/>
      <c r="BA399" s="52"/>
      <c r="BB399" s="304"/>
      <c r="BC399" s="231"/>
      <c r="BD399" s="232"/>
      <c r="BE399" s="222">
        <f t="shared" si="242"/>
        <v>15</v>
      </c>
      <c r="BF399" s="233">
        <f t="shared" si="250"/>
        <v>0</v>
      </c>
      <c r="BG399" s="248"/>
      <c r="BH399" s="235"/>
      <c r="BI399" s="234"/>
      <c r="BJ399" s="236"/>
      <c r="BK399" s="222"/>
      <c r="BL399" s="222"/>
      <c r="BM399" s="238"/>
      <c r="BN399" s="222"/>
      <c r="BO399" s="222"/>
      <c r="BP399" s="243"/>
      <c r="BQ399" s="244"/>
      <c r="BR399" s="238"/>
      <c r="BS399" s="67"/>
      <c r="BT399" s="66"/>
      <c r="BU399" s="66"/>
      <c r="BV399" s="66"/>
      <c r="BW399" s="74"/>
      <c r="BX399" s="81"/>
      <c r="BY399" s="66" t="s">
        <v>308</v>
      </c>
      <c r="BZ399" s="944"/>
      <c r="CA399" s="42" t="str">
        <f t="shared" si="263"/>
        <v>0</v>
      </c>
      <c r="CB399" s="62">
        <f t="shared" si="264"/>
        <v>-45700.664583333331</v>
      </c>
      <c r="CC399" s="42">
        <f t="shared" si="265"/>
        <v>0</v>
      </c>
      <c r="CD399" s="62">
        <f t="shared" si="266"/>
        <v>-45700.664583333331</v>
      </c>
      <c r="CE399" s="62">
        <f t="shared" si="267"/>
        <v>-1574.1340023148146</v>
      </c>
      <c r="CF399" s="145" t="str">
        <f t="shared" si="268"/>
        <v>0</v>
      </c>
      <c r="CG399" s="145"/>
      <c r="CH399" s="443">
        <f t="shared" si="269"/>
        <v>5.7982199074074741</v>
      </c>
      <c r="CI399" s="996">
        <f t="shared" si="270"/>
        <v>5.7982199074074741</v>
      </c>
      <c r="CJ399" s="261">
        <f t="shared" si="271"/>
        <v>0</v>
      </c>
      <c r="CK399" s="458">
        <f t="shared" si="272"/>
        <v>155.33541666666861</v>
      </c>
      <c r="CL399" t="str">
        <f t="shared" si="273"/>
        <v>NON-REV</v>
      </c>
      <c r="CM399" t="str">
        <f t="shared" si="274"/>
        <v>4-6 MONTHS</v>
      </c>
      <c r="CN399" s="635"/>
      <c r="CO399" s="631"/>
      <c r="CP399" s="629" t="str">
        <f t="shared" si="251"/>
        <v>FOR ISSUANCE</v>
      </c>
      <c r="CQ399" s="635"/>
      <c r="CR399" s="697"/>
      <c r="CS399" s="633" t="str">
        <f t="shared" ca="1" si="275"/>
        <v>0</v>
      </c>
      <c r="CT399" s="635"/>
      <c r="CU399" s="631"/>
      <c r="CV399" s="638"/>
      <c r="CW399" s="156" t="s">
        <v>2385</v>
      </c>
      <c r="CX399" s="156" t="str">
        <f>VLOOKUP(E399,'[1]List of Work Orders'!$A:$I,9,FALSE)</f>
        <v>ME155242</v>
      </c>
      <c r="CY399" s="156"/>
      <c r="DA399" s="762">
        <f t="shared" si="243"/>
        <v>5.9548611111094942</v>
      </c>
      <c r="DS399" s="442" t="s">
        <v>403</v>
      </c>
    </row>
    <row r="400" spans="1:123" customFormat="1" ht="15" customHeight="1" x14ac:dyDescent="0.25">
      <c r="A400" s="242">
        <v>45706</v>
      </c>
      <c r="B400" s="222">
        <v>45706</v>
      </c>
      <c r="C400" s="223"/>
      <c r="D400" s="66" t="s">
        <v>320</v>
      </c>
      <c r="E400" s="404" t="s">
        <v>2386</v>
      </c>
      <c r="F400" s="155" t="s">
        <v>2387</v>
      </c>
      <c r="G400" s="95" t="s">
        <v>2388</v>
      </c>
      <c r="H400" s="95" t="s">
        <v>253</v>
      </c>
      <c r="I400" s="95" t="s">
        <v>254</v>
      </c>
      <c r="J400" s="163"/>
      <c r="K400" s="101"/>
      <c r="L400" s="101" t="s">
        <v>263</v>
      </c>
      <c r="M400" s="345" t="s">
        <v>272</v>
      </c>
      <c r="N400" s="442" t="s">
        <v>2389</v>
      </c>
      <c r="O400" s="165">
        <v>48.206599999999995</v>
      </c>
      <c r="P400" s="933">
        <v>57.77</v>
      </c>
      <c r="Q400" s="157">
        <v>0</v>
      </c>
      <c r="R400" s="109" t="s">
        <v>327</v>
      </c>
      <c r="S400" s="110">
        <v>202633.21</v>
      </c>
      <c r="T400" s="93">
        <v>48879.259999999987</v>
      </c>
      <c r="U400" s="141"/>
      <c r="V400" s="158">
        <f t="shared" si="252"/>
        <v>0</v>
      </c>
      <c r="W400" s="159">
        <v>45700.689583333333</v>
      </c>
      <c r="X400" s="159">
        <v>45706.616666666669</v>
      </c>
      <c r="Y400" s="160">
        <v>45705</v>
      </c>
      <c r="Z400" s="470"/>
      <c r="AA400" s="470">
        <v>45734</v>
      </c>
      <c r="AB400" s="470"/>
      <c r="AC400" s="161">
        <f t="shared" si="253"/>
        <v>33.310416666667152</v>
      </c>
      <c r="AD400" s="161">
        <f t="shared" si="246"/>
        <v>27.383333333331393</v>
      </c>
      <c r="AE400" s="446">
        <f t="shared" si="276"/>
        <v>-45734</v>
      </c>
      <c r="AF400" s="160">
        <f t="shared" si="247"/>
        <v>45720.775085192072</v>
      </c>
      <c r="AG400" s="160">
        <f t="shared" si="244"/>
        <v>45729.931219021062</v>
      </c>
      <c r="AH400" s="159">
        <f t="shared" si="248"/>
        <v>45750.689583333333</v>
      </c>
      <c r="AI400" s="162">
        <f t="shared" si="254"/>
        <v>1.082186241948486</v>
      </c>
      <c r="AJ400" s="224">
        <f t="shared" si="249"/>
        <v>-762.23333333333335</v>
      </c>
      <c r="AK400" s="225">
        <f t="shared" si="255"/>
        <v>23</v>
      </c>
      <c r="AL400" s="170">
        <f t="shared" si="256"/>
        <v>36</v>
      </c>
      <c r="AM400" s="170">
        <f t="shared" si="257"/>
        <v>23.085501858736059</v>
      </c>
      <c r="AN400" s="170">
        <f t="shared" si="258"/>
        <v>29.241635687732341</v>
      </c>
      <c r="AO400" s="226">
        <f t="shared" si="259"/>
        <v>20.085501858736059</v>
      </c>
      <c r="AP400" s="227">
        <v>60</v>
      </c>
      <c r="AQ400" s="228">
        <f t="shared" si="260"/>
        <v>57</v>
      </c>
      <c r="AR400" s="228">
        <f t="shared" si="245"/>
        <v>52</v>
      </c>
      <c r="AS400" s="229">
        <f t="shared" si="261"/>
        <v>45794</v>
      </c>
      <c r="AT400" s="982">
        <f t="shared" ca="1" si="262"/>
        <v>161</v>
      </c>
      <c r="AU400" s="50"/>
      <c r="AV400" s="51"/>
      <c r="AW400" s="49"/>
      <c r="AX400" s="49"/>
      <c r="AY400" s="49"/>
      <c r="AZ400" s="300"/>
      <c r="BA400" s="52"/>
      <c r="BB400" s="304"/>
      <c r="BC400" s="231" t="s">
        <v>13</v>
      </c>
      <c r="BD400" s="232"/>
      <c r="BE400" s="222">
        <f t="shared" si="242"/>
        <v>45749</v>
      </c>
      <c r="BF400" s="233" t="e">
        <f t="shared" si="250"/>
        <v>#VALUE!</v>
      </c>
      <c r="BG400" s="248"/>
      <c r="BH400" s="235"/>
      <c r="BI400" s="234"/>
      <c r="BJ400" s="236"/>
      <c r="BK400" s="222"/>
      <c r="BL400" s="222"/>
      <c r="BM400" s="238"/>
      <c r="BN400" s="222"/>
      <c r="BO400" s="222"/>
      <c r="BP400" s="243"/>
      <c r="BQ400" s="244"/>
      <c r="BR400" s="238"/>
      <c r="BS400" s="67"/>
      <c r="BT400" s="66"/>
      <c r="BU400" s="66"/>
      <c r="BV400" s="66"/>
      <c r="BW400" s="74"/>
      <c r="BX400" s="81"/>
      <c r="BY400" s="66">
        <v>45706</v>
      </c>
      <c r="BZ400" s="944" t="s">
        <v>2390</v>
      </c>
      <c r="CA400" s="42" t="str">
        <f t="shared" si="263"/>
        <v>0</v>
      </c>
      <c r="CB400" s="62">
        <f t="shared" si="264"/>
        <v>33.310416666667152</v>
      </c>
      <c r="CC400" s="42">
        <f t="shared" si="265"/>
        <v>0</v>
      </c>
      <c r="CD400" s="62">
        <f t="shared" si="266"/>
        <v>33.310416666667152</v>
      </c>
      <c r="CE400" s="62">
        <f t="shared" si="267"/>
        <v>1.082186241948486</v>
      </c>
      <c r="CF400" s="145">
        <f t="shared" si="268"/>
        <v>135</v>
      </c>
      <c r="CG400" s="145"/>
      <c r="CH400" s="443">
        <f t="shared" si="269"/>
        <v>5.4680558071658769</v>
      </c>
      <c r="CI400" s="996">
        <f t="shared" si="270"/>
        <v>5.4680558071658769</v>
      </c>
      <c r="CJ400" s="261">
        <f t="shared" si="271"/>
        <v>2.25</v>
      </c>
      <c r="CK400" s="458" t="str">
        <f t="shared" si="272"/>
        <v/>
      </c>
      <c r="CL400" t="str">
        <f t="shared" si="273"/>
        <v>NON-REV</v>
      </c>
      <c r="CM400" t="str">
        <f t="shared" si="274"/>
        <v/>
      </c>
      <c r="CN400" s="635"/>
      <c r="CO400" s="631"/>
      <c r="CP400" s="629" t="str">
        <f t="shared" si="251"/>
        <v>FOR ISSUANCE</v>
      </c>
      <c r="CQ400" s="635"/>
      <c r="CR400" s="697"/>
      <c r="CS400" s="633" t="str">
        <f t="shared" ca="1" si="275"/>
        <v>0</v>
      </c>
      <c r="CT400" s="635"/>
      <c r="CU400" s="631"/>
      <c r="CV400" s="638"/>
      <c r="CW400" s="156" t="s">
        <v>2391</v>
      </c>
      <c r="CX400" s="156" t="str">
        <f>VLOOKUP(E400,'[1]List of Work Orders'!$A:$I,9,FALSE)</f>
        <v>ME188529</v>
      </c>
      <c r="CY400" s="156"/>
      <c r="DA400" s="762">
        <f t="shared" si="243"/>
        <v>5.9270833333357587</v>
      </c>
      <c r="DS400" s="442" t="s">
        <v>403</v>
      </c>
    </row>
    <row r="401" spans="1:123" customFormat="1" ht="15" customHeight="1" x14ac:dyDescent="0.25">
      <c r="A401" s="242">
        <v>45709</v>
      </c>
      <c r="B401" s="222">
        <v>45706</v>
      </c>
      <c r="C401" s="223"/>
      <c r="D401" s="66" t="s">
        <v>320</v>
      </c>
      <c r="E401" s="404" t="s">
        <v>2392</v>
      </c>
      <c r="F401" s="155" t="s">
        <v>1045</v>
      </c>
      <c r="G401" s="95" t="s">
        <v>2393</v>
      </c>
      <c r="H401" s="95" t="s">
        <v>269</v>
      </c>
      <c r="I401" s="95" t="s">
        <v>239</v>
      </c>
      <c r="J401" s="163" t="s">
        <v>2394</v>
      </c>
      <c r="K401" s="101"/>
      <c r="L401" s="101" t="s">
        <v>242</v>
      </c>
      <c r="M401" s="345" t="s">
        <v>331</v>
      </c>
      <c r="N401" s="442" t="s">
        <v>467</v>
      </c>
      <c r="O401" s="165">
        <v>34.679500000000004</v>
      </c>
      <c r="P401" s="165">
        <v>119.51</v>
      </c>
      <c r="Q401" s="157">
        <v>16.399999999999999</v>
      </c>
      <c r="R401" s="109" t="s">
        <v>244</v>
      </c>
      <c r="S401" s="110">
        <v>295706.76</v>
      </c>
      <c r="T401" s="93">
        <v>33199.840000000004</v>
      </c>
      <c r="U401" s="141"/>
      <c r="V401" s="158">
        <f t="shared" si="252"/>
        <v>0</v>
      </c>
      <c r="W401" s="159">
        <v>45700.709027777775</v>
      </c>
      <c r="X401" s="159">
        <v>45706.62222222222</v>
      </c>
      <c r="Y401" s="160">
        <v>45705</v>
      </c>
      <c r="Z401" s="470"/>
      <c r="AA401" s="470"/>
      <c r="AB401" s="470"/>
      <c r="AC401" s="161">
        <f t="shared" si="253"/>
        <v>-45700.709027777775</v>
      </c>
      <c r="AD401" s="161">
        <f t="shared" si="246"/>
        <v>-45706.62222222222</v>
      </c>
      <c r="AE401" s="446">
        <f t="shared" si="276"/>
        <v>0</v>
      </c>
      <c r="AF401" s="160">
        <f t="shared" si="247"/>
        <v>45721.9159243295</v>
      </c>
      <c r="AG401" s="160">
        <f t="shared" si="244"/>
        <v>45731.371096743293</v>
      </c>
      <c r="AH401" s="159">
        <f t="shared" si="248"/>
        <v>45750.709027777775</v>
      </c>
      <c r="AI401" s="162">
        <f t="shared" si="254"/>
        <v>-1415.9407711597814</v>
      </c>
      <c r="AJ401" s="224">
        <f t="shared" si="249"/>
        <v>0</v>
      </c>
      <c r="AK401" s="225">
        <f t="shared" si="255"/>
        <v>26</v>
      </c>
      <c r="AL401" s="170">
        <f t="shared" si="256"/>
        <v>36</v>
      </c>
      <c r="AM401" s="170">
        <f t="shared" si="257"/>
        <v>24.206896551724139</v>
      </c>
      <c r="AN401" s="170">
        <f t="shared" si="258"/>
        <v>30.662068965517239</v>
      </c>
      <c r="AO401" s="226">
        <f t="shared" si="259"/>
        <v>21.206896551724139</v>
      </c>
      <c r="AP401" s="227">
        <v>60</v>
      </c>
      <c r="AQ401" s="228">
        <f t="shared" si="260"/>
        <v>57</v>
      </c>
      <c r="AR401" s="228">
        <f t="shared" si="245"/>
        <v>52</v>
      </c>
      <c r="AS401" s="229">
        <f t="shared" si="261"/>
        <v>60</v>
      </c>
      <c r="AT401" s="982">
        <f t="shared" ca="1" si="262"/>
        <v>45895</v>
      </c>
      <c r="AU401" s="50"/>
      <c r="AV401" s="51"/>
      <c r="AW401" s="49"/>
      <c r="AX401" s="49"/>
      <c r="AY401" s="49"/>
      <c r="AZ401" s="300"/>
      <c r="BA401" s="52"/>
      <c r="BB401" s="304"/>
      <c r="BC401" s="231"/>
      <c r="BD401" s="232"/>
      <c r="BE401" s="222">
        <f t="shared" si="242"/>
        <v>15</v>
      </c>
      <c r="BF401" s="233">
        <f t="shared" si="250"/>
        <v>0</v>
      </c>
      <c r="BG401" s="248"/>
      <c r="BH401" s="235"/>
      <c r="BI401" s="234"/>
      <c r="BJ401" s="236"/>
      <c r="BK401" s="222"/>
      <c r="BL401" s="222"/>
      <c r="BM401" s="238"/>
      <c r="BN401" s="222"/>
      <c r="BO401" s="222"/>
      <c r="BP401" s="243"/>
      <c r="BQ401" s="244"/>
      <c r="BR401" s="238"/>
      <c r="BS401" s="67"/>
      <c r="BT401" s="66"/>
      <c r="BU401" s="66"/>
      <c r="BV401" s="66"/>
      <c r="BW401" s="74"/>
      <c r="BX401" s="81"/>
      <c r="BY401" s="66">
        <v>45709</v>
      </c>
      <c r="BZ401" s="944" t="s">
        <v>2395</v>
      </c>
      <c r="CA401" s="42" t="str">
        <f t="shared" si="263"/>
        <v>0</v>
      </c>
      <c r="CB401" s="62">
        <f t="shared" si="264"/>
        <v>-45700.709027777775</v>
      </c>
      <c r="CC401" s="42">
        <f t="shared" si="265"/>
        <v>0</v>
      </c>
      <c r="CD401" s="62">
        <f t="shared" si="266"/>
        <v>-45700.709027777775</v>
      </c>
      <c r="CE401" s="62">
        <f t="shared" si="267"/>
        <v>-1415.9407711597814</v>
      </c>
      <c r="CF401" s="145" t="str">
        <f t="shared" si="268"/>
        <v>0</v>
      </c>
      <c r="CG401" s="145"/>
      <c r="CH401" s="443">
        <f t="shared" si="269"/>
        <v>5.2141433701330335</v>
      </c>
      <c r="CI401" s="996">
        <f t="shared" si="270"/>
        <v>5.2141433701330335</v>
      </c>
      <c r="CJ401" s="261">
        <f t="shared" si="271"/>
        <v>0</v>
      </c>
      <c r="CK401" s="458">
        <f t="shared" si="272"/>
        <v>155.29097222222481</v>
      </c>
      <c r="CL401" t="str">
        <f t="shared" si="273"/>
        <v>REV</v>
      </c>
      <c r="CM401" t="str">
        <f t="shared" si="274"/>
        <v>4-6 MONTHS</v>
      </c>
      <c r="CN401" s="635"/>
      <c r="CO401" s="631"/>
      <c r="CP401" s="629" t="str">
        <f t="shared" si="251"/>
        <v>FOR ISSUANCE</v>
      </c>
      <c r="CQ401" s="635"/>
      <c r="CR401" s="697"/>
      <c r="CS401" s="633" t="str">
        <f t="shared" ca="1" si="275"/>
        <v>0</v>
      </c>
      <c r="CT401" s="635"/>
      <c r="CU401" s="631"/>
      <c r="CV401" s="638"/>
      <c r="CW401" s="156" t="s">
        <v>2396</v>
      </c>
      <c r="CX401" s="156" t="str">
        <f>VLOOKUP(E401,'[1]List of Work Orders'!$A:$I,9,FALSE)</f>
        <v>ME155242</v>
      </c>
      <c r="CY401" s="156"/>
      <c r="CZ401" s="63"/>
      <c r="DA401" s="762">
        <f t="shared" si="243"/>
        <v>5.9131944444452529</v>
      </c>
      <c r="DS401" s="156" t="s">
        <v>397</v>
      </c>
    </row>
    <row r="402" spans="1:123" ht="15" customHeight="1" x14ac:dyDescent="0.2">
      <c r="A402" s="242">
        <v>45712</v>
      </c>
      <c r="B402" s="222">
        <v>45706</v>
      </c>
      <c r="C402" s="223"/>
      <c r="D402" s="66" t="s">
        <v>320</v>
      </c>
      <c r="E402" s="404" t="s">
        <v>2397</v>
      </c>
      <c r="F402" s="155" t="s">
        <v>876</v>
      </c>
      <c r="G402" s="95" t="s">
        <v>2398</v>
      </c>
      <c r="H402" s="95" t="s">
        <v>238</v>
      </c>
      <c r="I402" s="95" t="s">
        <v>239</v>
      </c>
      <c r="J402" s="163"/>
      <c r="K402" s="101"/>
      <c r="L402" s="101" t="s">
        <v>255</v>
      </c>
      <c r="M402" s="345" t="s">
        <v>272</v>
      </c>
      <c r="N402" s="442" t="s">
        <v>381</v>
      </c>
      <c r="O402" s="165">
        <v>308.19279999999992</v>
      </c>
      <c r="P402" s="933">
        <v>674.76</v>
      </c>
      <c r="Q402" s="157">
        <v>167</v>
      </c>
      <c r="R402" s="109" t="s">
        <v>244</v>
      </c>
      <c r="S402" s="110">
        <v>2792430.39</v>
      </c>
      <c r="T402" s="93">
        <v>484145.48999999976</v>
      </c>
      <c r="U402" s="141">
        <v>39469.99</v>
      </c>
      <c r="V402" s="158">
        <f t="shared" si="252"/>
        <v>8.1525059750117715E-2</v>
      </c>
      <c r="W402" s="159">
        <v>45701.579861111109</v>
      </c>
      <c r="X402" s="159">
        <v>45709.629861111112</v>
      </c>
      <c r="Y402" s="160">
        <v>45705</v>
      </c>
      <c r="Z402" s="470"/>
      <c r="AA402" s="470">
        <v>45789.375</v>
      </c>
      <c r="AB402" s="470"/>
      <c r="AC402" s="161">
        <f t="shared" si="253"/>
        <v>87.795138888890506</v>
      </c>
      <c r="AD402" s="161">
        <f t="shared" si="246"/>
        <v>79.745138888887595</v>
      </c>
      <c r="AE402" s="446">
        <f t="shared" si="276"/>
        <v>-45789.375</v>
      </c>
      <c r="AF402" s="160">
        <f t="shared" si="247"/>
        <v>45724.111776004727</v>
      </c>
      <c r="AG402" s="160">
        <f t="shared" si="244"/>
        <v>45733.920286643028</v>
      </c>
      <c r="AH402" s="159">
        <f t="shared" si="248"/>
        <v>45751.579861111109</v>
      </c>
      <c r="AI402" s="162">
        <f t="shared" si="254"/>
        <v>2.5789822048611586</v>
      </c>
      <c r="AJ402" s="224">
        <f t="shared" si="249"/>
        <v>-763.15625</v>
      </c>
      <c r="AK402" s="225">
        <f t="shared" si="255"/>
        <v>40</v>
      </c>
      <c r="AL402" s="170">
        <f t="shared" si="256"/>
        <v>32</v>
      </c>
      <c r="AM402" s="170">
        <f t="shared" si="257"/>
        <v>25.531914893617024</v>
      </c>
      <c r="AN402" s="170">
        <f t="shared" si="258"/>
        <v>32.340425531914896</v>
      </c>
      <c r="AO402" s="226">
        <f t="shared" si="259"/>
        <v>22.531914893617024</v>
      </c>
      <c r="AP402" s="227">
        <v>60</v>
      </c>
      <c r="AQ402" s="228">
        <f t="shared" si="260"/>
        <v>57</v>
      </c>
      <c r="AR402" s="228">
        <f t="shared" si="245"/>
        <v>52</v>
      </c>
      <c r="AS402" s="229">
        <f t="shared" si="261"/>
        <v>45849.375</v>
      </c>
      <c r="AT402" s="982">
        <f t="shared" ca="1" si="262"/>
        <v>105.625</v>
      </c>
      <c r="AU402" s="1077" t="s">
        <v>61</v>
      </c>
      <c r="AV402" s="1092" t="s">
        <v>247</v>
      </c>
      <c r="AW402" s="1079" t="s">
        <v>247</v>
      </c>
      <c r="AX402" s="1079"/>
      <c r="AY402" s="1079"/>
      <c r="AZ402" s="1080">
        <v>45778</v>
      </c>
      <c r="BA402" s="1101">
        <f>BB402-AZ402</f>
        <v>8</v>
      </c>
      <c r="BB402" s="1091">
        <v>45786</v>
      </c>
      <c r="BC402" s="231" t="s">
        <v>13</v>
      </c>
      <c r="BD402" s="232" t="s">
        <v>2399</v>
      </c>
      <c r="BE402" s="222">
        <f t="shared" si="242"/>
        <v>45804.375</v>
      </c>
      <c r="BF402" s="233" t="e">
        <f t="shared" si="250"/>
        <v>#VALUE!</v>
      </c>
      <c r="BG402" s="248"/>
      <c r="BH402" s="235"/>
      <c r="BI402" s="234"/>
      <c r="BJ402" s="236"/>
      <c r="BK402" s="222"/>
      <c r="BL402" s="222"/>
      <c r="BM402" s="238"/>
      <c r="BN402" s="222"/>
      <c r="BO402" s="222"/>
      <c r="BP402" s="243"/>
      <c r="BQ402" s="244" t="s">
        <v>247</v>
      </c>
      <c r="BR402" s="238">
        <v>45785</v>
      </c>
      <c r="BS402" s="67"/>
      <c r="BT402" s="66"/>
      <c r="BU402" s="66"/>
      <c r="BV402" s="66"/>
      <c r="BW402" s="74"/>
      <c r="BX402" s="81"/>
      <c r="BY402" s="66">
        <v>45712</v>
      </c>
      <c r="BZ402" s="944" t="s">
        <v>2400</v>
      </c>
      <c r="CA402" s="42" t="str">
        <f t="shared" si="263"/>
        <v>0</v>
      </c>
      <c r="CB402" s="62">
        <f t="shared" si="264"/>
        <v>87.795138888890506</v>
      </c>
      <c r="CC402" s="42">
        <f t="shared" si="265"/>
        <v>8</v>
      </c>
      <c r="CD402" s="62">
        <f t="shared" si="266"/>
        <v>79.795138888890506</v>
      </c>
      <c r="CE402" s="62">
        <f t="shared" si="267"/>
        <v>2.3439822048611583</v>
      </c>
      <c r="CF402" s="1059">
        <f t="shared" si="268"/>
        <v>79.625</v>
      </c>
      <c r="CG402" s="1059">
        <f xml:space="preserve"> (0.3)*(($CF$1-W402-CF402)/AK402)+(0.7)*(($CF$1-W402-CF402)/AL402)</f>
        <v>2.5789822048611586</v>
      </c>
      <c r="CH402" s="1082">
        <f t="shared" si="269"/>
        <v>4.917966579861158</v>
      </c>
      <c r="CI402" s="1083">
        <f t="shared" si="270"/>
        <v>2.3389843749999994</v>
      </c>
      <c r="CJ402" s="1084">
        <f t="shared" si="271"/>
        <v>1.3270833333333334</v>
      </c>
      <c r="CK402" s="1085" t="str">
        <f t="shared" si="272"/>
        <v/>
      </c>
      <c r="CL402" s="1057" t="str">
        <f t="shared" si="273"/>
        <v>REV</v>
      </c>
      <c r="CM402" s="1057" t="str">
        <f t="shared" si="274"/>
        <v/>
      </c>
      <c r="CN402" s="1086"/>
      <c r="CO402" s="1087"/>
      <c r="CP402" s="629" t="str">
        <f t="shared" si="251"/>
        <v>FOR ISSUANCE</v>
      </c>
      <c r="CQ402" s="1086"/>
      <c r="CR402" s="1088"/>
      <c r="CS402" s="1089" t="str">
        <f t="shared" ca="1" si="275"/>
        <v>0</v>
      </c>
      <c r="CT402" s="1086"/>
      <c r="CU402" s="1087"/>
      <c r="CV402" s="1090"/>
      <c r="CW402" s="156" t="s">
        <v>2401</v>
      </c>
      <c r="CX402" s="156" t="str">
        <f>VLOOKUP(E402,'[1]List of Work Orders'!$A:$I,9,FALSE)</f>
        <v>ME185284</v>
      </c>
      <c r="CY402" s="156"/>
      <c r="DA402" s="1100">
        <f t="shared" si="243"/>
        <v>8.0500000000029104</v>
      </c>
      <c r="DS402" s="156" t="s">
        <v>397</v>
      </c>
    </row>
    <row r="403" spans="1:123" ht="15" customHeight="1" x14ac:dyDescent="0.2">
      <c r="A403" s="242">
        <v>45751</v>
      </c>
      <c r="B403" s="222">
        <v>45706</v>
      </c>
      <c r="C403" s="223"/>
      <c r="D403" s="66" t="s">
        <v>320</v>
      </c>
      <c r="E403" s="404" t="s">
        <v>2402</v>
      </c>
      <c r="F403" s="155" t="s">
        <v>2403</v>
      </c>
      <c r="G403" s="95" t="s">
        <v>2404</v>
      </c>
      <c r="H403" s="95" t="s">
        <v>253</v>
      </c>
      <c r="I403" s="95" t="s">
        <v>254</v>
      </c>
      <c r="J403" s="1134" t="s">
        <v>2405</v>
      </c>
      <c r="K403" s="101"/>
      <c r="L403" s="101" t="s">
        <v>255</v>
      </c>
      <c r="M403" s="345" t="s">
        <v>331</v>
      </c>
      <c r="N403" s="442" t="s">
        <v>403</v>
      </c>
      <c r="O403" s="165">
        <v>52.976099999999995</v>
      </c>
      <c r="P403" s="165">
        <v>145.91</v>
      </c>
      <c r="Q403" s="157">
        <v>0</v>
      </c>
      <c r="R403" s="109" t="s">
        <v>327</v>
      </c>
      <c r="S403" s="110">
        <v>226387.26</v>
      </c>
      <c r="T403" s="93">
        <v>58107.389999999992</v>
      </c>
      <c r="U403" s="141"/>
      <c r="V403" s="158">
        <f t="shared" si="252"/>
        <v>0</v>
      </c>
      <c r="W403" s="159">
        <v>45701.585416666669</v>
      </c>
      <c r="X403" s="159">
        <v>45709.630555555559</v>
      </c>
      <c r="Y403" s="160">
        <v>45705</v>
      </c>
      <c r="Z403" s="470"/>
      <c r="AA403" s="470"/>
      <c r="AB403" s="470"/>
      <c r="AC403" s="161">
        <f t="shared" si="253"/>
        <v>-45701.585416666669</v>
      </c>
      <c r="AD403" s="161">
        <f t="shared" si="246"/>
        <v>-45709.630555555559</v>
      </c>
      <c r="AE403" s="446">
        <f t="shared" si="276"/>
        <v>0</v>
      </c>
      <c r="AF403" s="160">
        <f t="shared" si="247"/>
        <v>45722.792313218393</v>
      </c>
      <c r="AG403" s="160">
        <f t="shared" si="244"/>
        <v>45732.247485632186</v>
      </c>
      <c r="AH403" s="159">
        <f t="shared" si="248"/>
        <v>45751.585416666669</v>
      </c>
      <c r="AI403" s="162">
        <f t="shared" si="254"/>
        <v>-1415.9679242343304</v>
      </c>
      <c r="AJ403" s="224">
        <f t="shared" si="249"/>
        <v>0</v>
      </c>
      <c r="AK403" s="225">
        <f t="shared" si="255"/>
        <v>26</v>
      </c>
      <c r="AL403" s="170">
        <f t="shared" si="256"/>
        <v>36</v>
      </c>
      <c r="AM403" s="170">
        <f t="shared" si="257"/>
        <v>24.206896551724139</v>
      </c>
      <c r="AN403" s="170">
        <f t="shared" si="258"/>
        <v>30.662068965517239</v>
      </c>
      <c r="AO403" s="226">
        <f t="shared" si="259"/>
        <v>21.206896551724139</v>
      </c>
      <c r="AP403" s="227">
        <v>60</v>
      </c>
      <c r="AQ403" s="228">
        <f t="shared" si="260"/>
        <v>57</v>
      </c>
      <c r="AR403" s="228">
        <f t="shared" si="245"/>
        <v>52</v>
      </c>
      <c r="AS403" s="229">
        <f t="shared" si="261"/>
        <v>60</v>
      </c>
      <c r="AT403" s="982">
        <f t="shared" ca="1" si="262"/>
        <v>45895</v>
      </c>
      <c r="AU403" s="1077"/>
      <c r="AV403" s="1092"/>
      <c r="AW403" s="1079"/>
      <c r="AX403" s="1079"/>
      <c r="AY403" s="1079"/>
      <c r="AZ403" s="1080"/>
      <c r="BA403" s="1101"/>
      <c r="BB403" s="1091"/>
      <c r="BC403" s="231"/>
      <c r="BD403" s="232"/>
      <c r="BE403" s="222">
        <f t="shared" si="242"/>
        <v>15</v>
      </c>
      <c r="BF403" s="233">
        <f t="shared" si="250"/>
        <v>0</v>
      </c>
      <c r="BG403" s="248"/>
      <c r="BH403" s="235"/>
      <c r="BI403" s="234"/>
      <c r="BJ403" s="236"/>
      <c r="BK403" s="222"/>
      <c r="BL403" s="222"/>
      <c r="BM403" s="238"/>
      <c r="BN403" s="222"/>
      <c r="BO403" s="222"/>
      <c r="BP403" s="243"/>
      <c r="BQ403" s="244"/>
      <c r="BR403" s="238"/>
      <c r="BS403" s="67"/>
      <c r="BT403" s="66"/>
      <c r="BU403" s="66"/>
      <c r="BV403" s="66"/>
      <c r="BW403" s="74"/>
      <c r="BX403" s="81"/>
      <c r="BY403" s="66">
        <v>45754</v>
      </c>
      <c r="BZ403" s="944" t="s">
        <v>2406</v>
      </c>
      <c r="CA403" s="42" t="str">
        <f t="shared" si="263"/>
        <v>0</v>
      </c>
      <c r="CB403" s="62">
        <f t="shared" si="264"/>
        <v>-45701.585416666669</v>
      </c>
      <c r="CC403" s="42">
        <f t="shared" si="265"/>
        <v>0</v>
      </c>
      <c r="CD403" s="62">
        <f t="shared" si="266"/>
        <v>-45701.585416666669</v>
      </c>
      <c r="CE403" s="62">
        <f t="shared" si="267"/>
        <v>-1415.9679242343304</v>
      </c>
      <c r="CF403" s="1059" t="str">
        <f t="shared" si="268"/>
        <v>0</v>
      </c>
      <c r="CH403" s="1082">
        <f t="shared" si="269"/>
        <v>5.1869902955839855</v>
      </c>
      <c r="CI403" s="1083">
        <f t="shared" si="270"/>
        <v>5.1869902955839855</v>
      </c>
      <c r="CJ403" s="1084">
        <f t="shared" si="271"/>
        <v>0</v>
      </c>
      <c r="CK403" s="1085">
        <f t="shared" si="272"/>
        <v>154.41458333333139</v>
      </c>
      <c r="CL403" s="1057" t="str">
        <f t="shared" si="273"/>
        <v>NON-REV</v>
      </c>
      <c r="CM403" s="1057" t="str">
        <f t="shared" si="274"/>
        <v>4-6 MONTHS</v>
      </c>
      <c r="CN403" s="1086"/>
      <c r="CO403" s="1087"/>
      <c r="CP403" s="629" t="str">
        <f t="shared" si="251"/>
        <v>FOR ISSUANCE</v>
      </c>
      <c r="CQ403" s="1086"/>
      <c r="CR403" s="1088"/>
      <c r="CS403" s="1089" t="str">
        <f t="shared" ca="1" si="275"/>
        <v>0</v>
      </c>
      <c r="CT403" s="1086"/>
      <c r="CU403" s="1087"/>
      <c r="CV403" s="1090"/>
      <c r="CW403" s="156" t="s">
        <v>2407</v>
      </c>
      <c r="CX403" s="156" t="str">
        <f>VLOOKUP(E403,'[1]List of Work Orders'!$A:$I,9,FALSE)</f>
        <v>ME185284</v>
      </c>
      <c r="CY403" s="156"/>
      <c r="DA403" s="1100">
        <f t="shared" si="243"/>
        <v>8.0451388888905058</v>
      </c>
      <c r="DS403" s="156" t="s">
        <v>397</v>
      </c>
    </row>
    <row r="404" spans="1:123" customFormat="1" ht="15" customHeight="1" x14ac:dyDescent="0.25">
      <c r="A404" s="242">
        <v>45709</v>
      </c>
      <c r="B404" s="222">
        <v>45706</v>
      </c>
      <c r="C404" s="223"/>
      <c r="D404" s="66" t="s">
        <v>320</v>
      </c>
      <c r="E404" s="404" t="s">
        <v>2408</v>
      </c>
      <c r="F404" s="155" t="s">
        <v>2409</v>
      </c>
      <c r="G404" s="95" t="s">
        <v>1793</v>
      </c>
      <c r="H404" s="348" t="s">
        <v>318</v>
      </c>
      <c r="I404" s="95" t="s">
        <v>239</v>
      </c>
      <c r="J404" s="163"/>
      <c r="K404" s="101"/>
      <c r="L404" s="101" t="s">
        <v>5</v>
      </c>
      <c r="M404" s="345" t="s">
        <v>272</v>
      </c>
      <c r="N404" s="442" t="s">
        <v>403</v>
      </c>
      <c r="O404" s="165">
        <v>103.32950000000001</v>
      </c>
      <c r="P404" s="933">
        <v>75.05</v>
      </c>
      <c r="Q404" s="157">
        <v>240</v>
      </c>
      <c r="R404" s="109" t="s">
        <v>244</v>
      </c>
      <c r="S404" s="110">
        <v>606460.99</v>
      </c>
      <c r="T404" s="93">
        <v>68634.489999999991</v>
      </c>
      <c r="U404" s="141">
        <v>29061.85</v>
      </c>
      <c r="V404" s="158">
        <f t="shared" si="252"/>
        <v>0.42342924089623163</v>
      </c>
      <c r="W404" s="159">
        <v>45702.424305555556</v>
      </c>
      <c r="X404" s="159">
        <v>45708.568055555559</v>
      </c>
      <c r="Y404" s="160">
        <v>45705</v>
      </c>
      <c r="Z404" s="470"/>
      <c r="AA404" s="470">
        <v>45729</v>
      </c>
      <c r="AB404" s="470"/>
      <c r="AC404" s="161">
        <f t="shared" si="253"/>
        <v>26.575694444443798</v>
      </c>
      <c r="AD404" s="161">
        <f t="shared" si="246"/>
        <v>20.431944444440887</v>
      </c>
      <c r="AE404" s="446">
        <f t="shared" si="276"/>
        <v>-45729</v>
      </c>
      <c r="AF404" s="160">
        <f t="shared" si="247"/>
        <v>45720.041835436037</v>
      </c>
      <c r="AG404" s="160">
        <f t="shared" si="244"/>
        <v>45728.539843404164</v>
      </c>
      <c r="AH404" s="159">
        <f t="shared" si="248"/>
        <v>45752.424305555556</v>
      </c>
      <c r="AI404" s="162">
        <f t="shared" si="254"/>
        <v>0.96673902979063664</v>
      </c>
      <c r="AJ404" s="224">
        <f t="shared" si="249"/>
        <v>-762.15</v>
      </c>
      <c r="AK404" s="225">
        <f t="shared" si="255"/>
        <v>23</v>
      </c>
      <c r="AL404" s="170">
        <f t="shared" si="256"/>
        <v>30</v>
      </c>
      <c r="AM404" s="170">
        <f t="shared" si="257"/>
        <v>20.617529880478088</v>
      </c>
      <c r="AN404" s="170">
        <f t="shared" si="258"/>
        <v>26.115537848605577</v>
      </c>
      <c r="AO404" s="226">
        <f t="shared" si="259"/>
        <v>17.617529880478088</v>
      </c>
      <c r="AP404" s="227">
        <v>60</v>
      </c>
      <c r="AQ404" s="228">
        <f t="shared" si="260"/>
        <v>57</v>
      </c>
      <c r="AR404" s="228">
        <f t="shared" si="245"/>
        <v>52</v>
      </c>
      <c r="AS404" s="229">
        <f t="shared" si="261"/>
        <v>45789</v>
      </c>
      <c r="AT404" s="982">
        <f t="shared" ca="1" si="262"/>
        <v>166</v>
      </c>
      <c r="AU404" s="50"/>
      <c r="AV404" s="51"/>
      <c r="AW404" s="49"/>
      <c r="AX404" s="49"/>
      <c r="AY404" s="49"/>
      <c r="AZ404" s="300"/>
      <c r="BA404" s="52"/>
      <c r="BB404" s="304"/>
      <c r="BC404" s="231" t="s">
        <v>12</v>
      </c>
      <c r="BD404" s="232" t="s">
        <v>601</v>
      </c>
      <c r="BE404" s="222">
        <f t="shared" si="242"/>
        <v>45744</v>
      </c>
      <c r="BF404" s="233">
        <f t="shared" si="250"/>
        <v>14</v>
      </c>
      <c r="BG404" s="248">
        <v>45729</v>
      </c>
      <c r="BH404" s="235">
        <v>45758</v>
      </c>
      <c r="BI404" s="234"/>
      <c r="BJ404" s="236"/>
      <c r="BK404" s="222"/>
      <c r="BL404" s="222"/>
      <c r="BM404" s="238"/>
      <c r="BN404" s="222"/>
      <c r="BO404" s="222"/>
      <c r="BP404" s="243"/>
      <c r="BQ404" s="244" t="s">
        <v>247</v>
      </c>
      <c r="BR404" s="238">
        <v>45728</v>
      </c>
      <c r="BS404" s="67"/>
      <c r="BT404" s="66"/>
      <c r="BU404" s="66"/>
      <c r="BV404" s="66"/>
      <c r="BW404" s="74"/>
      <c r="BX404" s="81"/>
      <c r="BY404" s="66">
        <v>45709</v>
      </c>
      <c r="BZ404" s="947" t="s">
        <v>2410</v>
      </c>
      <c r="CA404" s="42" t="str">
        <f t="shared" si="263"/>
        <v>0</v>
      </c>
      <c r="CB404" s="62">
        <f t="shared" si="264"/>
        <v>26.575694444443798</v>
      </c>
      <c r="CC404" s="42">
        <f t="shared" si="265"/>
        <v>0</v>
      </c>
      <c r="CD404" s="62">
        <f t="shared" si="266"/>
        <v>26.575694444443798</v>
      </c>
      <c r="CE404" s="62">
        <f t="shared" si="267"/>
        <v>0.96673902979063664</v>
      </c>
      <c r="CF404" s="145">
        <f t="shared" si="268"/>
        <v>140</v>
      </c>
      <c r="CG404" s="145"/>
      <c r="CH404" s="443">
        <f t="shared" si="269"/>
        <v>6.059492652979042</v>
      </c>
      <c r="CI404" s="996">
        <f t="shared" si="270"/>
        <v>6.059492652979042</v>
      </c>
      <c r="CJ404" s="261">
        <f t="shared" si="271"/>
        <v>2.3333333333333335</v>
      </c>
      <c r="CK404" s="458" t="str">
        <f t="shared" si="272"/>
        <v/>
      </c>
      <c r="CL404" t="str">
        <f t="shared" si="273"/>
        <v>REV</v>
      </c>
      <c r="CM404" t="str">
        <f t="shared" si="274"/>
        <v/>
      </c>
      <c r="CN404" s="635"/>
      <c r="CO404" s="631"/>
      <c r="CP404" s="629" t="str">
        <f t="shared" si="251"/>
        <v>FOR ISSUANCE</v>
      </c>
      <c r="CQ404" s="635"/>
      <c r="CR404" s="697"/>
      <c r="CS404" s="633" t="str">
        <f t="shared" ca="1" si="275"/>
        <v>0</v>
      </c>
      <c r="CT404" s="635"/>
      <c r="CU404" s="631"/>
      <c r="CV404" s="638"/>
      <c r="CW404" s="156" t="s">
        <v>2411</v>
      </c>
      <c r="CX404" s="156" t="str">
        <f>VLOOKUP(E404,'[1]List of Work Orders'!$A:$I,9,FALSE)</f>
        <v>ME166067</v>
      </c>
      <c r="CY404" s="156"/>
      <c r="DA404" s="762">
        <f t="shared" si="243"/>
        <v>6.1437500000029104</v>
      </c>
      <c r="DS404" s="156" t="s">
        <v>397</v>
      </c>
    </row>
    <row r="405" spans="1:123" customFormat="1" ht="15" customHeight="1" x14ac:dyDescent="0.25">
      <c r="A405" s="242">
        <v>45709</v>
      </c>
      <c r="B405" s="222">
        <v>45706</v>
      </c>
      <c r="C405" s="223"/>
      <c r="D405" s="66" t="s">
        <v>320</v>
      </c>
      <c r="E405" s="404" t="s">
        <v>2412</v>
      </c>
      <c r="F405" s="155" t="s">
        <v>2413</v>
      </c>
      <c r="G405" s="95" t="s">
        <v>2147</v>
      </c>
      <c r="H405" s="95" t="s">
        <v>378</v>
      </c>
      <c r="I405" s="95" t="s">
        <v>239</v>
      </c>
      <c r="J405" s="163"/>
      <c r="K405" s="101"/>
      <c r="L405" s="101" t="s">
        <v>288</v>
      </c>
      <c r="M405" s="345" t="s">
        <v>272</v>
      </c>
      <c r="N405" s="442" t="s">
        <v>381</v>
      </c>
      <c r="O405" s="165">
        <v>9.2899999999999991</v>
      </c>
      <c r="P405" s="165">
        <v>9.2899999999999991</v>
      </c>
      <c r="Q405" s="157">
        <v>0</v>
      </c>
      <c r="R405" s="109" t="s">
        <v>327</v>
      </c>
      <c r="S405" s="110">
        <v>27294.78</v>
      </c>
      <c r="T405" s="93">
        <v>7481</v>
      </c>
      <c r="U405" s="141"/>
      <c r="V405" s="158">
        <f t="shared" si="252"/>
        <v>0</v>
      </c>
      <c r="W405" s="159">
        <v>45702.425694444442</v>
      </c>
      <c r="X405" s="159">
        <v>45709.634722222225</v>
      </c>
      <c r="Y405" s="160">
        <v>45705</v>
      </c>
      <c r="Z405" s="470"/>
      <c r="AA405" s="470">
        <v>45878.386111111111</v>
      </c>
      <c r="AB405" s="470"/>
      <c r="AC405" s="161">
        <f t="shared" si="253"/>
        <v>175.96041666666861</v>
      </c>
      <c r="AD405" s="161">
        <f t="shared" si="246"/>
        <v>168.75138888888614</v>
      </c>
      <c r="AE405" s="446">
        <f t="shared" si="276"/>
        <v>-45878.386111111111</v>
      </c>
      <c r="AF405" s="160">
        <f t="shared" si="247"/>
        <v>45721.199887992829</v>
      </c>
      <c r="AG405" s="160">
        <f t="shared" si="244"/>
        <v>45730.00633960573</v>
      </c>
      <c r="AH405" s="159">
        <f t="shared" si="248"/>
        <v>45752.425694444442</v>
      </c>
      <c r="AI405" s="162">
        <f t="shared" si="254"/>
        <v>6.0608587962963627</v>
      </c>
      <c r="AJ405" s="224">
        <f t="shared" si="249"/>
        <v>-764.63976851851851</v>
      </c>
      <c r="AK405" s="225">
        <f t="shared" si="255"/>
        <v>20</v>
      </c>
      <c r="AL405" s="170">
        <f t="shared" si="256"/>
        <v>36</v>
      </c>
      <c r="AM405" s="170">
        <f t="shared" si="257"/>
        <v>21.774193548387096</v>
      </c>
      <c r="AN405" s="170">
        <f t="shared" si="258"/>
        <v>27.58064516129032</v>
      </c>
      <c r="AO405" s="226">
        <f t="shared" si="259"/>
        <v>18.774193548387096</v>
      </c>
      <c r="AP405" s="227">
        <v>60</v>
      </c>
      <c r="AQ405" s="228">
        <f t="shared" si="260"/>
        <v>57</v>
      </c>
      <c r="AR405" s="228">
        <f t="shared" si="245"/>
        <v>52</v>
      </c>
      <c r="AS405" s="229">
        <f t="shared" si="261"/>
        <v>45938.386111111111</v>
      </c>
      <c r="AT405" s="982">
        <f t="shared" ca="1" si="262"/>
        <v>16.613888888889051</v>
      </c>
      <c r="AU405" s="50"/>
      <c r="AV405" s="51"/>
      <c r="AW405" s="49"/>
      <c r="AX405" s="49"/>
      <c r="AY405" s="49"/>
      <c r="AZ405" s="300"/>
      <c r="BA405" s="52"/>
      <c r="BB405" s="304"/>
      <c r="BC405" s="231" t="s">
        <v>13</v>
      </c>
      <c r="BD405" s="232"/>
      <c r="BE405" s="222">
        <f t="shared" ref="BE405:BE468" si="277">AA405+15</f>
        <v>45893.386111111111</v>
      </c>
      <c r="BF405" s="233" t="e">
        <f t="shared" si="250"/>
        <v>#VALUE!</v>
      </c>
      <c r="BG405" s="248"/>
      <c r="BH405" s="235"/>
      <c r="BI405" s="234"/>
      <c r="BJ405" s="236"/>
      <c r="BK405" s="222"/>
      <c r="BL405" s="222"/>
      <c r="BM405" s="238"/>
      <c r="BN405" s="222"/>
      <c r="BO405" s="222"/>
      <c r="BP405" s="243"/>
      <c r="BQ405" s="244"/>
      <c r="BR405" s="238"/>
      <c r="BS405" s="67"/>
      <c r="BT405" s="66"/>
      <c r="BU405" s="66"/>
      <c r="BV405" s="66"/>
      <c r="BW405" s="74"/>
      <c r="BX405" s="81"/>
      <c r="BY405" s="66" t="s">
        <v>308</v>
      </c>
      <c r="BZ405" s="944"/>
      <c r="CA405" s="42" t="str">
        <f t="shared" si="263"/>
        <v>0</v>
      </c>
      <c r="CB405" s="62">
        <f t="shared" si="264"/>
        <v>175.96041666666861</v>
      </c>
      <c r="CC405" s="42">
        <f t="shared" si="265"/>
        <v>0</v>
      </c>
      <c r="CD405" s="62">
        <f t="shared" si="266"/>
        <v>175.96041666666861</v>
      </c>
      <c r="CE405" s="62">
        <f t="shared" si="267"/>
        <v>6.0608587962963627</v>
      </c>
      <c r="CF405" s="145">
        <f t="shared" si="268"/>
        <v>-9.3861111111109494</v>
      </c>
      <c r="CG405" s="145"/>
      <c r="CH405" s="443">
        <f t="shared" si="269"/>
        <v>5.7375594135803194</v>
      </c>
      <c r="CI405" s="996">
        <f t="shared" si="270"/>
        <v>5.7375594135803194</v>
      </c>
      <c r="CJ405" s="261">
        <f t="shared" si="271"/>
        <v>-0.15643518518518248</v>
      </c>
      <c r="CK405" s="458" t="str">
        <f t="shared" si="272"/>
        <v/>
      </c>
      <c r="CL405" t="str">
        <f t="shared" si="273"/>
        <v>NON-REV</v>
      </c>
      <c r="CM405" t="str">
        <f t="shared" si="274"/>
        <v/>
      </c>
      <c r="CN405" s="635"/>
      <c r="CO405" s="631"/>
      <c r="CP405" s="629" t="str">
        <f t="shared" si="251"/>
        <v>FOR ISSUANCE</v>
      </c>
      <c r="CQ405" s="635"/>
      <c r="CR405" s="697"/>
      <c r="CS405" s="633" t="str">
        <f t="shared" ca="1" si="275"/>
        <v>0</v>
      </c>
      <c r="CT405" s="635"/>
      <c r="CU405" s="631"/>
      <c r="CV405" s="638"/>
      <c r="CW405" s="156" t="s">
        <v>2414</v>
      </c>
      <c r="CX405" s="156" t="str">
        <f>VLOOKUP(E405,'[1]List of Work Orders'!$A:$I,9,FALSE)</f>
        <v>ME185284</v>
      </c>
      <c r="CY405" s="156"/>
      <c r="DA405" s="762">
        <f t="shared" si="243"/>
        <v>7.2090277777824667</v>
      </c>
      <c r="DS405" s="156" t="s">
        <v>397</v>
      </c>
    </row>
    <row r="406" spans="1:123" customFormat="1" ht="15" customHeight="1" x14ac:dyDescent="0.25">
      <c r="A406" s="242">
        <v>45714</v>
      </c>
      <c r="B406" s="222">
        <v>45706</v>
      </c>
      <c r="C406" s="223"/>
      <c r="D406" s="66" t="s">
        <v>320</v>
      </c>
      <c r="E406" s="404" t="s">
        <v>2415</v>
      </c>
      <c r="F406" s="155" t="s">
        <v>2416</v>
      </c>
      <c r="G406" s="95" t="s">
        <v>2417</v>
      </c>
      <c r="H406" s="95" t="s">
        <v>269</v>
      </c>
      <c r="I406" s="95" t="s">
        <v>239</v>
      </c>
      <c r="J406" s="163"/>
      <c r="K406" s="101"/>
      <c r="L406" s="101" t="s">
        <v>242</v>
      </c>
      <c r="M406" s="345" t="s">
        <v>272</v>
      </c>
      <c r="N406" s="442" t="s">
        <v>467</v>
      </c>
      <c r="O406" s="165">
        <v>3.5300000000000002</v>
      </c>
      <c r="P406" s="933">
        <v>11.15</v>
      </c>
      <c r="Q406" s="157">
        <v>7.5</v>
      </c>
      <c r="R406" s="109" t="s">
        <v>244</v>
      </c>
      <c r="S406" s="110">
        <v>30919.77</v>
      </c>
      <c r="T406" s="93">
        <v>6562.97</v>
      </c>
      <c r="U406" s="141"/>
      <c r="V406" s="158">
        <f t="shared" si="252"/>
        <v>0</v>
      </c>
      <c r="W406" s="159">
        <v>45702.427777777775</v>
      </c>
      <c r="X406" s="159">
        <v>45709.634027777778</v>
      </c>
      <c r="Y406" s="160">
        <v>45705</v>
      </c>
      <c r="Z406" s="470"/>
      <c r="AA406" s="470">
        <v>45777</v>
      </c>
      <c r="AB406" s="470"/>
      <c r="AC406" s="161">
        <f t="shared" si="253"/>
        <v>74.572222222224809</v>
      </c>
      <c r="AD406" s="161">
        <f t="shared" si="246"/>
        <v>67.365972222221899</v>
      </c>
      <c r="AE406" s="446">
        <f t="shared" si="276"/>
        <v>-45777</v>
      </c>
      <c r="AF406" s="160">
        <f t="shared" si="247"/>
        <v>45721.201971326162</v>
      </c>
      <c r="AG406" s="160">
        <f t="shared" si="244"/>
        <v>45730.008422939063</v>
      </c>
      <c r="AH406" s="159">
        <f t="shared" si="248"/>
        <v>45752.427777777775</v>
      </c>
      <c r="AI406" s="162">
        <f t="shared" si="254"/>
        <v>2.5685987654321876</v>
      </c>
      <c r="AJ406" s="224">
        <f t="shared" si="249"/>
        <v>-762.95</v>
      </c>
      <c r="AK406" s="225">
        <f t="shared" si="255"/>
        <v>20</v>
      </c>
      <c r="AL406" s="170">
        <f t="shared" si="256"/>
        <v>36</v>
      </c>
      <c r="AM406" s="170">
        <f t="shared" si="257"/>
        <v>21.774193548387096</v>
      </c>
      <c r="AN406" s="170">
        <f t="shared" si="258"/>
        <v>27.58064516129032</v>
      </c>
      <c r="AO406" s="226">
        <f t="shared" si="259"/>
        <v>18.774193548387096</v>
      </c>
      <c r="AP406" s="227">
        <v>60</v>
      </c>
      <c r="AQ406" s="228">
        <f t="shared" si="260"/>
        <v>57</v>
      </c>
      <c r="AR406" s="228">
        <f t="shared" si="245"/>
        <v>52</v>
      </c>
      <c r="AS406" s="229">
        <f t="shared" si="261"/>
        <v>45837</v>
      </c>
      <c r="AT406" s="982">
        <f t="shared" ca="1" si="262"/>
        <v>118</v>
      </c>
      <c r="AU406" s="50"/>
      <c r="AV406" s="51"/>
      <c r="AW406" s="49"/>
      <c r="AX406" s="49"/>
      <c r="AY406" s="49"/>
      <c r="AZ406" s="300"/>
      <c r="BA406" s="52"/>
      <c r="BB406" s="304"/>
      <c r="BC406" s="231" t="s">
        <v>12</v>
      </c>
      <c r="BD406" s="232"/>
      <c r="BE406" s="222">
        <f t="shared" si="277"/>
        <v>45792</v>
      </c>
      <c r="BF406" s="233">
        <f t="shared" si="250"/>
        <v>34</v>
      </c>
      <c r="BG406" s="248">
        <v>45776</v>
      </c>
      <c r="BH406" s="235">
        <v>45826</v>
      </c>
      <c r="BI406" s="234"/>
      <c r="BJ406" s="236"/>
      <c r="BK406" s="222"/>
      <c r="BL406" s="222"/>
      <c r="BM406" s="238"/>
      <c r="BN406" s="222"/>
      <c r="BO406" s="222"/>
      <c r="BP406" s="243"/>
      <c r="BQ406" s="244" t="s">
        <v>247</v>
      </c>
      <c r="BR406" s="238">
        <v>45777</v>
      </c>
      <c r="BS406" s="67"/>
      <c r="BT406" s="66"/>
      <c r="BU406" s="66"/>
      <c r="BV406" s="66"/>
      <c r="BW406" s="74"/>
      <c r="BX406" s="81"/>
      <c r="BY406" s="66" t="s">
        <v>308</v>
      </c>
      <c r="BZ406" s="944"/>
      <c r="CA406" s="42" t="str">
        <f t="shared" si="263"/>
        <v>0</v>
      </c>
      <c r="CB406" s="62">
        <f t="shared" si="264"/>
        <v>74.572222222224809</v>
      </c>
      <c r="CC406" s="42">
        <f t="shared" si="265"/>
        <v>0</v>
      </c>
      <c r="CD406" s="62">
        <f t="shared" si="266"/>
        <v>74.572222222224809</v>
      </c>
      <c r="CE406" s="62">
        <f t="shared" si="267"/>
        <v>2.5685987654321876</v>
      </c>
      <c r="CF406" s="145">
        <f t="shared" si="268"/>
        <v>92</v>
      </c>
      <c r="CG406" s="145"/>
      <c r="CH406" s="443">
        <f t="shared" si="269"/>
        <v>5.7374876543210762</v>
      </c>
      <c r="CI406" s="996">
        <f t="shared" si="270"/>
        <v>5.7374876543210762</v>
      </c>
      <c r="CJ406" s="261">
        <f t="shared" si="271"/>
        <v>1.5333333333333334</v>
      </c>
      <c r="CK406" s="458" t="str">
        <f t="shared" si="272"/>
        <v/>
      </c>
      <c r="CL406" t="str">
        <f t="shared" si="273"/>
        <v>REV</v>
      </c>
      <c r="CM406" t="str">
        <f t="shared" si="274"/>
        <v/>
      </c>
      <c r="CN406" s="635"/>
      <c r="CO406" s="631"/>
      <c r="CP406" s="629" t="str">
        <f t="shared" si="251"/>
        <v>FOR ISSUANCE</v>
      </c>
      <c r="CQ406" s="635"/>
      <c r="CR406" s="697"/>
      <c r="CS406" s="633" t="str">
        <f t="shared" ca="1" si="275"/>
        <v>0</v>
      </c>
      <c r="CT406" s="635"/>
      <c r="CU406" s="631"/>
      <c r="CV406" s="638"/>
      <c r="CW406" s="156" t="s">
        <v>2418</v>
      </c>
      <c r="CX406" s="156" t="str">
        <f>VLOOKUP(E406,'[1]List of Work Orders'!$A:$I,9,FALSE)</f>
        <v>ME155242</v>
      </c>
      <c r="CY406" s="156"/>
      <c r="CZ406" s="63"/>
      <c r="DA406" s="762">
        <f t="shared" si="243"/>
        <v>7.2062500000029104</v>
      </c>
      <c r="DS406" s="156" t="s">
        <v>403</v>
      </c>
    </row>
    <row r="407" spans="1:123" customFormat="1" ht="15" customHeight="1" x14ac:dyDescent="0.25">
      <c r="A407" s="242">
        <v>45716</v>
      </c>
      <c r="B407" s="222">
        <v>45715</v>
      </c>
      <c r="C407" s="223"/>
      <c r="D407" s="66" t="s">
        <v>284</v>
      </c>
      <c r="E407" s="404" t="s">
        <v>2419</v>
      </c>
      <c r="F407" s="95" t="s">
        <v>2420</v>
      </c>
      <c r="G407" s="95" t="s">
        <v>933</v>
      </c>
      <c r="H407" s="95" t="s">
        <v>253</v>
      </c>
      <c r="I407" s="95" t="s">
        <v>254</v>
      </c>
      <c r="J407" s="163"/>
      <c r="K407" s="101"/>
      <c r="L407" s="101" t="s">
        <v>263</v>
      </c>
      <c r="M407" s="345" t="s">
        <v>272</v>
      </c>
      <c r="N407" s="442" t="s">
        <v>467</v>
      </c>
      <c r="O407" s="165">
        <v>154.50030000000001</v>
      </c>
      <c r="P407" s="933">
        <v>376.38</v>
      </c>
      <c r="Q407" s="157">
        <v>150</v>
      </c>
      <c r="R407" s="109" t="s">
        <v>244</v>
      </c>
      <c r="S407" s="110">
        <v>1179326.2</v>
      </c>
      <c r="T407" s="93">
        <v>188897.18</v>
      </c>
      <c r="U407" s="141"/>
      <c r="V407" s="158">
        <f t="shared" si="252"/>
        <v>0</v>
      </c>
      <c r="W407" s="159">
        <v>45702.611805555556</v>
      </c>
      <c r="X407" s="159">
        <v>45712.29791666667</v>
      </c>
      <c r="Y407" s="160">
        <v>45709</v>
      </c>
      <c r="Z407" s="470"/>
      <c r="AA407" s="470">
        <v>45819</v>
      </c>
      <c r="AB407" s="470"/>
      <c r="AC407" s="161">
        <f t="shared" si="253"/>
        <v>116.3881944444438</v>
      </c>
      <c r="AD407" s="161">
        <f t="shared" si="246"/>
        <v>106.70208333332994</v>
      </c>
      <c r="AE407" s="446">
        <f t="shared" si="276"/>
        <v>-45819</v>
      </c>
      <c r="AF407" s="160">
        <f t="shared" si="247"/>
        <v>45723.141217320263</v>
      </c>
      <c r="AG407" s="160">
        <f t="shared" si="244"/>
        <v>45732.415727124186</v>
      </c>
      <c r="AH407" s="159">
        <f t="shared" si="248"/>
        <v>45752.611805555556</v>
      </c>
      <c r="AI407" s="162">
        <f t="shared" si="254"/>
        <v>3.7098736979166462</v>
      </c>
      <c r="AJ407" s="224">
        <f t="shared" si="249"/>
        <v>-763.65</v>
      </c>
      <c r="AK407" s="225">
        <f t="shared" si="255"/>
        <v>30</v>
      </c>
      <c r="AL407" s="170">
        <f t="shared" si="256"/>
        <v>32</v>
      </c>
      <c r="AM407" s="170">
        <f t="shared" si="257"/>
        <v>23.52941176470588</v>
      </c>
      <c r="AN407" s="170">
        <f t="shared" si="258"/>
        <v>29.803921568627448</v>
      </c>
      <c r="AO407" s="226">
        <f t="shared" si="259"/>
        <v>20.52941176470588</v>
      </c>
      <c r="AP407" s="227">
        <v>60</v>
      </c>
      <c r="AQ407" s="228">
        <f t="shared" si="260"/>
        <v>57</v>
      </c>
      <c r="AR407" s="228">
        <f t="shared" si="245"/>
        <v>52</v>
      </c>
      <c r="AS407" s="229">
        <f t="shared" si="261"/>
        <v>45879</v>
      </c>
      <c r="AT407" s="982">
        <f t="shared" ca="1" si="262"/>
        <v>76</v>
      </c>
      <c r="AU407" s="50"/>
      <c r="AV407" s="51"/>
      <c r="AW407" s="49"/>
      <c r="AX407" s="49"/>
      <c r="AY407" s="49"/>
      <c r="AZ407" s="300"/>
      <c r="BA407" s="52"/>
      <c r="BB407" s="304"/>
      <c r="BC407" s="231" t="s">
        <v>13</v>
      </c>
      <c r="BD407" s="232"/>
      <c r="BE407" s="222">
        <f t="shared" si="277"/>
        <v>45834</v>
      </c>
      <c r="BF407" s="233" t="e">
        <f t="shared" si="250"/>
        <v>#VALUE!</v>
      </c>
      <c r="BG407" s="248"/>
      <c r="BH407" s="235"/>
      <c r="BI407" s="234"/>
      <c r="BJ407" s="236"/>
      <c r="BK407" s="222"/>
      <c r="BL407" s="222"/>
      <c r="BM407" s="238"/>
      <c r="BN407" s="222"/>
      <c r="BO407" s="222"/>
      <c r="BP407" s="243"/>
      <c r="BQ407" s="244" t="s">
        <v>247</v>
      </c>
      <c r="BR407" s="238">
        <v>45817</v>
      </c>
      <c r="BS407" s="67"/>
      <c r="BT407" s="66"/>
      <c r="BU407" s="66"/>
      <c r="BV407" s="66"/>
      <c r="BW407" s="74"/>
      <c r="BX407" s="81"/>
      <c r="BY407" s="66">
        <v>45716</v>
      </c>
      <c r="BZ407" s="947" t="s">
        <v>2421</v>
      </c>
      <c r="CA407" s="42" t="str">
        <f t="shared" si="263"/>
        <v>0</v>
      </c>
      <c r="CB407" s="62">
        <f t="shared" si="264"/>
        <v>116.3881944444438</v>
      </c>
      <c r="CC407" s="42">
        <f t="shared" si="265"/>
        <v>0</v>
      </c>
      <c r="CD407" s="62">
        <f t="shared" si="266"/>
        <v>116.3881944444438</v>
      </c>
      <c r="CE407" s="62">
        <f t="shared" si="267"/>
        <v>3.7098736979166462</v>
      </c>
      <c r="CF407" s="145">
        <f t="shared" si="268"/>
        <v>50</v>
      </c>
      <c r="CG407" s="145"/>
      <c r="CH407" s="443">
        <f t="shared" si="269"/>
        <v>5.3036236979166453</v>
      </c>
      <c r="CI407" s="996">
        <f t="shared" si="270"/>
        <v>5.3036236979166453</v>
      </c>
      <c r="CJ407" s="261">
        <f t="shared" si="271"/>
        <v>0.83333333333333337</v>
      </c>
      <c r="CK407" s="458" t="str">
        <f t="shared" si="272"/>
        <v/>
      </c>
      <c r="CL407" t="str">
        <f t="shared" si="273"/>
        <v>REV</v>
      </c>
      <c r="CM407" t="str">
        <f t="shared" si="274"/>
        <v/>
      </c>
      <c r="CN407" s="635"/>
      <c r="CO407" s="631"/>
      <c r="CP407" s="629" t="str">
        <f t="shared" si="251"/>
        <v>FOR ISSUANCE</v>
      </c>
      <c r="CQ407" s="635"/>
      <c r="CR407" s="697"/>
      <c r="CS407" s="633" t="str">
        <f t="shared" ca="1" si="275"/>
        <v>0</v>
      </c>
      <c r="CT407" s="635"/>
      <c r="CU407" s="631"/>
      <c r="CV407" s="638"/>
      <c r="CW407" s="156" t="s">
        <v>2422</v>
      </c>
      <c r="CX407" s="156" t="str">
        <f>VLOOKUP(E407,'[1]List of Work Orders'!$A:$I,9,FALSE)</f>
        <v>ME155242</v>
      </c>
      <c r="CY407" s="156"/>
      <c r="DA407" s="762">
        <f t="shared" si="243"/>
        <v>9.6861111111138598</v>
      </c>
      <c r="DS407" s="156" t="s">
        <v>403</v>
      </c>
    </row>
    <row r="408" spans="1:123" ht="15" customHeight="1" x14ac:dyDescent="0.2">
      <c r="A408" s="242">
        <v>45707</v>
      </c>
      <c r="B408" s="222">
        <v>45706</v>
      </c>
      <c r="C408" s="223"/>
      <c r="D408" s="66" t="s">
        <v>234</v>
      </c>
      <c r="E408" s="404" t="s">
        <v>2423</v>
      </c>
      <c r="F408" s="95" t="s">
        <v>2424</v>
      </c>
      <c r="G408" s="95" t="s">
        <v>2425</v>
      </c>
      <c r="H408" s="95" t="s">
        <v>238</v>
      </c>
      <c r="I408" s="95" t="s">
        <v>239</v>
      </c>
      <c r="J408" s="1134" t="s">
        <v>2426</v>
      </c>
      <c r="K408" s="101"/>
      <c r="L408" s="101" t="s">
        <v>255</v>
      </c>
      <c r="M408" s="345" t="s">
        <v>331</v>
      </c>
      <c r="N408" s="442" t="s">
        <v>403</v>
      </c>
      <c r="O408" s="165">
        <v>341.82079999999996</v>
      </c>
      <c r="P408" s="165">
        <v>492.4</v>
      </c>
      <c r="Q408" s="157">
        <v>0</v>
      </c>
      <c r="R408" s="109" t="s">
        <v>327</v>
      </c>
      <c r="S408" s="110">
        <v>1183621.73</v>
      </c>
      <c r="T408" s="93">
        <v>389602.35999999987</v>
      </c>
      <c r="U408" s="141"/>
      <c r="V408" s="158">
        <f t="shared" si="252"/>
        <v>0</v>
      </c>
      <c r="W408" s="159">
        <v>45705.356249999997</v>
      </c>
      <c r="X408" s="159">
        <v>45705.407638888886</v>
      </c>
      <c r="Y408" s="160">
        <v>45705</v>
      </c>
      <c r="Z408" s="470"/>
      <c r="AA408" s="470"/>
      <c r="AB408" s="470"/>
      <c r="AC408" s="161">
        <f t="shared" si="253"/>
        <v>-45705.356249999997</v>
      </c>
      <c r="AD408" s="161">
        <f t="shared" si="246"/>
        <v>-45705.407638888886</v>
      </c>
      <c r="AE408" s="446">
        <f t="shared" si="276"/>
        <v>0</v>
      </c>
      <c r="AF408" s="160">
        <f t="shared" si="247"/>
        <v>45728.380346385537</v>
      </c>
      <c r="AG408" s="160">
        <f t="shared" si="244"/>
        <v>45738.320105421684</v>
      </c>
      <c r="AH408" s="159">
        <f t="shared" si="248"/>
        <v>45755.356249999997</v>
      </c>
      <c r="AI408" s="162">
        <f t="shared" si="254"/>
        <v>-1317.2029752604165</v>
      </c>
      <c r="AJ408" s="224">
        <f t="shared" si="249"/>
        <v>0</v>
      </c>
      <c r="AK408" s="225">
        <f t="shared" si="255"/>
        <v>32</v>
      </c>
      <c r="AL408" s="170">
        <f t="shared" si="256"/>
        <v>36</v>
      </c>
      <c r="AM408" s="170">
        <f t="shared" si="257"/>
        <v>26.024096385542165</v>
      </c>
      <c r="AN408" s="170">
        <f t="shared" si="258"/>
        <v>32.963855421686745</v>
      </c>
      <c r="AO408" s="226">
        <f t="shared" si="259"/>
        <v>23.024096385542165</v>
      </c>
      <c r="AP408" s="227">
        <v>60</v>
      </c>
      <c r="AQ408" s="228">
        <f t="shared" si="260"/>
        <v>57</v>
      </c>
      <c r="AR408" s="228">
        <f t="shared" si="245"/>
        <v>52</v>
      </c>
      <c r="AS408" s="229">
        <f t="shared" si="261"/>
        <v>60</v>
      </c>
      <c r="AT408" s="982">
        <f t="shared" ca="1" si="262"/>
        <v>45895</v>
      </c>
      <c r="AU408" s="1077"/>
      <c r="AV408" s="1092"/>
      <c r="AW408" s="1079"/>
      <c r="AX408" s="1079"/>
      <c r="AY408" s="1079"/>
      <c r="AZ408" s="1080"/>
      <c r="BA408" s="1101"/>
      <c r="BB408" s="1091"/>
      <c r="BC408" s="231"/>
      <c r="BD408" s="232"/>
      <c r="BE408" s="222">
        <f t="shared" si="277"/>
        <v>15</v>
      </c>
      <c r="BF408" s="233">
        <f t="shared" si="250"/>
        <v>0</v>
      </c>
      <c r="BG408" s="248"/>
      <c r="BH408" s="235"/>
      <c r="BI408" s="234"/>
      <c r="BJ408" s="236"/>
      <c r="BK408" s="222"/>
      <c r="BL408" s="222"/>
      <c r="BM408" s="238"/>
      <c r="BN408" s="222"/>
      <c r="BO408" s="222"/>
      <c r="BP408" s="243"/>
      <c r="BQ408" s="244"/>
      <c r="BR408" s="238"/>
      <c r="BS408" s="67"/>
      <c r="BT408" s="66"/>
      <c r="BU408" s="66"/>
      <c r="BV408" s="66"/>
      <c r="BW408" s="74"/>
      <c r="BX408" s="81"/>
      <c r="BY408" s="66">
        <v>45707</v>
      </c>
      <c r="BZ408" s="947" t="s">
        <v>2427</v>
      </c>
      <c r="CA408" s="42" t="str">
        <f t="shared" si="263"/>
        <v>0</v>
      </c>
      <c r="CB408" s="62">
        <f t="shared" si="264"/>
        <v>-45705.356249999997</v>
      </c>
      <c r="CC408" s="42">
        <f t="shared" si="265"/>
        <v>0</v>
      </c>
      <c r="CD408" s="62">
        <f t="shared" si="266"/>
        <v>-45705.356249999997</v>
      </c>
      <c r="CE408" s="62">
        <f t="shared" si="267"/>
        <v>-1317.2029752604165</v>
      </c>
      <c r="CF408" s="1059" t="str">
        <f t="shared" si="268"/>
        <v>0</v>
      </c>
      <c r="CH408" s="1082">
        <f t="shared" si="269"/>
        <v>4.7161219618056389</v>
      </c>
      <c r="CI408" s="1083">
        <f t="shared" si="270"/>
        <v>4.7161219618056389</v>
      </c>
      <c r="CJ408" s="1084">
        <f t="shared" si="271"/>
        <v>0</v>
      </c>
      <c r="CK408" s="1085">
        <f t="shared" si="272"/>
        <v>150.64375000000291</v>
      </c>
      <c r="CL408" s="1057" t="str">
        <f t="shared" si="273"/>
        <v>NON-REV</v>
      </c>
      <c r="CM408" s="1057" t="str">
        <f t="shared" si="274"/>
        <v>4-6 MONTHS</v>
      </c>
      <c r="CN408" s="1086"/>
      <c r="CO408" s="1087"/>
      <c r="CP408" s="629" t="str">
        <f t="shared" si="251"/>
        <v>FOR ISSUANCE</v>
      </c>
      <c r="CQ408" s="1086"/>
      <c r="CR408" s="1088"/>
      <c r="CS408" s="1089" t="str">
        <f t="shared" ca="1" si="275"/>
        <v>0</v>
      </c>
      <c r="CT408" s="1086"/>
      <c r="CU408" s="1087"/>
      <c r="CV408" s="1090"/>
      <c r="CW408" s="156" t="s">
        <v>2428</v>
      </c>
      <c r="CX408" s="156" t="str">
        <f>VLOOKUP(E408,'[1]List of Work Orders'!$A:$I,9,FALSE)</f>
        <v>ME155242</v>
      </c>
      <c r="CY408" s="156"/>
      <c r="DA408" s="1100">
        <f t="shared" si="243"/>
        <v>5.1388888889050577E-2</v>
      </c>
      <c r="DS408" s="156" t="s">
        <v>403</v>
      </c>
    </row>
    <row r="409" spans="1:123" customFormat="1" ht="15" customHeight="1" x14ac:dyDescent="0.25">
      <c r="A409" s="242">
        <v>45712</v>
      </c>
      <c r="B409" s="222" t="s">
        <v>470</v>
      </c>
      <c r="C409" s="223"/>
      <c r="D409" s="66" t="s">
        <v>234</v>
      </c>
      <c r="E409" s="404" t="s">
        <v>2429</v>
      </c>
      <c r="F409" s="95" t="s">
        <v>2430</v>
      </c>
      <c r="G409" s="95" t="s">
        <v>473</v>
      </c>
      <c r="H409" s="454" t="s">
        <v>378</v>
      </c>
      <c r="I409" s="95" t="s">
        <v>239</v>
      </c>
      <c r="J409" s="163"/>
      <c r="K409" s="101"/>
      <c r="L409" s="101" t="s">
        <v>288</v>
      </c>
      <c r="M409" s="345" t="s">
        <v>272</v>
      </c>
      <c r="N409" s="442" t="s">
        <v>381</v>
      </c>
      <c r="O409" s="165">
        <v>58.636800000000001</v>
      </c>
      <c r="P409" s="933">
        <v>74.97</v>
      </c>
      <c r="Q409" s="157">
        <v>17</v>
      </c>
      <c r="R409" s="109" t="s">
        <v>244</v>
      </c>
      <c r="S409" s="110">
        <v>347379.65</v>
      </c>
      <c r="T409" s="93">
        <v>58230.82</v>
      </c>
      <c r="U409" s="141"/>
      <c r="V409" s="158">
        <f t="shared" si="252"/>
        <v>0</v>
      </c>
      <c r="W409" s="159">
        <v>45706.651388888888</v>
      </c>
      <c r="X409" s="159">
        <v>45712.29583333333</v>
      </c>
      <c r="Y409" s="160">
        <v>45709</v>
      </c>
      <c r="Z409" s="470"/>
      <c r="AA409" s="470">
        <v>45742</v>
      </c>
      <c r="AB409" s="470"/>
      <c r="AC409" s="161">
        <f t="shared" si="253"/>
        <v>35.348611111112405</v>
      </c>
      <c r="AD409" s="161">
        <f t="shared" si="246"/>
        <v>29.704166666670062</v>
      </c>
      <c r="AE409" s="446">
        <f t="shared" si="276"/>
        <v>-45742</v>
      </c>
      <c r="AF409" s="160">
        <f t="shared" si="247"/>
        <v>45726.736890747627</v>
      </c>
      <c r="AG409" s="160">
        <f t="shared" si="244"/>
        <v>45735.893024576617</v>
      </c>
      <c r="AH409" s="159">
        <f t="shared" si="248"/>
        <v>45756.651388888888</v>
      </c>
      <c r="AI409" s="162">
        <f t="shared" si="254"/>
        <v>1.1484029455180238</v>
      </c>
      <c r="AJ409" s="224">
        <f t="shared" si="249"/>
        <v>-762.36666666666667</v>
      </c>
      <c r="AK409" s="225">
        <f t="shared" si="255"/>
        <v>23</v>
      </c>
      <c r="AL409" s="170">
        <f t="shared" si="256"/>
        <v>36</v>
      </c>
      <c r="AM409" s="170">
        <f t="shared" si="257"/>
        <v>23.085501858736059</v>
      </c>
      <c r="AN409" s="170">
        <f t="shared" si="258"/>
        <v>29.241635687732341</v>
      </c>
      <c r="AO409" s="226">
        <f t="shared" si="259"/>
        <v>20.085501858736059</v>
      </c>
      <c r="AP409" s="227">
        <v>60</v>
      </c>
      <c r="AQ409" s="228">
        <f t="shared" si="260"/>
        <v>57</v>
      </c>
      <c r="AR409" s="228">
        <f t="shared" si="245"/>
        <v>52</v>
      </c>
      <c r="AS409" s="229">
        <f t="shared" si="261"/>
        <v>45802</v>
      </c>
      <c r="AT409" s="982">
        <f t="shared" ca="1" si="262"/>
        <v>153</v>
      </c>
      <c r="AU409" s="50"/>
      <c r="AV409" s="51"/>
      <c r="AW409" s="49"/>
      <c r="AX409" s="49"/>
      <c r="AY409" s="49"/>
      <c r="AZ409" s="300"/>
      <c r="BA409" s="52"/>
      <c r="BB409" s="304"/>
      <c r="BC409" s="231" t="s">
        <v>12</v>
      </c>
      <c r="BD409" s="232"/>
      <c r="BE409" s="222">
        <f t="shared" si="277"/>
        <v>45757</v>
      </c>
      <c r="BF409" s="233">
        <f t="shared" si="250"/>
        <v>50</v>
      </c>
      <c r="BG409" s="248">
        <v>45742</v>
      </c>
      <c r="BH409" s="235">
        <v>45807</v>
      </c>
      <c r="BI409" s="234"/>
      <c r="BJ409" s="236"/>
      <c r="BK409" s="222"/>
      <c r="BL409" s="222"/>
      <c r="BM409" s="238"/>
      <c r="BN409" s="222"/>
      <c r="BO409" s="222"/>
      <c r="BP409" s="243"/>
      <c r="BQ409" s="244" t="s">
        <v>247</v>
      </c>
      <c r="BR409" s="238">
        <v>45740</v>
      </c>
      <c r="BS409" s="67"/>
      <c r="BT409" s="66"/>
      <c r="BU409" s="66"/>
      <c r="BV409" s="66"/>
      <c r="BW409" s="74"/>
      <c r="BX409" s="81"/>
      <c r="BY409" s="66">
        <v>45712</v>
      </c>
      <c r="BZ409" s="947" t="s">
        <v>2431</v>
      </c>
      <c r="CA409" s="42" t="str">
        <f t="shared" si="263"/>
        <v>0</v>
      </c>
      <c r="CB409" s="62">
        <f t="shared" si="264"/>
        <v>35.348611111112405</v>
      </c>
      <c r="CC409" s="42">
        <f t="shared" si="265"/>
        <v>0</v>
      </c>
      <c r="CD409" s="62">
        <f t="shared" si="266"/>
        <v>35.348611111112405</v>
      </c>
      <c r="CE409" s="62">
        <f t="shared" si="267"/>
        <v>1.1484029455180238</v>
      </c>
      <c r="CF409" s="145">
        <f t="shared" si="268"/>
        <v>127</v>
      </c>
      <c r="CG409" s="145"/>
      <c r="CH409" s="443">
        <f t="shared" si="269"/>
        <v>5.2743691290929036</v>
      </c>
      <c r="CI409" s="996">
        <f t="shared" si="270"/>
        <v>5.2743691290929036</v>
      </c>
      <c r="CJ409" s="261">
        <f t="shared" si="271"/>
        <v>2.1166666666666667</v>
      </c>
      <c r="CK409" s="458" t="str">
        <f t="shared" si="272"/>
        <v/>
      </c>
      <c r="CL409" t="str">
        <f t="shared" si="273"/>
        <v>REV</v>
      </c>
      <c r="CM409" t="str">
        <f t="shared" si="274"/>
        <v/>
      </c>
      <c r="CN409" s="635"/>
      <c r="CO409" s="631"/>
      <c r="CP409" s="629" t="str">
        <f t="shared" si="251"/>
        <v>FOR ISSUANCE</v>
      </c>
      <c r="CQ409" s="635"/>
      <c r="CR409" s="697"/>
      <c r="CS409" s="633" t="str">
        <f t="shared" ca="1" si="275"/>
        <v>0</v>
      </c>
      <c r="CT409" s="635"/>
      <c r="CU409" s="631"/>
      <c r="CV409" s="638"/>
      <c r="CW409" s="156" t="s">
        <v>2432</v>
      </c>
      <c r="CX409" s="156" t="str">
        <f>VLOOKUP(E409,'[1]List of Work Orders'!$A:$I,9,FALSE)</f>
        <v>ME185284</v>
      </c>
      <c r="CY409" s="156"/>
      <c r="DA409" s="762">
        <f t="shared" si="243"/>
        <v>5.6444444444423425</v>
      </c>
      <c r="DS409" s="156" t="s">
        <v>381</v>
      </c>
    </row>
    <row r="410" spans="1:123" customFormat="1" ht="15" customHeight="1" x14ac:dyDescent="0.25">
      <c r="A410" s="242">
        <v>45712</v>
      </c>
      <c r="B410" s="222"/>
      <c r="C410" s="223"/>
      <c r="D410" s="66" t="s">
        <v>284</v>
      </c>
      <c r="E410" s="404" t="s">
        <v>2433</v>
      </c>
      <c r="F410" s="95" t="s">
        <v>2434</v>
      </c>
      <c r="G410" s="95" t="s">
        <v>2157</v>
      </c>
      <c r="H410" s="95" t="s">
        <v>238</v>
      </c>
      <c r="I410" s="95" t="s">
        <v>239</v>
      </c>
      <c r="J410" s="163"/>
      <c r="K410" s="101"/>
      <c r="L410" s="101" t="s">
        <v>1957</v>
      </c>
      <c r="M410" s="345" t="s">
        <v>272</v>
      </c>
      <c r="N410" s="156" t="s">
        <v>403</v>
      </c>
      <c r="O410" s="165">
        <v>47.14</v>
      </c>
      <c r="P410" s="933">
        <v>47.14</v>
      </c>
      <c r="Q410" s="157">
        <v>55</v>
      </c>
      <c r="R410" s="109" t="s">
        <v>244</v>
      </c>
      <c r="S410" s="110">
        <v>293761.53000000003</v>
      </c>
      <c r="T410" s="93">
        <v>45194.86</v>
      </c>
      <c r="U410" s="141"/>
      <c r="V410" s="158">
        <f t="shared" si="252"/>
        <v>0</v>
      </c>
      <c r="W410" s="159">
        <v>45706.651388888888</v>
      </c>
      <c r="X410" s="159">
        <v>45712.440972222219</v>
      </c>
      <c r="Y410" s="160">
        <v>45709</v>
      </c>
      <c r="Z410" s="470"/>
      <c r="AA410" s="470">
        <v>45810</v>
      </c>
      <c r="AB410" s="470"/>
      <c r="AC410" s="161">
        <f t="shared" si="253"/>
        <v>103.3486111111124</v>
      </c>
      <c r="AD410" s="161">
        <f t="shared" si="246"/>
        <v>97.559027777781012</v>
      </c>
      <c r="AE410" s="446">
        <f t="shared" si="276"/>
        <v>-45810</v>
      </c>
      <c r="AF410" s="160">
        <f t="shared" si="247"/>
        <v>45724.725769054174</v>
      </c>
      <c r="AG410" s="160">
        <f t="shared" si="244"/>
        <v>45733.345603764923</v>
      </c>
      <c r="AH410" s="159">
        <f t="shared" si="248"/>
        <v>45756.651388888888</v>
      </c>
      <c r="AI410" s="162">
        <f t="shared" si="254"/>
        <v>3.6779946895425293</v>
      </c>
      <c r="AJ410" s="224">
        <f t="shared" si="249"/>
        <v>-763.5</v>
      </c>
      <c r="AK410" s="225">
        <f t="shared" si="255"/>
        <v>20</v>
      </c>
      <c r="AL410" s="170">
        <f t="shared" si="256"/>
        <v>34</v>
      </c>
      <c r="AM410" s="170">
        <f t="shared" si="257"/>
        <v>21.074380165289259</v>
      </c>
      <c r="AN410" s="170">
        <f t="shared" si="258"/>
        <v>26.694214876033058</v>
      </c>
      <c r="AO410" s="226">
        <f t="shared" si="259"/>
        <v>18.074380165289259</v>
      </c>
      <c r="AP410" s="227">
        <v>60</v>
      </c>
      <c r="AQ410" s="228">
        <f t="shared" si="260"/>
        <v>57</v>
      </c>
      <c r="AR410" s="228">
        <f t="shared" si="245"/>
        <v>52</v>
      </c>
      <c r="AS410" s="229">
        <f t="shared" si="261"/>
        <v>45870</v>
      </c>
      <c r="AT410" s="982">
        <f t="shared" ca="1" si="262"/>
        <v>85</v>
      </c>
      <c r="AU410" s="50"/>
      <c r="AV410" s="51"/>
      <c r="AW410" s="49"/>
      <c r="AX410" s="49"/>
      <c r="AY410" s="49"/>
      <c r="AZ410" s="300"/>
      <c r="BA410" s="52"/>
      <c r="BB410" s="304"/>
      <c r="BC410" s="231" t="s">
        <v>13</v>
      </c>
      <c r="BD410" s="232"/>
      <c r="BE410" s="222">
        <f t="shared" si="277"/>
        <v>45825</v>
      </c>
      <c r="BF410" s="233" t="e">
        <f t="shared" si="250"/>
        <v>#VALUE!</v>
      </c>
      <c r="BG410" s="248"/>
      <c r="BH410" s="235"/>
      <c r="BI410" s="234"/>
      <c r="BJ410" s="236"/>
      <c r="BK410" s="222"/>
      <c r="BL410" s="222"/>
      <c r="BM410" s="238"/>
      <c r="BN410" s="222"/>
      <c r="BO410" s="222"/>
      <c r="BP410" s="243"/>
      <c r="BQ410" s="244"/>
      <c r="BR410" s="238"/>
      <c r="BS410" s="67"/>
      <c r="BT410" s="66"/>
      <c r="BU410" s="66"/>
      <c r="BV410" s="66"/>
      <c r="BW410" s="74"/>
      <c r="BX410" s="81"/>
      <c r="BY410" s="66">
        <v>45712</v>
      </c>
      <c r="BZ410" s="944" t="s">
        <v>308</v>
      </c>
      <c r="CA410" s="42" t="str">
        <f t="shared" si="263"/>
        <v>0</v>
      </c>
      <c r="CB410" s="62">
        <f t="shared" si="264"/>
        <v>103.3486111111124</v>
      </c>
      <c r="CC410" s="42">
        <f t="shared" si="265"/>
        <v>0</v>
      </c>
      <c r="CD410" s="62">
        <f t="shared" si="266"/>
        <v>103.3486111111124</v>
      </c>
      <c r="CE410" s="62">
        <f t="shared" si="267"/>
        <v>3.6779946895425293</v>
      </c>
      <c r="CF410" s="145">
        <f t="shared" si="268"/>
        <v>59</v>
      </c>
      <c r="CG410" s="145"/>
      <c r="CH410" s="443">
        <f t="shared" si="269"/>
        <v>5.7777005718954708</v>
      </c>
      <c r="CI410" s="996">
        <f t="shared" si="270"/>
        <v>5.7777005718954708</v>
      </c>
      <c r="CJ410" s="261">
        <f t="shared" si="271"/>
        <v>0.98333333333333328</v>
      </c>
      <c r="CK410" s="458" t="str">
        <f t="shared" si="272"/>
        <v/>
      </c>
      <c r="CL410" t="str">
        <f t="shared" si="273"/>
        <v>REV</v>
      </c>
      <c r="CM410" t="str">
        <f t="shared" si="274"/>
        <v/>
      </c>
      <c r="CN410" s="635"/>
      <c r="CO410" s="631"/>
      <c r="CP410" s="629" t="str">
        <f t="shared" si="251"/>
        <v>FOR ISSUANCE</v>
      </c>
      <c r="CQ410" s="635"/>
      <c r="CR410" s="697"/>
      <c r="CS410" s="633" t="str">
        <f t="shared" ca="1" si="275"/>
        <v>0</v>
      </c>
      <c r="CT410" s="635"/>
      <c r="CU410" s="631"/>
      <c r="CV410" s="638"/>
      <c r="CW410" s="156" t="s">
        <v>2435</v>
      </c>
      <c r="CX410" s="156" t="str">
        <f>VLOOKUP(E410,'[1]List of Work Orders'!$A:$I,9,FALSE)</f>
        <v>ME166067</v>
      </c>
      <c r="CY410" s="156"/>
      <c r="DA410" s="762">
        <f t="shared" si="243"/>
        <v>5.7895833333313931</v>
      </c>
      <c r="DS410" s="156" t="s">
        <v>381</v>
      </c>
    </row>
    <row r="411" spans="1:123" customFormat="1" ht="15" customHeight="1" x14ac:dyDescent="0.25">
      <c r="A411" s="242">
        <v>45712</v>
      </c>
      <c r="B411" s="222"/>
      <c r="C411" s="223"/>
      <c r="D411" s="66" t="s">
        <v>320</v>
      </c>
      <c r="E411" s="404" t="s">
        <v>2436</v>
      </c>
      <c r="F411" s="95" t="s">
        <v>2437</v>
      </c>
      <c r="G411" s="95" t="s">
        <v>2438</v>
      </c>
      <c r="H411" s="344" t="s">
        <v>318</v>
      </c>
      <c r="I411" s="95" t="s">
        <v>239</v>
      </c>
      <c r="J411" s="163" t="s">
        <v>1908</v>
      </c>
      <c r="K411" s="101"/>
      <c r="L411" s="101" t="s">
        <v>1957</v>
      </c>
      <c r="M411" s="345" t="s">
        <v>272</v>
      </c>
      <c r="N411" s="442" t="s">
        <v>403</v>
      </c>
      <c r="O411" s="165">
        <v>29.91</v>
      </c>
      <c r="P411" s="933">
        <v>29.91</v>
      </c>
      <c r="Q411" s="157">
        <v>104</v>
      </c>
      <c r="R411" s="109" t="s">
        <v>244</v>
      </c>
      <c r="S411" s="110">
        <v>77784.02</v>
      </c>
      <c r="T411" s="93">
        <v>34288.879999999997</v>
      </c>
      <c r="U411" s="141"/>
      <c r="V411" s="158">
        <f t="shared" si="252"/>
        <v>0</v>
      </c>
      <c r="W411" s="159">
        <v>45706.664583333331</v>
      </c>
      <c r="X411" s="159">
        <v>45712.390277777777</v>
      </c>
      <c r="Y411" s="160">
        <v>45709</v>
      </c>
      <c r="Z411" s="470"/>
      <c r="AA411" s="470">
        <v>45744</v>
      </c>
      <c r="AB411" s="470"/>
      <c r="AC411" s="161">
        <f t="shared" si="253"/>
        <v>37.335416666668607</v>
      </c>
      <c r="AD411" s="161">
        <f t="shared" si="246"/>
        <v>31.609722222223354</v>
      </c>
      <c r="AE411" s="446">
        <f t="shared" si="276"/>
        <v>-45744</v>
      </c>
      <c r="AF411" s="160">
        <f t="shared" si="247"/>
        <v>45724.003566384177</v>
      </c>
      <c r="AG411" s="160">
        <f t="shared" si="244"/>
        <v>45732.42729519774</v>
      </c>
      <c r="AH411" s="159">
        <f t="shared" si="248"/>
        <v>45756.664583333331</v>
      </c>
      <c r="AI411" s="162">
        <f t="shared" si="254"/>
        <v>1.3767434895834048</v>
      </c>
      <c r="AJ411" s="224">
        <f t="shared" si="249"/>
        <v>-762.4</v>
      </c>
      <c r="AK411" s="225">
        <f t="shared" si="255"/>
        <v>20</v>
      </c>
      <c r="AL411" s="170">
        <f t="shared" si="256"/>
        <v>32</v>
      </c>
      <c r="AM411" s="170">
        <f t="shared" si="257"/>
        <v>20.33898305084746</v>
      </c>
      <c r="AN411" s="170">
        <f t="shared" si="258"/>
        <v>25.762711864406779</v>
      </c>
      <c r="AO411" s="226">
        <f t="shared" si="259"/>
        <v>17.33898305084746</v>
      </c>
      <c r="AP411" s="227">
        <v>60</v>
      </c>
      <c r="AQ411" s="228">
        <f t="shared" si="260"/>
        <v>57</v>
      </c>
      <c r="AR411" s="228">
        <f t="shared" si="245"/>
        <v>52</v>
      </c>
      <c r="AS411" s="229">
        <f t="shared" si="261"/>
        <v>45804</v>
      </c>
      <c r="AT411" s="982">
        <f t="shared" ca="1" si="262"/>
        <v>151</v>
      </c>
      <c r="AU411" s="50"/>
      <c r="AV411" s="51"/>
      <c r="AW411" s="49"/>
      <c r="AX411" s="49"/>
      <c r="AY411" s="49"/>
      <c r="AZ411" s="300"/>
      <c r="BA411" s="52"/>
      <c r="BB411" s="304"/>
      <c r="BC411" s="231" t="s">
        <v>12</v>
      </c>
      <c r="BD411" s="232"/>
      <c r="BE411" s="222">
        <f t="shared" si="277"/>
        <v>45759</v>
      </c>
      <c r="BF411" s="233" t="e">
        <f t="shared" si="250"/>
        <v>#VALUE!</v>
      </c>
      <c r="BG411" s="248"/>
      <c r="BH411" s="235"/>
      <c r="BI411" s="234"/>
      <c r="BJ411" s="236"/>
      <c r="BK411" s="222"/>
      <c r="BL411" s="222"/>
      <c r="BM411" s="238"/>
      <c r="BN411" s="222"/>
      <c r="BO411" s="222"/>
      <c r="BP411" s="243"/>
      <c r="BQ411" s="244"/>
      <c r="BR411" s="238"/>
      <c r="BS411" s="67"/>
      <c r="BT411" s="66"/>
      <c r="BU411" s="66"/>
      <c r="BV411" s="66"/>
      <c r="BW411" s="74"/>
      <c r="BX411" s="81"/>
      <c r="BY411" s="66">
        <v>45712</v>
      </c>
      <c r="BZ411" s="944" t="s">
        <v>308</v>
      </c>
      <c r="CA411" s="42" t="str">
        <f t="shared" si="263"/>
        <v>0</v>
      </c>
      <c r="CB411" s="62">
        <f t="shared" si="264"/>
        <v>37.335416666668607</v>
      </c>
      <c r="CC411" s="42">
        <f t="shared" si="265"/>
        <v>0</v>
      </c>
      <c r="CD411" s="62">
        <f t="shared" si="266"/>
        <v>37.335416666668607</v>
      </c>
      <c r="CE411" s="62">
        <f t="shared" si="267"/>
        <v>1.3767434895834048</v>
      </c>
      <c r="CF411" s="145">
        <f t="shared" si="268"/>
        <v>125</v>
      </c>
      <c r="CG411" s="145"/>
      <c r="CH411" s="443">
        <f t="shared" si="269"/>
        <v>5.9861184895834043</v>
      </c>
      <c r="CI411" s="996">
        <f t="shared" si="270"/>
        <v>5.9861184895834043</v>
      </c>
      <c r="CJ411" s="261">
        <f t="shared" si="271"/>
        <v>2.0833333333333335</v>
      </c>
      <c r="CK411" s="458" t="str">
        <f t="shared" si="272"/>
        <v/>
      </c>
      <c r="CL411" t="str">
        <f t="shared" si="273"/>
        <v>REV</v>
      </c>
      <c r="CM411" t="str">
        <f t="shared" si="274"/>
        <v/>
      </c>
      <c r="CN411" s="635"/>
      <c r="CO411" s="631"/>
      <c r="CP411" s="629" t="str">
        <f t="shared" si="251"/>
        <v>FOR ISSUANCE</v>
      </c>
      <c r="CQ411" s="635"/>
      <c r="CR411" s="697"/>
      <c r="CS411" s="633" t="str">
        <f t="shared" ca="1" si="275"/>
        <v>0</v>
      </c>
      <c r="CT411" s="635"/>
      <c r="CU411" s="631"/>
      <c r="CV411" s="638"/>
      <c r="CW411" s="156" t="s">
        <v>2439</v>
      </c>
      <c r="CX411" s="156" t="str">
        <f>VLOOKUP(E411,'[1]List of Work Orders'!$A:$I,9,FALSE)</f>
        <v>ME166067</v>
      </c>
      <c r="CY411" s="156"/>
      <c r="DA411" s="762">
        <f t="shared" si="243"/>
        <v>5.7256944444452529</v>
      </c>
      <c r="DS411" s="156" t="s">
        <v>381</v>
      </c>
    </row>
    <row r="412" spans="1:123" customFormat="1" ht="15" customHeight="1" x14ac:dyDescent="0.25">
      <c r="A412" s="242">
        <v>45712</v>
      </c>
      <c r="B412" s="222">
        <v>45714</v>
      </c>
      <c r="C412" s="223"/>
      <c r="D412" s="66" t="s">
        <v>234</v>
      </c>
      <c r="E412" s="404" t="s">
        <v>2440</v>
      </c>
      <c r="F412" s="95" t="s">
        <v>2441</v>
      </c>
      <c r="G412" s="95" t="s">
        <v>1588</v>
      </c>
      <c r="H412" s="95" t="s">
        <v>269</v>
      </c>
      <c r="I412" s="95" t="s">
        <v>239</v>
      </c>
      <c r="J412" s="163"/>
      <c r="K412" s="101"/>
      <c r="L412" s="101" t="s">
        <v>242</v>
      </c>
      <c r="M412" s="345" t="s">
        <v>331</v>
      </c>
      <c r="N412" s="442" t="s">
        <v>467</v>
      </c>
      <c r="O412" s="165">
        <v>31.368500000000001</v>
      </c>
      <c r="P412" s="165">
        <v>152.97</v>
      </c>
      <c r="Q412" s="157" t="s">
        <v>2021</v>
      </c>
      <c r="R412" s="109" t="s">
        <v>244</v>
      </c>
      <c r="S412" s="110">
        <v>269622.12</v>
      </c>
      <c r="T412" s="93">
        <v>36004.720000000008</v>
      </c>
      <c r="U412" s="141"/>
      <c r="V412" s="158">
        <f t="shared" si="252"/>
        <v>0</v>
      </c>
      <c r="W412" s="159">
        <v>45706.665972222225</v>
      </c>
      <c r="X412" s="159">
        <v>45712.444444444445</v>
      </c>
      <c r="Y412" s="160">
        <v>45709</v>
      </c>
      <c r="Z412" s="470"/>
      <c r="AA412" s="470"/>
      <c r="AB412" s="470"/>
      <c r="AC412" s="161">
        <f t="shared" si="253"/>
        <v>-45706.665972222225</v>
      </c>
      <c r="AD412" s="161">
        <f t="shared" si="246"/>
        <v>-45712.444444444445</v>
      </c>
      <c r="AE412" s="446">
        <f t="shared" si="276"/>
        <v>0</v>
      </c>
      <c r="AF412" s="160">
        <f t="shared" si="247"/>
        <v>45719.78167470156</v>
      </c>
      <c r="AG412" s="160">
        <f t="shared" si="244"/>
        <v>45727.079195362719</v>
      </c>
      <c r="AH412" s="159">
        <f t="shared" si="248"/>
        <v>45756.665972222225</v>
      </c>
      <c r="AI412" s="162">
        <f t="shared" si="254"/>
        <v>-2127.1179163995726</v>
      </c>
      <c r="AJ412" s="224">
        <f t="shared" si="249"/>
        <v>0</v>
      </c>
      <c r="AK412" s="225">
        <f t="shared" si="255"/>
        <v>26</v>
      </c>
      <c r="AL412" s="170">
        <f t="shared" si="256"/>
        <v>20</v>
      </c>
      <c r="AM412" s="170">
        <f t="shared" si="257"/>
        <v>16.115702479338843</v>
      </c>
      <c r="AN412" s="170">
        <f t="shared" si="258"/>
        <v>20.41322314049587</v>
      </c>
      <c r="AO412" s="226">
        <f t="shared" si="259"/>
        <v>13.115702479338843</v>
      </c>
      <c r="AP412" s="227">
        <v>60</v>
      </c>
      <c r="AQ412" s="228">
        <f t="shared" si="260"/>
        <v>57</v>
      </c>
      <c r="AR412" s="228">
        <f t="shared" si="245"/>
        <v>52</v>
      </c>
      <c r="AS412" s="229">
        <f t="shared" si="261"/>
        <v>60</v>
      </c>
      <c r="AT412" s="982">
        <f t="shared" ca="1" si="262"/>
        <v>45895</v>
      </c>
      <c r="AU412" s="50"/>
      <c r="AV412" s="51"/>
      <c r="AW412" s="49"/>
      <c r="AX412" s="49"/>
      <c r="AY412" s="49"/>
      <c r="AZ412" s="300"/>
      <c r="BA412" s="52"/>
      <c r="BB412" s="304"/>
      <c r="BC412" s="231"/>
      <c r="BD412" s="232"/>
      <c r="BE412" s="222">
        <f t="shared" si="277"/>
        <v>15</v>
      </c>
      <c r="BF412" s="233">
        <f t="shared" si="250"/>
        <v>0</v>
      </c>
      <c r="BG412" s="248"/>
      <c r="BH412" s="235"/>
      <c r="BI412" s="234"/>
      <c r="BJ412" s="236"/>
      <c r="BK412" s="222"/>
      <c r="BL412" s="222"/>
      <c r="BM412" s="238"/>
      <c r="BN412" s="222"/>
      <c r="BO412" s="222"/>
      <c r="BP412" s="243"/>
      <c r="BQ412" s="244"/>
      <c r="BR412" s="238"/>
      <c r="BS412" s="67"/>
      <c r="BT412" s="66"/>
      <c r="BU412" s="66"/>
      <c r="BV412" s="66"/>
      <c r="BW412" s="74"/>
      <c r="BX412" s="81"/>
      <c r="BY412" s="66">
        <v>45712</v>
      </c>
      <c r="BZ412" s="947" t="s">
        <v>2442</v>
      </c>
      <c r="CA412" s="42" t="str">
        <f t="shared" si="263"/>
        <v>0</v>
      </c>
      <c r="CB412" s="62">
        <f t="shared" si="264"/>
        <v>-45706.665972222225</v>
      </c>
      <c r="CC412" s="42">
        <f t="shared" si="265"/>
        <v>0</v>
      </c>
      <c r="CD412" s="62">
        <f t="shared" si="266"/>
        <v>-45706.665972222225</v>
      </c>
      <c r="CE412" s="62">
        <f t="shared" si="267"/>
        <v>-2127.1179163995726</v>
      </c>
      <c r="CF412" s="145" t="str">
        <f t="shared" si="268"/>
        <v>0</v>
      </c>
      <c r="CG412" s="145"/>
      <c r="CH412" s="443">
        <f t="shared" si="269"/>
        <v>7.554775908119538</v>
      </c>
      <c r="CI412" s="996">
        <f t="shared" si="270"/>
        <v>7.554775908119538</v>
      </c>
      <c r="CJ412" s="261">
        <f t="shared" si="271"/>
        <v>0</v>
      </c>
      <c r="CK412" s="458">
        <f t="shared" si="272"/>
        <v>149.33402777777519</v>
      </c>
      <c r="CL412" t="str">
        <f t="shared" si="273"/>
        <v>REV</v>
      </c>
      <c r="CM412" t="str">
        <f t="shared" si="274"/>
        <v>4-6 MONTHS</v>
      </c>
      <c r="CN412" s="635"/>
      <c r="CO412" s="631"/>
      <c r="CP412" s="629" t="str">
        <f t="shared" si="251"/>
        <v>FOR ISSUANCE</v>
      </c>
      <c r="CQ412" s="635"/>
      <c r="CR412" s="697"/>
      <c r="CS412" s="633" t="str">
        <f t="shared" ca="1" si="275"/>
        <v>0</v>
      </c>
      <c r="CT412" s="635"/>
      <c r="CU412" s="631"/>
      <c r="CV412" s="638"/>
      <c r="CW412" s="156" t="s">
        <v>2443</v>
      </c>
      <c r="CX412" s="156" t="str">
        <f>VLOOKUP(E412,'[1]List of Work Orders'!$A:$I,9,FALSE)</f>
        <v>ME155242</v>
      </c>
      <c r="CY412" s="156"/>
      <c r="CZ412" s="63"/>
      <c r="DA412" s="762">
        <f t="shared" si="243"/>
        <v>5.7784722222204437</v>
      </c>
      <c r="DS412" s="156" t="s">
        <v>381</v>
      </c>
    </row>
    <row r="413" spans="1:123" customFormat="1" ht="15" customHeight="1" x14ac:dyDescent="0.25">
      <c r="A413" s="242">
        <v>45715</v>
      </c>
      <c r="B413" s="222">
        <v>45715</v>
      </c>
      <c r="C413" s="223"/>
      <c r="D413" s="66" t="s">
        <v>320</v>
      </c>
      <c r="E413" s="404" t="s">
        <v>2444</v>
      </c>
      <c r="F413" s="95" t="s">
        <v>2445</v>
      </c>
      <c r="G413" s="95" t="s">
        <v>2446</v>
      </c>
      <c r="H413" s="454" t="s">
        <v>378</v>
      </c>
      <c r="I413" s="95" t="s">
        <v>239</v>
      </c>
      <c r="J413" s="163"/>
      <c r="K413" s="101"/>
      <c r="L413" s="101" t="s">
        <v>288</v>
      </c>
      <c r="M413" s="345" t="s">
        <v>272</v>
      </c>
      <c r="N413" s="442" t="s">
        <v>381</v>
      </c>
      <c r="O413" s="165">
        <v>50.678500000000007</v>
      </c>
      <c r="P413" s="933">
        <v>213.43</v>
      </c>
      <c r="Q413" s="157">
        <v>9</v>
      </c>
      <c r="R413" s="109" t="s">
        <v>244</v>
      </c>
      <c r="S413" s="110">
        <v>407209.07</v>
      </c>
      <c r="T413" s="93">
        <v>50064.5</v>
      </c>
      <c r="U413" s="141"/>
      <c r="V413" s="158">
        <f t="shared" si="252"/>
        <v>0</v>
      </c>
      <c r="W413" s="159">
        <v>45706.671527777777</v>
      </c>
      <c r="X413" s="159">
        <v>45712.443055555559</v>
      </c>
      <c r="Y413" s="160">
        <v>45709</v>
      </c>
      <c r="Z413" s="470">
        <v>45744</v>
      </c>
      <c r="AA413" s="470">
        <v>45744</v>
      </c>
      <c r="AB413" s="470"/>
      <c r="AC413" s="161">
        <f t="shared" si="253"/>
        <v>37.328472222223354</v>
      </c>
      <c r="AD413" s="161">
        <f t="shared" si="246"/>
        <v>31.556944444440887</v>
      </c>
      <c r="AE413" s="446">
        <f t="shared" si="276"/>
        <v>-45744</v>
      </c>
      <c r="AF413" s="160">
        <f t="shared" si="247"/>
        <v>45728.53994883041</v>
      </c>
      <c r="AG413" s="160">
        <f t="shared" si="244"/>
        <v>45738.171527777777</v>
      </c>
      <c r="AH413" s="159">
        <f t="shared" si="248"/>
        <v>45756.671527777777</v>
      </c>
      <c r="AI413" s="162">
        <f t="shared" si="254"/>
        <v>1.1257793209876883</v>
      </c>
      <c r="AJ413" s="224">
        <f t="shared" si="249"/>
        <v>-762.4</v>
      </c>
      <c r="AK413" s="225">
        <f t="shared" si="255"/>
        <v>28</v>
      </c>
      <c r="AL413" s="170">
        <f t="shared" si="256"/>
        <v>36</v>
      </c>
      <c r="AM413" s="170">
        <f t="shared" si="257"/>
        <v>24.868421052631579</v>
      </c>
      <c r="AN413" s="170">
        <f t="shared" si="258"/>
        <v>31.499999999999996</v>
      </c>
      <c r="AO413" s="226">
        <f t="shared" si="259"/>
        <v>21.868421052631579</v>
      </c>
      <c r="AP413" s="227">
        <v>60</v>
      </c>
      <c r="AQ413" s="228">
        <f t="shared" si="260"/>
        <v>57</v>
      </c>
      <c r="AR413" s="228">
        <f t="shared" si="245"/>
        <v>52</v>
      </c>
      <c r="AS413" s="229">
        <f t="shared" si="261"/>
        <v>45804</v>
      </c>
      <c r="AT413" s="982">
        <f t="shared" ca="1" si="262"/>
        <v>151</v>
      </c>
      <c r="AU413" s="50"/>
      <c r="AV413" s="51"/>
      <c r="AW413" s="49"/>
      <c r="AX413" s="49"/>
      <c r="AY413" s="49"/>
      <c r="AZ413" s="300"/>
      <c r="BA413" s="52"/>
      <c r="BB413" s="304"/>
      <c r="BC413" s="231" t="s">
        <v>12</v>
      </c>
      <c r="BD413" s="232"/>
      <c r="BE413" s="222">
        <f t="shared" si="277"/>
        <v>45759</v>
      </c>
      <c r="BF413" s="233">
        <f t="shared" si="250"/>
        <v>117</v>
      </c>
      <c r="BG413" s="248">
        <v>45744</v>
      </c>
      <c r="BH413" s="235">
        <v>45876</v>
      </c>
      <c r="BI413" s="234"/>
      <c r="BJ413" s="236"/>
      <c r="BK413" s="222"/>
      <c r="BL413" s="222"/>
      <c r="BM413" s="238"/>
      <c r="BN413" s="222"/>
      <c r="BO413" s="222"/>
      <c r="BP413" s="243"/>
      <c r="BQ413" s="244"/>
      <c r="BR413" s="238"/>
      <c r="BS413" s="67"/>
      <c r="BT413" s="66"/>
      <c r="BU413" s="66"/>
      <c r="BV413" s="66"/>
      <c r="BW413" s="74"/>
      <c r="BX413" s="81"/>
      <c r="BY413" s="66">
        <v>45715</v>
      </c>
      <c r="BZ413" s="947" t="s">
        <v>2447</v>
      </c>
      <c r="CA413" s="42" t="str">
        <f t="shared" si="263"/>
        <v>0</v>
      </c>
      <c r="CB413" s="62">
        <f t="shared" si="264"/>
        <v>37.328472222223354</v>
      </c>
      <c r="CC413" s="42">
        <f t="shared" si="265"/>
        <v>0</v>
      </c>
      <c r="CD413" s="62">
        <f t="shared" si="266"/>
        <v>37.328472222223354</v>
      </c>
      <c r="CE413" s="62">
        <f t="shared" si="267"/>
        <v>1.1257793209876883</v>
      </c>
      <c r="CF413" s="145">
        <f t="shared" si="268"/>
        <v>125</v>
      </c>
      <c r="CG413" s="145"/>
      <c r="CH413" s="443">
        <f t="shared" si="269"/>
        <v>4.8956205908289583</v>
      </c>
      <c r="CI413" s="996">
        <f t="shared" si="270"/>
        <v>4.8956205908289583</v>
      </c>
      <c r="CJ413" s="261">
        <f t="shared" si="271"/>
        <v>2.0833333333333335</v>
      </c>
      <c r="CK413" s="458" t="str">
        <f t="shared" si="272"/>
        <v/>
      </c>
      <c r="CL413" t="str">
        <f t="shared" si="273"/>
        <v>REV</v>
      </c>
      <c r="CM413" t="str">
        <f t="shared" si="274"/>
        <v/>
      </c>
      <c r="CN413" s="635"/>
      <c r="CO413" s="631"/>
      <c r="CP413" s="629" t="str">
        <f t="shared" si="251"/>
        <v>FOR ISSUANCE</v>
      </c>
      <c r="CQ413" s="635"/>
      <c r="CR413" s="697"/>
      <c r="CS413" s="633" t="str">
        <f t="shared" ca="1" si="275"/>
        <v>0</v>
      </c>
      <c r="CT413" s="635"/>
      <c r="CU413" s="631"/>
      <c r="CV413" s="638"/>
      <c r="CW413" s="156" t="s">
        <v>2448</v>
      </c>
      <c r="CX413" s="156" t="str">
        <f>VLOOKUP(E413,'[1]List of Work Orders'!$A:$I,9,FALSE)</f>
        <v>ME185284</v>
      </c>
      <c r="CY413" s="156"/>
      <c r="DA413" s="762">
        <f t="shared" si="243"/>
        <v>5.7715277777824667</v>
      </c>
      <c r="DS413" s="156" t="s">
        <v>381</v>
      </c>
    </row>
    <row r="414" spans="1:123" customFormat="1" ht="15" customHeight="1" x14ac:dyDescent="0.25">
      <c r="A414" s="242">
        <v>45712</v>
      </c>
      <c r="B414" s="222"/>
      <c r="C414" s="223" t="s">
        <v>247</v>
      </c>
      <c r="D414" s="66" t="s">
        <v>284</v>
      </c>
      <c r="E414" s="404" t="s">
        <v>2449</v>
      </c>
      <c r="F414" s="95" t="s">
        <v>1985</v>
      </c>
      <c r="G414" s="95" t="s">
        <v>2194</v>
      </c>
      <c r="H414" s="348" t="s">
        <v>318</v>
      </c>
      <c r="I414" s="95" t="s">
        <v>239</v>
      </c>
      <c r="J414" s="163"/>
      <c r="K414" s="101"/>
      <c r="L414" s="101" t="s">
        <v>5</v>
      </c>
      <c r="M414" s="345" t="s">
        <v>272</v>
      </c>
      <c r="N414" s="442" t="s">
        <v>403</v>
      </c>
      <c r="O414" s="165">
        <v>9.9328000000000003</v>
      </c>
      <c r="P414" s="933">
        <v>13.04</v>
      </c>
      <c r="Q414" s="157">
        <v>28</v>
      </c>
      <c r="R414" s="109" t="s">
        <v>244</v>
      </c>
      <c r="S414" s="110">
        <v>186146.6</v>
      </c>
      <c r="T414" s="93">
        <v>11202.050000000001</v>
      </c>
      <c r="U414" s="141"/>
      <c r="V414" s="158">
        <f t="shared" si="252"/>
        <v>0</v>
      </c>
      <c r="W414" s="159">
        <v>45706.67291666667</v>
      </c>
      <c r="X414" s="159">
        <v>45712.390972222223</v>
      </c>
      <c r="Y414" s="160">
        <v>45709</v>
      </c>
      <c r="Z414" s="470">
        <v>45720.181250000001</v>
      </c>
      <c r="AA414" s="470">
        <v>45720</v>
      </c>
      <c r="AB414" s="470"/>
      <c r="AC414" s="161">
        <f t="shared" si="253"/>
        <v>13.327083333329938</v>
      </c>
      <c r="AD414" s="161">
        <f t="shared" si="246"/>
        <v>7.609027777776646</v>
      </c>
      <c r="AE414" s="446">
        <f t="shared" si="276"/>
        <v>-45720</v>
      </c>
      <c r="AF414" s="160">
        <f t="shared" si="247"/>
        <v>45725.447110215056</v>
      </c>
      <c r="AG414" s="160">
        <f t="shared" si="244"/>
        <v>45734.253561827958</v>
      </c>
      <c r="AH414" s="159">
        <f t="shared" si="248"/>
        <v>45756.67291666667</v>
      </c>
      <c r="AI414" s="162">
        <f t="shared" si="254"/>
        <v>0.45904398148136449</v>
      </c>
      <c r="AJ414" s="224">
        <f t="shared" si="249"/>
        <v>-762</v>
      </c>
      <c r="AK414" s="225">
        <f t="shared" si="255"/>
        <v>20</v>
      </c>
      <c r="AL414" s="170">
        <f t="shared" si="256"/>
        <v>36</v>
      </c>
      <c r="AM414" s="170">
        <f t="shared" si="257"/>
        <v>21.774193548387096</v>
      </c>
      <c r="AN414" s="170">
        <f t="shared" si="258"/>
        <v>27.58064516129032</v>
      </c>
      <c r="AO414" s="226">
        <f t="shared" si="259"/>
        <v>18.774193548387096</v>
      </c>
      <c r="AP414" s="227">
        <v>60</v>
      </c>
      <c r="AQ414" s="228">
        <f t="shared" si="260"/>
        <v>57</v>
      </c>
      <c r="AR414" s="228">
        <f t="shared" si="245"/>
        <v>52</v>
      </c>
      <c r="AS414" s="229">
        <f t="shared" si="261"/>
        <v>45780</v>
      </c>
      <c r="AT414" s="982">
        <f t="shared" ca="1" si="262"/>
        <v>175</v>
      </c>
      <c r="AU414" s="50"/>
      <c r="AV414" s="51"/>
      <c r="AW414" s="49"/>
      <c r="AX414" s="49"/>
      <c r="AY414" s="49"/>
      <c r="AZ414" s="300"/>
      <c r="BA414" s="52"/>
      <c r="BB414" s="304"/>
      <c r="BC414" s="231" t="s">
        <v>12</v>
      </c>
      <c r="BD414" s="232"/>
      <c r="BE414" s="222">
        <f t="shared" si="277"/>
        <v>45735</v>
      </c>
      <c r="BF414" s="233">
        <f t="shared" si="250"/>
        <v>-2</v>
      </c>
      <c r="BG414" s="248">
        <v>45720</v>
      </c>
      <c r="BH414" s="235">
        <v>45733</v>
      </c>
      <c r="BI414" s="234"/>
      <c r="BJ414" s="236"/>
      <c r="BK414" s="222"/>
      <c r="BL414" s="222"/>
      <c r="BM414" s="238"/>
      <c r="BN414" s="222"/>
      <c r="BO414" s="222"/>
      <c r="BP414" s="243"/>
      <c r="BQ414" s="244" t="s">
        <v>247</v>
      </c>
      <c r="BR414" s="238">
        <v>45719</v>
      </c>
      <c r="BS414" s="67"/>
      <c r="BT414" s="66"/>
      <c r="BU414" s="66"/>
      <c r="BV414" s="66"/>
      <c r="BW414" s="74"/>
      <c r="BX414" s="81"/>
      <c r="BY414" s="66">
        <v>45712</v>
      </c>
      <c r="BZ414" s="947" t="s">
        <v>2450</v>
      </c>
      <c r="CA414" s="42" t="str">
        <f t="shared" si="263"/>
        <v>0</v>
      </c>
      <c r="CB414" s="62">
        <f t="shared" si="264"/>
        <v>13.327083333329938</v>
      </c>
      <c r="CC414" s="42">
        <f t="shared" si="265"/>
        <v>0</v>
      </c>
      <c r="CD414" s="62">
        <f t="shared" si="266"/>
        <v>13.327083333329938</v>
      </c>
      <c r="CE414" s="62">
        <f t="shared" si="267"/>
        <v>0.45904398148136449</v>
      </c>
      <c r="CF414" s="145">
        <f t="shared" si="268"/>
        <v>149</v>
      </c>
      <c r="CG414" s="145"/>
      <c r="CH414" s="443">
        <f t="shared" si="269"/>
        <v>5.5912662037035865</v>
      </c>
      <c r="CI414" s="996">
        <f t="shared" si="270"/>
        <v>5.5912662037035865</v>
      </c>
      <c r="CJ414" s="261">
        <f t="shared" si="271"/>
        <v>2.4833333333333334</v>
      </c>
      <c r="CK414" s="458" t="str">
        <f t="shared" si="272"/>
        <v/>
      </c>
      <c r="CL414" t="str">
        <f t="shared" si="273"/>
        <v>REV</v>
      </c>
      <c r="CM414" t="str">
        <f t="shared" si="274"/>
        <v/>
      </c>
      <c r="CN414" s="635"/>
      <c r="CO414" s="631"/>
      <c r="CP414" s="629" t="str">
        <f t="shared" si="251"/>
        <v>FOR ISSUANCE</v>
      </c>
      <c r="CQ414" s="635"/>
      <c r="CR414" s="697"/>
      <c r="CS414" s="633" t="str">
        <f t="shared" ca="1" si="275"/>
        <v>0</v>
      </c>
      <c r="CT414" s="635"/>
      <c r="CU414" s="631"/>
      <c r="CV414" s="638"/>
      <c r="CW414" s="156" t="s">
        <v>2451</v>
      </c>
      <c r="CX414" s="156" t="str">
        <f>VLOOKUP(E414,'[1]List of Work Orders'!$A:$I,9,FALSE)</f>
        <v>ME166067</v>
      </c>
      <c r="CY414" s="156"/>
      <c r="DA414" s="762">
        <f t="shared" si="243"/>
        <v>5.7180555555532919</v>
      </c>
      <c r="DS414" s="156" t="s">
        <v>397</v>
      </c>
    </row>
    <row r="415" spans="1:123" customFormat="1" ht="15" customHeight="1" x14ac:dyDescent="0.25">
      <c r="A415" s="242">
        <v>45712</v>
      </c>
      <c r="B415" s="222">
        <v>45715</v>
      </c>
      <c r="C415" s="223" t="s">
        <v>247</v>
      </c>
      <c r="D415" s="66" t="s">
        <v>320</v>
      </c>
      <c r="E415" s="404" t="s">
        <v>2452</v>
      </c>
      <c r="F415" s="95" t="s">
        <v>2453</v>
      </c>
      <c r="G415" s="95" t="s">
        <v>2454</v>
      </c>
      <c r="H415" s="348" t="s">
        <v>318</v>
      </c>
      <c r="I415" s="95" t="s">
        <v>239</v>
      </c>
      <c r="J415" s="163"/>
      <c r="K415" s="101"/>
      <c r="L415" s="101" t="s">
        <v>5</v>
      </c>
      <c r="M415" s="345" t="s">
        <v>272</v>
      </c>
      <c r="N415" s="442" t="s">
        <v>403</v>
      </c>
      <c r="O415" s="165">
        <v>38.058499999999995</v>
      </c>
      <c r="P415" s="933">
        <v>48.2</v>
      </c>
      <c r="Q415" s="157">
        <v>110</v>
      </c>
      <c r="R415" s="109" t="s">
        <v>548</v>
      </c>
      <c r="S415" s="110">
        <v>391390.73</v>
      </c>
      <c r="T415" s="93">
        <v>41443.200000000004</v>
      </c>
      <c r="U415" s="141"/>
      <c r="V415" s="158">
        <f t="shared" si="252"/>
        <v>0</v>
      </c>
      <c r="W415" s="159">
        <v>45706.685416666667</v>
      </c>
      <c r="X415" s="159">
        <v>45712.295138888891</v>
      </c>
      <c r="Y415" s="160">
        <v>45709</v>
      </c>
      <c r="Z415" s="470"/>
      <c r="AA415" s="470">
        <v>45741.340277777781</v>
      </c>
      <c r="AB415" s="470"/>
      <c r="AC415" s="161">
        <f t="shared" si="253"/>
        <v>34.65486111111386</v>
      </c>
      <c r="AD415" s="161">
        <f t="shared" si="246"/>
        <v>29.045138888890506</v>
      </c>
      <c r="AE415" s="446">
        <f t="shared" si="276"/>
        <v>-45741.340277777781</v>
      </c>
      <c r="AF415" s="160">
        <f t="shared" si="247"/>
        <v>45724.024399717513</v>
      </c>
      <c r="AG415" s="160">
        <f t="shared" si="244"/>
        <v>45732.448128531076</v>
      </c>
      <c r="AH415" s="159">
        <f t="shared" si="248"/>
        <v>45756.685416666667</v>
      </c>
      <c r="AI415" s="162">
        <f t="shared" si="254"/>
        <v>1.2778980034723235</v>
      </c>
      <c r="AJ415" s="224">
        <f t="shared" si="249"/>
        <v>-762.35567129629635</v>
      </c>
      <c r="AK415" s="225">
        <f t="shared" si="255"/>
        <v>20</v>
      </c>
      <c r="AL415" s="170">
        <f t="shared" si="256"/>
        <v>32</v>
      </c>
      <c r="AM415" s="170">
        <f t="shared" si="257"/>
        <v>20.33898305084746</v>
      </c>
      <c r="AN415" s="170">
        <f t="shared" si="258"/>
        <v>25.762711864406779</v>
      </c>
      <c r="AO415" s="226">
        <f t="shared" si="259"/>
        <v>17.33898305084746</v>
      </c>
      <c r="AP415" s="227">
        <v>60</v>
      </c>
      <c r="AQ415" s="228">
        <f t="shared" si="260"/>
        <v>57</v>
      </c>
      <c r="AR415" s="228">
        <f t="shared" si="245"/>
        <v>52</v>
      </c>
      <c r="AS415" s="229">
        <f t="shared" si="261"/>
        <v>45801.340277777781</v>
      </c>
      <c r="AT415" s="982">
        <f t="shared" ca="1" si="262"/>
        <v>153.65972222221899</v>
      </c>
      <c r="AU415" s="50"/>
      <c r="AV415" s="51"/>
      <c r="AW415" s="49"/>
      <c r="AX415" s="49"/>
      <c r="AY415" s="49"/>
      <c r="AZ415" s="300"/>
      <c r="BA415" s="52"/>
      <c r="BB415" s="304"/>
      <c r="BC415" s="231" t="s">
        <v>12</v>
      </c>
      <c r="BD415" s="232"/>
      <c r="BE415" s="222">
        <f t="shared" si="277"/>
        <v>45756.340277777781</v>
      </c>
      <c r="BF415" s="233">
        <f t="shared" si="250"/>
        <v>4.6597222222189885</v>
      </c>
      <c r="BG415" s="248">
        <v>45741</v>
      </c>
      <c r="BH415" s="235">
        <v>45761</v>
      </c>
      <c r="BI415" s="234"/>
      <c r="BJ415" s="236"/>
      <c r="BK415" s="222"/>
      <c r="BL415" s="222"/>
      <c r="BM415" s="238"/>
      <c r="BN415" s="222"/>
      <c r="BO415" s="222"/>
      <c r="BP415" s="243"/>
      <c r="BQ415" s="244"/>
      <c r="BR415" s="238"/>
      <c r="BS415" s="67"/>
      <c r="BT415" s="66"/>
      <c r="BU415" s="66"/>
      <c r="BV415" s="66"/>
      <c r="BW415" s="74"/>
      <c r="BX415" s="81"/>
      <c r="BY415" s="66">
        <v>45712</v>
      </c>
      <c r="BZ415" s="947" t="s">
        <v>2455</v>
      </c>
      <c r="CA415" s="42" t="str">
        <f t="shared" si="263"/>
        <v>0</v>
      </c>
      <c r="CB415" s="62">
        <f t="shared" si="264"/>
        <v>34.65486111111386</v>
      </c>
      <c r="CC415" s="42">
        <f t="shared" si="265"/>
        <v>0</v>
      </c>
      <c r="CD415" s="62">
        <f t="shared" si="266"/>
        <v>34.65486111111386</v>
      </c>
      <c r="CE415" s="62">
        <f t="shared" si="267"/>
        <v>1.2778980034723235</v>
      </c>
      <c r="CF415" s="145">
        <f t="shared" si="268"/>
        <v>127.65972222221899</v>
      </c>
      <c r="CG415" s="145"/>
      <c r="CH415" s="443">
        <f t="shared" si="269"/>
        <v>5.9853502604166486</v>
      </c>
      <c r="CI415" s="996">
        <f t="shared" si="270"/>
        <v>5.9853502604166486</v>
      </c>
      <c r="CJ415" s="261">
        <f t="shared" si="271"/>
        <v>2.1276620370369832</v>
      </c>
      <c r="CK415" s="458" t="str">
        <f t="shared" si="272"/>
        <v/>
      </c>
      <c r="CL415" t="str">
        <f t="shared" si="273"/>
        <v>NON-REV</v>
      </c>
      <c r="CM415" t="str">
        <f t="shared" si="274"/>
        <v/>
      </c>
      <c r="CN415" s="635"/>
      <c r="CO415" s="631"/>
      <c r="CP415" s="629" t="str">
        <f t="shared" si="251"/>
        <v>FOR ISSUANCE</v>
      </c>
      <c r="CQ415" s="635"/>
      <c r="CR415" s="697"/>
      <c r="CS415" s="633" t="str">
        <f t="shared" ca="1" si="275"/>
        <v>0</v>
      </c>
      <c r="CT415" s="635"/>
      <c r="CU415" s="631"/>
      <c r="CV415" s="638"/>
      <c r="CW415" s="156" t="s">
        <v>2456</v>
      </c>
      <c r="CX415" s="156" t="str">
        <f>VLOOKUP(E415,'[1]List of Work Orders'!$A:$I,9,FALSE)</f>
        <v>ME166067</v>
      </c>
      <c r="CY415" s="156"/>
      <c r="DA415" s="762">
        <f t="shared" si="243"/>
        <v>5.609722222223354</v>
      </c>
      <c r="DS415" s="156" t="s">
        <v>397</v>
      </c>
    </row>
    <row r="416" spans="1:123" customFormat="1" ht="15" customHeight="1" x14ac:dyDescent="0.25">
      <c r="A416" s="242">
        <v>45716</v>
      </c>
      <c r="B416" s="222">
        <v>45715</v>
      </c>
      <c r="C416" s="223" t="s">
        <v>247</v>
      </c>
      <c r="D416" s="66" t="s">
        <v>320</v>
      </c>
      <c r="E416" s="404" t="s">
        <v>2457</v>
      </c>
      <c r="F416" s="95" t="s">
        <v>2458</v>
      </c>
      <c r="G416" s="95" t="s">
        <v>2459</v>
      </c>
      <c r="H416" s="95" t="s">
        <v>269</v>
      </c>
      <c r="I416" s="95" t="s">
        <v>239</v>
      </c>
      <c r="J416" s="163"/>
      <c r="K416" s="101"/>
      <c r="L416" s="101" t="s">
        <v>263</v>
      </c>
      <c r="M416" s="345" t="s">
        <v>272</v>
      </c>
      <c r="N416" s="442" t="s">
        <v>467</v>
      </c>
      <c r="O416" s="165">
        <v>119.76289999999999</v>
      </c>
      <c r="P416" s="165">
        <v>308.41000000000003</v>
      </c>
      <c r="Q416" s="157">
        <v>33</v>
      </c>
      <c r="R416" s="109" t="s">
        <v>244</v>
      </c>
      <c r="S416" s="110">
        <v>601808.84</v>
      </c>
      <c r="T416" s="93">
        <v>130472.59</v>
      </c>
      <c r="U416" s="141"/>
      <c r="V416" s="158">
        <f t="shared" si="252"/>
        <v>0</v>
      </c>
      <c r="W416" s="159">
        <v>45706.738194444442</v>
      </c>
      <c r="X416" s="159">
        <v>45712.443749999999</v>
      </c>
      <c r="Y416" s="160">
        <v>45709</v>
      </c>
      <c r="Z416" s="470"/>
      <c r="AA416" s="470">
        <v>45864</v>
      </c>
      <c r="AB416" s="470"/>
      <c r="AC416" s="161">
        <f t="shared" si="253"/>
        <v>157.26180555555766</v>
      </c>
      <c r="AD416" s="161">
        <f t="shared" si="246"/>
        <v>151.55625000000146</v>
      </c>
      <c r="AE416" s="446">
        <f t="shared" si="276"/>
        <v>-45864</v>
      </c>
      <c r="AF416" s="160">
        <f t="shared" si="247"/>
        <v>45729.20989255765</v>
      </c>
      <c r="AG416" s="160">
        <f t="shared" si="244"/>
        <v>45739.002345387838</v>
      </c>
      <c r="AH416" s="159">
        <f t="shared" si="248"/>
        <v>45756.738194444442</v>
      </c>
      <c r="AI416" s="162">
        <f t="shared" si="254"/>
        <v>4.6304864969136421</v>
      </c>
      <c r="AJ416" s="224">
        <f t="shared" si="249"/>
        <v>-764.4</v>
      </c>
      <c r="AK416" s="225">
        <f t="shared" si="255"/>
        <v>30</v>
      </c>
      <c r="AL416" s="170">
        <f t="shared" si="256"/>
        <v>36</v>
      </c>
      <c r="AM416" s="170">
        <f t="shared" si="257"/>
        <v>25.471698113207545</v>
      </c>
      <c r="AN416" s="170">
        <f t="shared" si="258"/>
        <v>32.264150943396224</v>
      </c>
      <c r="AO416" s="226">
        <f t="shared" si="259"/>
        <v>22.471698113207545</v>
      </c>
      <c r="AP416" s="227">
        <v>60</v>
      </c>
      <c r="AQ416" s="228">
        <f t="shared" si="260"/>
        <v>57</v>
      </c>
      <c r="AR416" s="228">
        <f t="shared" si="245"/>
        <v>52</v>
      </c>
      <c r="AS416" s="229">
        <f t="shared" si="261"/>
        <v>45924</v>
      </c>
      <c r="AT416" s="982">
        <f t="shared" ca="1" si="262"/>
        <v>31</v>
      </c>
      <c r="AU416" s="50"/>
      <c r="AV416" s="51"/>
      <c r="AW416" s="49"/>
      <c r="AX416" s="49"/>
      <c r="AY416" s="49"/>
      <c r="AZ416" s="300"/>
      <c r="BA416" s="52"/>
      <c r="BB416" s="304"/>
      <c r="BC416" s="231" t="s">
        <v>13</v>
      </c>
      <c r="BD416" s="232"/>
      <c r="BE416" s="222">
        <f t="shared" si="277"/>
        <v>45879</v>
      </c>
      <c r="BF416" s="233" t="e">
        <f t="shared" si="250"/>
        <v>#VALUE!</v>
      </c>
      <c r="BG416" s="248"/>
      <c r="BH416" s="235"/>
      <c r="BI416" s="234"/>
      <c r="BJ416" s="236"/>
      <c r="BK416" s="222"/>
      <c r="BL416" s="222"/>
      <c r="BM416" s="238"/>
      <c r="BN416" s="222"/>
      <c r="BO416" s="222"/>
      <c r="BP416" s="243"/>
      <c r="BQ416" s="244"/>
      <c r="BR416" s="238"/>
      <c r="BS416" s="67"/>
      <c r="BT416" s="66"/>
      <c r="BU416" s="66"/>
      <c r="BV416" s="66"/>
      <c r="BW416" s="74"/>
      <c r="BX416" s="81"/>
      <c r="BY416" s="66">
        <v>45716</v>
      </c>
      <c r="BZ416" s="947" t="s">
        <v>2460</v>
      </c>
      <c r="CA416" s="42" t="str">
        <f t="shared" si="263"/>
        <v>0</v>
      </c>
      <c r="CB416" s="62">
        <f t="shared" si="264"/>
        <v>157.26180555555766</v>
      </c>
      <c r="CC416" s="42">
        <f t="shared" si="265"/>
        <v>0</v>
      </c>
      <c r="CD416" s="62">
        <f t="shared" si="266"/>
        <v>157.26180555555766</v>
      </c>
      <c r="CE416" s="62">
        <f t="shared" si="267"/>
        <v>4.6304864969136421</v>
      </c>
      <c r="CF416" s="145">
        <f t="shared" si="268"/>
        <v>5</v>
      </c>
      <c r="CG416" s="145"/>
      <c r="CH416" s="443">
        <f t="shared" si="269"/>
        <v>4.7777087191358643</v>
      </c>
      <c r="CI416" s="996">
        <f t="shared" si="270"/>
        <v>4.7777087191358643</v>
      </c>
      <c r="CJ416" s="261">
        <f t="shared" si="271"/>
        <v>8.3333333333333329E-2</v>
      </c>
      <c r="CK416" s="458" t="str">
        <f t="shared" si="272"/>
        <v/>
      </c>
      <c r="CL416" t="str">
        <f t="shared" si="273"/>
        <v>REV</v>
      </c>
      <c r="CM416" t="str">
        <f t="shared" si="274"/>
        <v/>
      </c>
      <c r="CN416" s="635"/>
      <c r="CO416" s="631"/>
      <c r="CP416" s="629" t="str">
        <f t="shared" si="251"/>
        <v>FOR ISSUANCE</v>
      </c>
      <c r="CQ416" s="635"/>
      <c r="CR416" s="697"/>
      <c r="CS416" s="633" t="str">
        <f t="shared" ca="1" si="275"/>
        <v>0</v>
      </c>
      <c r="CT416" s="635"/>
      <c r="CU416" s="631"/>
      <c r="CV416" s="638"/>
      <c r="CW416" s="156" t="s">
        <v>2461</v>
      </c>
      <c r="CX416" s="156" t="str">
        <f>VLOOKUP(E416,'[1]List of Work Orders'!$A:$I,9,FALSE)</f>
        <v>ME155242</v>
      </c>
      <c r="CY416" s="156"/>
      <c r="DA416" s="762">
        <f t="shared" si="243"/>
        <v>5.7055555555562023</v>
      </c>
      <c r="DS416" s="156" t="s">
        <v>381</v>
      </c>
    </row>
    <row r="417" spans="1:123" customFormat="1" ht="15" customHeight="1" x14ac:dyDescent="0.25">
      <c r="A417" s="242">
        <v>45721</v>
      </c>
      <c r="B417" s="222">
        <v>45715</v>
      </c>
      <c r="C417" s="223" t="s">
        <v>247</v>
      </c>
      <c r="D417" s="66" t="s">
        <v>234</v>
      </c>
      <c r="E417" s="404" t="s">
        <v>2462</v>
      </c>
      <c r="F417" s="95" t="s">
        <v>325</v>
      </c>
      <c r="G417" s="95" t="s">
        <v>588</v>
      </c>
      <c r="H417" s="95" t="s">
        <v>238</v>
      </c>
      <c r="I417" s="95" t="s">
        <v>239</v>
      </c>
      <c r="J417" s="163"/>
      <c r="K417" s="101"/>
      <c r="L417" s="101" t="s">
        <v>263</v>
      </c>
      <c r="M417" s="345" t="s">
        <v>272</v>
      </c>
      <c r="N417" s="442" t="s">
        <v>467</v>
      </c>
      <c r="O417" s="165">
        <v>365.07799999999963</v>
      </c>
      <c r="P417" s="933">
        <v>633.77</v>
      </c>
      <c r="Q417" s="157">
        <v>0</v>
      </c>
      <c r="R417" s="109" t="s">
        <v>327</v>
      </c>
      <c r="S417" s="110">
        <v>1683427.63</v>
      </c>
      <c r="T417" s="93">
        <v>498912.29000000004</v>
      </c>
      <c r="U417" s="141"/>
      <c r="V417" s="158">
        <f t="shared" si="252"/>
        <v>0</v>
      </c>
      <c r="W417" s="159">
        <v>45707.34652777778</v>
      </c>
      <c r="X417" s="159">
        <v>45713.529861111114</v>
      </c>
      <c r="Y417" s="160">
        <v>45709</v>
      </c>
      <c r="Z417" s="470"/>
      <c r="AA417" s="470">
        <v>45736</v>
      </c>
      <c r="AB417" s="470"/>
      <c r="AC417" s="161">
        <f t="shared" si="253"/>
        <v>28.653472222220444</v>
      </c>
      <c r="AD417" s="161">
        <f t="shared" si="246"/>
        <v>22.47013888888614</v>
      </c>
      <c r="AE417" s="446">
        <f t="shared" si="276"/>
        <v>-45736</v>
      </c>
      <c r="AF417" s="160">
        <f t="shared" si="247"/>
        <v>45732.181579324169</v>
      </c>
      <c r="AG417" s="160">
        <f t="shared" si="244"/>
        <v>45742.604259736545</v>
      </c>
      <c r="AH417" s="159">
        <f t="shared" si="248"/>
        <v>45757.34652777778</v>
      </c>
      <c r="AI417" s="162">
        <f t="shared" si="254"/>
        <v>0.7720518904320508</v>
      </c>
      <c r="AJ417" s="224">
        <f t="shared" si="249"/>
        <v>-762.26666666666665</v>
      </c>
      <c r="AK417" s="225">
        <f t="shared" si="255"/>
        <v>40</v>
      </c>
      <c r="AL417" s="170">
        <f t="shared" si="256"/>
        <v>36</v>
      </c>
      <c r="AM417" s="170">
        <f t="shared" si="257"/>
        <v>27.835051546391753</v>
      </c>
      <c r="AN417" s="170">
        <f t="shared" si="258"/>
        <v>35.257731958762882</v>
      </c>
      <c r="AO417" s="226">
        <f t="shared" si="259"/>
        <v>24.835051546391753</v>
      </c>
      <c r="AP417" s="227">
        <v>60</v>
      </c>
      <c r="AQ417" s="228">
        <f t="shared" si="260"/>
        <v>57</v>
      </c>
      <c r="AR417" s="228">
        <f t="shared" si="245"/>
        <v>52</v>
      </c>
      <c r="AS417" s="229">
        <f t="shared" si="261"/>
        <v>45796</v>
      </c>
      <c r="AT417" s="982">
        <f t="shared" ca="1" si="262"/>
        <v>159</v>
      </c>
      <c r="AU417" s="50"/>
      <c r="AV417" s="51"/>
      <c r="AW417" s="49"/>
      <c r="AX417" s="49"/>
      <c r="AY417" s="49"/>
      <c r="AZ417" s="300"/>
      <c r="BA417" s="52"/>
      <c r="BB417" s="304"/>
      <c r="BC417" s="231" t="s">
        <v>13</v>
      </c>
      <c r="BD417" s="232"/>
      <c r="BE417" s="222">
        <f t="shared" si="277"/>
        <v>45751</v>
      </c>
      <c r="BF417" s="233" t="e">
        <f t="shared" si="250"/>
        <v>#VALUE!</v>
      </c>
      <c r="BG417" s="248"/>
      <c r="BH417" s="235"/>
      <c r="BI417" s="234"/>
      <c r="BJ417" s="236"/>
      <c r="BK417" s="222"/>
      <c r="BL417" s="222"/>
      <c r="BM417" s="238"/>
      <c r="BN417" s="222"/>
      <c r="BO417" s="222"/>
      <c r="BP417" s="243"/>
      <c r="BQ417" s="244"/>
      <c r="BR417" s="238"/>
      <c r="BS417" s="67"/>
      <c r="BT417" s="66"/>
      <c r="BU417" s="66"/>
      <c r="BV417" s="66"/>
      <c r="BW417" s="74"/>
      <c r="BX417" s="81"/>
      <c r="BY417" s="66">
        <v>45721</v>
      </c>
      <c r="BZ417" s="947" t="s">
        <v>2463</v>
      </c>
      <c r="CA417" s="42" t="str">
        <f t="shared" si="263"/>
        <v>0</v>
      </c>
      <c r="CB417" s="62">
        <f t="shared" si="264"/>
        <v>28.653472222220444</v>
      </c>
      <c r="CC417" s="42">
        <f t="shared" si="265"/>
        <v>0</v>
      </c>
      <c r="CD417" s="62">
        <f t="shared" si="266"/>
        <v>28.653472222220444</v>
      </c>
      <c r="CE417" s="62">
        <f t="shared" si="267"/>
        <v>0.7720518904320508</v>
      </c>
      <c r="CF417" s="145">
        <f t="shared" si="268"/>
        <v>133</v>
      </c>
      <c r="CG417" s="145"/>
      <c r="CH417" s="443">
        <f t="shared" si="269"/>
        <v>4.3556630015431619</v>
      </c>
      <c r="CI417" s="996">
        <f t="shared" si="270"/>
        <v>4.3556630015431619</v>
      </c>
      <c r="CJ417" s="261">
        <f t="shared" si="271"/>
        <v>2.2166666666666668</v>
      </c>
      <c r="CK417" s="458" t="str">
        <f t="shared" si="272"/>
        <v/>
      </c>
      <c r="CL417" t="str">
        <f t="shared" si="273"/>
        <v>NON-REV</v>
      </c>
      <c r="CM417" t="str">
        <f t="shared" si="274"/>
        <v/>
      </c>
      <c r="CN417" s="635"/>
      <c r="CO417" s="631"/>
      <c r="CP417" s="629" t="str">
        <f t="shared" si="251"/>
        <v>FOR ISSUANCE</v>
      </c>
      <c r="CQ417" s="635"/>
      <c r="CR417" s="697"/>
      <c r="CS417" s="633" t="str">
        <f t="shared" ca="1" si="275"/>
        <v>0</v>
      </c>
      <c r="CT417" s="635"/>
      <c r="CU417" s="631"/>
      <c r="CV417" s="638"/>
      <c r="CW417" s="156" t="s">
        <v>2464</v>
      </c>
      <c r="CX417" s="156" t="str">
        <f>VLOOKUP(E417,'[1]List of Work Orders'!$A:$I,9,FALSE)</f>
        <v>ME155242</v>
      </c>
      <c r="CY417" s="156"/>
      <c r="DA417" s="762">
        <f t="shared" si="243"/>
        <v>6.1833333333343035</v>
      </c>
      <c r="DS417" s="156" t="s">
        <v>397</v>
      </c>
    </row>
    <row r="418" spans="1:123" customFormat="1" ht="15" customHeight="1" x14ac:dyDescent="0.25">
      <c r="A418" s="242">
        <v>45721</v>
      </c>
      <c r="B418" s="222">
        <v>45715</v>
      </c>
      <c r="C418" s="223" t="s">
        <v>247</v>
      </c>
      <c r="D418" s="66" t="s">
        <v>234</v>
      </c>
      <c r="E418" s="404" t="s">
        <v>2465</v>
      </c>
      <c r="F418" s="95" t="s">
        <v>325</v>
      </c>
      <c r="G418" s="95" t="s">
        <v>588</v>
      </c>
      <c r="H418" s="95" t="s">
        <v>238</v>
      </c>
      <c r="I418" s="95" t="s">
        <v>239</v>
      </c>
      <c r="J418" s="163"/>
      <c r="K418" s="101"/>
      <c r="L418" s="101" t="s">
        <v>263</v>
      </c>
      <c r="M418" s="345" t="s">
        <v>272</v>
      </c>
      <c r="N418" s="442" t="s">
        <v>467</v>
      </c>
      <c r="O418" s="165">
        <v>79.535699999999963</v>
      </c>
      <c r="P418" s="933">
        <v>202.88</v>
      </c>
      <c r="Q418" s="157">
        <v>0</v>
      </c>
      <c r="R418" s="109" t="s">
        <v>327</v>
      </c>
      <c r="S418" s="110">
        <v>216676.78</v>
      </c>
      <c r="T418" s="93">
        <v>173073.30999999997</v>
      </c>
      <c r="U418" s="141"/>
      <c r="V418" s="158">
        <f t="shared" si="252"/>
        <v>0</v>
      </c>
      <c r="W418" s="159">
        <v>45707.350694444445</v>
      </c>
      <c r="X418" s="159">
        <v>45713.530555555553</v>
      </c>
      <c r="Y418" s="160">
        <v>45709</v>
      </c>
      <c r="Z418" s="470"/>
      <c r="AA418" s="470">
        <v>45751</v>
      </c>
      <c r="AB418" s="470"/>
      <c r="AC418" s="161">
        <f t="shared" si="253"/>
        <v>43.649305555554747</v>
      </c>
      <c r="AD418" s="161">
        <f t="shared" si="246"/>
        <v>37.469444444446708</v>
      </c>
      <c r="AE418" s="446">
        <f t="shared" si="276"/>
        <v>-45751</v>
      </c>
      <c r="AF418" s="160">
        <f t="shared" si="247"/>
        <v>45729.219115497079</v>
      </c>
      <c r="AG418" s="160">
        <f t="shared" si="244"/>
        <v>45738.850694444445</v>
      </c>
      <c r="AH418" s="159">
        <f t="shared" si="248"/>
        <v>45757.350694444445</v>
      </c>
      <c r="AI418" s="162">
        <f t="shared" si="254"/>
        <v>1.3164076278659367</v>
      </c>
      <c r="AJ418" s="224">
        <f t="shared" si="249"/>
        <v>-762.51666666666665</v>
      </c>
      <c r="AK418" s="225">
        <f t="shared" si="255"/>
        <v>28</v>
      </c>
      <c r="AL418" s="170">
        <f t="shared" si="256"/>
        <v>36</v>
      </c>
      <c r="AM418" s="170">
        <f t="shared" si="257"/>
        <v>24.868421052631579</v>
      </c>
      <c r="AN418" s="170">
        <f t="shared" si="258"/>
        <v>31.499999999999996</v>
      </c>
      <c r="AO418" s="226">
        <f t="shared" si="259"/>
        <v>21.868421052631579</v>
      </c>
      <c r="AP418" s="227">
        <v>60</v>
      </c>
      <c r="AQ418" s="228">
        <f t="shared" si="260"/>
        <v>57</v>
      </c>
      <c r="AR418" s="228">
        <f t="shared" si="245"/>
        <v>52</v>
      </c>
      <c r="AS418" s="229">
        <f t="shared" si="261"/>
        <v>45811</v>
      </c>
      <c r="AT418" s="982">
        <f t="shared" ca="1" si="262"/>
        <v>144</v>
      </c>
      <c r="AU418" s="50"/>
      <c r="AV418" s="51"/>
      <c r="AW418" s="49"/>
      <c r="AX418" s="49"/>
      <c r="AY418" s="49"/>
      <c r="AZ418" s="300"/>
      <c r="BA418" s="52"/>
      <c r="BB418" s="304"/>
      <c r="BC418" s="231" t="s">
        <v>13</v>
      </c>
      <c r="BD418" s="232"/>
      <c r="BE418" s="222">
        <f t="shared" si="277"/>
        <v>45766</v>
      </c>
      <c r="BF418" s="233" t="e">
        <f t="shared" si="250"/>
        <v>#VALUE!</v>
      </c>
      <c r="BG418" s="248"/>
      <c r="BH418" s="235"/>
      <c r="BI418" s="234"/>
      <c r="BJ418" s="236"/>
      <c r="BK418" s="222"/>
      <c r="BL418" s="222"/>
      <c r="BM418" s="238"/>
      <c r="BN418" s="222"/>
      <c r="BO418" s="222"/>
      <c r="BP418" s="243"/>
      <c r="BQ418" s="244"/>
      <c r="BR418" s="238"/>
      <c r="BS418" s="67"/>
      <c r="BT418" s="66"/>
      <c r="BU418" s="66"/>
      <c r="BV418" s="66"/>
      <c r="BW418" s="74"/>
      <c r="BX418" s="81"/>
      <c r="BY418" s="66" t="s">
        <v>308</v>
      </c>
      <c r="BZ418" s="947"/>
      <c r="CA418" s="42" t="str">
        <f t="shared" si="263"/>
        <v>0</v>
      </c>
      <c r="CB418" s="62">
        <f t="shared" si="264"/>
        <v>43.649305555554747</v>
      </c>
      <c r="CC418" s="42">
        <f t="shared" si="265"/>
        <v>0</v>
      </c>
      <c r="CD418" s="62">
        <f t="shared" si="266"/>
        <v>43.649305555554747</v>
      </c>
      <c r="CE418" s="62">
        <f t="shared" si="267"/>
        <v>1.3164076278659367</v>
      </c>
      <c r="CF418" s="145">
        <f t="shared" si="268"/>
        <v>118</v>
      </c>
      <c r="CG418" s="145"/>
      <c r="CH418" s="443">
        <f t="shared" si="269"/>
        <v>4.8751377865960954</v>
      </c>
      <c r="CI418" s="996">
        <f t="shared" si="270"/>
        <v>4.8751377865960954</v>
      </c>
      <c r="CJ418" s="261">
        <f t="shared" si="271"/>
        <v>1.9666666666666666</v>
      </c>
      <c r="CK418" s="458" t="str">
        <f t="shared" si="272"/>
        <v/>
      </c>
      <c r="CL418" t="str">
        <f t="shared" si="273"/>
        <v>NON-REV</v>
      </c>
      <c r="CM418" t="str">
        <f t="shared" si="274"/>
        <v/>
      </c>
      <c r="CN418" s="635"/>
      <c r="CO418" s="631"/>
      <c r="CP418" s="629" t="str">
        <f t="shared" si="251"/>
        <v>FOR ISSUANCE</v>
      </c>
      <c r="CQ418" s="635"/>
      <c r="CR418" s="697"/>
      <c r="CS418" s="633" t="str">
        <f t="shared" ca="1" si="275"/>
        <v>0</v>
      </c>
      <c r="CT418" s="635"/>
      <c r="CU418" s="631"/>
      <c r="CV418" s="638"/>
      <c r="CW418" s="156" t="s">
        <v>2466</v>
      </c>
      <c r="CX418" s="156" t="str">
        <f>VLOOKUP(E418,'[1]List of Work Orders'!$A:$I,9,FALSE)</f>
        <v>ME155242</v>
      </c>
      <c r="CY418" s="156"/>
      <c r="DA418" s="762">
        <f t="shared" si="243"/>
        <v>6.179861111108039</v>
      </c>
      <c r="DS418" s="156" t="s">
        <v>397</v>
      </c>
    </row>
    <row r="419" spans="1:123" customFormat="1" ht="15" customHeight="1" x14ac:dyDescent="0.25">
      <c r="A419" s="242">
        <v>45721</v>
      </c>
      <c r="B419" s="222">
        <v>45715</v>
      </c>
      <c r="C419" s="223"/>
      <c r="D419" s="66" t="s">
        <v>234</v>
      </c>
      <c r="E419" s="404" t="s">
        <v>2467</v>
      </c>
      <c r="F419" s="95" t="s">
        <v>325</v>
      </c>
      <c r="G419" s="95" t="s">
        <v>2468</v>
      </c>
      <c r="H419" s="95" t="s">
        <v>238</v>
      </c>
      <c r="I419" s="95" t="s">
        <v>239</v>
      </c>
      <c r="J419" s="163"/>
      <c r="K419" s="101"/>
      <c r="L419" s="101" t="s">
        <v>5</v>
      </c>
      <c r="M419" s="345" t="s">
        <v>272</v>
      </c>
      <c r="N419" s="442" t="s">
        <v>403</v>
      </c>
      <c r="O419" s="165">
        <v>307.8816999999998</v>
      </c>
      <c r="P419" s="933">
        <v>418.77</v>
      </c>
      <c r="Q419" s="157">
        <v>0</v>
      </c>
      <c r="R419" s="109" t="s">
        <v>327</v>
      </c>
      <c r="S419" s="110">
        <v>1430545.13</v>
      </c>
      <c r="T419" s="93">
        <v>359825.96999999991</v>
      </c>
      <c r="U419" s="141"/>
      <c r="V419" s="158">
        <f t="shared" si="252"/>
        <v>0</v>
      </c>
      <c r="W419" s="159">
        <v>45707.356944444444</v>
      </c>
      <c r="X419" s="159">
        <v>45713.526388888888</v>
      </c>
      <c r="Y419" s="160">
        <v>45709</v>
      </c>
      <c r="Z419" s="470">
        <v>45761</v>
      </c>
      <c r="AA419" s="470">
        <v>45785</v>
      </c>
      <c r="AB419" s="470"/>
      <c r="AC419" s="161">
        <f t="shared" si="253"/>
        <v>77.643055555556202</v>
      </c>
      <c r="AD419" s="161">
        <f t="shared" si="246"/>
        <v>71.473611111112405</v>
      </c>
      <c r="AE419" s="446">
        <f t="shared" si="276"/>
        <v>-45785</v>
      </c>
      <c r="AF419" s="160">
        <f t="shared" si="247"/>
        <v>45730.381040829983</v>
      </c>
      <c r="AG419" s="160">
        <f t="shared" si="244"/>
        <v>45740.320799866131</v>
      </c>
      <c r="AH419" s="159">
        <f t="shared" si="248"/>
        <v>45757.356944444444</v>
      </c>
      <c r="AI419" s="162">
        <f t="shared" si="254"/>
        <v>2.2376297260802653</v>
      </c>
      <c r="AJ419" s="224">
        <f t="shared" si="249"/>
        <v>-763.08333333333337</v>
      </c>
      <c r="AK419" s="225">
        <f t="shared" si="255"/>
        <v>32</v>
      </c>
      <c r="AL419" s="170">
        <f t="shared" si="256"/>
        <v>36</v>
      </c>
      <c r="AM419" s="170">
        <f t="shared" si="257"/>
        <v>26.024096385542165</v>
      </c>
      <c r="AN419" s="170">
        <f t="shared" si="258"/>
        <v>32.963855421686745</v>
      </c>
      <c r="AO419" s="226">
        <f t="shared" si="259"/>
        <v>23.024096385542165</v>
      </c>
      <c r="AP419" s="227">
        <v>60</v>
      </c>
      <c r="AQ419" s="228">
        <f t="shared" si="260"/>
        <v>57</v>
      </c>
      <c r="AR419" s="228">
        <f t="shared" si="245"/>
        <v>52</v>
      </c>
      <c r="AS419" s="229">
        <f t="shared" si="261"/>
        <v>45845</v>
      </c>
      <c r="AT419" s="982">
        <f t="shared" ca="1" si="262"/>
        <v>110</v>
      </c>
      <c r="AU419" s="50"/>
      <c r="AV419" s="51"/>
      <c r="AW419" s="49"/>
      <c r="AX419" s="49"/>
      <c r="AY419" s="49"/>
      <c r="AZ419" s="300"/>
      <c r="BA419" s="52"/>
      <c r="BB419" s="304"/>
      <c r="BC419" s="231" t="s">
        <v>12</v>
      </c>
      <c r="BD419" s="232"/>
      <c r="BE419" s="222">
        <f t="shared" si="277"/>
        <v>45800</v>
      </c>
      <c r="BF419" s="233">
        <f t="shared" si="250"/>
        <v>50</v>
      </c>
      <c r="BG419" s="248">
        <v>45761</v>
      </c>
      <c r="BH419" s="235">
        <v>45850</v>
      </c>
      <c r="BI419" s="234"/>
      <c r="BJ419" s="236"/>
      <c r="BK419" s="222"/>
      <c r="BL419" s="222"/>
      <c r="BM419" s="238"/>
      <c r="BN419" s="222"/>
      <c r="BO419" s="222"/>
      <c r="BP419" s="243"/>
      <c r="BQ419" s="244"/>
      <c r="BR419" s="238"/>
      <c r="BS419" s="67"/>
      <c r="BT419" s="66"/>
      <c r="BU419" s="66"/>
      <c r="BV419" s="66"/>
      <c r="BW419" s="74"/>
      <c r="BX419" s="81"/>
      <c r="BY419" s="66">
        <v>45721</v>
      </c>
      <c r="BZ419" s="947" t="s">
        <v>2469</v>
      </c>
      <c r="CA419" s="42" t="str">
        <f t="shared" si="263"/>
        <v>0</v>
      </c>
      <c r="CB419" s="62">
        <f t="shared" si="264"/>
        <v>77.643055555556202</v>
      </c>
      <c r="CC419" s="42">
        <f t="shared" si="265"/>
        <v>0</v>
      </c>
      <c r="CD419" s="62">
        <f t="shared" si="266"/>
        <v>77.643055555556202</v>
      </c>
      <c r="CE419" s="62">
        <f t="shared" si="267"/>
        <v>2.2376297260802653</v>
      </c>
      <c r="CF419" s="145">
        <f t="shared" si="268"/>
        <v>84</v>
      </c>
      <c r="CG419" s="145"/>
      <c r="CH419" s="443">
        <f t="shared" si="269"/>
        <v>4.6584630594135987</v>
      </c>
      <c r="CI419" s="996">
        <f t="shared" si="270"/>
        <v>4.6584630594135987</v>
      </c>
      <c r="CJ419" s="261">
        <f t="shared" si="271"/>
        <v>1.4</v>
      </c>
      <c r="CK419" s="458" t="str">
        <f t="shared" si="272"/>
        <v/>
      </c>
      <c r="CL419" t="str">
        <f t="shared" si="273"/>
        <v>NON-REV</v>
      </c>
      <c r="CM419" t="str">
        <f t="shared" si="274"/>
        <v/>
      </c>
      <c r="CN419" s="635"/>
      <c r="CO419" s="631"/>
      <c r="CP419" s="629" t="str">
        <f t="shared" si="251"/>
        <v>FOR ISSUANCE</v>
      </c>
      <c r="CQ419" s="635"/>
      <c r="CR419" s="697"/>
      <c r="CS419" s="633" t="str">
        <f t="shared" ca="1" si="275"/>
        <v>0</v>
      </c>
      <c r="CT419" s="635"/>
      <c r="CU419" s="631"/>
      <c r="CV419" s="638"/>
      <c r="CW419" s="156" t="s">
        <v>2470</v>
      </c>
      <c r="CX419" s="156" t="str">
        <f>VLOOKUP(E419,'[1]List of Work Orders'!$A:$I,9,FALSE)</f>
        <v>ME166067</v>
      </c>
      <c r="CY419" s="156"/>
      <c r="DA419" s="762">
        <f t="shared" si="243"/>
        <v>6.1694444444437977</v>
      </c>
      <c r="DS419" s="156" t="s">
        <v>397</v>
      </c>
    </row>
    <row r="420" spans="1:123" customFormat="1" ht="15" customHeight="1" x14ac:dyDescent="0.25">
      <c r="A420" s="242">
        <v>45714</v>
      </c>
      <c r="B420" s="222">
        <v>45715</v>
      </c>
      <c r="C420" s="223"/>
      <c r="D420" s="66" t="s">
        <v>284</v>
      </c>
      <c r="E420" s="404" t="s">
        <v>2471</v>
      </c>
      <c r="F420" s="95" t="s">
        <v>2472</v>
      </c>
      <c r="G420" s="95" t="s">
        <v>2473</v>
      </c>
      <c r="H420" s="95" t="s">
        <v>378</v>
      </c>
      <c r="I420" s="95" t="s">
        <v>239</v>
      </c>
      <c r="J420" s="163"/>
      <c r="K420" s="101"/>
      <c r="L420" s="101" t="s">
        <v>288</v>
      </c>
      <c r="M420" s="345" t="s">
        <v>272</v>
      </c>
      <c r="N420" s="442" t="s">
        <v>381</v>
      </c>
      <c r="O420" s="165">
        <v>2.58</v>
      </c>
      <c r="P420" s="933">
        <v>5.73</v>
      </c>
      <c r="Q420" s="157">
        <v>16</v>
      </c>
      <c r="R420" s="109" t="s">
        <v>244</v>
      </c>
      <c r="S420" s="110">
        <v>25829.16</v>
      </c>
      <c r="T420" s="93">
        <v>5954.420000000001</v>
      </c>
      <c r="U420" s="141"/>
      <c r="V420" s="158">
        <f t="shared" si="252"/>
        <v>0</v>
      </c>
      <c r="W420" s="159">
        <v>45707.656944444447</v>
      </c>
      <c r="X420" s="159">
        <v>45713.527777777781</v>
      </c>
      <c r="Y420" s="160">
        <v>45709</v>
      </c>
      <c r="Z420" s="470"/>
      <c r="AA420" s="470">
        <v>45724</v>
      </c>
      <c r="AB420" s="470"/>
      <c r="AC420" s="161">
        <f t="shared" si="253"/>
        <v>16.343055555553292</v>
      </c>
      <c r="AD420" s="161">
        <f t="shared" si="246"/>
        <v>10.472222222218988</v>
      </c>
      <c r="AE420" s="446">
        <f t="shared" si="276"/>
        <v>-45724</v>
      </c>
      <c r="AF420" s="160">
        <f t="shared" si="247"/>
        <v>45726.431137992833</v>
      </c>
      <c r="AG420" s="160">
        <f t="shared" si="244"/>
        <v>45735.237589605735</v>
      </c>
      <c r="AH420" s="159">
        <f t="shared" si="248"/>
        <v>45757.656944444447</v>
      </c>
      <c r="AI420" s="162">
        <f t="shared" si="254"/>
        <v>0.56292746913572445</v>
      </c>
      <c r="AJ420" s="224">
        <f t="shared" si="249"/>
        <v>-762.06666666666672</v>
      </c>
      <c r="AK420" s="225">
        <f t="shared" si="255"/>
        <v>20</v>
      </c>
      <c r="AL420" s="170">
        <f t="shared" si="256"/>
        <v>36</v>
      </c>
      <c r="AM420" s="170">
        <f t="shared" si="257"/>
        <v>21.774193548387096</v>
      </c>
      <c r="AN420" s="170">
        <f t="shared" si="258"/>
        <v>27.58064516129032</v>
      </c>
      <c r="AO420" s="226">
        <f t="shared" si="259"/>
        <v>18.774193548387096</v>
      </c>
      <c r="AP420" s="227">
        <v>60</v>
      </c>
      <c r="AQ420" s="228">
        <f t="shared" si="260"/>
        <v>57</v>
      </c>
      <c r="AR420" s="228">
        <f t="shared" si="245"/>
        <v>52</v>
      </c>
      <c r="AS420" s="229">
        <f t="shared" si="261"/>
        <v>45784</v>
      </c>
      <c r="AT420" s="982">
        <f t="shared" ca="1" si="262"/>
        <v>171</v>
      </c>
      <c r="AU420" s="50"/>
      <c r="AV420" s="51"/>
      <c r="AW420" s="49"/>
      <c r="AX420" s="49"/>
      <c r="AY420" s="49"/>
      <c r="AZ420" s="300"/>
      <c r="BA420" s="52"/>
      <c r="BB420" s="304"/>
      <c r="BC420" s="231" t="s">
        <v>12</v>
      </c>
      <c r="BD420" s="232"/>
      <c r="BE420" s="222">
        <f t="shared" si="277"/>
        <v>45739</v>
      </c>
      <c r="BF420" s="233">
        <f t="shared" si="250"/>
        <v>-4</v>
      </c>
      <c r="BG420" s="248">
        <v>45724</v>
      </c>
      <c r="BH420" s="235">
        <v>45735</v>
      </c>
      <c r="BI420" s="234"/>
      <c r="BJ420" s="236"/>
      <c r="BK420" s="222"/>
      <c r="BL420" s="222"/>
      <c r="BM420" s="238"/>
      <c r="BN420" s="222"/>
      <c r="BO420" s="222"/>
      <c r="BP420" s="243"/>
      <c r="BQ420" s="244" t="s">
        <v>247</v>
      </c>
      <c r="BR420" s="238">
        <v>45730</v>
      </c>
      <c r="BS420" s="67"/>
      <c r="BT420" s="66"/>
      <c r="BU420" s="66"/>
      <c r="BV420" s="66"/>
      <c r="BW420" s="74"/>
      <c r="BX420" s="81"/>
      <c r="BY420" s="66" t="s">
        <v>308</v>
      </c>
      <c r="BZ420" s="947"/>
      <c r="CA420" s="42" t="str">
        <f t="shared" si="263"/>
        <v>0</v>
      </c>
      <c r="CB420" s="62">
        <f t="shared" si="264"/>
        <v>16.343055555553292</v>
      </c>
      <c r="CC420" s="42">
        <f t="shared" si="265"/>
        <v>0</v>
      </c>
      <c r="CD420" s="62">
        <f t="shared" si="266"/>
        <v>16.343055555553292</v>
      </c>
      <c r="CE420" s="62">
        <f t="shared" si="267"/>
        <v>0.56292746913572445</v>
      </c>
      <c r="CF420" s="145">
        <f t="shared" si="268"/>
        <v>145</v>
      </c>
      <c r="CG420" s="145"/>
      <c r="CH420" s="443">
        <f t="shared" si="269"/>
        <v>5.5573719135801696</v>
      </c>
      <c r="CI420" s="996">
        <f t="shared" si="270"/>
        <v>5.5573719135801696</v>
      </c>
      <c r="CJ420" s="261">
        <f t="shared" si="271"/>
        <v>2.4166666666666665</v>
      </c>
      <c r="CK420" s="458" t="str">
        <f t="shared" si="272"/>
        <v/>
      </c>
      <c r="CL420" t="str">
        <f t="shared" si="273"/>
        <v>REV</v>
      </c>
      <c r="CM420" t="str">
        <f t="shared" si="274"/>
        <v/>
      </c>
      <c r="CN420" s="635"/>
      <c r="CO420" s="631"/>
      <c r="CP420" s="629" t="str">
        <f t="shared" si="251"/>
        <v>FOR ISSUANCE</v>
      </c>
      <c r="CQ420" s="635"/>
      <c r="CR420" s="697"/>
      <c r="CS420" s="633" t="str">
        <f t="shared" ca="1" si="275"/>
        <v>0</v>
      </c>
      <c r="CT420" s="635"/>
      <c r="CU420" s="631"/>
      <c r="CV420" s="638"/>
      <c r="CW420" s="156" t="s">
        <v>2474</v>
      </c>
      <c r="CX420" s="156" t="str">
        <f>VLOOKUP(E420,'[1]List of Work Orders'!$A:$I,9,FALSE)</f>
        <v>ME185284</v>
      </c>
      <c r="CY420" s="156"/>
      <c r="DA420" s="762">
        <f t="shared" si="243"/>
        <v>5.8708333333343035</v>
      </c>
      <c r="DS420" s="156" t="s">
        <v>397</v>
      </c>
    </row>
    <row r="421" spans="1:123" ht="15" customHeight="1" x14ac:dyDescent="0.2">
      <c r="A421" s="242">
        <v>45719</v>
      </c>
      <c r="B421" s="222">
        <v>45715</v>
      </c>
      <c r="C421" s="223"/>
      <c r="D421" s="66" t="s">
        <v>320</v>
      </c>
      <c r="E421" s="404" t="s">
        <v>2475</v>
      </c>
      <c r="F421" s="95" t="s">
        <v>2476</v>
      </c>
      <c r="G421" s="95" t="s">
        <v>2477</v>
      </c>
      <c r="H421" s="95" t="s">
        <v>238</v>
      </c>
      <c r="I421" s="95" t="s">
        <v>239</v>
      </c>
      <c r="J421" s="1134" t="s">
        <v>2478</v>
      </c>
      <c r="K421" s="101"/>
      <c r="L421" s="101" t="s">
        <v>255</v>
      </c>
      <c r="M421" s="345" t="s">
        <v>331</v>
      </c>
      <c r="N421" s="442" t="s">
        <v>403</v>
      </c>
      <c r="O421" s="165">
        <v>37.049500000000002</v>
      </c>
      <c r="P421" s="165">
        <v>121.89</v>
      </c>
      <c r="Q421" s="157">
        <v>36</v>
      </c>
      <c r="R421" s="109" t="s">
        <v>244</v>
      </c>
      <c r="S421" s="110">
        <v>291805.32</v>
      </c>
      <c r="T421" s="93">
        <v>37465.149999999994</v>
      </c>
      <c r="U421" s="141"/>
      <c r="V421" s="158">
        <f t="shared" si="252"/>
        <v>0</v>
      </c>
      <c r="W421" s="159">
        <v>45707.661805555559</v>
      </c>
      <c r="X421" s="159">
        <v>45713.531944444447</v>
      </c>
      <c r="Y421" s="160">
        <v>45709</v>
      </c>
      <c r="Z421" s="470"/>
      <c r="AA421" s="470">
        <v>45888.318055555559</v>
      </c>
      <c r="AB421" s="470"/>
      <c r="AC421" s="161">
        <f t="shared" si="253"/>
        <v>180.65625</v>
      </c>
      <c r="AD421" s="161">
        <f t="shared" si="246"/>
        <v>174.7861111111124</v>
      </c>
      <c r="AE421" s="446">
        <f t="shared" si="276"/>
        <v>-45888.318055555559</v>
      </c>
      <c r="AF421" s="160">
        <f t="shared" si="247"/>
        <v>45728.868702107284</v>
      </c>
      <c r="AG421" s="160">
        <f t="shared" si="244"/>
        <v>45738.323874521077</v>
      </c>
      <c r="AH421" s="159">
        <f t="shared" si="248"/>
        <v>45757.661805555559</v>
      </c>
      <c r="AI421" s="162">
        <f t="shared" si="254"/>
        <v>5.5972556089743586</v>
      </c>
      <c r="AJ421" s="224">
        <f t="shared" si="249"/>
        <v>-764.80530092592596</v>
      </c>
      <c r="AK421" s="225">
        <f t="shared" si="255"/>
        <v>26</v>
      </c>
      <c r="AL421" s="170">
        <f t="shared" si="256"/>
        <v>36</v>
      </c>
      <c r="AM421" s="170">
        <f t="shared" si="257"/>
        <v>24.206896551724139</v>
      </c>
      <c r="AN421" s="170">
        <f t="shared" si="258"/>
        <v>30.662068965517239</v>
      </c>
      <c r="AO421" s="226">
        <f t="shared" si="259"/>
        <v>21.206896551724139</v>
      </c>
      <c r="AP421" s="227">
        <v>60</v>
      </c>
      <c r="AQ421" s="228">
        <f t="shared" si="260"/>
        <v>57</v>
      </c>
      <c r="AR421" s="228">
        <f t="shared" si="245"/>
        <v>52</v>
      </c>
      <c r="AS421" s="229">
        <f t="shared" si="261"/>
        <v>45948.318055555559</v>
      </c>
      <c r="AT421" s="982">
        <f t="shared" ca="1" si="262"/>
        <v>6.6819444444408873</v>
      </c>
      <c r="AU421" s="1077"/>
      <c r="AV421" s="1092"/>
      <c r="AW421" s="1079"/>
      <c r="AX421" s="1079"/>
      <c r="AY421" s="1079"/>
      <c r="AZ421" s="1080"/>
      <c r="BA421" s="1101"/>
      <c r="BB421" s="1091"/>
      <c r="BC421" s="231" t="s">
        <v>13</v>
      </c>
      <c r="BD421" s="232"/>
      <c r="BE421" s="222">
        <f t="shared" si="277"/>
        <v>45903.318055555559</v>
      </c>
      <c r="BF421" s="233" t="e">
        <f t="shared" si="250"/>
        <v>#VALUE!</v>
      </c>
      <c r="BG421" s="248"/>
      <c r="BH421" s="235"/>
      <c r="BI421" s="234"/>
      <c r="BJ421" s="236"/>
      <c r="BK421" s="222"/>
      <c r="BL421" s="222"/>
      <c r="BM421" s="238"/>
      <c r="BN421" s="222"/>
      <c r="BO421" s="222"/>
      <c r="BP421" s="243"/>
      <c r="BQ421" s="244"/>
      <c r="BR421" s="238"/>
      <c r="BS421" s="67"/>
      <c r="BT421" s="66"/>
      <c r="BU421" s="66"/>
      <c r="BV421" s="66"/>
      <c r="BW421" s="74"/>
      <c r="BX421" s="81"/>
      <c r="BY421" s="66">
        <v>45720</v>
      </c>
      <c r="BZ421" s="947" t="s">
        <v>2479</v>
      </c>
      <c r="CA421" s="42" t="str">
        <f t="shared" si="263"/>
        <v>0</v>
      </c>
      <c r="CB421" s="62">
        <f t="shared" si="264"/>
        <v>180.65625</v>
      </c>
      <c r="CC421" s="42">
        <f t="shared" si="265"/>
        <v>0</v>
      </c>
      <c r="CD421" s="62">
        <f t="shared" si="266"/>
        <v>180.65625</v>
      </c>
      <c r="CE421" s="62">
        <f t="shared" si="267"/>
        <v>5.5972556089743586</v>
      </c>
      <c r="CF421" s="1059">
        <f t="shared" si="268"/>
        <v>-19.318055555559113</v>
      </c>
      <c r="CH421" s="1082">
        <f t="shared" si="269"/>
        <v>4.9987261099239158</v>
      </c>
      <c r="CI421" s="1083">
        <f t="shared" si="270"/>
        <v>4.9987261099239158</v>
      </c>
      <c r="CJ421" s="1084">
        <f t="shared" si="271"/>
        <v>-0.3219675925926519</v>
      </c>
      <c r="CK421" s="1085" t="str">
        <f t="shared" si="272"/>
        <v/>
      </c>
      <c r="CL421" s="1057" t="str">
        <f t="shared" si="273"/>
        <v>REV</v>
      </c>
      <c r="CM421" s="1057" t="str">
        <f t="shared" si="274"/>
        <v/>
      </c>
      <c r="CN421" s="1086"/>
      <c r="CO421" s="1087"/>
      <c r="CP421" s="629" t="str">
        <f t="shared" si="251"/>
        <v>FOR ISSUANCE</v>
      </c>
      <c r="CQ421" s="1086"/>
      <c r="CR421" s="1088"/>
      <c r="CS421" s="1089" t="str">
        <f t="shared" ca="1" si="275"/>
        <v>0</v>
      </c>
      <c r="CT421" s="1086"/>
      <c r="CU421" s="1087"/>
      <c r="CV421" s="1090"/>
      <c r="CW421" s="156" t="s">
        <v>2480</v>
      </c>
      <c r="CX421" s="156" t="str">
        <f>VLOOKUP(E421,'[1]List of Work Orders'!$A:$I,9,FALSE)</f>
        <v>ME185284</v>
      </c>
      <c r="CY421" s="156"/>
      <c r="DA421" s="1100">
        <f t="shared" si="243"/>
        <v>5.8701388888875954</v>
      </c>
      <c r="DS421" s="156" t="s">
        <v>397</v>
      </c>
    </row>
    <row r="422" spans="1:123" customFormat="1" ht="15" customHeight="1" x14ac:dyDescent="0.25">
      <c r="A422" s="242">
        <v>45716</v>
      </c>
      <c r="B422" s="222">
        <v>45714</v>
      </c>
      <c r="C422" s="223"/>
      <c r="D422" s="66" t="s">
        <v>320</v>
      </c>
      <c r="E422" s="404" t="s">
        <v>2481</v>
      </c>
      <c r="F422" s="95" t="s">
        <v>2482</v>
      </c>
      <c r="G422" s="95" t="s">
        <v>2483</v>
      </c>
      <c r="H422" s="95" t="s">
        <v>269</v>
      </c>
      <c r="I422" s="95" t="s">
        <v>239</v>
      </c>
      <c r="J422" s="163"/>
      <c r="K422" s="101"/>
      <c r="L422" s="101" t="s">
        <v>242</v>
      </c>
      <c r="M422" s="345" t="s">
        <v>272</v>
      </c>
      <c r="N422" s="442" t="s">
        <v>403</v>
      </c>
      <c r="O422" s="165">
        <v>1.0195000000000001</v>
      </c>
      <c r="P422" s="933">
        <v>1.1399999999999999</v>
      </c>
      <c r="Q422" s="157">
        <v>0</v>
      </c>
      <c r="R422" s="109" t="s">
        <v>327</v>
      </c>
      <c r="S422" s="110">
        <v>12476.61</v>
      </c>
      <c r="T422" s="93">
        <v>980.15</v>
      </c>
      <c r="U422" s="141"/>
      <c r="V422" s="158">
        <f t="shared" si="252"/>
        <v>0</v>
      </c>
      <c r="W422" s="159">
        <v>45707.712500000001</v>
      </c>
      <c r="X422" s="159">
        <v>45713.532638888886</v>
      </c>
      <c r="Y422" s="160">
        <v>45709</v>
      </c>
      <c r="Z422" s="470"/>
      <c r="AA422" s="470">
        <v>45831</v>
      </c>
      <c r="AB422" s="470"/>
      <c r="AC422" s="161">
        <f t="shared" si="253"/>
        <v>123.28749999999854</v>
      </c>
      <c r="AD422" s="161">
        <f t="shared" si="246"/>
        <v>117.46736111111386</v>
      </c>
      <c r="AE422" s="446">
        <f t="shared" si="276"/>
        <v>-45831</v>
      </c>
      <c r="AF422" s="160">
        <f t="shared" si="247"/>
        <v>45726.486693548388</v>
      </c>
      <c r="AG422" s="160">
        <f t="shared" si="244"/>
        <v>45735.293145161289</v>
      </c>
      <c r="AH422" s="159">
        <f t="shared" si="248"/>
        <v>45757.712500000001</v>
      </c>
      <c r="AI422" s="162">
        <f t="shared" si="254"/>
        <v>4.2465694444443942</v>
      </c>
      <c r="AJ422" s="224">
        <f t="shared" si="249"/>
        <v>-763.85</v>
      </c>
      <c r="AK422" s="225">
        <f t="shared" si="255"/>
        <v>20</v>
      </c>
      <c r="AL422" s="170">
        <f t="shared" si="256"/>
        <v>36</v>
      </c>
      <c r="AM422" s="170">
        <f t="shared" si="257"/>
        <v>21.774193548387096</v>
      </c>
      <c r="AN422" s="170">
        <f t="shared" si="258"/>
        <v>27.58064516129032</v>
      </c>
      <c r="AO422" s="226">
        <f t="shared" si="259"/>
        <v>18.774193548387096</v>
      </c>
      <c r="AP422" s="227">
        <v>60</v>
      </c>
      <c r="AQ422" s="228">
        <f t="shared" si="260"/>
        <v>57</v>
      </c>
      <c r="AR422" s="228">
        <f t="shared" si="245"/>
        <v>52</v>
      </c>
      <c r="AS422" s="229">
        <f t="shared" si="261"/>
        <v>45891</v>
      </c>
      <c r="AT422" s="982">
        <f t="shared" ca="1" si="262"/>
        <v>64</v>
      </c>
      <c r="AU422" s="50"/>
      <c r="AV422" s="51"/>
      <c r="AW422" s="49"/>
      <c r="AX422" s="49"/>
      <c r="AY422" s="49"/>
      <c r="AZ422" s="300"/>
      <c r="BA422" s="52"/>
      <c r="BB422" s="304"/>
      <c r="BC422" s="231" t="s">
        <v>13</v>
      </c>
      <c r="BD422" s="232"/>
      <c r="BE422" s="222">
        <f t="shared" si="277"/>
        <v>45846</v>
      </c>
      <c r="BF422" s="233" t="e">
        <f t="shared" si="250"/>
        <v>#VALUE!</v>
      </c>
      <c r="BG422" s="248"/>
      <c r="BH422" s="235"/>
      <c r="BI422" s="234"/>
      <c r="BJ422" s="236"/>
      <c r="BK422" s="222"/>
      <c r="BL422" s="222"/>
      <c r="BM422" s="238"/>
      <c r="BN422" s="222"/>
      <c r="BO422" s="222"/>
      <c r="BP422" s="243"/>
      <c r="BQ422" s="244"/>
      <c r="BR422" s="238"/>
      <c r="BS422" s="67"/>
      <c r="BT422" s="66"/>
      <c r="BU422" s="66"/>
      <c r="BV422" s="66"/>
      <c r="BW422" s="74"/>
      <c r="BX422" s="81"/>
      <c r="BY422" s="66" t="s">
        <v>308</v>
      </c>
      <c r="BZ422" s="947"/>
      <c r="CA422" s="42" t="str">
        <f t="shared" si="263"/>
        <v>0</v>
      </c>
      <c r="CB422" s="62">
        <f t="shared" si="264"/>
        <v>123.28749999999854</v>
      </c>
      <c r="CC422" s="42">
        <f t="shared" si="265"/>
        <v>0</v>
      </c>
      <c r="CD422" s="62">
        <f t="shared" si="266"/>
        <v>123.28749999999854</v>
      </c>
      <c r="CE422" s="62">
        <f t="shared" si="267"/>
        <v>4.2465694444443942</v>
      </c>
      <c r="CF422" s="145">
        <f t="shared" si="268"/>
        <v>38</v>
      </c>
      <c r="CG422" s="145"/>
      <c r="CH422" s="443">
        <f t="shared" si="269"/>
        <v>5.5554583333332825</v>
      </c>
      <c r="CI422" s="996">
        <f t="shared" si="270"/>
        <v>5.5554583333332825</v>
      </c>
      <c r="CJ422" s="261">
        <f t="shared" si="271"/>
        <v>0.6333333333333333</v>
      </c>
      <c r="CK422" s="458" t="str">
        <f t="shared" si="272"/>
        <v/>
      </c>
      <c r="CL422" t="str">
        <f t="shared" si="273"/>
        <v>NON-REV</v>
      </c>
      <c r="CM422" t="str">
        <f t="shared" si="274"/>
        <v/>
      </c>
      <c r="CN422" s="635"/>
      <c r="CO422" s="631"/>
      <c r="CP422" s="629" t="str">
        <f t="shared" si="251"/>
        <v>FOR ISSUANCE</v>
      </c>
      <c r="CQ422" s="635"/>
      <c r="CR422" s="697"/>
      <c r="CS422" s="633" t="str">
        <f t="shared" ca="1" si="275"/>
        <v>0</v>
      </c>
      <c r="CT422" s="635"/>
      <c r="CU422" s="631"/>
      <c r="CV422" s="638"/>
      <c r="CW422" s="156" t="s">
        <v>2484</v>
      </c>
      <c r="CX422" s="156" t="str">
        <f>VLOOKUP(E422,'[1]List of Work Orders'!$A:$I,9,FALSE)</f>
        <v>ME155242</v>
      </c>
      <c r="CY422" s="156"/>
      <c r="CZ422" s="63"/>
      <c r="DA422" s="762">
        <f t="shared" si="243"/>
        <v>5.820138888884685</v>
      </c>
      <c r="DS422" s="156" t="s">
        <v>381</v>
      </c>
    </row>
    <row r="423" spans="1:123" customFormat="1" ht="15" customHeight="1" x14ac:dyDescent="0.25">
      <c r="A423" s="242"/>
      <c r="B423" s="222"/>
      <c r="C423" s="223"/>
      <c r="D423" s="66" t="s">
        <v>284</v>
      </c>
      <c r="E423" s="404" t="s">
        <v>2485</v>
      </c>
      <c r="F423" s="95" t="s">
        <v>2486</v>
      </c>
      <c r="G423" s="95" t="s">
        <v>2487</v>
      </c>
      <c r="H423" s="95" t="s">
        <v>269</v>
      </c>
      <c r="I423" s="95" t="s">
        <v>239</v>
      </c>
      <c r="J423" s="163"/>
      <c r="K423" s="101"/>
      <c r="L423" s="101" t="s">
        <v>1945</v>
      </c>
      <c r="M423" s="345" t="s">
        <v>256</v>
      </c>
      <c r="N423" s="442" t="s">
        <v>1946</v>
      </c>
      <c r="O423" s="165">
        <v>17.38</v>
      </c>
      <c r="P423" s="933">
        <v>17.38</v>
      </c>
      <c r="Q423" s="157">
        <v>30</v>
      </c>
      <c r="R423" s="109" t="s">
        <v>244</v>
      </c>
      <c r="S423" s="110">
        <v>252346.4</v>
      </c>
      <c r="T423" s="93">
        <v>27843.34</v>
      </c>
      <c r="U423" s="141"/>
      <c r="V423" s="158">
        <f t="shared" si="252"/>
        <v>0</v>
      </c>
      <c r="W423" s="159">
        <v>45708.511805555558</v>
      </c>
      <c r="X423" s="159">
        <v>45715.519444444442</v>
      </c>
      <c r="Y423" s="160">
        <v>45709</v>
      </c>
      <c r="Z423" s="470"/>
      <c r="AA423" s="470">
        <v>45722</v>
      </c>
      <c r="AB423" s="470">
        <v>45795.603472222225</v>
      </c>
      <c r="AC423" s="161">
        <f t="shared" si="253"/>
        <v>13.488194444442343</v>
      </c>
      <c r="AD423" s="161">
        <f t="shared" si="246"/>
        <v>6.4805555555576575</v>
      </c>
      <c r="AE423" s="446">
        <f t="shared" si="276"/>
        <v>73.603472222224809</v>
      </c>
      <c r="AF423" s="160">
        <f t="shared" si="247"/>
        <v>45727.285999103944</v>
      </c>
      <c r="AG423" s="160">
        <f t="shared" si="244"/>
        <v>45736.092450716846</v>
      </c>
      <c r="AH423" s="159">
        <f t="shared" si="248"/>
        <v>45758.511805555558</v>
      </c>
      <c r="AI423" s="162">
        <f t="shared" si="254"/>
        <v>0.46459336419745845</v>
      </c>
      <c r="AJ423" s="224">
        <f t="shared" si="249"/>
        <v>1.2267245370370801</v>
      </c>
      <c r="AK423" s="225">
        <f t="shared" si="255"/>
        <v>20</v>
      </c>
      <c r="AL423" s="170">
        <f t="shared" si="256"/>
        <v>36</v>
      </c>
      <c r="AM423" s="170">
        <f t="shared" si="257"/>
        <v>21.774193548387096</v>
      </c>
      <c r="AN423" s="170">
        <f t="shared" si="258"/>
        <v>27.58064516129032</v>
      </c>
      <c r="AO423" s="226">
        <f t="shared" si="259"/>
        <v>18.774193548387096</v>
      </c>
      <c r="AP423" s="227">
        <v>60</v>
      </c>
      <c r="AQ423" s="228">
        <f t="shared" si="260"/>
        <v>57</v>
      </c>
      <c r="AR423" s="228">
        <f t="shared" si="245"/>
        <v>52</v>
      </c>
      <c r="AS423" s="229">
        <f t="shared" si="261"/>
        <v>45782</v>
      </c>
      <c r="AT423" s="982">
        <f t="shared" ca="1" si="262"/>
        <v>173</v>
      </c>
      <c r="AU423" s="50"/>
      <c r="AV423" s="51"/>
      <c r="AW423" s="49"/>
      <c r="AX423" s="49"/>
      <c r="AY423" s="49"/>
      <c r="AZ423" s="300"/>
      <c r="BA423" s="52"/>
      <c r="BB423" s="304"/>
      <c r="BC423" s="231" t="s">
        <v>12</v>
      </c>
      <c r="BD423" s="232"/>
      <c r="BE423" s="222">
        <f t="shared" si="277"/>
        <v>45737</v>
      </c>
      <c r="BF423" s="233" t="e">
        <f t="shared" si="250"/>
        <v>#VALUE!</v>
      </c>
      <c r="BG423" s="248"/>
      <c r="BH423" s="235"/>
      <c r="BI423" s="234"/>
      <c r="BJ423" s="236"/>
      <c r="BK423" s="222"/>
      <c r="BL423" s="222"/>
      <c r="BM423" s="238"/>
      <c r="BN423" s="222"/>
      <c r="BO423" s="222"/>
      <c r="BP423" s="243"/>
      <c r="BQ423" s="244"/>
      <c r="BR423" s="238"/>
      <c r="BS423" s="67"/>
      <c r="BT423" s="66"/>
      <c r="BU423" s="66"/>
      <c r="BV423" s="66"/>
      <c r="BW423" s="74"/>
      <c r="BX423" s="81"/>
      <c r="BY423" s="66">
        <v>45720</v>
      </c>
      <c r="BZ423" s="944" t="s">
        <v>2488</v>
      </c>
      <c r="CA423" s="42" t="str">
        <f t="shared" si="263"/>
        <v>0</v>
      </c>
      <c r="CB423" s="62">
        <f t="shared" si="264"/>
        <v>13.488194444442343</v>
      </c>
      <c r="CC423" s="42">
        <f t="shared" si="265"/>
        <v>0</v>
      </c>
      <c r="CD423" s="62">
        <f t="shared" si="266"/>
        <v>13.488194444442343</v>
      </c>
      <c r="CE423" s="62">
        <f t="shared" si="267"/>
        <v>0.46459336419745845</v>
      </c>
      <c r="CF423" s="145">
        <f t="shared" si="268"/>
        <v>147</v>
      </c>
      <c r="CG423" s="145"/>
      <c r="CH423" s="443">
        <f t="shared" si="269"/>
        <v>5.5279266975307912</v>
      </c>
      <c r="CI423" s="996">
        <f t="shared" si="270"/>
        <v>5.5279266975307912</v>
      </c>
      <c r="CJ423" s="261">
        <f t="shared" si="271"/>
        <v>2.4500000000000002</v>
      </c>
      <c r="CK423" s="458" t="str">
        <f t="shared" si="272"/>
        <v/>
      </c>
      <c r="CL423" t="str">
        <f t="shared" si="273"/>
        <v>REV</v>
      </c>
      <c r="CM423" t="str">
        <f t="shared" si="274"/>
        <v/>
      </c>
      <c r="CN423" s="635"/>
      <c r="CO423" s="631"/>
      <c r="CP423" s="629" t="str">
        <f t="shared" si="251"/>
        <v>FOR ISSUANCE</v>
      </c>
      <c r="CQ423" s="635"/>
      <c r="CR423" s="697"/>
      <c r="CS423" s="633" t="str">
        <f t="shared" ca="1" si="275"/>
        <v>0</v>
      </c>
      <c r="CT423" s="635"/>
      <c r="CU423" s="631"/>
      <c r="CV423" s="638"/>
      <c r="CW423" s="156" t="s">
        <v>2489</v>
      </c>
      <c r="CX423" s="156" t="str">
        <f>VLOOKUP(E423,'[1]List of Work Orders'!$A:$I,9,FALSE)</f>
        <v>ME194579</v>
      </c>
      <c r="CY423" s="156"/>
      <c r="DA423" s="762">
        <f t="shared" si="243"/>
        <v>7.007638888884685</v>
      </c>
      <c r="DS423" s="156" t="s">
        <v>2238</v>
      </c>
    </row>
    <row r="424" spans="1:123" customFormat="1" ht="15" customHeight="1" x14ac:dyDescent="0.25">
      <c r="A424" s="242">
        <v>45715</v>
      </c>
      <c r="B424" s="222">
        <v>45715</v>
      </c>
      <c r="C424" s="223"/>
      <c r="D424" s="66" t="s">
        <v>284</v>
      </c>
      <c r="E424" s="404" t="s">
        <v>2490</v>
      </c>
      <c r="F424" s="95" t="s">
        <v>2491</v>
      </c>
      <c r="G424" s="95" t="s">
        <v>2492</v>
      </c>
      <c r="H424" s="454" t="s">
        <v>378</v>
      </c>
      <c r="I424" s="95" t="s">
        <v>239</v>
      </c>
      <c r="J424" s="163"/>
      <c r="K424" s="101"/>
      <c r="L424" s="101" t="s">
        <v>288</v>
      </c>
      <c r="M424" s="345" t="s">
        <v>272</v>
      </c>
      <c r="N424" s="442" t="s">
        <v>381</v>
      </c>
      <c r="O424" s="165">
        <v>52.192600000000006</v>
      </c>
      <c r="P424" s="933">
        <v>151.04</v>
      </c>
      <c r="Q424" s="157">
        <v>46</v>
      </c>
      <c r="R424" s="109" t="s">
        <v>244</v>
      </c>
      <c r="S424" s="110">
        <v>442979.07</v>
      </c>
      <c r="T424" s="93">
        <v>62518.65</v>
      </c>
      <c r="U424" s="141"/>
      <c r="V424" s="158">
        <f t="shared" si="252"/>
        <v>0</v>
      </c>
      <c r="W424" s="159">
        <v>45708.647916666669</v>
      </c>
      <c r="X424" s="159">
        <v>45715.506249999999</v>
      </c>
      <c r="Y424" s="160">
        <v>45709</v>
      </c>
      <c r="Z424" s="470"/>
      <c r="AA424" s="470">
        <v>45747</v>
      </c>
      <c r="AB424" s="470"/>
      <c r="AC424" s="161">
        <f t="shared" si="253"/>
        <v>38.352083333331393</v>
      </c>
      <c r="AD424" s="161">
        <f t="shared" si="246"/>
        <v>31.493750000001455</v>
      </c>
      <c r="AE424" s="446">
        <f t="shared" si="276"/>
        <v>-45747</v>
      </c>
      <c r="AF424" s="160">
        <f t="shared" si="247"/>
        <v>45729.854813218393</v>
      </c>
      <c r="AG424" s="160">
        <f t="shared" si="244"/>
        <v>45739.309985632186</v>
      </c>
      <c r="AH424" s="159">
        <f t="shared" si="248"/>
        <v>45758.647916666669</v>
      </c>
      <c r="AI424" s="162">
        <f t="shared" si="254"/>
        <v>1.188258992165182</v>
      </c>
      <c r="AJ424" s="224">
        <f t="shared" si="249"/>
        <v>-762.45</v>
      </c>
      <c r="AK424" s="225">
        <f t="shared" si="255"/>
        <v>26</v>
      </c>
      <c r="AL424" s="170">
        <f t="shared" si="256"/>
        <v>36</v>
      </c>
      <c r="AM424" s="170">
        <f t="shared" si="257"/>
        <v>24.206896551724139</v>
      </c>
      <c r="AN424" s="170">
        <f t="shared" si="258"/>
        <v>30.662068965517239</v>
      </c>
      <c r="AO424" s="226">
        <f t="shared" si="259"/>
        <v>21.206896551724139</v>
      </c>
      <c r="AP424" s="227">
        <v>60</v>
      </c>
      <c r="AQ424" s="228">
        <f t="shared" si="260"/>
        <v>57</v>
      </c>
      <c r="AR424" s="228">
        <f t="shared" si="245"/>
        <v>52</v>
      </c>
      <c r="AS424" s="229">
        <f t="shared" si="261"/>
        <v>45807</v>
      </c>
      <c r="AT424" s="982">
        <f t="shared" ca="1" si="262"/>
        <v>148</v>
      </c>
      <c r="AU424" s="50"/>
      <c r="AV424" s="51"/>
      <c r="AW424" s="49"/>
      <c r="AX424" s="49"/>
      <c r="AY424" s="49"/>
      <c r="AZ424" s="300"/>
      <c r="BA424" s="52"/>
      <c r="BB424" s="304"/>
      <c r="BC424" s="231" t="s">
        <v>12</v>
      </c>
      <c r="BD424" s="232"/>
      <c r="BE424" s="222">
        <f t="shared" si="277"/>
        <v>45762</v>
      </c>
      <c r="BF424" s="233" t="e">
        <f t="shared" si="250"/>
        <v>#VALUE!</v>
      </c>
      <c r="BG424" s="248"/>
      <c r="BH424" s="235"/>
      <c r="BI424" s="234"/>
      <c r="BJ424" s="236"/>
      <c r="BK424" s="222"/>
      <c r="BL424" s="222"/>
      <c r="BM424" s="238"/>
      <c r="BN424" s="222"/>
      <c r="BO424" s="222"/>
      <c r="BP424" s="243"/>
      <c r="BQ424" s="244" t="s">
        <v>247</v>
      </c>
      <c r="BR424" s="238">
        <v>45758</v>
      </c>
      <c r="BS424" s="67"/>
      <c r="BT424" s="66"/>
      <c r="BU424" s="66"/>
      <c r="BV424" s="66"/>
      <c r="BW424" s="74"/>
      <c r="BX424" s="81"/>
      <c r="BY424" s="66">
        <v>45715</v>
      </c>
      <c r="BZ424" s="947" t="s">
        <v>2493</v>
      </c>
      <c r="CA424" s="42" t="str">
        <f t="shared" si="263"/>
        <v>0</v>
      </c>
      <c r="CB424" s="62">
        <f t="shared" si="264"/>
        <v>38.352083333331393</v>
      </c>
      <c r="CC424" s="42">
        <f t="shared" si="265"/>
        <v>0</v>
      </c>
      <c r="CD424" s="62">
        <f t="shared" si="266"/>
        <v>38.352083333331393</v>
      </c>
      <c r="CE424" s="62">
        <f t="shared" si="267"/>
        <v>1.188258992165182</v>
      </c>
      <c r="CF424" s="145">
        <f t="shared" si="268"/>
        <v>122</v>
      </c>
      <c r="CG424" s="145"/>
      <c r="CH424" s="443">
        <f t="shared" si="269"/>
        <v>4.9681735220797112</v>
      </c>
      <c r="CI424" s="996">
        <f t="shared" si="270"/>
        <v>4.9681735220797112</v>
      </c>
      <c r="CJ424" s="261">
        <f t="shared" si="271"/>
        <v>2.0333333333333332</v>
      </c>
      <c r="CK424" s="458" t="str">
        <f t="shared" si="272"/>
        <v/>
      </c>
      <c r="CL424" t="str">
        <f t="shared" si="273"/>
        <v>REV</v>
      </c>
      <c r="CM424" t="str">
        <f t="shared" si="274"/>
        <v/>
      </c>
      <c r="CN424" s="635"/>
      <c r="CO424" s="631"/>
      <c r="CP424" s="629" t="str">
        <f t="shared" si="251"/>
        <v>FOR ISSUANCE</v>
      </c>
      <c r="CQ424" s="635"/>
      <c r="CR424" s="697"/>
      <c r="CS424" s="633" t="str">
        <f t="shared" ca="1" si="275"/>
        <v>0</v>
      </c>
      <c r="CT424" s="635"/>
      <c r="CU424" s="631"/>
      <c r="CV424" s="638"/>
      <c r="CW424" s="156" t="s">
        <v>2494</v>
      </c>
      <c r="CX424" s="156" t="str">
        <f>VLOOKUP(E424,'[1]List of Work Orders'!$A:$I,9,FALSE)</f>
        <v>ME185284</v>
      </c>
      <c r="CY424" s="156"/>
      <c r="DA424" s="762">
        <f t="shared" si="243"/>
        <v>6.8583333333299379</v>
      </c>
      <c r="DS424" s="156" t="s">
        <v>403</v>
      </c>
    </row>
    <row r="425" spans="1:123" customFormat="1" ht="15" customHeight="1" x14ac:dyDescent="0.25">
      <c r="A425" s="242">
        <v>45719</v>
      </c>
      <c r="B425" s="222">
        <v>45714</v>
      </c>
      <c r="C425" s="223"/>
      <c r="D425" s="66" t="s">
        <v>284</v>
      </c>
      <c r="E425" s="404" t="s">
        <v>2495</v>
      </c>
      <c r="F425" s="95" t="s">
        <v>2496</v>
      </c>
      <c r="G425" s="95" t="s">
        <v>282</v>
      </c>
      <c r="H425" s="95" t="s">
        <v>238</v>
      </c>
      <c r="I425" s="95" t="s">
        <v>239</v>
      </c>
      <c r="J425" s="163"/>
      <c r="K425" s="101"/>
      <c r="L425" s="101" t="s">
        <v>288</v>
      </c>
      <c r="M425" s="345" t="s">
        <v>272</v>
      </c>
      <c r="N425" s="442" t="s">
        <v>381</v>
      </c>
      <c r="O425" s="165">
        <v>79.929000000000002</v>
      </c>
      <c r="P425" s="933">
        <v>330.03</v>
      </c>
      <c r="Q425" s="157">
        <v>97</v>
      </c>
      <c r="R425" s="109" t="s">
        <v>244</v>
      </c>
      <c r="S425" s="110">
        <v>1165982.58</v>
      </c>
      <c r="T425" s="93">
        <v>149046.37</v>
      </c>
      <c r="U425" s="141">
        <v>40857.800000000003</v>
      </c>
      <c r="V425" s="158">
        <f t="shared" si="252"/>
        <v>0.27412811194261227</v>
      </c>
      <c r="W425" s="159">
        <v>45708.647916666669</v>
      </c>
      <c r="X425" s="159">
        <v>45715.511111111111</v>
      </c>
      <c r="Y425" s="160">
        <v>45709</v>
      </c>
      <c r="Z425" s="470">
        <v>45836</v>
      </c>
      <c r="AA425" s="470">
        <v>45836</v>
      </c>
      <c r="AB425" s="470"/>
      <c r="AC425" s="161">
        <f t="shared" si="253"/>
        <v>127.35208333333139</v>
      </c>
      <c r="AD425" s="161">
        <f t="shared" si="246"/>
        <v>120.48888888888905</v>
      </c>
      <c r="AE425" s="446">
        <f t="shared" si="276"/>
        <v>-45836</v>
      </c>
      <c r="AF425" s="160">
        <f t="shared" si="247"/>
        <v>45730.167147435903</v>
      </c>
      <c r="AG425" s="160">
        <f t="shared" si="244"/>
        <v>45739.705608974364</v>
      </c>
      <c r="AH425" s="159">
        <f t="shared" si="248"/>
        <v>45758.647916666669</v>
      </c>
      <c r="AI425" s="162">
        <f t="shared" si="254"/>
        <v>3.8954754901960191</v>
      </c>
      <c r="AJ425" s="224">
        <f t="shared" si="249"/>
        <v>-763.93333333333328</v>
      </c>
      <c r="AK425" s="225">
        <f t="shared" si="255"/>
        <v>30</v>
      </c>
      <c r="AL425" s="170">
        <f t="shared" si="256"/>
        <v>34</v>
      </c>
      <c r="AM425" s="170">
        <f t="shared" si="257"/>
        <v>24.51923076923077</v>
      </c>
      <c r="AN425" s="170">
        <f t="shared" si="258"/>
        <v>31.057692307692307</v>
      </c>
      <c r="AO425" s="226">
        <f t="shared" si="259"/>
        <v>21.51923076923077</v>
      </c>
      <c r="AP425" s="227">
        <v>60</v>
      </c>
      <c r="AQ425" s="228">
        <f t="shared" si="260"/>
        <v>57</v>
      </c>
      <c r="AR425" s="228">
        <f t="shared" si="245"/>
        <v>52</v>
      </c>
      <c r="AS425" s="229">
        <f t="shared" si="261"/>
        <v>45896</v>
      </c>
      <c r="AT425" s="982">
        <f t="shared" ca="1" si="262"/>
        <v>59</v>
      </c>
      <c r="AU425" s="50"/>
      <c r="AV425" s="51"/>
      <c r="AW425" s="49"/>
      <c r="AX425" s="49"/>
      <c r="AY425" s="49"/>
      <c r="AZ425" s="300"/>
      <c r="BA425" s="52"/>
      <c r="BB425" s="304"/>
      <c r="BC425" s="231" t="s">
        <v>12</v>
      </c>
      <c r="BD425" s="232"/>
      <c r="BE425" s="222">
        <f t="shared" si="277"/>
        <v>45851</v>
      </c>
      <c r="BF425" s="233">
        <f t="shared" si="250"/>
        <v>15</v>
      </c>
      <c r="BG425" s="248">
        <v>45836</v>
      </c>
      <c r="BH425" s="235">
        <v>45866</v>
      </c>
      <c r="BI425" s="234"/>
      <c r="BJ425" s="236"/>
      <c r="BK425" s="222"/>
      <c r="BL425" s="222"/>
      <c r="BM425" s="238"/>
      <c r="BN425" s="222"/>
      <c r="BO425" s="222"/>
      <c r="BP425" s="243"/>
      <c r="BQ425" s="244"/>
      <c r="BR425" s="238"/>
      <c r="BS425" s="67"/>
      <c r="BT425" s="66"/>
      <c r="BU425" s="66"/>
      <c r="BV425" s="66"/>
      <c r="BW425" s="74"/>
      <c r="BX425" s="81"/>
      <c r="BY425" s="66">
        <v>45720</v>
      </c>
      <c r="BZ425" s="944" t="s">
        <v>2497</v>
      </c>
      <c r="CA425" s="42" t="str">
        <f t="shared" si="263"/>
        <v>0</v>
      </c>
      <c r="CB425" s="62">
        <f t="shared" si="264"/>
        <v>127.35208333333139</v>
      </c>
      <c r="CC425" s="42">
        <f t="shared" si="265"/>
        <v>0</v>
      </c>
      <c r="CD425" s="62">
        <f t="shared" si="266"/>
        <v>127.35208333333139</v>
      </c>
      <c r="CE425" s="62">
        <f t="shared" si="267"/>
        <v>3.8954754901960191</v>
      </c>
      <c r="CF425" s="145">
        <f t="shared" si="268"/>
        <v>33</v>
      </c>
      <c r="CG425" s="145"/>
      <c r="CH425" s="443">
        <f t="shared" si="269"/>
        <v>4.9048872549019009</v>
      </c>
      <c r="CI425" s="996">
        <f t="shared" si="270"/>
        <v>4.9048872549019009</v>
      </c>
      <c r="CJ425" s="261">
        <f t="shared" si="271"/>
        <v>0.55000000000000004</v>
      </c>
      <c r="CK425" s="458" t="str">
        <f t="shared" si="272"/>
        <v/>
      </c>
      <c r="CL425" t="str">
        <f t="shared" si="273"/>
        <v>REV</v>
      </c>
      <c r="CM425" t="str">
        <f t="shared" si="274"/>
        <v/>
      </c>
      <c r="CN425" s="635"/>
      <c r="CO425" s="631"/>
      <c r="CP425" s="629" t="str">
        <f t="shared" si="251"/>
        <v>FOR ISSUANCE</v>
      </c>
      <c r="CQ425" s="635"/>
      <c r="CR425" s="697"/>
      <c r="CS425" s="633" t="str">
        <f t="shared" ca="1" si="275"/>
        <v>0</v>
      </c>
      <c r="CT425" s="635"/>
      <c r="CU425" s="631"/>
      <c r="CV425" s="638"/>
      <c r="CW425" s="156" t="s">
        <v>2498</v>
      </c>
      <c r="CX425" s="156" t="str">
        <f>VLOOKUP(E425,'[1]List of Work Orders'!$A:$I,9,FALSE)</f>
        <v>ME155242</v>
      </c>
      <c r="CY425" s="156"/>
      <c r="CZ425" s="63"/>
      <c r="DA425" s="762">
        <f t="shared" si="243"/>
        <v>6.8631944444423425</v>
      </c>
      <c r="DS425" s="156" t="s">
        <v>403</v>
      </c>
    </row>
    <row r="426" spans="1:123" customFormat="1" ht="15" customHeight="1" x14ac:dyDescent="0.25">
      <c r="A426" s="242">
        <v>45719</v>
      </c>
      <c r="B426" s="222">
        <v>45715</v>
      </c>
      <c r="C426" s="223"/>
      <c r="D426" s="66" t="s">
        <v>320</v>
      </c>
      <c r="E426" s="404" t="s">
        <v>2499</v>
      </c>
      <c r="F426" s="95" t="s">
        <v>2500</v>
      </c>
      <c r="G426" s="95" t="s">
        <v>2501</v>
      </c>
      <c r="H426" s="95" t="s">
        <v>253</v>
      </c>
      <c r="I426" s="95" t="s">
        <v>254</v>
      </c>
      <c r="J426" s="163"/>
      <c r="K426" s="101"/>
      <c r="L426" s="101" t="s">
        <v>263</v>
      </c>
      <c r="M426" s="345" t="s">
        <v>331</v>
      </c>
      <c r="N426" s="442" t="s">
        <v>467</v>
      </c>
      <c r="O426" s="165">
        <v>31.499999999999996</v>
      </c>
      <c r="P426" s="165">
        <v>185.26</v>
      </c>
      <c r="Q426" s="157">
        <v>0</v>
      </c>
      <c r="R426" s="109" t="s">
        <v>327</v>
      </c>
      <c r="S426" s="110">
        <v>224608.3</v>
      </c>
      <c r="T426" s="93">
        <v>27065.629999999994</v>
      </c>
      <c r="U426" s="141"/>
      <c r="V426" s="158">
        <f t="shared" si="252"/>
        <v>0</v>
      </c>
      <c r="W426" s="159">
        <v>45708.648611111108</v>
      </c>
      <c r="X426" s="159">
        <v>45715.509722222225</v>
      </c>
      <c r="Y426" s="160">
        <v>45709</v>
      </c>
      <c r="Z426" s="470"/>
      <c r="AA426" s="470"/>
      <c r="AB426" s="470"/>
      <c r="AC426" s="161">
        <f t="shared" si="253"/>
        <v>-45708.648611111108</v>
      </c>
      <c r="AD426" s="161">
        <f t="shared" si="246"/>
        <v>-45715.509722222225</v>
      </c>
      <c r="AE426" s="446">
        <f t="shared" si="276"/>
        <v>0</v>
      </c>
      <c r="AF426" s="160">
        <f t="shared" si="247"/>
        <v>45729.855507662833</v>
      </c>
      <c r="AG426" s="160">
        <f t="shared" si="244"/>
        <v>45739.310680076625</v>
      </c>
      <c r="AH426" s="159">
        <f t="shared" si="248"/>
        <v>45758.648611111108</v>
      </c>
      <c r="AI426" s="162">
        <f t="shared" si="254"/>
        <v>-1416.1867625237414</v>
      </c>
      <c r="AJ426" s="224">
        <f t="shared" si="249"/>
        <v>0</v>
      </c>
      <c r="AK426" s="225">
        <f t="shared" si="255"/>
        <v>26</v>
      </c>
      <c r="AL426" s="170">
        <f t="shared" si="256"/>
        <v>36</v>
      </c>
      <c r="AM426" s="170">
        <f t="shared" si="257"/>
        <v>24.206896551724139</v>
      </c>
      <c r="AN426" s="170">
        <f t="shared" si="258"/>
        <v>30.662068965517239</v>
      </c>
      <c r="AO426" s="226">
        <f t="shared" si="259"/>
        <v>21.206896551724139</v>
      </c>
      <c r="AP426" s="227">
        <v>60</v>
      </c>
      <c r="AQ426" s="228">
        <f t="shared" si="260"/>
        <v>57</v>
      </c>
      <c r="AR426" s="228">
        <f t="shared" si="245"/>
        <v>52</v>
      </c>
      <c r="AS426" s="229">
        <f t="shared" si="261"/>
        <v>60</v>
      </c>
      <c r="AT426" s="982">
        <f t="shared" ca="1" si="262"/>
        <v>45895</v>
      </c>
      <c r="AU426" s="50"/>
      <c r="AV426" s="51"/>
      <c r="AW426" s="49"/>
      <c r="AX426" s="49"/>
      <c r="AY426" s="49"/>
      <c r="AZ426" s="300"/>
      <c r="BA426" s="52"/>
      <c r="BB426" s="304"/>
      <c r="BC426" s="231"/>
      <c r="BD426" s="232"/>
      <c r="BE426" s="222">
        <f t="shared" si="277"/>
        <v>15</v>
      </c>
      <c r="BF426" s="233">
        <f t="shared" si="250"/>
        <v>0</v>
      </c>
      <c r="BG426" s="248"/>
      <c r="BH426" s="252"/>
      <c r="BI426" s="234"/>
      <c r="BJ426" s="236"/>
      <c r="BK426" s="222"/>
      <c r="BL426" s="222"/>
      <c r="BM426" s="238"/>
      <c r="BN426" s="222"/>
      <c r="BO426" s="222"/>
      <c r="BP426" s="243"/>
      <c r="BQ426" s="244"/>
      <c r="BR426" s="238"/>
      <c r="BS426" s="67"/>
      <c r="BT426" s="66"/>
      <c r="BU426" s="66"/>
      <c r="BV426" s="66"/>
      <c r="BW426" s="74"/>
      <c r="BX426" s="81"/>
      <c r="BY426" s="66">
        <v>45720</v>
      </c>
      <c r="BZ426" s="947" t="s">
        <v>2502</v>
      </c>
      <c r="CA426" s="42" t="str">
        <f t="shared" si="263"/>
        <v>0</v>
      </c>
      <c r="CB426" s="62">
        <f t="shared" si="264"/>
        <v>-45708.648611111108</v>
      </c>
      <c r="CC426" s="42">
        <f t="shared" si="265"/>
        <v>0</v>
      </c>
      <c r="CD426" s="62">
        <f t="shared" si="266"/>
        <v>-45708.648611111108</v>
      </c>
      <c r="CE426" s="62">
        <f t="shared" si="267"/>
        <v>-1416.1867625237414</v>
      </c>
      <c r="CF426" s="145" t="str">
        <f t="shared" si="268"/>
        <v>0</v>
      </c>
      <c r="CG426" s="145"/>
      <c r="CH426" s="443">
        <f t="shared" si="269"/>
        <v>4.9681520061729341</v>
      </c>
      <c r="CI426" s="996">
        <f t="shared" si="270"/>
        <v>4.9681520061729341</v>
      </c>
      <c r="CJ426" s="261">
        <f t="shared" si="271"/>
        <v>0</v>
      </c>
      <c r="CK426" s="458">
        <f t="shared" si="272"/>
        <v>147.35138888889196</v>
      </c>
      <c r="CL426" t="str">
        <f t="shared" si="273"/>
        <v>NON-REV</v>
      </c>
      <c r="CM426" t="str">
        <f t="shared" si="274"/>
        <v>4-6 MONTHS</v>
      </c>
      <c r="CN426" s="635"/>
      <c r="CO426" s="631"/>
      <c r="CP426" s="629" t="str">
        <f t="shared" si="251"/>
        <v>FOR ISSUANCE</v>
      </c>
      <c r="CQ426" s="635"/>
      <c r="CR426" s="697"/>
      <c r="CS426" s="633" t="str">
        <f t="shared" ca="1" si="275"/>
        <v>0</v>
      </c>
      <c r="CT426" s="635"/>
      <c r="CU426" s="631"/>
      <c r="CV426" s="638"/>
      <c r="CW426" s="156" t="s">
        <v>2503</v>
      </c>
      <c r="CX426" s="156" t="str">
        <f>VLOOKUP(E426,'[1]List of Work Orders'!$A:$I,9,FALSE)</f>
        <v>ME155242</v>
      </c>
      <c r="CY426" s="156"/>
      <c r="DA426" s="762">
        <f t="shared" ref="DA426:DA489" si="278">X426-W426</f>
        <v>6.8611111111167702</v>
      </c>
      <c r="DS426" s="156" t="s">
        <v>403</v>
      </c>
    </row>
    <row r="427" spans="1:123" customFormat="1" ht="15" customHeight="1" x14ac:dyDescent="0.25">
      <c r="A427" s="242">
        <v>45720</v>
      </c>
      <c r="B427" s="222">
        <v>45715</v>
      </c>
      <c r="C427" s="223"/>
      <c r="D427" s="66" t="s">
        <v>320</v>
      </c>
      <c r="E427" s="404" t="s">
        <v>2504</v>
      </c>
      <c r="F427" s="95" t="s">
        <v>2505</v>
      </c>
      <c r="G427" s="95" t="s">
        <v>2506</v>
      </c>
      <c r="H427" s="95" t="s">
        <v>269</v>
      </c>
      <c r="I427" s="95" t="s">
        <v>239</v>
      </c>
      <c r="J427" s="163"/>
      <c r="K427" s="101"/>
      <c r="L427" s="101" t="s">
        <v>5</v>
      </c>
      <c r="M427" s="345" t="s">
        <v>272</v>
      </c>
      <c r="N427" s="442" t="s">
        <v>403</v>
      </c>
      <c r="O427" s="165">
        <v>11.732799999999999</v>
      </c>
      <c r="P427" s="933">
        <v>14.76</v>
      </c>
      <c r="Q427" s="157">
        <v>29</v>
      </c>
      <c r="R427" s="109" t="s">
        <v>548</v>
      </c>
      <c r="S427" s="110">
        <v>188123.61</v>
      </c>
      <c r="T427" s="93">
        <v>12279.670000000002</v>
      </c>
      <c r="U427" s="141"/>
      <c r="V427" s="158">
        <f t="shared" si="252"/>
        <v>0</v>
      </c>
      <c r="W427" s="159">
        <v>45708.65</v>
      </c>
      <c r="X427" s="159">
        <v>45715.509722222225</v>
      </c>
      <c r="Y427" s="160">
        <v>45709</v>
      </c>
      <c r="Z427" s="470"/>
      <c r="AA427" s="470">
        <v>45733.40347222222</v>
      </c>
      <c r="AB427" s="470"/>
      <c r="AC427" s="161">
        <f t="shared" si="253"/>
        <v>24.753472222218988</v>
      </c>
      <c r="AD427" s="161">
        <f t="shared" si="246"/>
        <v>17.893749999995634</v>
      </c>
      <c r="AE427" s="446">
        <f t="shared" si="276"/>
        <v>-45733.40347222222</v>
      </c>
      <c r="AF427" s="160">
        <f t="shared" si="247"/>
        <v>45727.424193548388</v>
      </c>
      <c r="AG427" s="160">
        <f t="shared" si="244"/>
        <v>45736.230645161289</v>
      </c>
      <c r="AH427" s="159">
        <f t="shared" si="248"/>
        <v>45758.65</v>
      </c>
      <c r="AI427" s="162">
        <f t="shared" si="254"/>
        <v>0.85261959876532067</v>
      </c>
      <c r="AJ427" s="224">
        <f t="shared" si="249"/>
        <v>-762.22339120370373</v>
      </c>
      <c r="AK427" s="225">
        <f t="shared" si="255"/>
        <v>20</v>
      </c>
      <c r="AL427" s="170">
        <f t="shared" si="256"/>
        <v>36</v>
      </c>
      <c r="AM427" s="170">
        <f t="shared" si="257"/>
        <v>21.774193548387096</v>
      </c>
      <c r="AN427" s="170">
        <f t="shared" si="258"/>
        <v>27.58064516129032</v>
      </c>
      <c r="AO427" s="226">
        <f t="shared" si="259"/>
        <v>18.774193548387096</v>
      </c>
      <c r="AP427" s="227">
        <v>60</v>
      </c>
      <c r="AQ427" s="228">
        <f t="shared" si="260"/>
        <v>57</v>
      </c>
      <c r="AR427" s="228">
        <f t="shared" si="245"/>
        <v>52</v>
      </c>
      <c r="AS427" s="229">
        <f t="shared" si="261"/>
        <v>45793.40347222222</v>
      </c>
      <c r="AT427" s="982">
        <f t="shared" ca="1" si="262"/>
        <v>161.59652777777956</v>
      </c>
      <c r="AU427" s="50"/>
      <c r="AV427" s="51"/>
      <c r="AW427" s="49"/>
      <c r="AX427" s="49"/>
      <c r="AY427" s="49"/>
      <c r="AZ427" s="300"/>
      <c r="BA427" s="52"/>
      <c r="BB427" s="304"/>
      <c r="BC427" s="231" t="s">
        <v>12</v>
      </c>
      <c r="BD427" s="232"/>
      <c r="BE427" s="222">
        <f t="shared" si="277"/>
        <v>45748.40347222222</v>
      </c>
      <c r="BF427" s="233">
        <f t="shared" si="250"/>
        <v>26.596527777779556</v>
      </c>
      <c r="BG427" s="248">
        <v>45733</v>
      </c>
      <c r="BH427" s="235">
        <v>45775</v>
      </c>
      <c r="BI427" s="234"/>
      <c r="BJ427" s="236"/>
      <c r="BK427" s="222"/>
      <c r="BL427" s="222"/>
      <c r="BM427" s="238"/>
      <c r="BN427" s="222"/>
      <c r="BO427" s="222"/>
      <c r="BP427" s="243"/>
      <c r="BQ427" s="244" t="s">
        <v>247</v>
      </c>
      <c r="BR427" s="238">
        <v>45733</v>
      </c>
      <c r="BS427" s="67"/>
      <c r="BT427" s="66"/>
      <c r="BU427" s="66"/>
      <c r="BV427" s="66"/>
      <c r="BW427" s="74"/>
      <c r="BX427" s="81"/>
      <c r="BY427" s="66">
        <v>45720</v>
      </c>
      <c r="BZ427" s="947" t="s">
        <v>2507</v>
      </c>
      <c r="CA427" s="42" t="str">
        <f t="shared" si="263"/>
        <v>0</v>
      </c>
      <c r="CB427" s="62">
        <f t="shared" si="264"/>
        <v>24.753472222218988</v>
      </c>
      <c r="CC427" s="42">
        <f t="shared" si="265"/>
        <v>0</v>
      </c>
      <c r="CD427" s="62">
        <f t="shared" si="266"/>
        <v>24.753472222218988</v>
      </c>
      <c r="CE427" s="62">
        <f t="shared" si="267"/>
        <v>0.85261959876532067</v>
      </c>
      <c r="CF427" s="145">
        <f t="shared" si="268"/>
        <v>135.59652777777956</v>
      </c>
      <c r="CG427" s="145"/>
      <c r="CH427" s="443">
        <f t="shared" si="269"/>
        <v>5.5231666666666168</v>
      </c>
      <c r="CI427" s="996">
        <f t="shared" si="270"/>
        <v>5.5231666666666168</v>
      </c>
      <c r="CJ427" s="261">
        <f t="shared" si="271"/>
        <v>2.2599421296296591</v>
      </c>
      <c r="CK427" s="458" t="str">
        <f t="shared" si="272"/>
        <v/>
      </c>
      <c r="CL427" t="str">
        <f t="shared" si="273"/>
        <v>NON-REV</v>
      </c>
      <c r="CM427" t="str">
        <f t="shared" si="274"/>
        <v/>
      </c>
      <c r="CN427" s="635"/>
      <c r="CO427" s="631"/>
      <c r="CP427" s="629" t="str">
        <f t="shared" si="251"/>
        <v>FOR ISSUANCE</v>
      </c>
      <c r="CQ427" s="635"/>
      <c r="CR427" s="697"/>
      <c r="CS427" s="633" t="str">
        <f t="shared" ca="1" si="275"/>
        <v>0</v>
      </c>
      <c r="CT427" s="635"/>
      <c r="CU427" s="631"/>
      <c r="CV427" s="638"/>
      <c r="CW427" s="156" t="s">
        <v>2508</v>
      </c>
      <c r="CX427" s="156" t="str">
        <f>VLOOKUP(E427,'[1]List of Work Orders'!$A:$I,9,FALSE)</f>
        <v>ME166067</v>
      </c>
      <c r="CY427" s="156"/>
      <c r="DA427" s="762">
        <f t="shared" si="278"/>
        <v>6.859722222223354</v>
      </c>
      <c r="DS427" s="156" t="s">
        <v>397</v>
      </c>
    </row>
    <row r="428" spans="1:123" customFormat="1" ht="15" customHeight="1" x14ac:dyDescent="0.25">
      <c r="A428" s="242">
        <v>45715</v>
      </c>
      <c r="B428" s="222">
        <v>45715</v>
      </c>
      <c r="C428" s="223"/>
      <c r="D428" s="66" t="s">
        <v>320</v>
      </c>
      <c r="E428" s="404" t="s">
        <v>2509</v>
      </c>
      <c r="F428" s="95" t="s">
        <v>949</v>
      </c>
      <c r="G428" s="95" t="s">
        <v>2510</v>
      </c>
      <c r="H428" s="95" t="s">
        <v>378</v>
      </c>
      <c r="I428" s="95" t="s">
        <v>239</v>
      </c>
      <c r="J428" s="163" t="s">
        <v>2511</v>
      </c>
      <c r="K428" s="101"/>
      <c r="L428" s="101" t="s">
        <v>288</v>
      </c>
      <c r="M428" s="345" t="s">
        <v>272</v>
      </c>
      <c r="N428" s="442" t="s">
        <v>381</v>
      </c>
      <c r="O428" s="165">
        <v>72.669299999999993</v>
      </c>
      <c r="P428" s="933">
        <v>246.89</v>
      </c>
      <c r="Q428" s="157">
        <v>66</v>
      </c>
      <c r="R428" s="109" t="s">
        <v>244</v>
      </c>
      <c r="S428" s="110">
        <v>546721.35</v>
      </c>
      <c r="T428" s="93">
        <v>78010.61</v>
      </c>
      <c r="U428" s="141"/>
      <c r="V428" s="158">
        <f t="shared" si="252"/>
        <v>0</v>
      </c>
      <c r="W428" s="159">
        <v>45709.510416666664</v>
      </c>
      <c r="X428" s="159">
        <v>45715.504861111112</v>
      </c>
      <c r="Y428" s="160">
        <v>45709</v>
      </c>
      <c r="Z428" s="470">
        <v>45787</v>
      </c>
      <c r="AA428" s="470">
        <v>45826</v>
      </c>
      <c r="AB428" s="470"/>
      <c r="AC428" s="161">
        <f t="shared" si="253"/>
        <v>116.48958333333576</v>
      </c>
      <c r="AD428" s="161">
        <f t="shared" si="246"/>
        <v>110.4951388888876</v>
      </c>
      <c r="AE428" s="446">
        <f t="shared" si="276"/>
        <v>-45826</v>
      </c>
      <c r="AF428" s="160">
        <f t="shared" si="247"/>
        <v>45730.47014821029</v>
      </c>
      <c r="AG428" s="160">
        <f t="shared" si="244"/>
        <v>45739.859409955257</v>
      </c>
      <c r="AH428" s="159">
        <f t="shared" si="248"/>
        <v>45759.510416666664</v>
      </c>
      <c r="AI428" s="162">
        <f t="shared" si="254"/>
        <v>3.6464176295518964</v>
      </c>
      <c r="AJ428" s="224">
        <f t="shared" si="249"/>
        <v>-763.76666666666665</v>
      </c>
      <c r="AK428" s="225">
        <f t="shared" si="255"/>
        <v>28</v>
      </c>
      <c r="AL428" s="170">
        <f t="shared" si="256"/>
        <v>34</v>
      </c>
      <c r="AM428" s="170">
        <f t="shared" si="257"/>
        <v>23.959731543624162</v>
      </c>
      <c r="AN428" s="170">
        <f t="shared" si="258"/>
        <v>30.348993288590602</v>
      </c>
      <c r="AO428" s="226">
        <f t="shared" si="259"/>
        <v>20.959731543624162</v>
      </c>
      <c r="AP428" s="227">
        <v>60</v>
      </c>
      <c r="AQ428" s="228">
        <f t="shared" si="260"/>
        <v>57</v>
      </c>
      <c r="AR428" s="228">
        <f t="shared" si="245"/>
        <v>52</v>
      </c>
      <c r="AS428" s="229">
        <f t="shared" si="261"/>
        <v>45886</v>
      </c>
      <c r="AT428" s="982">
        <f t="shared" ca="1" si="262"/>
        <v>69</v>
      </c>
      <c r="AU428" s="50"/>
      <c r="AV428" s="51"/>
      <c r="AW428" s="49"/>
      <c r="AX428" s="49"/>
      <c r="AY428" s="49"/>
      <c r="AZ428" s="300"/>
      <c r="BA428" s="52"/>
      <c r="BB428" s="304"/>
      <c r="BC428" s="231" t="s">
        <v>12</v>
      </c>
      <c r="BD428" s="232"/>
      <c r="BE428" s="222">
        <f t="shared" si="277"/>
        <v>45841</v>
      </c>
      <c r="BF428" s="233">
        <f t="shared" si="250"/>
        <v>15</v>
      </c>
      <c r="BG428" s="248">
        <v>45787</v>
      </c>
      <c r="BH428" s="763">
        <v>45856</v>
      </c>
      <c r="BI428" s="234"/>
      <c r="BJ428" s="236"/>
      <c r="BK428" s="222"/>
      <c r="BL428" s="222"/>
      <c r="BM428" s="238"/>
      <c r="BN428" s="222"/>
      <c r="BO428" s="222"/>
      <c r="BP428" s="243"/>
      <c r="BQ428" s="244" t="s">
        <v>247</v>
      </c>
      <c r="BR428" s="238">
        <v>45824</v>
      </c>
      <c r="BS428" s="67"/>
      <c r="BT428" s="66"/>
      <c r="BU428" s="66"/>
      <c r="BV428" s="66"/>
      <c r="BW428" s="74"/>
      <c r="BX428" s="81"/>
      <c r="BY428" s="66">
        <v>45715</v>
      </c>
      <c r="BZ428" s="947" t="s">
        <v>2512</v>
      </c>
      <c r="CA428" s="42" t="str">
        <f t="shared" si="263"/>
        <v>0</v>
      </c>
      <c r="CB428" s="62">
        <f t="shared" si="264"/>
        <v>116.48958333333576</v>
      </c>
      <c r="CC428" s="42">
        <f t="shared" si="265"/>
        <v>0</v>
      </c>
      <c r="CD428" s="62">
        <f t="shared" si="266"/>
        <v>116.48958333333576</v>
      </c>
      <c r="CE428" s="62">
        <f t="shared" si="267"/>
        <v>3.6464176295518964</v>
      </c>
      <c r="CF428" s="145">
        <f t="shared" si="268"/>
        <v>43</v>
      </c>
      <c r="CG428" s="145"/>
      <c r="CH428" s="443">
        <f t="shared" si="269"/>
        <v>4.9924260329132411</v>
      </c>
      <c r="CI428" s="996">
        <f t="shared" si="270"/>
        <v>4.9924260329132411</v>
      </c>
      <c r="CJ428" s="261">
        <f t="shared" si="271"/>
        <v>0.71666666666666667</v>
      </c>
      <c r="CK428" s="458" t="str">
        <f t="shared" si="272"/>
        <v/>
      </c>
      <c r="CL428" t="str">
        <f t="shared" si="273"/>
        <v>REV</v>
      </c>
      <c r="CM428" t="str">
        <f t="shared" si="274"/>
        <v/>
      </c>
      <c r="CN428" s="635"/>
      <c r="CO428" s="631"/>
      <c r="CP428" s="629" t="str">
        <f t="shared" si="251"/>
        <v>FOR ISSUANCE</v>
      </c>
      <c r="CQ428" s="635"/>
      <c r="CR428" s="697"/>
      <c r="CS428" s="633" t="str">
        <f t="shared" ca="1" si="275"/>
        <v>0</v>
      </c>
      <c r="CT428" s="635"/>
      <c r="CU428" s="631"/>
      <c r="CV428" s="638"/>
      <c r="CW428" s="156" t="s">
        <v>2513</v>
      </c>
      <c r="CX428" s="156" t="str">
        <f>VLOOKUP(E428,'[1]List of Work Orders'!$A:$I,9,FALSE)</f>
        <v>ME166067</v>
      </c>
      <c r="CY428" s="156"/>
      <c r="DA428" s="762">
        <f t="shared" si="278"/>
        <v>5.9944444444481633</v>
      </c>
      <c r="DS428" s="156" t="s">
        <v>381</v>
      </c>
    </row>
    <row r="429" spans="1:123" ht="15" customHeight="1" x14ac:dyDescent="0.2">
      <c r="A429" s="242">
        <v>45720</v>
      </c>
      <c r="B429" s="222">
        <v>45716</v>
      </c>
      <c r="C429" s="223"/>
      <c r="D429" s="66" t="s">
        <v>320</v>
      </c>
      <c r="E429" s="404" t="s">
        <v>2514</v>
      </c>
      <c r="F429" s="95" t="s">
        <v>2515</v>
      </c>
      <c r="G429" s="95" t="s">
        <v>2516</v>
      </c>
      <c r="H429" s="95" t="s">
        <v>238</v>
      </c>
      <c r="I429" s="95" t="s">
        <v>239</v>
      </c>
      <c r="J429" s="1134" t="s">
        <v>2478</v>
      </c>
      <c r="K429" s="101"/>
      <c r="L429" s="101" t="s">
        <v>255</v>
      </c>
      <c r="M429" s="345" t="s">
        <v>331</v>
      </c>
      <c r="N429" s="442" t="s">
        <v>403</v>
      </c>
      <c r="O429" s="165">
        <v>79.959500000000006</v>
      </c>
      <c r="P429" s="165">
        <v>258.95999999999998</v>
      </c>
      <c r="Q429" s="157">
        <v>38</v>
      </c>
      <c r="R429" s="109" t="s">
        <v>244</v>
      </c>
      <c r="S429" s="110">
        <v>504136.5</v>
      </c>
      <c r="T429" s="93">
        <v>87176.680000000008</v>
      </c>
      <c r="U429" s="141"/>
      <c r="V429" s="158">
        <f t="shared" si="252"/>
        <v>0</v>
      </c>
      <c r="W429" s="159">
        <v>45709.660416666666</v>
      </c>
      <c r="X429" s="159">
        <v>45719.538888888892</v>
      </c>
      <c r="Y429" s="160">
        <v>45716</v>
      </c>
      <c r="Z429" s="470"/>
      <c r="AA429" s="470"/>
      <c r="AB429" s="470"/>
      <c r="AC429" s="161">
        <f t="shared" si="253"/>
        <v>-45709.660416666666</v>
      </c>
      <c r="AD429" s="161">
        <f t="shared" si="246"/>
        <v>-45719.538888888892</v>
      </c>
      <c r="AE429" s="446">
        <f t="shared" si="276"/>
        <v>0</v>
      </c>
      <c r="AF429" s="160">
        <f t="shared" si="247"/>
        <v>45731.528837719299</v>
      </c>
      <c r="AG429" s="160">
        <f t="shared" ref="AG429:AG492" si="279">W429+AN429</f>
        <v>45741.160416666666</v>
      </c>
      <c r="AH429" s="159">
        <f t="shared" si="248"/>
        <v>45759.660416666666</v>
      </c>
      <c r="AI429" s="162">
        <f t="shared" si="254"/>
        <v>-1378.545314153439</v>
      </c>
      <c r="AJ429" s="224">
        <f t="shared" si="249"/>
        <v>0</v>
      </c>
      <c r="AK429" s="225">
        <f t="shared" si="255"/>
        <v>28</v>
      </c>
      <c r="AL429" s="170">
        <f t="shared" si="256"/>
        <v>36</v>
      </c>
      <c r="AM429" s="170">
        <f t="shared" si="257"/>
        <v>24.868421052631579</v>
      </c>
      <c r="AN429" s="170">
        <f t="shared" si="258"/>
        <v>31.499999999999996</v>
      </c>
      <c r="AO429" s="226">
        <f t="shared" si="259"/>
        <v>21.868421052631579</v>
      </c>
      <c r="AP429" s="227">
        <v>60</v>
      </c>
      <c r="AQ429" s="228">
        <f t="shared" si="260"/>
        <v>57</v>
      </c>
      <c r="AR429" s="228">
        <f t="shared" ref="AR429:AR492" si="280">AQ429-5</f>
        <v>52</v>
      </c>
      <c r="AS429" s="229">
        <f t="shared" si="261"/>
        <v>60</v>
      </c>
      <c r="AT429" s="982">
        <f t="shared" ca="1" si="262"/>
        <v>45895</v>
      </c>
      <c r="AU429" s="1077"/>
      <c r="AV429" s="1092"/>
      <c r="AW429" s="1079"/>
      <c r="AX429" s="1079"/>
      <c r="AY429" s="1079"/>
      <c r="AZ429" s="1080"/>
      <c r="BA429" s="1101"/>
      <c r="BB429" s="1091"/>
      <c r="BC429" s="231"/>
      <c r="BD429" s="232"/>
      <c r="BE429" s="222">
        <f t="shared" si="277"/>
        <v>15</v>
      </c>
      <c r="BF429" s="233">
        <f t="shared" si="250"/>
        <v>0</v>
      </c>
      <c r="BG429" s="248"/>
      <c r="BH429" s="235"/>
      <c r="BI429" s="234"/>
      <c r="BJ429" s="236"/>
      <c r="BK429" s="222"/>
      <c r="BL429" s="222"/>
      <c r="BM429" s="238"/>
      <c r="BN429" s="222"/>
      <c r="BO429" s="222"/>
      <c r="BP429" s="243"/>
      <c r="BQ429" s="244"/>
      <c r="BR429" s="238"/>
      <c r="BS429" s="67"/>
      <c r="BT429" s="66"/>
      <c r="BU429" s="66"/>
      <c r="BV429" s="66"/>
      <c r="BW429" s="74"/>
      <c r="BX429" s="81"/>
      <c r="BY429" s="66">
        <v>45720</v>
      </c>
      <c r="BZ429" s="944" t="s">
        <v>2517</v>
      </c>
      <c r="CA429" s="42" t="str">
        <f t="shared" si="263"/>
        <v>0</v>
      </c>
      <c r="CB429" s="62">
        <f t="shared" si="264"/>
        <v>-45709.660416666666</v>
      </c>
      <c r="CC429" s="42">
        <f t="shared" si="265"/>
        <v>0</v>
      </c>
      <c r="CD429" s="62">
        <f t="shared" si="266"/>
        <v>-45709.660416666666</v>
      </c>
      <c r="CE429" s="62">
        <f t="shared" si="267"/>
        <v>-1378.545314153439</v>
      </c>
      <c r="CF429" s="1059" t="str">
        <f t="shared" si="268"/>
        <v>0</v>
      </c>
      <c r="CH429" s="1082">
        <f t="shared" si="269"/>
        <v>4.8054794973545265</v>
      </c>
      <c r="CI429" s="1083">
        <f t="shared" si="270"/>
        <v>4.8054794973545265</v>
      </c>
      <c r="CJ429" s="1084">
        <f t="shared" si="271"/>
        <v>0</v>
      </c>
      <c r="CK429" s="1085">
        <f t="shared" si="272"/>
        <v>146.3395833333343</v>
      </c>
      <c r="CL429" s="1057" t="str">
        <f t="shared" si="273"/>
        <v>REV</v>
      </c>
      <c r="CM429" s="1057" t="str">
        <f t="shared" si="274"/>
        <v>4-6 MONTHS</v>
      </c>
      <c r="CN429" s="1086"/>
      <c r="CO429" s="1087"/>
      <c r="CP429" s="629" t="str">
        <f t="shared" si="251"/>
        <v>FOR ISSUANCE</v>
      </c>
      <c r="CQ429" s="1086"/>
      <c r="CR429" s="1088"/>
      <c r="CS429" s="1089" t="str">
        <f t="shared" ca="1" si="275"/>
        <v>0</v>
      </c>
      <c r="CT429" s="1086"/>
      <c r="CU429" s="1087"/>
      <c r="CV429" s="1090"/>
      <c r="CW429" s="156" t="s">
        <v>2518</v>
      </c>
      <c r="CX429" s="156" t="str">
        <f>VLOOKUP(E429,'[1]List of Work Orders'!$A:$I,9,FALSE)</f>
        <v>ME185284</v>
      </c>
      <c r="CY429" s="156"/>
      <c r="DA429" s="1100">
        <f t="shared" si="278"/>
        <v>9.8784722222262644</v>
      </c>
      <c r="DS429" s="156" t="s">
        <v>381</v>
      </c>
    </row>
    <row r="430" spans="1:123" customFormat="1" ht="15" customHeight="1" x14ac:dyDescent="0.25">
      <c r="A430" s="242">
        <v>45726</v>
      </c>
      <c r="B430" s="222">
        <v>45716</v>
      </c>
      <c r="C430" s="223"/>
      <c r="D430" s="66" t="s">
        <v>284</v>
      </c>
      <c r="E430" s="404" t="s">
        <v>2519</v>
      </c>
      <c r="F430" s="95" t="s">
        <v>949</v>
      </c>
      <c r="G430" s="95" t="s">
        <v>2147</v>
      </c>
      <c r="H430" s="95" t="s">
        <v>378</v>
      </c>
      <c r="I430" s="95" t="s">
        <v>239</v>
      </c>
      <c r="J430" s="163"/>
      <c r="K430" s="101"/>
      <c r="L430" s="101" t="s">
        <v>288</v>
      </c>
      <c r="M430" s="345" t="s">
        <v>272</v>
      </c>
      <c r="N430" s="442" t="s">
        <v>381</v>
      </c>
      <c r="O430" s="165">
        <v>88.901300000000006</v>
      </c>
      <c r="P430" s="933">
        <v>209.76</v>
      </c>
      <c r="Q430" s="157">
        <v>239</v>
      </c>
      <c r="R430" s="109" t="s">
        <v>244</v>
      </c>
      <c r="S430" s="110">
        <v>1044923.65</v>
      </c>
      <c r="T430" s="93">
        <v>130705.40000000001</v>
      </c>
      <c r="U430" s="141"/>
      <c r="V430" s="158">
        <f t="shared" si="252"/>
        <v>0</v>
      </c>
      <c r="W430" s="159">
        <v>45712.504861111112</v>
      </c>
      <c r="X430" s="159">
        <v>45722.557638888888</v>
      </c>
      <c r="Y430" s="160">
        <v>45716</v>
      </c>
      <c r="Z430" s="470">
        <v>45744</v>
      </c>
      <c r="AA430" s="470">
        <v>45744</v>
      </c>
      <c r="AB430" s="470"/>
      <c r="AC430" s="161">
        <f t="shared" si="253"/>
        <v>31.495138888887595</v>
      </c>
      <c r="AD430" s="161">
        <f t="shared" ref="AD430:AD493" si="281">AA430-X430</f>
        <v>21.442361111112405</v>
      </c>
      <c r="AE430" s="446">
        <f t="shared" si="276"/>
        <v>-45744</v>
      </c>
      <c r="AF430" s="160">
        <f t="shared" ref="AF430:AF493" si="282">W430+AO430</f>
        <v>45731.532833139085</v>
      </c>
      <c r="AG430" s="160">
        <f t="shared" si="279"/>
        <v>45740.406959013213</v>
      </c>
      <c r="AH430" s="159">
        <f t="shared" ref="AH430:AH493" si="283">W430+50</f>
        <v>45762.504861111112</v>
      </c>
      <c r="AI430" s="162">
        <f t="shared" si="254"/>
        <v>1.0723344907406966</v>
      </c>
      <c r="AJ430" s="224">
        <f t="shared" ref="AJ430:AJ493" si="284">AE430/AP430</f>
        <v>-762.4</v>
      </c>
      <c r="AK430" s="225">
        <f t="shared" si="255"/>
        <v>28</v>
      </c>
      <c r="AL430" s="170">
        <f t="shared" si="256"/>
        <v>30</v>
      </c>
      <c r="AM430" s="170">
        <f t="shared" si="257"/>
        <v>22.027972027972027</v>
      </c>
      <c r="AN430" s="170">
        <f t="shared" si="258"/>
        <v>27.9020979020979</v>
      </c>
      <c r="AO430" s="226">
        <f t="shared" si="259"/>
        <v>19.027972027972027</v>
      </c>
      <c r="AP430" s="227">
        <v>60</v>
      </c>
      <c r="AQ430" s="228">
        <f t="shared" si="260"/>
        <v>57</v>
      </c>
      <c r="AR430" s="228">
        <f t="shared" si="280"/>
        <v>52</v>
      </c>
      <c r="AS430" s="229">
        <f t="shared" si="261"/>
        <v>45804</v>
      </c>
      <c r="AT430" s="982">
        <f t="shared" ca="1" si="262"/>
        <v>151</v>
      </c>
      <c r="AU430" s="50" t="s">
        <v>61</v>
      </c>
      <c r="AV430" s="51" t="s">
        <v>247</v>
      </c>
      <c r="AW430" s="49" t="s">
        <v>247</v>
      </c>
      <c r="AX430" s="49"/>
      <c r="AY430" s="49"/>
      <c r="AZ430" s="300">
        <v>45737</v>
      </c>
      <c r="BA430" s="52">
        <f>BB430-AZ430</f>
        <v>6</v>
      </c>
      <c r="BB430" s="304">
        <v>45743</v>
      </c>
      <c r="BC430" s="231" t="s">
        <v>12</v>
      </c>
      <c r="BD430" s="232"/>
      <c r="BE430" s="222">
        <f t="shared" si="277"/>
        <v>45759</v>
      </c>
      <c r="BF430" s="233">
        <f t="shared" si="250"/>
        <v>117</v>
      </c>
      <c r="BG430" s="248">
        <v>45744</v>
      </c>
      <c r="BH430" s="235">
        <v>45876</v>
      </c>
      <c r="BI430" s="234"/>
      <c r="BJ430" s="236"/>
      <c r="BK430" s="222"/>
      <c r="BL430" s="222"/>
      <c r="BM430" s="238"/>
      <c r="BN430" s="222"/>
      <c r="BO430" s="222"/>
      <c r="BP430" s="243"/>
      <c r="BQ430" s="244" t="s">
        <v>247</v>
      </c>
      <c r="BR430" s="238">
        <v>45740</v>
      </c>
      <c r="BS430" s="67"/>
      <c r="BT430" s="66"/>
      <c r="BU430" s="66"/>
      <c r="BV430" s="66"/>
      <c r="BW430" s="74"/>
      <c r="BX430" s="81"/>
      <c r="BY430" s="66">
        <v>45727</v>
      </c>
      <c r="BZ430" s="944" t="s">
        <v>2520</v>
      </c>
      <c r="CA430" s="42" t="str">
        <f t="shared" si="263"/>
        <v>0</v>
      </c>
      <c r="CB430" s="62">
        <f t="shared" si="264"/>
        <v>31.495138888887595</v>
      </c>
      <c r="CC430" s="42">
        <f t="shared" si="265"/>
        <v>6</v>
      </c>
      <c r="CD430" s="62">
        <f t="shared" si="266"/>
        <v>25.495138888887595</v>
      </c>
      <c r="CE430" s="62">
        <f t="shared" si="267"/>
        <v>0.86804877645498224</v>
      </c>
      <c r="CF430" s="145">
        <f t="shared" si="268"/>
        <v>125</v>
      </c>
      <c r="CG430" s="145">
        <f xml:space="preserve"> (0.3)*(($CF$1-W430-CF430)/AK430)+(0.7)*(($CF$1-W430-CF430)/AL430)</f>
        <v>1.0723344907406966</v>
      </c>
      <c r="CH430" s="443">
        <f t="shared" si="269"/>
        <v>5.3282868716930771</v>
      </c>
      <c r="CI430" s="996">
        <f t="shared" si="270"/>
        <v>4.2559523809523805</v>
      </c>
      <c r="CJ430" s="261">
        <f t="shared" si="271"/>
        <v>2.0833333333333335</v>
      </c>
      <c r="CK430" s="458" t="str">
        <f t="shared" si="272"/>
        <v/>
      </c>
      <c r="CL430" t="str">
        <f t="shared" si="273"/>
        <v>REV</v>
      </c>
      <c r="CM430" t="str">
        <f t="shared" si="274"/>
        <v/>
      </c>
      <c r="CN430" s="635"/>
      <c r="CO430" s="631"/>
      <c r="CP430" s="629" t="str">
        <f t="shared" si="251"/>
        <v>FOR ISSUANCE</v>
      </c>
      <c r="CQ430" s="635"/>
      <c r="CR430" s="697"/>
      <c r="CS430" s="633" t="str">
        <f t="shared" ca="1" si="275"/>
        <v>0</v>
      </c>
      <c r="CT430" s="635"/>
      <c r="CU430" s="631"/>
      <c r="CV430" s="638"/>
      <c r="CW430" s="156" t="s">
        <v>2521</v>
      </c>
      <c r="CX430" s="156" t="str">
        <f>VLOOKUP(E430,'[1]List of Work Orders'!$A:$I,9,FALSE)</f>
        <v>ME185284</v>
      </c>
      <c r="CY430" s="156"/>
      <c r="DA430" s="762">
        <f t="shared" si="278"/>
        <v>10.052777777775191</v>
      </c>
      <c r="DS430" s="156" t="s">
        <v>381</v>
      </c>
    </row>
    <row r="431" spans="1:123" customFormat="1" ht="15" customHeight="1" x14ac:dyDescent="0.25">
      <c r="A431" s="242">
        <v>45726</v>
      </c>
      <c r="B431" s="222">
        <v>45805</v>
      </c>
      <c r="C431" s="223"/>
      <c r="D431" s="66" t="s">
        <v>234</v>
      </c>
      <c r="E431" s="404" t="s">
        <v>2522</v>
      </c>
      <c r="F431" s="95" t="s">
        <v>887</v>
      </c>
      <c r="G431" s="95" t="s">
        <v>888</v>
      </c>
      <c r="H431" s="95" t="s">
        <v>238</v>
      </c>
      <c r="I431" s="95" t="s">
        <v>239</v>
      </c>
      <c r="J431" s="163"/>
      <c r="K431" s="101"/>
      <c r="L431" s="101" t="s">
        <v>263</v>
      </c>
      <c r="M431" s="345" t="s">
        <v>331</v>
      </c>
      <c r="N431" s="442" t="s">
        <v>467</v>
      </c>
      <c r="O431" s="165">
        <v>20.14</v>
      </c>
      <c r="P431" s="165">
        <v>79.3</v>
      </c>
      <c r="Q431" s="157" t="s">
        <v>2021</v>
      </c>
      <c r="R431" s="109" t="s">
        <v>319</v>
      </c>
      <c r="S431" s="110">
        <v>61797.09</v>
      </c>
      <c r="T431" s="93">
        <v>68145.2</v>
      </c>
      <c r="U431" s="141"/>
      <c r="V431" s="158">
        <f t="shared" si="252"/>
        <v>0</v>
      </c>
      <c r="W431" s="159">
        <v>45712.604861111111</v>
      </c>
      <c r="X431" s="159">
        <v>45722.561111111114</v>
      </c>
      <c r="Y431" s="160">
        <v>45727</v>
      </c>
      <c r="Z431" s="470"/>
      <c r="AA431" s="470"/>
      <c r="AB431" s="470"/>
      <c r="AC431" s="161">
        <f t="shared" si="253"/>
        <v>-45712.604861111111</v>
      </c>
      <c r="AD431" s="161">
        <f t="shared" si="281"/>
        <v>-45722.561111111114</v>
      </c>
      <c r="AE431" s="446">
        <f t="shared" si="276"/>
        <v>0</v>
      </c>
      <c r="AF431" s="160">
        <f t="shared" si="282"/>
        <v>45725.215720839617</v>
      </c>
      <c r="AG431" s="160">
        <f t="shared" si="279"/>
        <v>45732.378616767222</v>
      </c>
      <c r="AH431" s="159">
        <f t="shared" si="283"/>
        <v>45762.604861111111</v>
      </c>
      <c r="AI431" s="162">
        <f t="shared" si="254"/>
        <v>-2196.1925378925121</v>
      </c>
      <c r="AJ431" s="224">
        <f t="shared" si="284"/>
        <v>0</v>
      </c>
      <c r="AK431" s="225">
        <f t="shared" si="255"/>
        <v>23</v>
      </c>
      <c r="AL431" s="170">
        <f t="shared" si="256"/>
        <v>20</v>
      </c>
      <c r="AM431" s="170">
        <f t="shared" si="257"/>
        <v>15.610859728506789</v>
      </c>
      <c r="AN431" s="170">
        <f t="shared" si="258"/>
        <v>19.773755656108598</v>
      </c>
      <c r="AO431" s="226">
        <f t="shared" si="259"/>
        <v>12.610859728506789</v>
      </c>
      <c r="AP431" s="227">
        <v>60</v>
      </c>
      <c r="AQ431" s="228">
        <f t="shared" si="260"/>
        <v>57</v>
      </c>
      <c r="AR431" s="228">
        <f t="shared" si="280"/>
        <v>52</v>
      </c>
      <c r="AS431" s="229">
        <f t="shared" si="261"/>
        <v>60</v>
      </c>
      <c r="AT431" s="982">
        <f t="shared" ca="1" si="262"/>
        <v>45895</v>
      </c>
      <c r="AU431" s="50"/>
      <c r="AV431" s="51"/>
      <c r="AW431" s="49"/>
      <c r="AX431" s="49"/>
      <c r="AY431" s="49"/>
      <c r="AZ431" s="300"/>
      <c r="BA431" s="52"/>
      <c r="BB431" s="304"/>
      <c r="BC431" s="231"/>
      <c r="BD431" s="232"/>
      <c r="BE431" s="222">
        <f t="shared" si="277"/>
        <v>15</v>
      </c>
      <c r="BF431" s="233">
        <f t="shared" si="250"/>
        <v>0</v>
      </c>
      <c r="BG431" s="248"/>
      <c r="BH431" s="235"/>
      <c r="BI431" s="234"/>
      <c r="BJ431" s="236"/>
      <c r="BK431" s="222"/>
      <c r="BL431" s="222"/>
      <c r="BM431" s="238"/>
      <c r="BN431" s="222"/>
      <c r="BO431" s="222"/>
      <c r="BP431" s="243"/>
      <c r="BQ431" s="244"/>
      <c r="BR431" s="238"/>
      <c r="BS431" s="67"/>
      <c r="BT431" s="66"/>
      <c r="BU431" s="66"/>
      <c r="BV431" s="66"/>
      <c r="BW431" s="74"/>
      <c r="BX431" s="81"/>
      <c r="BY431" s="66" t="s">
        <v>308</v>
      </c>
      <c r="BZ431" s="944"/>
      <c r="CA431" s="42" t="str">
        <f t="shared" si="263"/>
        <v>0</v>
      </c>
      <c r="CB431" s="62">
        <f t="shared" si="264"/>
        <v>-45712.604861111111</v>
      </c>
      <c r="CC431" s="42">
        <f t="shared" si="265"/>
        <v>0</v>
      </c>
      <c r="CD431" s="62">
        <f t="shared" si="266"/>
        <v>-45712.604861111111</v>
      </c>
      <c r="CE431" s="62">
        <f t="shared" si="267"/>
        <v>-2196.1925378925121</v>
      </c>
      <c r="CF431" s="145" t="str">
        <f t="shared" si="268"/>
        <v>0</v>
      </c>
      <c r="CG431" s="145"/>
      <c r="CH431" s="443">
        <f t="shared" si="269"/>
        <v>7.5137664553140162</v>
      </c>
      <c r="CI431" s="996">
        <f t="shared" si="270"/>
        <v>7.5137664553140162</v>
      </c>
      <c r="CJ431" s="261">
        <f t="shared" si="271"/>
        <v>0</v>
      </c>
      <c r="CK431" s="458">
        <f t="shared" si="272"/>
        <v>143.39513888888905</v>
      </c>
      <c r="CL431" t="str">
        <f t="shared" si="273"/>
        <v>NON-REV</v>
      </c>
      <c r="CM431" t="str">
        <f t="shared" si="274"/>
        <v>4-6 MONTHS</v>
      </c>
      <c r="CN431" s="635"/>
      <c r="CO431" s="631"/>
      <c r="CP431" s="629" t="str">
        <f t="shared" si="251"/>
        <v>FOR ISSUANCE</v>
      </c>
      <c r="CQ431" s="635"/>
      <c r="CR431" s="697"/>
      <c r="CS431" s="633" t="str">
        <f t="shared" ca="1" si="275"/>
        <v>0</v>
      </c>
      <c r="CT431" s="635"/>
      <c r="CU431" s="631"/>
      <c r="CV431" s="638"/>
      <c r="CW431" s="156" t="s">
        <v>2523</v>
      </c>
      <c r="CX431" s="156" t="str">
        <f>VLOOKUP(E431,'[1]List of Work Orders'!$A:$I,9,FALSE)</f>
        <v>ME155242</v>
      </c>
      <c r="CY431" s="156"/>
      <c r="DA431" s="762">
        <f t="shared" si="278"/>
        <v>9.9562500000029104</v>
      </c>
      <c r="DS431" s="156" t="s">
        <v>381</v>
      </c>
    </row>
    <row r="432" spans="1:123" ht="15" customHeight="1" x14ac:dyDescent="0.2">
      <c r="A432" s="242">
        <v>45719</v>
      </c>
      <c r="B432" s="222">
        <v>45716</v>
      </c>
      <c r="C432" s="223"/>
      <c r="D432" s="66" t="s">
        <v>284</v>
      </c>
      <c r="E432" s="404" t="s">
        <v>2524</v>
      </c>
      <c r="F432" s="95" t="s">
        <v>2525</v>
      </c>
      <c r="G432" s="95" t="s">
        <v>2526</v>
      </c>
      <c r="H432" s="95" t="s">
        <v>238</v>
      </c>
      <c r="I432" s="95" t="s">
        <v>239</v>
      </c>
      <c r="J432" s="163"/>
      <c r="K432" s="101"/>
      <c r="L432" s="101" t="s">
        <v>255</v>
      </c>
      <c r="M432" s="345" t="s">
        <v>272</v>
      </c>
      <c r="N432" s="442" t="s">
        <v>381</v>
      </c>
      <c r="O432" s="165">
        <v>11.943299999999999</v>
      </c>
      <c r="P432" s="933">
        <v>14.57</v>
      </c>
      <c r="Q432" s="157">
        <v>22</v>
      </c>
      <c r="R432" s="109" t="s">
        <v>244</v>
      </c>
      <c r="S432" s="110">
        <v>243992.07</v>
      </c>
      <c r="T432" s="93">
        <v>12521.730000000001</v>
      </c>
      <c r="U432" s="141"/>
      <c r="V432" s="158">
        <f t="shared" si="252"/>
        <v>0</v>
      </c>
      <c r="W432" s="159">
        <v>45712.693749999999</v>
      </c>
      <c r="X432" s="159">
        <v>45722.560416666667</v>
      </c>
      <c r="Y432" s="160">
        <v>45716</v>
      </c>
      <c r="Z432" s="470"/>
      <c r="AA432" s="470">
        <v>45747</v>
      </c>
      <c r="AB432" s="470"/>
      <c r="AC432" s="161">
        <f t="shared" si="253"/>
        <v>34.306250000001455</v>
      </c>
      <c r="AD432" s="161">
        <f t="shared" si="281"/>
        <v>24.439583333332848</v>
      </c>
      <c r="AE432" s="446">
        <f t="shared" si="276"/>
        <v>-45747</v>
      </c>
      <c r="AF432" s="160">
        <f t="shared" si="282"/>
        <v>45731.467943548385</v>
      </c>
      <c r="AG432" s="160">
        <f t="shared" si="279"/>
        <v>45740.274395161287</v>
      </c>
      <c r="AH432" s="159">
        <f t="shared" si="283"/>
        <v>45762.693749999999</v>
      </c>
      <c r="AI432" s="162">
        <f t="shared" si="254"/>
        <v>1.1816597222222724</v>
      </c>
      <c r="AJ432" s="224">
        <f t="shared" si="284"/>
        <v>-762.45</v>
      </c>
      <c r="AK432" s="225">
        <f t="shared" si="255"/>
        <v>20</v>
      </c>
      <c r="AL432" s="170">
        <f t="shared" si="256"/>
        <v>36</v>
      </c>
      <c r="AM432" s="170">
        <f t="shared" si="257"/>
        <v>21.774193548387096</v>
      </c>
      <c r="AN432" s="170">
        <f t="shared" si="258"/>
        <v>27.58064516129032</v>
      </c>
      <c r="AO432" s="226">
        <f t="shared" si="259"/>
        <v>18.774193548387096</v>
      </c>
      <c r="AP432" s="227">
        <v>60</v>
      </c>
      <c r="AQ432" s="228">
        <f t="shared" si="260"/>
        <v>57</v>
      </c>
      <c r="AR432" s="228">
        <f t="shared" si="280"/>
        <v>52</v>
      </c>
      <c r="AS432" s="229">
        <f t="shared" si="261"/>
        <v>45807</v>
      </c>
      <c r="AT432" s="982">
        <f t="shared" ca="1" si="262"/>
        <v>148</v>
      </c>
      <c r="AU432" s="1077" t="s">
        <v>2527</v>
      </c>
      <c r="AV432" s="1092" t="s">
        <v>247</v>
      </c>
      <c r="AW432" s="1079" t="s">
        <v>247</v>
      </c>
      <c r="AX432" s="1079"/>
      <c r="AY432" s="1079"/>
      <c r="AZ432" s="1080">
        <v>45726</v>
      </c>
      <c r="BA432" s="1101">
        <f>BB432-AZ432</f>
        <v>21</v>
      </c>
      <c r="BB432" s="1091">
        <v>45747</v>
      </c>
      <c r="BC432" s="231" t="s">
        <v>13</v>
      </c>
      <c r="BD432" s="232"/>
      <c r="BE432" s="222">
        <f t="shared" si="277"/>
        <v>45762</v>
      </c>
      <c r="BF432" s="233" t="e">
        <f t="shared" si="250"/>
        <v>#VALUE!</v>
      </c>
      <c r="BG432" s="248"/>
      <c r="BH432" s="235"/>
      <c r="BI432" s="234"/>
      <c r="BJ432" s="236"/>
      <c r="BK432" s="222"/>
      <c r="BL432" s="222"/>
      <c r="BM432" s="238"/>
      <c r="BN432" s="222"/>
      <c r="BO432" s="222"/>
      <c r="BP432" s="243"/>
      <c r="BQ432" s="244" t="s">
        <v>247</v>
      </c>
      <c r="BR432" s="238">
        <v>45747</v>
      </c>
      <c r="BS432" s="67"/>
      <c r="BT432" s="66"/>
      <c r="BU432" s="66"/>
      <c r="BV432" s="66"/>
      <c r="BW432" s="74"/>
      <c r="BX432" s="81"/>
      <c r="BY432" s="66">
        <v>45720</v>
      </c>
      <c r="BZ432" s="944" t="s">
        <v>2528</v>
      </c>
      <c r="CA432" s="42" t="str">
        <f t="shared" si="263"/>
        <v>0</v>
      </c>
      <c r="CB432" s="62">
        <f t="shared" si="264"/>
        <v>34.306250000001455</v>
      </c>
      <c r="CC432" s="42">
        <f t="shared" si="265"/>
        <v>21</v>
      </c>
      <c r="CD432" s="62">
        <f t="shared" si="266"/>
        <v>13.306250000001455</v>
      </c>
      <c r="CE432" s="62">
        <f t="shared" si="267"/>
        <v>0.45832638888893901</v>
      </c>
      <c r="CF432" s="1059">
        <f t="shared" si="268"/>
        <v>122</v>
      </c>
      <c r="CG432" s="1059">
        <f xml:space="preserve"> (0.3)*(($CF$1-W432-CF432)/AK432)+(0.7)*(($CF$1-W432-CF432)/AL432)</f>
        <v>1.1816597222222724</v>
      </c>
      <c r="CH432" s="1082">
        <f t="shared" si="269"/>
        <v>5.3838819444444947</v>
      </c>
      <c r="CI432" s="1083">
        <f t="shared" si="270"/>
        <v>4.2022222222222219</v>
      </c>
      <c r="CJ432" s="1084">
        <f t="shared" si="271"/>
        <v>2.0333333333333332</v>
      </c>
      <c r="CK432" s="1085" t="str">
        <f t="shared" si="272"/>
        <v/>
      </c>
      <c r="CL432" s="1057" t="str">
        <f t="shared" si="273"/>
        <v>REV</v>
      </c>
      <c r="CM432" s="1057" t="str">
        <f t="shared" si="274"/>
        <v/>
      </c>
      <c r="CN432" s="1086"/>
      <c r="CO432" s="1087"/>
      <c r="CP432" s="629" t="str">
        <f t="shared" si="251"/>
        <v>FOR ISSUANCE</v>
      </c>
      <c r="CQ432" s="1086"/>
      <c r="CR432" s="1088"/>
      <c r="CS432" s="1089" t="str">
        <f t="shared" ca="1" si="275"/>
        <v>0</v>
      </c>
      <c r="CT432" s="1086"/>
      <c r="CU432" s="1087"/>
      <c r="CV432" s="1090"/>
      <c r="CW432" s="156" t="s">
        <v>2529</v>
      </c>
      <c r="CX432" s="156" t="str">
        <f>VLOOKUP(E432,'[1]List of Work Orders'!$A:$I,9,FALSE)</f>
        <v>ME185284</v>
      </c>
      <c r="CY432" s="156"/>
      <c r="DA432" s="1100">
        <f t="shared" si="278"/>
        <v>9.8666666666686069</v>
      </c>
      <c r="DS432" s="156" t="s">
        <v>381</v>
      </c>
    </row>
    <row r="433" spans="1:123" customFormat="1" ht="15" customHeight="1" x14ac:dyDescent="0.25">
      <c r="A433" s="242">
        <v>45750</v>
      </c>
      <c r="B433" s="222"/>
      <c r="C433" s="223" t="s">
        <v>247</v>
      </c>
      <c r="D433" s="66" t="s">
        <v>284</v>
      </c>
      <c r="E433" s="404" t="s">
        <v>2530</v>
      </c>
      <c r="F433" s="95" t="s">
        <v>2531</v>
      </c>
      <c r="G433" s="95" t="s">
        <v>2532</v>
      </c>
      <c r="H433" s="95" t="s">
        <v>253</v>
      </c>
      <c r="I433" s="95" t="s">
        <v>254</v>
      </c>
      <c r="J433" s="163"/>
      <c r="K433" s="101"/>
      <c r="L433" s="101" t="s">
        <v>5</v>
      </c>
      <c r="M433" s="345" t="s">
        <v>272</v>
      </c>
      <c r="N433" s="442" t="s">
        <v>403</v>
      </c>
      <c r="O433" s="165">
        <v>15.642799999999998</v>
      </c>
      <c r="P433" s="933">
        <v>48.36</v>
      </c>
      <c r="Q433" s="157">
        <v>142</v>
      </c>
      <c r="R433" s="109" t="s">
        <v>244</v>
      </c>
      <c r="S433" s="110">
        <v>472661.66</v>
      </c>
      <c r="T433" s="93">
        <v>41560.119999999995</v>
      </c>
      <c r="U433" s="141"/>
      <c r="V433" s="158">
        <f t="shared" si="252"/>
        <v>0</v>
      </c>
      <c r="W433" s="159">
        <v>45712.701388888891</v>
      </c>
      <c r="X433" s="159">
        <v>45717.181250000001</v>
      </c>
      <c r="Y433" s="160">
        <v>45716</v>
      </c>
      <c r="Z433" s="470">
        <v>45720.181250000001</v>
      </c>
      <c r="AA433" s="470">
        <v>45720</v>
      </c>
      <c r="AB433" s="470"/>
      <c r="AC433" s="161">
        <f t="shared" si="253"/>
        <v>7.2986111111094942</v>
      </c>
      <c r="AD433" s="161">
        <f t="shared" si="281"/>
        <v>2.8187499999985448</v>
      </c>
      <c r="AE433" s="446">
        <f t="shared" si="276"/>
        <v>-45720</v>
      </c>
      <c r="AF433" s="160">
        <f t="shared" si="282"/>
        <v>45730.040371939736</v>
      </c>
      <c r="AG433" s="160">
        <f t="shared" si="279"/>
        <v>45738.464100753299</v>
      </c>
      <c r="AH433" s="159">
        <f t="shared" si="283"/>
        <v>45762.701388888891</v>
      </c>
      <c r="AI433" s="162">
        <f t="shared" si="254"/>
        <v>0.26913628472216261</v>
      </c>
      <c r="AJ433" s="224">
        <f t="shared" si="284"/>
        <v>-762</v>
      </c>
      <c r="AK433" s="225">
        <f t="shared" si="255"/>
        <v>20</v>
      </c>
      <c r="AL433" s="170">
        <f t="shared" si="256"/>
        <v>32</v>
      </c>
      <c r="AM433" s="170">
        <f t="shared" si="257"/>
        <v>20.33898305084746</v>
      </c>
      <c r="AN433" s="170">
        <f t="shared" si="258"/>
        <v>25.762711864406779</v>
      </c>
      <c r="AO433" s="226">
        <f t="shared" si="259"/>
        <v>17.33898305084746</v>
      </c>
      <c r="AP433" s="227">
        <v>60</v>
      </c>
      <c r="AQ433" s="228">
        <f t="shared" si="260"/>
        <v>57</v>
      </c>
      <c r="AR433" s="228">
        <f t="shared" si="280"/>
        <v>52</v>
      </c>
      <c r="AS433" s="229">
        <f t="shared" si="261"/>
        <v>45780</v>
      </c>
      <c r="AT433" s="982">
        <f t="shared" ca="1" si="262"/>
        <v>175</v>
      </c>
      <c r="AU433" s="50"/>
      <c r="AV433" s="51"/>
      <c r="AW433" s="49"/>
      <c r="AX433" s="49"/>
      <c r="AY433" s="49"/>
      <c r="AZ433" s="300"/>
      <c r="BA433" s="52"/>
      <c r="BB433" s="304"/>
      <c r="BC433" s="231" t="s">
        <v>146</v>
      </c>
      <c r="BD433" s="232"/>
      <c r="BE433" s="222">
        <f t="shared" si="277"/>
        <v>45735</v>
      </c>
      <c r="BF433" s="233">
        <f t="shared" si="250"/>
        <v>8</v>
      </c>
      <c r="BG433" s="248">
        <v>45720</v>
      </c>
      <c r="BH433" s="235">
        <v>45743</v>
      </c>
      <c r="BI433" s="234"/>
      <c r="BJ433" s="236"/>
      <c r="BK433" s="222"/>
      <c r="BL433" s="222"/>
      <c r="BM433" s="238"/>
      <c r="BN433" s="222"/>
      <c r="BO433" s="222"/>
      <c r="BP433" s="243"/>
      <c r="BQ433" s="244" t="s">
        <v>247</v>
      </c>
      <c r="BR433" s="238">
        <v>45719</v>
      </c>
      <c r="BS433" s="67"/>
      <c r="BT433" s="66"/>
      <c r="BU433" s="66"/>
      <c r="BV433" s="66"/>
      <c r="BW433" s="74"/>
      <c r="BX433" s="81"/>
      <c r="BY433" s="66">
        <v>45754</v>
      </c>
      <c r="BZ433" s="947" t="s">
        <v>2533</v>
      </c>
      <c r="CA433" s="42" t="str">
        <f t="shared" si="263"/>
        <v>0</v>
      </c>
      <c r="CB433" s="62">
        <f t="shared" si="264"/>
        <v>7.2986111111094942</v>
      </c>
      <c r="CC433" s="42">
        <f t="shared" si="265"/>
        <v>0</v>
      </c>
      <c r="CD433" s="62">
        <f t="shared" si="266"/>
        <v>7.2986111111094942</v>
      </c>
      <c r="CE433" s="62">
        <f t="shared" si="267"/>
        <v>0.26913628472216261</v>
      </c>
      <c r="CF433" s="145">
        <f t="shared" si="268"/>
        <v>149</v>
      </c>
      <c r="CG433" s="145"/>
      <c r="CH433" s="443">
        <f t="shared" si="269"/>
        <v>5.7635112847221626</v>
      </c>
      <c r="CI433" s="996">
        <f t="shared" si="270"/>
        <v>5.7635112847221626</v>
      </c>
      <c r="CJ433" s="261">
        <f t="shared" si="271"/>
        <v>2.4833333333333334</v>
      </c>
      <c r="CK433" s="458" t="str">
        <f t="shared" si="272"/>
        <v/>
      </c>
      <c r="CL433" t="str">
        <f t="shared" si="273"/>
        <v>REV</v>
      </c>
      <c r="CM433" t="str">
        <f t="shared" si="274"/>
        <v/>
      </c>
      <c r="CN433" s="635"/>
      <c r="CO433" s="631"/>
      <c r="CP433" s="629" t="str">
        <f t="shared" si="251"/>
        <v>FOR ISSUANCE</v>
      </c>
      <c r="CQ433" s="635"/>
      <c r="CR433" s="697"/>
      <c r="CS433" s="633" t="str">
        <f t="shared" ca="1" si="275"/>
        <v>0</v>
      </c>
      <c r="CT433" s="635"/>
      <c r="CU433" s="631"/>
      <c r="CV433" s="638"/>
      <c r="CW433" s="156" t="s">
        <v>2534</v>
      </c>
      <c r="CX433" s="156" t="str">
        <f>VLOOKUP(E433,'[1]List of Work Orders'!$A:$I,9,FALSE)</f>
        <v>ME166067</v>
      </c>
      <c r="CY433" s="156"/>
      <c r="DA433" s="762">
        <f t="shared" si="278"/>
        <v>4.4798611111109494</v>
      </c>
      <c r="DS433" s="156" t="s">
        <v>381</v>
      </c>
    </row>
    <row r="434" spans="1:123" customFormat="1" ht="15" customHeight="1" x14ac:dyDescent="0.25">
      <c r="A434" s="222" t="s">
        <v>308</v>
      </c>
      <c r="B434" s="222" t="s">
        <v>308</v>
      </c>
      <c r="C434" s="223"/>
      <c r="D434" s="66" t="s">
        <v>284</v>
      </c>
      <c r="E434" s="404" t="s">
        <v>2535</v>
      </c>
      <c r="F434" s="95" t="s">
        <v>2536</v>
      </c>
      <c r="G434" s="95" t="s">
        <v>2537</v>
      </c>
      <c r="H434" s="95" t="s">
        <v>269</v>
      </c>
      <c r="I434" s="95" t="s">
        <v>239</v>
      </c>
      <c r="J434" s="163"/>
      <c r="K434" s="101"/>
      <c r="L434" s="101" t="s">
        <v>1945</v>
      </c>
      <c r="M434" s="345" t="s">
        <v>331</v>
      </c>
      <c r="N434" s="442" t="s">
        <v>1946</v>
      </c>
      <c r="O434" s="165">
        <v>76.36</v>
      </c>
      <c r="P434" s="165">
        <v>76.36</v>
      </c>
      <c r="Q434" s="157">
        <v>237</v>
      </c>
      <c r="R434" s="109" t="s">
        <v>244</v>
      </c>
      <c r="S434" s="110">
        <v>674882.29</v>
      </c>
      <c r="T434" s="93">
        <v>66120.039999999994</v>
      </c>
      <c r="U434" s="141"/>
      <c r="V434" s="158">
        <f t="shared" si="252"/>
        <v>0</v>
      </c>
      <c r="W434" s="159">
        <v>45713.35833333333</v>
      </c>
      <c r="X434" s="159">
        <v>45722.643055555556</v>
      </c>
      <c r="Y434" s="160">
        <v>45716</v>
      </c>
      <c r="Z434" s="470"/>
      <c r="AA434" s="470"/>
      <c r="AB434" s="470"/>
      <c r="AC434" s="161">
        <f t="shared" si="253"/>
        <v>-45713.35833333333</v>
      </c>
      <c r="AD434" s="161">
        <f t="shared" si="281"/>
        <v>-45722.643055555556</v>
      </c>
      <c r="AE434" s="446">
        <f t="shared" si="276"/>
        <v>0</v>
      </c>
      <c r="AF434" s="160">
        <f t="shared" si="282"/>
        <v>45730.975863213811</v>
      </c>
      <c r="AG434" s="160">
        <f t="shared" si="279"/>
        <v>45739.473871181937</v>
      </c>
      <c r="AH434" s="159">
        <f t="shared" si="283"/>
        <v>45763.35833333333</v>
      </c>
      <c r="AI434" s="162">
        <f t="shared" si="254"/>
        <v>-1662.9062234299513</v>
      </c>
      <c r="AJ434" s="224">
        <f t="shared" si="284"/>
        <v>0</v>
      </c>
      <c r="AK434" s="225">
        <f t="shared" si="255"/>
        <v>23</v>
      </c>
      <c r="AL434" s="170">
        <f t="shared" si="256"/>
        <v>30</v>
      </c>
      <c r="AM434" s="170">
        <f t="shared" si="257"/>
        <v>20.617529880478088</v>
      </c>
      <c r="AN434" s="170">
        <f t="shared" si="258"/>
        <v>26.115537848605577</v>
      </c>
      <c r="AO434" s="226">
        <f t="shared" si="259"/>
        <v>17.617529880478088</v>
      </c>
      <c r="AP434" s="227">
        <v>60</v>
      </c>
      <c r="AQ434" s="228">
        <f t="shared" si="260"/>
        <v>57</v>
      </c>
      <c r="AR434" s="228">
        <f t="shared" si="280"/>
        <v>52</v>
      </c>
      <c r="AS434" s="229">
        <f t="shared" si="261"/>
        <v>60</v>
      </c>
      <c r="AT434" s="982">
        <f t="shared" ca="1" si="262"/>
        <v>45895</v>
      </c>
      <c r="AU434" s="50" t="s">
        <v>60</v>
      </c>
      <c r="AV434" s="51" t="s">
        <v>247</v>
      </c>
      <c r="AW434" s="49"/>
      <c r="AX434" s="49"/>
      <c r="AY434" s="49"/>
      <c r="AZ434" s="300">
        <v>45772</v>
      </c>
      <c r="BA434" s="52"/>
      <c r="BB434" s="304"/>
      <c r="BC434" s="231"/>
      <c r="BD434" s="232"/>
      <c r="BE434" s="222">
        <f t="shared" si="277"/>
        <v>15</v>
      </c>
      <c r="BF434" s="233">
        <f t="shared" si="250"/>
        <v>0</v>
      </c>
      <c r="BG434" s="248"/>
      <c r="BH434" s="235"/>
      <c r="BI434" s="234"/>
      <c r="BJ434" s="236"/>
      <c r="BK434" s="222"/>
      <c r="BL434" s="222"/>
      <c r="BM434" s="238"/>
      <c r="BN434" s="222"/>
      <c r="BO434" s="222"/>
      <c r="BP434" s="243"/>
      <c r="BQ434" s="244"/>
      <c r="BR434" s="238"/>
      <c r="BS434" s="67"/>
      <c r="BT434" s="66"/>
      <c r="BU434" s="66"/>
      <c r="BV434" s="66"/>
      <c r="BW434" s="74"/>
      <c r="BX434" s="81"/>
      <c r="BY434" s="66"/>
      <c r="BZ434" s="944"/>
      <c r="CA434" s="42" t="str">
        <f t="shared" si="263"/>
        <v>0</v>
      </c>
      <c r="CB434" s="62">
        <f t="shared" si="264"/>
        <v>-45713.35833333333</v>
      </c>
      <c r="CC434" s="42">
        <f t="shared" si="265"/>
        <v>0</v>
      </c>
      <c r="CD434" s="62">
        <f t="shared" si="266"/>
        <v>-45713.35833333333</v>
      </c>
      <c r="CE434" s="62">
        <f t="shared" si="267"/>
        <v>-1662.9062234299513</v>
      </c>
      <c r="CF434" s="145" t="str">
        <f t="shared" si="268"/>
        <v>0</v>
      </c>
      <c r="CG434" s="145">
        <f xml:space="preserve"> (0.3)*(($CF$1-W434-CF434)/AK434)+(0.7)*(($CF$1-W434-CF434)/AL434)</f>
        <v>5.6617475845411853</v>
      </c>
      <c r="CH434" s="443">
        <f t="shared" si="269"/>
        <v>5.6617475845411853</v>
      </c>
      <c r="CI434" s="996">
        <f t="shared" si="270"/>
        <v>0</v>
      </c>
      <c r="CJ434" s="261">
        <f t="shared" si="271"/>
        <v>0</v>
      </c>
      <c r="CK434" s="458">
        <f t="shared" si="272"/>
        <v>142.64166666667006</v>
      </c>
      <c r="CL434" t="str">
        <f t="shared" si="273"/>
        <v>REV</v>
      </c>
      <c r="CM434" t="str">
        <f t="shared" si="274"/>
        <v>4-6 MONTHS</v>
      </c>
      <c r="CN434" s="635"/>
      <c r="CO434" s="631"/>
      <c r="CP434" s="629" t="str">
        <f t="shared" si="251"/>
        <v>FOR ISSUANCE</v>
      </c>
      <c r="CQ434" s="635"/>
      <c r="CR434" s="697"/>
      <c r="CS434" s="633" t="str">
        <f t="shared" ca="1" si="275"/>
        <v>0</v>
      </c>
      <c r="CT434" s="635"/>
      <c r="CU434" s="631"/>
      <c r="CV434" s="638"/>
      <c r="CW434" s="156" t="s">
        <v>2538</v>
      </c>
      <c r="CX434" s="156" t="str">
        <f>VLOOKUP(E434,'[1]List of Work Orders'!$A:$I,9,FALSE)</f>
        <v>ME194579</v>
      </c>
      <c r="CY434" s="156"/>
      <c r="DA434" s="762">
        <f t="shared" si="278"/>
        <v>9.2847222222262644</v>
      </c>
      <c r="DS434" s="156" t="s">
        <v>397</v>
      </c>
    </row>
    <row r="435" spans="1:123" customFormat="1" ht="15" customHeight="1" x14ac:dyDescent="0.25">
      <c r="A435" s="242">
        <v>45733</v>
      </c>
      <c r="B435" s="222" t="s">
        <v>470</v>
      </c>
      <c r="C435" s="223"/>
      <c r="D435" s="66" t="s">
        <v>234</v>
      </c>
      <c r="E435" s="404" t="s">
        <v>2539</v>
      </c>
      <c r="F435" s="95" t="s">
        <v>2540</v>
      </c>
      <c r="G435" s="95" t="s">
        <v>2541</v>
      </c>
      <c r="H435" s="95" t="s">
        <v>238</v>
      </c>
      <c r="I435" s="95" t="s">
        <v>239</v>
      </c>
      <c r="J435" s="163"/>
      <c r="K435" s="101"/>
      <c r="L435" s="101" t="s">
        <v>288</v>
      </c>
      <c r="M435" s="345" t="s">
        <v>272</v>
      </c>
      <c r="N435" s="442" t="s">
        <v>381</v>
      </c>
      <c r="O435" s="165">
        <v>19.416699999999999</v>
      </c>
      <c r="P435" s="933">
        <v>19.420000000000002</v>
      </c>
      <c r="Q435" s="157">
        <v>0</v>
      </c>
      <c r="R435" s="109" t="s">
        <v>327</v>
      </c>
      <c r="S435" s="110">
        <v>43757.1</v>
      </c>
      <c r="T435" s="93">
        <v>16683.329999999998</v>
      </c>
      <c r="U435" s="141"/>
      <c r="V435" s="158">
        <f t="shared" si="252"/>
        <v>0</v>
      </c>
      <c r="W435" s="159">
        <v>45713.409722222219</v>
      </c>
      <c r="X435" s="159">
        <v>45722.627083333333</v>
      </c>
      <c r="Y435" s="160">
        <v>45727</v>
      </c>
      <c r="Z435" s="470"/>
      <c r="AA435" s="470">
        <v>45819</v>
      </c>
      <c r="AB435" s="470"/>
      <c r="AC435" s="161">
        <f t="shared" si="253"/>
        <v>105.59027777778101</v>
      </c>
      <c r="AD435" s="161">
        <f t="shared" si="281"/>
        <v>96.372916666667152</v>
      </c>
      <c r="AE435" s="446">
        <f t="shared" si="276"/>
        <v>-45819</v>
      </c>
      <c r="AF435" s="160">
        <f t="shared" si="282"/>
        <v>45732.183915770605</v>
      </c>
      <c r="AG435" s="160">
        <f t="shared" si="279"/>
        <v>45740.990367383507</v>
      </c>
      <c r="AH435" s="159">
        <f t="shared" si="283"/>
        <v>45763.409722222219</v>
      </c>
      <c r="AI435" s="162">
        <f t="shared" si="254"/>
        <v>3.6369984567902347</v>
      </c>
      <c r="AJ435" s="224">
        <f t="shared" si="284"/>
        <v>-763.65</v>
      </c>
      <c r="AK435" s="225">
        <f t="shared" si="255"/>
        <v>20</v>
      </c>
      <c r="AL435" s="170">
        <f t="shared" si="256"/>
        <v>36</v>
      </c>
      <c r="AM435" s="170">
        <f t="shared" si="257"/>
        <v>21.774193548387096</v>
      </c>
      <c r="AN435" s="170">
        <f t="shared" si="258"/>
        <v>27.58064516129032</v>
      </c>
      <c r="AO435" s="226">
        <f t="shared" si="259"/>
        <v>18.774193548387096</v>
      </c>
      <c r="AP435" s="227">
        <v>60</v>
      </c>
      <c r="AQ435" s="228">
        <f t="shared" si="260"/>
        <v>57</v>
      </c>
      <c r="AR435" s="228">
        <f t="shared" si="280"/>
        <v>52</v>
      </c>
      <c r="AS435" s="229">
        <f t="shared" si="261"/>
        <v>45879</v>
      </c>
      <c r="AT435" s="982">
        <f t="shared" ca="1" si="262"/>
        <v>76</v>
      </c>
      <c r="AU435" s="50"/>
      <c r="AV435" s="51"/>
      <c r="AW435" s="49"/>
      <c r="AX435" s="49"/>
      <c r="AY435" s="49"/>
      <c r="AZ435" s="300"/>
      <c r="BA435" s="52"/>
      <c r="BB435" s="304"/>
      <c r="BC435" s="231" t="s">
        <v>13</v>
      </c>
      <c r="BD435" s="232"/>
      <c r="BE435" s="222">
        <f t="shared" si="277"/>
        <v>45834</v>
      </c>
      <c r="BF435" s="233" t="e">
        <f t="shared" si="250"/>
        <v>#VALUE!</v>
      </c>
      <c r="BG435" s="248"/>
      <c r="BH435" s="235"/>
      <c r="BI435" s="234"/>
      <c r="BJ435" s="236"/>
      <c r="BK435" s="222"/>
      <c r="BL435" s="222"/>
      <c r="BM435" s="238"/>
      <c r="BN435" s="222"/>
      <c r="BO435" s="222"/>
      <c r="BP435" s="243"/>
      <c r="BQ435" s="244"/>
      <c r="BR435" s="238"/>
      <c r="BS435" s="67"/>
      <c r="BT435" s="66"/>
      <c r="BU435" s="66"/>
      <c r="BV435" s="66"/>
      <c r="BW435" s="74"/>
      <c r="BX435" s="81"/>
      <c r="BY435" s="66" t="s">
        <v>308</v>
      </c>
      <c r="BZ435" s="944"/>
      <c r="CA435" s="42" t="str">
        <f t="shared" si="263"/>
        <v>0</v>
      </c>
      <c r="CB435" s="62">
        <f t="shared" si="264"/>
        <v>105.59027777778101</v>
      </c>
      <c r="CC435" s="42">
        <f t="shared" si="265"/>
        <v>0</v>
      </c>
      <c r="CD435" s="62">
        <f t="shared" si="266"/>
        <v>105.59027777778101</v>
      </c>
      <c r="CE435" s="62">
        <f t="shared" si="267"/>
        <v>3.6369984567902347</v>
      </c>
      <c r="CF435" s="145">
        <f t="shared" si="268"/>
        <v>50</v>
      </c>
      <c r="CG435" s="145"/>
      <c r="CH435" s="443">
        <f t="shared" si="269"/>
        <v>5.3592206790124575</v>
      </c>
      <c r="CI435" s="996">
        <f t="shared" si="270"/>
        <v>5.3592206790124575</v>
      </c>
      <c r="CJ435" s="261">
        <f t="shared" si="271"/>
        <v>0.83333333333333337</v>
      </c>
      <c r="CK435" s="458" t="str">
        <f t="shared" si="272"/>
        <v/>
      </c>
      <c r="CL435" t="str">
        <f t="shared" si="273"/>
        <v>NON-REV</v>
      </c>
      <c r="CM435" t="str">
        <f t="shared" si="274"/>
        <v/>
      </c>
      <c r="CN435" s="635"/>
      <c r="CO435" s="631"/>
      <c r="CP435" s="629" t="str">
        <f t="shared" si="251"/>
        <v>FOR ISSUANCE</v>
      </c>
      <c r="CQ435" s="635"/>
      <c r="CR435" s="697"/>
      <c r="CS435" s="633" t="str">
        <f t="shared" ca="1" si="275"/>
        <v>0</v>
      </c>
      <c r="CT435" s="635"/>
      <c r="CU435" s="631"/>
      <c r="CV435" s="638"/>
      <c r="CW435" s="156" t="s">
        <v>2542</v>
      </c>
      <c r="CX435" s="156" t="str">
        <f>VLOOKUP(E435,'[1]List of Work Orders'!$A:$I,9,FALSE)</f>
        <v>ME185284</v>
      </c>
      <c r="CY435" s="156"/>
      <c r="DA435" s="762">
        <f t="shared" si="278"/>
        <v>9.2173611111138598</v>
      </c>
      <c r="DS435" s="156" t="s">
        <v>397</v>
      </c>
    </row>
    <row r="436" spans="1:123" customFormat="1" ht="15" customHeight="1" x14ac:dyDescent="0.25">
      <c r="A436" s="242">
        <v>45726</v>
      </c>
      <c r="B436" s="222">
        <v>45716</v>
      </c>
      <c r="C436" s="223"/>
      <c r="D436" s="66" t="s">
        <v>320</v>
      </c>
      <c r="E436" s="404" t="s">
        <v>2543</v>
      </c>
      <c r="F436" s="95" t="s">
        <v>2544</v>
      </c>
      <c r="G436" s="95" t="s">
        <v>2545</v>
      </c>
      <c r="H436" s="348" t="s">
        <v>318</v>
      </c>
      <c r="I436" s="95" t="s">
        <v>239</v>
      </c>
      <c r="J436" s="163"/>
      <c r="K436" s="101"/>
      <c r="L436" s="101" t="s">
        <v>5</v>
      </c>
      <c r="M436" s="345" t="s">
        <v>272</v>
      </c>
      <c r="N436" s="442" t="s">
        <v>403</v>
      </c>
      <c r="O436" s="165">
        <v>15.282799999999998</v>
      </c>
      <c r="P436" s="933">
        <v>20.34</v>
      </c>
      <c r="Q436" s="157">
        <v>80</v>
      </c>
      <c r="R436" s="109" t="s">
        <v>244</v>
      </c>
      <c r="S436" s="110">
        <v>233355.21</v>
      </c>
      <c r="T436" s="93">
        <v>17502.760000000002</v>
      </c>
      <c r="U436" s="141"/>
      <c r="V436" s="158">
        <f t="shared" si="252"/>
        <v>0</v>
      </c>
      <c r="W436" s="159">
        <v>45713.620138888888</v>
      </c>
      <c r="X436" s="159">
        <v>45722.640277777777</v>
      </c>
      <c r="Y436" s="160">
        <v>45716</v>
      </c>
      <c r="Z436" s="470"/>
      <c r="AA436" s="470">
        <v>45730</v>
      </c>
      <c r="AB436" s="470"/>
      <c r="AC436" s="161">
        <f t="shared" si="253"/>
        <v>16.379861111112405</v>
      </c>
      <c r="AD436" s="161">
        <f t="shared" si="281"/>
        <v>7.359722222223354</v>
      </c>
      <c r="AE436" s="446">
        <f t="shared" si="276"/>
        <v>-45730</v>
      </c>
      <c r="AF436" s="160">
        <f t="shared" si="282"/>
        <v>45731.694519054174</v>
      </c>
      <c r="AG436" s="160">
        <f t="shared" si="279"/>
        <v>45740.314353764923</v>
      </c>
      <c r="AH436" s="159">
        <f t="shared" si="283"/>
        <v>45763.620138888888</v>
      </c>
      <c r="AI436" s="162">
        <f t="shared" si="254"/>
        <v>0.58293035130723547</v>
      </c>
      <c r="AJ436" s="224">
        <f t="shared" si="284"/>
        <v>-762.16666666666663</v>
      </c>
      <c r="AK436" s="225">
        <f t="shared" si="255"/>
        <v>20</v>
      </c>
      <c r="AL436" s="170">
        <f t="shared" si="256"/>
        <v>34</v>
      </c>
      <c r="AM436" s="170">
        <f t="shared" si="257"/>
        <v>21.074380165289259</v>
      </c>
      <c r="AN436" s="170">
        <f t="shared" si="258"/>
        <v>26.694214876033058</v>
      </c>
      <c r="AO436" s="226">
        <f t="shared" si="259"/>
        <v>18.074380165289259</v>
      </c>
      <c r="AP436" s="227">
        <v>60</v>
      </c>
      <c r="AQ436" s="228">
        <f t="shared" si="260"/>
        <v>57</v>
      </c>
      <c r="AR436" s="228">
        <f t="shared" si="280"/>
        <v>52</v>
      </c>
      <c r="AS436" s="229">
        <f t="shared" si="261"/>
        <v>45790</v>
      </c>
      <c r="AT436" s="982">
        <f t="shared" ca="1" si="262"/>
        <v>165</v>
      </c>
      <c r="AU436" s="50"/>
      <c r="AV436" s="51"/>
      <c r="AW436" s="49"/>
      <c r="AX436" s="49"/>
      <c r="AY436" s="49"/>
      <c r="AZ436" s="300"/>
      <c r="BA436" s="52"/>
      <c r="BB436" s="304"/>
      <c r="BC436" s="231" t="s">
        <v>12</v>
      </c>
      <c r="BD436" s="232"/>
      <c r="BE436" s="222">
        <f t="shared" si="277"/>
        <v>45745</v>
      </c>
      <c r="BF436" s="233">
        <f t="shared" ref="BF436:BF499" si="285">IF(ISBLANK(AA436),0,IF(ISBLANK(BH436),(BE436-$L$1),(BH436-BE436)))</f>
        <v>18</v>
      </c>
      <c r="BG436" s="248">
        <v>45729</v>
      </c>
      <c r="BH436" s="235">
        <v>45763</v>
      </c>
      <c r="BI436" s="234"/>
      <c r="BJ436" s="236"/>
      <c r="BK436" s="222"/>
      <c r="BL436" s="222"/>
      <c r="BM436" s="238"/>
      <c r="BN436" s="222"/>
      <c r="BO436" s="222"/>
      <c r="BP436" s="243"/>
      <c r="BQ436" s="244" t="s">
        <v>247</v>
      </c>
      <c r="BR436" s="238">
        <v>45728</v>
      </c>
      <c r="BS436" s="67"/>
      <c r="BT436" s="66"/>
      <c r="BU436" s="66"/>
      <c r="BV436" s="66"/>
      <c r="BW436" s="74"/>
      <c r="BX436" s="81"/>
      <c r="BY436" s="66">
        <v>45727</v>
      </c>
      <c r="BZ436" s="944" t="s">
        <v>2546</v>
      </c>
      <c r="CA436" s="42" t="str">
        <f t="shared" si="263"/>
        <v>0</v>
      </c>
      <c r="CB436" s="62">
        <f t="shared" si="264"/>
        <v>16.379861111112405</v>
      </c>
      <c r="CC436" s="42">
        <f t="shared" si="265"/>
        <v>0</v>
      </c>
      <c r="CD436" s="62">
        <f t="shared" si="266"/>
        <v>16.379861111112405</v>
      </c>
      <c r="CE436" s="62">
        <f t="shared" si="267"/>
        <v>0.58293035130723547</v>
      </c>
      <c r="CF436" s="145">
        <f t="shared" si="268"/>
        <v>139</v>
      </c>
      <c r="CG436" s="145"/>
      <c r="CH436" s="443">
        <f t="shared" si="269"/>
        <v>5.5296950571895884</v>
      </c>
      <c r="CI436" s="996">
        <f t="shared" si="270"/>
        <v>5.5296950571895884</v>
      </c>
      <c r="CJ436" s="261">
        <f t="shared" si="271"/>
        <v>2.3166666666666669</v>
      </c>
      <c r="CK436" s="458" t="str">
        <f t="shared" si="272"/>
        <v/>
      </c>
      <c r="CL436" t="str">
        <f t="shared" si="273"/>
        <v>REV</v>
      </c>
      <c r="CM436" t="str">
        <f t="shared" si="274"/>
        <v/>
      </c>
      <c r="CN436" s="635"/>
      <c r="CO436" s="631"/>
      <c r="CP436" s="629" t="str">
        <f t="shared" si="251"/>
        <v>FOR ISSUANCE</v>
      </c>
      <c r="CQ436" s="635"/>
      <c r="CR436" s="697"/>
      <c r="CS436" s="633" t="str">
        <f t="shared" ca="1" si="275"/>
        <v>0</v>
      </c>
      <c r="CT436" s="635"/>
      <c r="CU436" s="631"/>
      <c r="CV436" s="638"/>
      <c r="CW436" s="156" t="s">
        <v>2547</v>
      </c>
      <c r="CX436" s="156" t="str">
        <f>VLOOKUP(E436,'[1]List of Work Orders'!$A:$I,9,FALSE)</f>
        <v>ME166067</v>
      </c>
      <c r="CY436" s="156"/>
      <c r="DA436" s="762">
        <f t="shared" si="278"/>
        <v>9.0201388888890506</v>
      </c>
      <c r="DS436" s="156" t="s">
        <v>397</v>
      </c>
    </row>
    <row r="437" spans="1:123" customFormat="1" ht="15" customHeight="1" x14ac:dyDescent="0.25">
      <c r="A437" s="242">
        <v>45762</v>
      </c>
      <c r="B437" s="222">
        <v>45716</v>
      </c>
      <c r="C437" s="223"/>
      <c r="D437" s="66" t="s">
        <v>284</v>
      </c>
      <c r="E437" s="404" t="s">
        <v>2548</v>
      </c>
      <c r="F437" s="95" t="s">
        <v>2549</v>
      </c>
      <c r="G437" s="95" t="s">
        <v>2550</v>
      </c>
      <c r="H437" s="95" t="s">
        <v>1513</v>
      </c>
      <c r="I437" s="95" t="s">
        <v>239</v>
      </c>
      <c r="J437" s="163"/>
      <c r="K437" s="101"/>
      <c r="L437" s="101" t="s">
        <v>288</v>
      </c>
      <c r="M437" s="345" t="s">
        <v>272</v>
      </c>
      <c r="N437" s="442" t="s">
        <v>381</v>
      </c>
      <c r="O437" s="165">
        <v>5.92</v>
      </c>
      <c r="P437" s="933">
        <v>25.56</v>
      </c>
      <c r="Q437" s="157">
        <v>139</v>
      </c>
      <c r="R437" s="109" t="s">
        <v>244</v>
      </c>
      <c r="S437" s="110">
        <v>61294.92</v>
      </c>
      <c r="T437" s="93">
        <v>21987.52</v>
      </c>
      <c r="U437" s="141"/>
      <c r="V437" s="158">
        <f t="shared" si="252"/>
        <v>0</v>
      </c>
      <c r="W437" s="159">
        <v>45713.668055555558</v>
      </c>
      <c r="X437" s="159">
        <v>45722.62222222222</v>
      </c>
      <c r="Y437" s="160">
        <v>45716</v>
      </c>
      <c r="Z437" s="470"/>
      <c r="AA437" s="470">
        <v>45724</v>
      </c>
      <c r="AB437" s="470"/>
      <c r="AC437" s="161">
        <f t="shared" si="253"/>
        <v>10.331944444442343</v>
      </c>
      <c r="AD437" s="161">
        <f t="shared" si="281"/>
        <v>1.3777777777795563</v>
      </c>
      <c r="AE437" s="446">
        <f t="shared" si="276"/>
        <v>-45724</v>
      </c>
      <c r="AF437" s="160">
        <f t="shared" si="282"/>
        <v>45731.007038606404</v>
      </c>
      <c r="AG437" s="160">
        <f t="shared" si="279"/>
        <v>45739.430767419966</v>
      </c>
      <c r="AH437" s="159">
        <f t="shared" si="283"/>
        <v>45763.668055555558</v>
      </c>
      <c r="AI437" s="162">
        <f t="shared" si="254"/>
        <v>0.38099045138881138</v>
      </c>
      <c r="AJ437" s="224">
        <f t="shared" si="284"/>
        <v>-762.06666666666672</v>
      </c>
      <c r="AK437" s="225">
        <f t="shared" si="255"/>
        <v>20</v>
      </c>
      <c r="AL437" s="170">
        <f t="shared" si="256"/>
        <v>32</v>
      </c>
      <c r="AM437" s="170">
        <f t="shared" si="257"/>
        <v>20.33898305084746</v>
      </c>
      <c r="AN437" s="170">
        <f t="shared" si="258"/>
        <v>25.762711864406779</v>
      </c>
      <c r="AO437" s="226">
        <f t="shared" si="259"/>
        <v>17.33898305084746</v>
      </c>
      <c r="AP437" s="227">
        <v>60</v>
      </c>
      <c r="AQ437" s="228">
        <f t="shared" si="260"/>
        <v>57</v>
      </c>
      <c r="AR437" s="228">
        <f t="shared" si="280"/>
        <v>52</v>
      </c>
      <c r="AS437" s="229">
        <f t="shared" si="261"/>
        <v>45784</v>
      </c>
      <c r="AT437" s="982">
        <f t="shared" ca="1" si="262"/>
        <v>171</v>
      </c>
      <c r="AU437" s="50"/>
      <c r="AV437" s="51"/>
      <c r="AW437" s="49"/>
      <c r="AX437" s="49"/>
      <c r="AY437" s="49"/>
      <c r="AZ437" s="300"/>
      <c r="BA437" s="52"/>
      <c r="BB437" s="304"/>
      <c r="BC437" s="231" t="s">
        <v>13</v>
      </c>
      <c r="BD437" s="232"/>
      <c r="BE437" s="222">
        <f t="shared" si="277"/>
        <v>45739</v>
      </c>
      <c r="BF437" s="233" t="e">
        <f t="shared" si="285"/>
        <v>#VALUE!</v>
      </c>
      <c r="BG437" s="248"/>
      <c r="BH437" s="235"/>
      <c r="BI437" s="234"/>
      <c r="BJ437" s="236"/>
      <c r="BK437" s="222"/>
      <c r="BL437" s="222"/>
      <c r="BM437" s="238"/>
      <c r="BN437" s="222"/>
      <c r="BO437" s="222"/>
      <c r="BP437" s="243"/>
      <c r="BQ437" s="244" t="s">
        <v>247</v>
      </c>
      <c r="BR437" s="238">
        <v>45835</v>
      </c>
      <c r="BS437" s="67"/>
      <c r="BT437" s="66"/>
      <c r="BU437" s="66"/>
      <c r="BV437" s="66"/>
      <c r="BW437" s="74"/>
      <c r="BX437" s="81"/>
      <c r="BY437" s="66" t="s">
        <v>308</v>
      </c>
      <c r="BZ437" s="944"/>
      <c r="CA437" s="42" t="str">
        <f t="shared" si="263"/>
        <v>0</v>
      </c>
      <c r="CB437" s="62">
        <f t="shared" si="264"/>
        <v>10.331944444442343</v>
      </c>
      <c r="CC437" s="42">
        <f t="shared" si="265"/>
        <v>0</v>
      </c>
      <c r="CD437" s="62">
        <f t="shared" si="266"/>
        <v>10.331944444442343</v>
      </c>
      <c r="CE437" s="62">
        <f t="shared" si="267"/>
        <v>0.38099045138881138</v>
      </c>
      <c r="CF437" s="145">
        <f t="shared" si="268"/>
        <v>145</v>
      </c>
      <c r="CG437" s="145"/>
      <c r="CH437" s="443">
        <f t="shared" si="269"/>
        <v>5.7278654513888112</v>
      </c>
      <c r="CI437" s="996">
        <f t="shared" si="270"/>
        <v>5.7278654513888112</v>
      </c>
      <c r="CJ437" s="261">
        <f t="shared" si="271"/>
        <v>2.4166666666666665</v>
      </c>
      <c r="CK437" s="458" t="str">
        <f t="shared" si="272"/>
        <v/>
      </c>
      <c r="CL437" t="str">
        <f t="shared" si="273"/>
        <v>REV</v>
      </c>
      <c r="CM437" t="str">
        <f t="shared" si="274"/>
        <v/>
      </c>
      <c r="CN437" s="635"/>
      <c r="CO437" s="631"/>
      <c r="CP437" s="629" t="str">
        <f t="shared" si="251"/>
        <v>FOR ISSUANCE</v>
      </c>
      <c r="CQ437" s="635"/>
      <c r="CR437" s="697"/>
      <c r="CS437" s="633" t="str">
        <f t="shared" ca="1" si="275"/>
        <v>0</v>
      </c>
      <c r="CT437" s="635"/>
      <c r="CU437" s="631"/>
      <c r="CV437" s="638"/>
      <c r="CW437" s="156" t="s">
        <v>2551</v>
      </c>
      <c r="CX437" s="156" t="str">
        <f>VLOOKUP(E437,'[1]List of Work Orders'!$A:$I,9,FALSE)</f>
        <v>ME185284</v>
      </c>
      <c r="CY437" s="156"/>
      <c r="DA437" s="762">
        <f t="shared" si="278"/>
        <v>8.9541666666627862</v>
      </c>
      <c r="DS437" s="156" t="s">
        <v>397</v>
      </c>
    </row>
    <row r="438" spans="1:123" customFormat="1" ht="15" customHeight="1" x14ac:dyDescent="0.25">
      <c r="A438" s="242">
        <v>45726</v>
      </c>
      <c r="B438" s="222">
        <v>45716</v>
      </c>
      <c r="C438" s="223"/>
      <c r="D438" s="66" t="s">
        <v>320</v>
      </c>
      <c r="E438" s="404" t="s">
        <v>2552</v>
      </c>
      <c r="F438" s="95" t="s">
        <v>2553</v>
      </c>
      <c r="G438" s="95" t="s">
        <v>2554</v>
      </c>
      <c r="H438" s="95" t="s">
        <v>238</v>
      </c>
      <c r="I438" s="95" t="s">
        <v>239</v>
      </c>
      <c r="J438" s="163"/>
      <c r="K438" s="101"/>
      <c r="L438" s="101" t="s">
        <v>263</v>
      </c>
      <c r="M438" s="345" t="s">
        <v>272</v>
      </c>
      <c r="N438" s="442" t="s">
        <v>467</v>
      </c>
      <c r="O438" s="165">
        <v>88.136200000000017</v>
      </c>
      <c r="P438" s="933">
        <v>126.79</v>
      </c>
      <c r="Q438" s="157">
        <v>42</v>
      </c>
      <c r="R438" s="109" t="s">
        <v>548</v>
      </c>
      <c r="S438" s="110">
        <v>373208.99</v>
      </c>
      <c r="T438" s="93">
        <v>91119.300000000032</v>
      </c>
      <c r="U438" s="141"/>
      <c r="V438" s="158">
        <f t="shared" si="252"/>
        <v>0</v>
      </c>
      <c r="W438" s="159">
        <v>45713.698611111111</v>
      </c>
      <c r="X438" s="159">
        <v>45722.629861111112</v>
      </c>
      <c r="Y438" s="160">
        <v>45716</v>
      </c>
      <c r="Z438" s="470"/>
      <c r="AA438" s="470">
        <v>45831</v>
      </c>
      <c r="AB438" s="470"/>
      <c r="AC438" s="161">
        <f t="shared" si="253"/>
        <v>117.30138888888905</v>
      </c>
      <c r="AD438" s="161">
        <f t="shared" si="281"/>
        <v>108.3701388888876</v>
      </c>
      <c r="AE438" s="446">
        <f t="shared" si="276"/>
        <v>-45831</v>
      </c>
      <c r="AF438" s="160">
        <f t="shared" si="282"/>
        <v>45734.905507662836</v>
      </c>
      <c r="AG438" s="160">
        <f t="shared" si="279"/>
        <v>45744.360680076628</v>
      </c>
      <c r="AH438" s="159">
        <f t="shared" si="283"/>
        <v>45763.698611111111</v>
      </c>
      <c r="AI438" s="162">
        <f t="shared" si="254"/>
        <v>3.634337903608742</v>
      </c>
      <c r="AJ438" s="224">
        <f t="shared" si="284"/>
        <v>-763.85</v>
      </c>
      <c r="AK438" s="225">
        <f t="shared" si="255"/>
        <v>26</v>
      </c>
      <c r="AL438" s="170">
        <f t="shared" si="256"/>
        <v>36</v>
      </c>
      <c r="AM438" s="170">
        <f t="shared" si="257"/>
        <v>24.206896551724139</v>
      </c>
      <c r="AN438" s="170">
        <f t="shared" si="258"/>
        <v>30.662068965517239</v>
      </c>
      <c r="AO438" s="226">
        <f t="shared" si="259"/>
        <v>21.206896551724139</v>
      </c>
      <c r="AP438" s="227">
        <v>60</v>
      </c>
      <c r="AQ438" s="228">
        <f t="shared" si="260"/>
        <v>57</v>
      </c>
      <c r="AR438" s="228">
        <f t="shared" si="280"/>
        <v>52</v>
      </c>
      <c r="AS438" s="229">
        <f t="shared" si="261"/>
        <v>45891</v>
      </c>
      <c r="AT438" s="982">
        <f t="shared" ca="1" si="262"/>
        <v>64</v>
      </c>
      <c r="AU438" s="50"/>
      <c r="AV438" s="51"/>
      <c r="AW438" s="49"/>
      <c r="AX438" s="49"/>
      <c r="AY438" s="49"/>
      <c r="AZ438" s="300"/>
      <c r="BA438" s="52"/>
      <c r="BB438" s="304"/>
      <c r="BC438" s="231" t="s">
        <v>13</v>
      </c>
      <c r="BD438" s="232"/>
      <c r="BE438" s="222">
        <f t="shared" si="277"/>
        <v>45846</v>
      </c>
      <c r="BF438" s="233" t="e">
        <f t="shared" si="285"/>
        <v>#VALUE!</v>
      </c>
      <c r="BG438" s="248"/>
      <c r="BH438" s="235"/>
      <c r="BI438" s="234"/>
      <c r="BJ438" s="236"/>
      <c r="BK438" s="222"/>
      <c r="BL438" s="222"/>
      <c r="BM438" s="238"/>
      <c r="BN438" s="222"/>
      <c r="BO438" s="222"/>
      <c r="BP438" s="243"/>
      <c r="BQ438" s="244" t="s">
        <v>247</v>
      </c>
      <c r="BR438" s="238">
        <v>45828</v>
      </c>
      <c r="BS438" s="67"/>
      <c r="BT438" s="66"/>
      <c r="BU438" s="66"/>
      <c r="BV438" s="66"/>
      <c r="BW438" s="74"/>
      <c r="BX438" s="81"/>
      <c r="BY438" s="66">
        <v>45727</v>
      </c>
      <c r="BZ438" s="944" t="s">
        <v>2555</v>
      </c>
      <c r="CA438" s="42" t="str">
        <f t="shared" si="263"/>
        <v>0</v>
      </c>
      <c r="CB438" s="62">
        <f t="shared" si="264"/>
        <v>117.30138888888905</v>
      </c>
      <c r="CC438" s="42">
        <f t="shared" si="265"/>
        <v>0</v>
      </c>
      <c r="CD438" s="62">
        <f t="shared" si="266"/>
        <v>117.30138888888905</v>
      </c>
      <c r="CE438" s="62">
        <f t="shared" si="267"/>
        <v>3.634337903608742</v>
      </c>
      <c r="CF438" s="145">
        <f t="shared" si="268"/>
        <v>38</v>
      </c>
      <c r="CG438" s="145"/>
      <c r="CH438" s="443">
        <f t="shared" si="269"/>
        <v>4.8116883309591696</v>
      </c>
      <c r="CI438" s="996">
        <f t="shared" si="270"/>
        <v>4.8116883309591696</v>
      </c>
      <c r="CJ438" s="261">
        <f t="shared" si="271"/>
        <v>0.6333333333333333</v>
      </c>
      <c r="CK438" s="458" t="str">
        <f t="shared" si="272"/>
        <v/>
      </c>
      <c r="CL438" t="str">
        <f t="shared" si="273"/>
        <v>NON-REV</v>
      </c>
      <c r="CM438" t="str">
        <f t="shared" si="274"/>
        <v/>
      </c>
      <c r="CN438" s="635"/>
      <c r="CO438" s="631"/>
      <c r="CP438" s="629" t="str">
        <f t="shared" si="251"/>
        <v>FOR ISSUANCE</v>
      </c>
      <c r="CQ438" s="635"/>
      <c r="CR438" s="697"/>
      <c r="CS438" s="633" t="str">
        <f t="shared" ca="1" si="275"/>
        <v>0</v>
      </c>
      <c r="CT438" s="635"/>
      <c r="CU438" s="631"/>
      <c r="CV438" s="638"/>
      <c r="CW438" s="156" t="s">
        <v>2556</v>
      </c>
      <c r="CX438" s="156" t="str">
        <f>VLOOKUP(E438,'[1]List of Work Orders'!$A:$I,9,FALSE)</f>
        <v>ME155242</v>
      </c>
      <c r="CY438" s="156"/>
      <c r="DA438" s="762">
        <f t="shared" si="278"/>
        <v>8.9312500000014552</v>
      </c>
      <c r="DS438" s="156" t="s">
        <v>397</v>
      </c>
    </row>
    <row r="439" spans="1:123" customFormat="1" ht="15" customHeight="1" x14ac:dyDescent="0.25">
      <c r="A439" s="242">
        <v>45726</v>
      </c>
      <c r="B439" s="222">
        <v>45716</v>
      </c>
      <c r="C439" s="223"/>
      <c r="D439" s="66" t="s">
        <v>284</v>
      </c>
      <c r="E439" s="404" t="s">
        <v>2557</v>
      </c>
      <c r="F439" s="95" t="s">
        <v>2558</v>
      </c>
      <c r="G439" s="95" t="s">
        <v>2559</v>
      </c>
      <c r="H439" s="95" t="s">
        <v>238</v>
      </c>
      <c r="I439" s="95" t="s">
        <v>239</v>
      </c>
      <c r="J439" s="163"/>
      <c r="K439" s="101"/>
      <c r="L439" s="101" t="s">
        <v>5</v>
      </c>
      <c r="M439" s="345" t="s">
        <v>256</v>
      </c>
      <c r="N439" s="442" t="s">
        <v>403</v>
      </c>
      <c r="O439" s="165">
        <v>10.332799999999999</v>
      </c>
      <c r="P439" s="933">
        <v>13.92</v>
      </c>
      <c r="Q439" s="157">
        <v>16</v>
      </c>
      <c r="R439" s="109" t="s">
        <v>244</v>
      </c>
      <c r="S439" s="110">
        <v>143724.53</v>
      </c>
      <c r="T439" s="93">
        <v>10792.18</v>
      </c>
      <c r="U439" s="141">
        <v>8332.4599999999991</v>
      </c>
      <c r="V439" s="158">
        <f t="shared" si="252"/>
        <v>0.77208311944389352</v>
      </c>
      <c r="W439" s="159">
        <v>45713.7</v>
      </c>
      <c r="X439" s="159">
        <v>45722.64166666667</v>
      </c>
      <c r="Y439" s="160">
        <v>45716</v>
      </c>
      <c r="Z439" s="470"/>
      <c r="AA439" s="470">
        <v>45730</v>
      </c>
      <c r="AB439" s="470">
        <v>45848</v>
      </c>
      <c r="AC439" s="161">
        <f t="shared" si="253"/>
        <v>16.30000000000291</v>
      </c>
      <c r="AD439" s="161">
        <f t="shared" si="281"/>
        <v>7.3583333333299379</v>
      </c>
      <c r="AE439" s="446">
        <f t="shared" si="276"/>
        <v>118</v>
      </c>
      <c r="AF439" s="160">
        <f t="shared" si="282"/>
        <v>45732.474193548383</v>
      </c>
      <c r="AG439" s="160">
        <f t="shared" si="279"/>
        <v>45741.280645161285</v>
      </c>
      <c r="AH439" s="159">
        <f t="shared" si="283"/>
        <v>45763.7</v>
      </c>
      <c r="AI439" s="162">
        <f t="shared" si="254"/>
        <v>0.56144444444454455</v>
      </c>
      <c r="AJ439" s="224">
        <f t="shared" si="284"/>
        <v>1.9666666666666666</v>
      </c>
      <c r="AK439" s="225">
        <f t="shared" si="255"/>
        <v>20</v>
      </c>
      <c r="AL439" s="170">
        <f t="shared" si="256"/>
        <v>36</v>
      </c>
      <c r="AM439" s="170">
        <f t="shared" si="257"/>
        <v>21.774193548387096</v>
      </c>
      <c r="AN439" s="170">
        <f t="shared" si="258"/>
        <v>27.58064516129032</v>
      </c>
      <c r="AO439" s="226">
        <f t="shared" si="259"/>
        <v>18.774193548387096</v>
      </c>
      <c r="AP439" s="227">
        <v>60</v>
      </c>
      <c r="AQ439" s="228">
        <f t="shared" si="260"/>
        <v>57</v>
      </c>
      <c r="AR439" s="228">
        <f t="shared" si="280"/>
        <v>52</v>
      </c>
      <c r="AS439" s="229">
        <f t="shared" si="261"/>
        <v>45790</v>
      </c>
      <c r="AT439" s="982">
        <f t="shared" ca="1" si="262"/>
        <v>165</v>
      </c>
      <c r="AU439" s="50"/>
      <c r="AV439" s="51"/>
      <c r="AW439" s="49"/>
      <c r="AX439" s="49"/>
      <c r="AY439" s="49"/>
      <c r="AZ439" s="300"/>
      <c r="BA439" s="52"/>
      <c r="BB439" s="304"/>
      <c r="BC439" s="231" t="s">
        <v>14</v>
      </c>
      <c r="BD439" s="232"/>
      <c r="BE439" s="222">
        <f t="shared" si="277"/>
        <v>45745</v>
      </c>
      <c r="BF439" s="233">
        <f t="shared" si="285"/>
        <v>12</v>
      </c>
      <c r="BG439" s="248">
        <v>45730</v>
      </c>
      <c r="BH439" s="235">
        <v>45757</v>
      </c>
      <c r="BI439" s="234">
        <v>45798</v>
      </c>
      <c r="BJ439" s="236" t="s">
        <v>245</v>
      </c>
      <c r="BK439" s="222" t="s">
        <v>246</v>
      </c>
      <c r="BL439" s="222"/>
      <c r="BM439" s="238"/>
      <c r="BN439" s="222"/>
      <c r="BO439" s="222">
        <v>45828</v>
      </c>
      <c r="BP439" s="243" t="s">
        <v>1084</v>
      </c>
      <c r="BQ439" s="244" t="s">
        <v>247</v>
      </c>
      <c r="BR439" s="238">
        <v>45729</v>
      </c>
      <c r="BS439" s="67"/>
      <c r="BT439" s="66"/>
      <c r="BU439" s="66"/>
      <c r="BV439" s="66"/>
      <c r="BW439" s="74"/>
      <c r="BX439" s="81"/>
      <c r="BY439" s="66">
        <v>45727</v>
      </c>
      <c r="BZ439" s="944" t="s">
        <v>2560</v>
      </c>
      <c r="CA439" s="42" t="str">
        <f t="shared" si="263"/>
        <v>0</v>
      </c>
      <c r="CB439" s="62">
        <f t="shared" si="264"/>
        <v>16.30000000000291</v>
      </c>
      <c r="CC439" s="42">
        <f t="shared" si="265"/>
        <v>0</v>
      </c>
      <c r="CD439" s="62">
        <f t="shared" si="266"/>
        <v>16.30000000000291</v>
      </c>
      <c r="CE439" s="62">
        <f t="shared" si="267"/>
        <v>0.56144444444454455</v>
      </c>
      <c r="CF439" s="145">
        <f t="shared" si="268"/>
        <v>139</v>
      </c>
      <c r="CG439" s="145"/>
      <c r="CH439" s="443">
        <f t="shared" si="269"/>
        <v>5.3492222222223216</v>
      </c>
      <c r="CI439" s="996">
        <f t="shared" si="270"/>
        <v>5.3492222222223216</v>
      </c>
      <c r="CJ439" s="261">
        <f t="shared" si="271"/>
        <v>2.3166666666666669</v>
      </c>
      <c r="CK439" s="458" t="str">
        <f t="shared" si="272"/>
        <v/>
      </c>
      <c r="CL439" t="str">
        <f t="shared" si="273"/>
        <v>REV</v>
      </c>
      <c r="CM439" t="str">
        <f t="shared" si="274"/>
        <v/>
      </c>
      <c r="CN439" s="635"/>
      <c r="CO439" s="631"/>
      <c r="CP439" s="629" t="str">
        <f t="shared" si="251"/>
        <v>FOR ISSUANCE</v>
      </c>
      <c r="CQ439" s="635"/>
      <c r="CR439" s="697"/>
      <c r="CS439" s="633" t="str">
        <f t="shared" ca="1" si="275"/>
        <v>0</v>
      </c>
      <c r="CT439" s="635"/>
      <c r="CU439" s="631"/>
      <c r="CV439" s="638"/>
      <c r="CW439" s="156" t="s">
        <v>2561</v>
      </c>
      <c r="CX439" s="156" t="str">
        <f>VLOOKUP(E439,'[1]List of Work Orders'!$A:$I,9,FALSE)</f>
        <v>ME166067</v>
      </c>
      <c r="CY439" s="156"/>
      <c r="DA439" s="762">
        <f t="shared" si="278"/>
        <v>8.9416666666729725</v>
      </c>
      <c r="DS439" s="156" t="s">
        <v>397</v>
      </c>
    </row>
    <row r="440" spans="1:123" customFormat="1" ht="15" customHeight="1" x14ac:dyDescent="0.25">
      <c r="A440" s="242">
        <v>45727</v>
      </c>
      <c r="B440" s="222">
        <v>45716</v>
      </c>
      <c r="C440" s="223" t="s">
        <v>247</v>
      </c>
      <c r="D440" s="66" t="s">
        <v>320</v>
      </c>
      <c r="E440" s="404" t="s">
        <v>2562</v>
      </c>
      <c r="F440" s="95" t="s">
        <v>2563</v>
      </c>
      <c r="G440" s="95" t="s">
        <v>2564</v>
      </c>
      <c r="H440" s="95" t="s">
        <v>238</v>
      </c>
      <c r="I440" s="95" t="s">
        <v>239</v>
      </c>
      <c r="J440" s="163" t="s">
        <v>2565</v>
      </c>
      <c r="K440" s="101"/>
      <c r="L440" s="101" t="s">
        <v>242</v>
      </c>
      <c r="M440" s="345" t="s">
        <v>272</v>
      </c>
      <c r="N440" s="442" t="s">
        <v>467</v>
      </c>
      <c r="O440" s="165">
        <v>51.019499999999994</v>
      </c>
      <c r="P440" s="933">
        <v>75.67</v>
      </c>
      <c r="Q440" s="157">
        <v>80</v>
      </c>
      <c r="R440" s="109" t="s">
        <v>244</v>
      </c>
      <c r="S440" s="110">
        <v>439221.4</v>
      </c>
      <c r="T440" s="93">
        <v>65045.180000000008</v>
      </c>
      <c r="U440" s="141"/>
      <c r="V440" s="158">
        <f t="shared" si="252"/>
        <v>0</v>
      </c>
      <c r="W440" s="159">
        <v>45713.711805555555</v>
      </c>
      <c r="X440" s="159">
        <v>45727.336805555555</v>
      </c>
      <c r="Y440" s="160">
        <v>45716</v>
      </c>
      <c r="Z440" s="470"/>
      <c r="AA440" s="470">
        <v>45771</v>
      </c>
      <c r="AB440" s="470"/>
      <c r="AC440" s="161">
        <f t="shared" si="253"/>
        <v>57.288194444445253</v>
      </c>
      <c r="AD440" s="161">
        <f t="shared" si="281"/>
        <v>43.663194444445253</v>
      </c>
      <c r="AE440" s="446">
        <f t="shared" si="276"/>
        <v>-45771</v>
      </c>
      <c r="AF440" s="160">
        <f t="shared" si="282"/>
        <v>45733.012185783693</v>
      </c>
      <c r="AG440" s="160">
        <f t="shared" si="279"/>
        <v>45741.958953844529</v>
      </c>
      <c r="AH440" s="159">
        <f t="shared" si="283"/>
        <v>45763.711805555555</v>
      </c>
      <c r="AI440" s="162">
        <f t="shared" si="254"/>
        <v>1.9267001456379922</v>
      </c>
      <c r="AJ440" s="224">
        <f t="shared" si="284"/>
        <v>-762.85</v>
      </c>
      <c r="AK440" s="225">
        <f t="shared" si="255"/>
        <v>23</v>
      </c>
      <c r="AL440" s="170">
        <f t="shared" si="256"/>
        <v>34</v>
      </c>
      <c r="AM440" s="170">
        <f t="shared" si="257"/>
        <v>22.300380228136884</v>
      </c>
      <c r="AN440" s="170">
        <f t="shared" si="258"/>
        <v>28.247148288973385</v>
      </c>
      <c r="AO440" s="226">
        <f t="shared" si="259"/>
        <v>19.300380228136884</v>
      </c>
      <c r="AP440" s="227">
        <v>60</v>
      </c>
      <c r="AQ440" s="228">
        <f t="shared" si="260"/>
        <v>57</v>
      </c>
      <c r="AR440" s="228">
        <f t="shared" si="280"/>
        <v>52</v>
      </c>
      <c r="AS440" s="229">
        <f t="shared" si="261"/>
        <v>45831</v>
      </c>
      <c r="AT440" s="982">
        <f t="shared" ca="1" si="262"/>
        <v>124</v>
      </c>
      <c r="AU440" s="50"/>
      <c r="AV440" s="51"/>
      <c r="AW440" s="49"/>
      <c r="AX440" s="49"/>
      <c r="AY440" s="49"/>
      <c r="AZ440" s="300"/>
      <c r="BA440" s="52"/>
      <c r="BB440" s="304"/>
      <c r="BC440" s="231" t="s">
        <v>146</v>
      </c>
      <c r="BD440" s="232"/>
      <c r="BE440" s="222">
        <f t="shared" si="277"/>
        <v>45786</v>
      </c>
      <c r="BF440" s="233">
        <f t="shared" si="285"/>
        <v>11</v>
      </c>
      <c r="BG440" s="248">
        <v>45770</v>
      </c>
      <c r="BH440" s="235">
        <v>45797</v>
      </c>
      <c r="BI440" s="234"/>
      <c r="BJ440" s="236"/>
      <c r="BK440" s="222"/>
      <c r="BL440" s="222"/>
      <c r="BM440" s="238"/>
      <c r="BN440" s="222"/>
      <c r="BO440" s="222"/>
      <c r="BP440" s="243"/>
      <c r="BQ440" s="244" t="s">
        <v>247</v>
      </c>
      <c r="BR440" s="238">
        <v>45770</v>
      </c>
      <c r="BS440" s="67"/>
      <c r="BT440" s="66"/>
      <c r="BU440" s="66"/>
      <c r="BV440" s="66"/>
      <c r="BW440" s="74"/>
      <c r="BX440" s="81"/>
      <c r="BY440" s="66">
        <v>45730</v>
      </c>
      <c r="BZ440" s="944" t="s">
        <v>2566</v>
      </c>
      <c r="CA440" s="42" t="str">
        <f t="shared" si="263"/>
        <v>0</v>
      </c>
      <c r="CB440" s="62">
        <f t="shared" si="264"/>
        <v>57.288194444445253</v>
      </c>
      <c r="CC440" s="42">
        <f t="shared" si="265"/>
        <v>0</v>
      </c>
      <c r="CD440" s="62">
        <f t="shared" si="266"/>
        <v>57.288194444445253</v>
      </c>
      <c r="CE440" s="62">
        <f t="shared" si="267"/>
        <v>1.9267001456379922</v>
      </c>
      <c r="CF440" s="145">
        <f t="shared" si="268"/>
        <v>98</v>
      </c>
      <c r="CG440" s="145"/>
      <c r="CH440" s="443">
        <f t="shared" si="269"/>
        <v>5.2226080740267395</v>
      </c>
      <c r="CI440" s="996">
        <f t="shared" si="270"/>
        <v>5.2226080740267395</v>
      </c>
      <c r="CJ440" s="261">
        <f t="shared" si="271"/>
        <v>1.6333333333333333</v>
      </c>
      <c r="CK440" s="458" t="str">
        <f t="shared" si="272"/>
        <v/>
      </c>
      <c r="CL440" t="str">
        <f t="shared" si="273"/>
        <v>REV</v>
      </c>
      <c r="CM440" t="str">
        <f t="shared" si="274"/>
        <v/>
      </c>
      <c r="CN440" s="635"/>
      <c r="CO440" s="631"/>
      <c r="CP440" s="629" t="str">
        <f t="shared" si="251"/>
        <v>FOR ISSUANCE</v>
      </c>
      <c r="CQ440" s="635"/>
      <c r="CR440" s="697"/>
      <c r="CS440" s="633" t="str">
        <f t="shared" ca="1" si="275"/>
        <v>0</v>
      </c>
      <c r="CT440" s="635"/>
      <c r="CU440" s="631"/>
      <c r="CV440" s="638"/>
      <c r="CW440" s="156" t="s">
        <v>2567</v>
      </c>
      <c r="CX440" s="156" t="str">
        <f>VLOOKUP(E440,'[1]List of Work Orders'!$A:$I,9,FALSE)</f>
        <v>ME155242</v>
      </c>
      <c r="CY440" s="156"/>
      <c r="CZ440" s="63"/>
      <c r="DA440" s="762">
        <f t="shared" si="278"/>
        <v>13.625</v>
      </c>
      <c r="DS440" s="156" t="s">
        <v>403</v>
      </c>
    </row>
    <row r="441" spans="1:123" customFormat="1" ht="15" customHeight="1" x14ac:dyDescent="0.25">
      <c r="A441" s="242">
        <v>45726</v>
      </c>
      <c r="B441" s="222">
        <v>45716</v>
      </c>
      <c r="C441" s="223"/>
      <c r="D441" s="66" t="s">
        <v>320</v>
      </c>
      <c r="E441" s="404" t="s">
        <v>2568</v>
      </c>
      <c r="F441" s="95" t="s">
        <v>2569</v>
      </c>
      <c r="G441" s="95" t="s">
        <v>2570</v>
      </c>
      <c r="H441" s="95" t="s">
        <v>269</v>
      </c>
      <c r="I441" s="95" t="s">
        <v>239</v>
      </c>
      <c r="J441" s="163"/>
      <c r="K441" s="101"/>
      <c r="L441" s="101" t="s">
        <v>5</v>
      </c>
      <c r="M441" s="345" t="s">
        <v>272</v>
      </c>
      <c r="N441" s="442" t="s">
        <v>403</v>
      </c>
      <c r="O441" s="165">
        <v>352.5930799999997</v>
      </c>
      <c r="P441" s="933">
        <v>592.45000000000005</v>
      </c>
      <c r="Q441" s="157">
        <v>135</v>
      </c>
      <c r="R441" s="109" t="s">
        <v>244</v>
      </c>
      <c r="S441" s="110">
        <v>1859854.9</v>
      </c>
      <c r="T441" s="93">
        <v>416660.75000000012</v>
      </c>
      <c r="U441" s="141"/>
      <c r="V441" s="158">
        <f t="shared" si="252"/>
        <v>0</v>
      </c>
      <c r="W441" s="159">
        <v>45714.532638888886</v>
      </c>
      <c r="X441" s="159">
        <v>45722.6875</v>
      </c>
      <c r="Y441" s="160">
        <v>45716</v>
      </c>
      <c r="Z441" s="470">
        <v>45785</v>
      </c>
      <c r="AA441" s="470">
        <v>45785.598611111112</v>
      </c>
      <c r="AB441" s="470"/>
      <c r="AC441" s="161">
        <f t="shared" si="253"/>
        <v>71.065972222226264</v>
      </c>
      <c r="AD441" s="161">
        <f t="shared" si="281"/>
        <v>62.911111111112405</v>
      </c>
      <c r="AE441" s="446">
        <f t="shared" si="276"/>
        <v>-45785.598611111112</v>
      </c>
      <c r="AF441" s="160">
        <f t="shared" si="282"/>
        <v>45737.064553782504</v>
      </c>
      <c r="AG441" s="160">
        <f t="shared" si="279"/>
        <v>45746.873064420804</v>
      </c>
      <c r="AH441" s="159">
        <f t="shared" si="283"/>
        <v>45764.532638888886</v>
      </c>
      <c r="AI441" s="162">
        <f t="shared" si="254"/>
        <v>2.0875629340278965</v>
      </c>
      <c r="AJ441" s="224">
        <f t="shared" si="284"/>
        <v>-763.09331018518526</v>
      </c>
      <c r="AK441" s="225">
        <f t="shared" si="255"/>
        <v>40</v>
      </c>
      <c r="AL441" s="170">
        <f t="shared" si="256"/>
        <v>32</v>
      </c>
      <c r="AM441" s="170">
        <f t="shared" si="257"/>
        <v>25.531914893617024</v>
      </c>
      <c r="AN441" s="170">
        <f t="shared" si="258"/>
        <v>32.340425531914896</v>
      </c>
      <c r="AO441" s="226">
        <f t="shared" si="259"/>
        <v>22.531914893617024</v>
      </c>
      <c r="AP441" s="227">
        <v>60</v>
      </c>
      <c r="AQ441" s="228">
        <f t="shared" si="260"/>
        <v>57</v>
      </c>
      <c r="AR441" s="228">
        <f t="shared" si="280"/>
        <v>52</v>
      </c>
      <c r="AS441" s="229">
        <f t="shared" si="261"/>
        <v>45845.598611111112</v>
      </c>
      <c r="AT441" s="982">
        <f t="shared" ca="1" si="262"/>
        <v>109.4013888888876</v>
      </c>
      <c r="AU441" s="50"/>
      <c r="AV441" s="51"/>
      <c r="AW441" s="49"/>
      <c r="AX441" s="49"/>
      <c r="AY441" s="49"/>
      <c r="AZ441" s="300"/>
      <c r="BA441" s="52"/>
      <c r="BB441" s="304"/>
      <c r="BC441" s="231" t="s">
        <v>12</v>
      </c>
      <c r="BD441" s="232"/>
      <c r="BE441" s="222">
        <f t="shared" si="277"/>
        <v>45800.598611111112</v>
      </c>
      <c r="BF441" s="233">
        <f t="shared" si="285"/>
        <v>44.401388888887595</v>
      </c>
      <c r="BG441" s="248">
        <v>45785</v>
      </c>
      <c r="BH441" s="235">
        <v>45845</v>
      </c>
      <c r="BI441" s="234"/>
      <c r="BJ441" s="236"/>
      <c r="BK441" s="222"/>
      <c r="BL441" s="222"/>
      <c r="BM441" s="238"/>
      <c r="BN441" s="222"/>
      <c r="BO441" s="222"/>
      <c r="BP441" s="243"/>
      <c r="BQ441" s="244" t="s">
        <v>247</v>
      </c>
      <c r="BR441" s="238">
        <v>45828</v>
      </c>
      <c r="BS441" s="67"/>
      <c r="BT441" s="66"/>
      <c r="BU441" s="66"/>
      <c r="BV441" s="66"/>
      <c r="BW441" s="74"/>
      <c r="BX441" s="81"/>
      <c r="BY441" s="66">
        <v>45728</v>
      </c>
      <c r="BZ441" s="944" t="s">
        <v>2571</v>
      </c>
      <c r="CA441" s="42" t="str">
        <f t="shared" si="263"/>
        <v>0</v>
      </c>
      <c r="CB441" s="62">
        <f t="shared" si="264"/>
        <v>71.065972222226264</v>
      </c>
      <c r="CC441" s="42">
        <f t="shared" si="265"/>
        <v>0</v>
      </c>
      <c r="CD441" s="62">
        <f t="shared" si="266"/>
        <v>71.065972222226264</v>
      </c>
      <c r="CE441" s="62">
        <f t="shared" si="267"/>
        <v>2.0875629340278965</v>
      </c>
      <c r="CF441" s="145">
        <f t="shared" si="268"/>
        <v>83.401388888887595</v>
      </c>
      <c r="CG441" s="145"/>
      <c r="CH441" s="443">
        <f t="shared" si="269"/>
        <v>4.5374787326389701</v>
      </c>
      <c r="CI441" s="996">
        <f t="shared" si="270"/>
        <v>4.5374787326389701</v>
      </c>
      <c r="CJ441" s="261">
        <f t="shared" si="271"/>
        <v>1.3900231481481267</v>
      </c>
      <c r="CK441" s="458" t="str">
        <f t="shared" si="272"/>
        <v/>
      </c>
      <c r="CL441" t="str">
        <f t="shared" si="273"/>
        <v>REV</v>
      </c>
      <c r="CM441" t="str">
        <f t="shared" si="274"/>
        <v/>
      </c>
      <c r="CN441" s="635"/>
      <c r="CO441" s="631"/>
      <c r="CP441" s="629" t="str">
        <f t="shared" si="251"/>
        <v>FOR ISSUANCE</v>
      </c>
      <c r="CQ441" s="635"/>
      <c r="CR441" s="697"/>
      <c r="CS441" s="633" t="str">
        <f t="shared" ca="1" si="275"/>
        <v>0</v>
      </c>
      <c r="CT441" s="635"/>
      <c r="CU441" s="631"/>
      <c r="CV441" s="638"/>
      <c r="CW441" s="156" t="s">
        <v>2572</v>
      </c>
      <c r="CX441" s="156" t="str">
        <f>VLOOKUP(E441,'[1]List of Work Orders'!$A:$I,9,FALSE)</f>
        <v>ME166067</v>
      </c>
      <c r="CY441" s="156"/>
      <c r="DA441" s="762">
        <f t="shared" si="278"/>
        <v>8.1548611111138598</v>
      </c>
      <c r="DS441" s="156" t="s">
        <v>403</v>
      </c>
    </row>
    <row r="442" spans="1:123" customFormat="1" ht="15" customHeight="1" x14ac:dyDescent="0.25">
      <c r="A442" s="242">
        <v>45726</v>
      </c>
      <c r="B442" s="222"/>
      <c r="C442" s="223"/>
      <c r="D442" s="66" t="s">
        <v>284</v>
      </c>
      <c r="E442" s="404" t="s">
        <v>2573</v>
      </c>
      <c r="F442" s="95" t="s">
        <v>2574</v>
      </c>
      <c r="G442" s="95" t="s">
        <v>2575</v>
      </c>
      <c r="H442" s="95" t="s">
        <v>253</v>
      </c>
      <c r="I442" s="95" t="s">
        <v>254</v>
      </c>
      <c r="J442" s="163" t="s">
        <v>1908</v>
      </c>
      <c r="K442" s="101"/>
      <c r="L442" s="101" t="s">
        <v>1957</v>
      </c>
      <c r="M442" s="345" t="s">
        <v>1549</v>
      </c>
      <c r="N442" s="442" t="s">
        <v>2576</v>
      </c>
      <c r="O442" s="165">
        <v>13.95</v>
      </c>
      <c r="P442" s="933">
        <v>15.58</v>
      </c>
      <c r="Q442" s="157">
        <v>18</v>
      </c>
      <c r="R442" s="109" t="s">
        <v>244</v>
      </c>
      <c r="S442" s="110">
        <v>143807.71</v>
      </c>
      <c r="T442" s="93">
        <v>26763.63</v>
      </c>
      <c r="U442" s="141"/>
      <c r="V442" s="158">
        <f t="shared" si="252"/>
        <v>0</v>
      </c>
      <c r="W442" s="159">
        <v>45714.535416666666</v>
      </c>
      <c r="X442" s="159">
        <v>45726.594444444447</v>
      </c>
      <c r="Y442" s="160">
        <v>45716</v>
      </c>
      <c r="Z442" s="470"/>
      <c r="AA442" s="470">
        <v>45783</v>
      </c>
      <c r="AB442" s="470">
        <v>45784</v>
      </c>
      <c r="AC442" s="161">
        <f t="shared" si="253"/>
        <v>68.464583333334303</v>
      </c>
      <c r="AD442" s="161">
        <f t="shared" si="281"/>
        <v>56.405555555553292</v>
      </c>
      <c r="AE442" s="446">
        <f t="shared" si="276"/>
        <v>1</v>
      </c>
      <c r="AF442" s="160">
        <f t="shared" si="282"/>
        <v>45733.309610215052</v>
      </c>
      <c r="AG442" s="160">
        <f t="shared" si="279"/>
        <v>45742.116061827954</v>
      </c>
      <c r="AH442" s="159">
        <f t="shared" si="283"/>
        <v>45764.535416666666</v>
      </c>
      <c r="AI442" s="162">
        <f t="shared" si="254"/>
        <v>2.3582245370370702</v>
      </c>
      <c r="AJ442" s="224">
        <f t="shared" si="284"/>
        <v>1.6666666666666666E-2</v>
      </c>
      <c r="AK442" s="225">
        <f t="shared" si="255"/>
        <v>20</v>
      </c>
      <c r="AL442" s="170">
        <f t="shared" si="256"/>
        <v>36</v>
      </c>
      <c r="AM442" s="170">
        <f t="shared" si="257"/>
        <v>21.774193548387096</v>
      </c>
      <c r="AN442" s="170">
        <f t="shared" si="258"/>
        <v>27.58064516129032</v>
      </c>
      <c r="AO442" s="226">
        <f t="shared" si="259"/>
        <v>18.774193548387096</v>
      </c>
      <c r="AP442" s="227">
        <v>60</v>
      </c>
      <c r="AQ442" s="228">
        <f t="shared" si="260"/>
        <v>57</v>
      </c>
      <c r="AR442" s="228">
        <f t="shared" si="280"/>
        <v>52</v>
      </c>
      <c r="AS442" s="229">
        <f t="shared" si="261"/>
        <v>45843</v>
      </c>
      <c r="AT442" s="982">
        <f t="shared" ca="1" si="262"/>
        <v>112</v>
      </c>
      <c r="AU442" s="50"/>
      <c r="AV442" s="51"/>
      <c r="AW442" s="49"/>
      <c r="AX442" s="49"/>
      <c r="AY442" s="49"/>
      <c r="AZ442" s="300"/>
      <c r="BA442" s="52"/>
      <c r="BB442" s="304"/>
      <c r="BC442" s="231" t="s">
        <v>14</v>
      </c>
      <c r="BD442" s="232"/>
      <c r="BE442" s="222">
        <f t="shared" si="277"/>
        <v>45798</v>
      </c>
      <c r="BF442" s="233" t="e">
        <f t="shared" si="285"/>
        <v>#VALUE!</v>
      </c>
      <c r="BG442" s="248"/>
      <c r="BH442" s="235"/>
      <c r="BI442" s="234">
        <v>45782</v>
      </c>
      <c r="BJ442" s="236" t="s">
        <v>2577</v>
      </c>
      <c r="BK442" s="222"/>
      <c r="BL442" s="222"/>
      <c r="BM442" s="238">
        <v>45791</v>
      </c>
      <c r="BN442" s="222"/>
      <c r="BO442" s="222"/>
      <c r="BP442" s="243"/>
      <c r="BQ442" s="244"/>
      <c r="BR442" s="238"/>
      <c r="BS442" s="67"/>
      <c r="BT442" s="66"/>
      <c r="BU442" s="66"/>
      <c r="BV442" s="66"/>
      <c r="BW442" s="74"/>
      <c r="BX442" s="81"/>
      <c r="BY442" s="66">
        <v>45730</v>
      </c>
      <c r="BZ442" s="944" t="s">
        <v>2578</v>
      </c>
      <c r="CA442" s="42" t="str">
        <f t="shared" si="263"/>
        <v>0</v>
      </c>
      <c r="CB442" s="62">
        <f t="shared" si="264"/>
        <v>68.464583333334303</v>
      </c>
      <c r="CC442" s="42">
        <f t="shared" si="265"/>
        <v>0</v>
      </c>
      <c r="CD442" s="62">
        <f t="shared" si="266"/>
        <v>68.464583333334303</v>
      </c>
      <c r="CE442" s="62">
        <f t="shared" si="267"/>
        <v>2.3582245370370702</v>
      </c>
      <c r="CF442" s="145">
        <f t="shared" si="268"/>
        <v>86</v>
      </c>
      <c r="CG442" s="145"/>
      <c r="CH442" s="443">
        <f t="shared" si="269"/>
        <v>5.3204467592592923</v>
      </c>
      <c r="CI442" s="996">
        <f t="shared" si="270"/>
        <v>5.3204467592592923</v>
      </c>
      <c r="CJ442" s="261">
        <f t="shared" si="271"/>
        <v>1.4333333333333333</v>
      </c>
      <c r="CK442" s="458" t="str">
        <f t="shared" si="272"/>
        <v/>
      </c>
      <c r="CL442" t="str">
        <f t="shared" si="273"/>
        <v>REV</v>
      </c>
      <c r="CM442" t="str">
        <f t="shared" si="274"/>
        <v/>
      </c>
      <c r="CN442" s="635"/>
      <c r="CO442" s="631"/>
      <c r="CP442" s="629" t="str">
        <f t="shared" si="251"/>
        <v>FOR ISSUANCE</v>
      </c>
      <c r="CQ442" s="635"/>
      <c r="CR442" s="697"/>
      <c r="CS442" s="633" t="str">
        <f t="shared" ca="1" si="275"/>
        <v>0</v>
      </c>
      <c r="CT442" s="635"/>
      <c r="CU442" s="631"/>
      <c r="CV442" s="638"/>
      <c r="CW442" s="156" t="s">
        <v>2579</v>
      </c>
      <c r="CX442" s="156" t="str">
        <f>VLOOKUP(E442,'[1]List of Work Orders'!$A:$I,9,FALSE)</f>
        <v>ME189046</v>
      </c>
      <c r="CY442" s="156"/>
      <c r="DA442" s="762">
        <f t="shared" si="278"/>
        <v>12.059027777781012</v>
      </c>
      <c r="DS442" s="156" t="s">
        <v>403</v>
      </c>
    </row>
    <row r="443" spans="1:123" customFormat="1" ht="15" customHeight="1" x14ac:dyDescent="0.25">
      <c r="A443" s="242">
        <v>45726</v>
      </c>
      <c r="B443" s="222">
        <v>45716</v>
      </c>
      <c r="C443" s="223"/>
      <c r="D443" s="66" t="s">
        <v>234</v>
      </c>
      <c r="E443" s="404" t="s">
        <v>2580</v>
      </c>
      <c r="F443" s="95" t="s">
        <v>2581</v>
      </c>
      <c r="G443" s="95" t="s">
        <v>2582</v>
      </c>
      <c r="H443" s="95" t="s">
        <v>238</v>
      </c>
      <c r="I443" s="95" t="s">
        <v>239</v>
      </c>
      <c r="J443" s="163"/>
      <c r="K443" s="101"/>
      <c r="L443" s="101" t="s">
        <v>263</v>
      </c>
      <c r="M443" s="345" t="s">
        <v>331</v>
      </c>
      <c r="N443" s="442" t="s">
        <v>467</v>
      </c>
      <c r="O443" s="165">
        <v>53.726000000000006</v>
      </c>
      <c r="P443" s="165">
        <v>83.13</v>
      </c>
      <c r="Q443" s="157">
        <v>22</v>
      </c>
      <c r="R443" s="109" t="s">
        <v>244</v>
      </c>
      <c r="S443" s="110">
        <v>332579.90000000002</v>
      </c>
      <c r="T443" s="93">
        <v>53997.88</v>
      </c>
      <c r="U443" s="141"/>
      <c r="V443" s="158">
        <f t="shared" si="252"/>
        <v>0</v>
      </c>
      <c r="W443" s="159">
        <v>45714.558333333334</v>
      </c>
      <c r="X443" s="159">
        <v>45722.676388888889</v>
      </c>
      <c r="Y443" s="160">
        <v>45716</v>
      </c>
      <c r="Z443" s="470"/>
      <c r="AA443" s="470"/>
      <c r="AB443" s="470"/>
      <c r="AC443" s="161">
        <f t="shared" si="253"/>
        <v>-45714.558333333334</v>
      </c>
      <c r="AD443" s="161">
        <f t="shared" si="281"/>
        <v>-45722.676388888889</v>
      </c>
      <c r="AE443" s="446">
        <f t="shared" si="276"/>
        <v>0</v>
      </c>
      <c r="AF443" s="160">
        <f t="shared" si="282"/>
        <v>45734.643835192073</v>
      </c>
      <c r="AG443" s="160">
        <f t="shared" si="279"/>
        <v>45743.799969021064</v>
      </c>
      <c r="AH443" s="159">
        <f t="shared" si="283"/>
        <v>45764.558333333334</v>
      </c>
      <c r="AI443" s="162">
        <f t="shared" si="254"/>
        <v>-1485.1710376409017</v>
      </c>
      <c r="AJ443" s="224">
        <f t="shared" si="284"/>
        <v>0</v>
      </c>
      <c r="AK443" s="225">
        <f t="shared" si="255"/>
        <v>23</v>
      </c>
      <c r="AL443" s="170">
        <f t="shared" si="256"/>
        <v>36</v>
      </c>
      <c r="AM443" s="170">
        <f t="shared" si="257"/>
        <v>23.085501858736059</v>
      </c>
      <c r="AN443" s="170">
        <f t="shared" si="258"/>
        <v>29.241635687732341</v>
      </c>
      <c r="AO443" s="226">
        <f t="shared" si="259"/>
        <v>20.085501858736059</v>
      </c>
      <c r="AP443" s="227">
        <v>60</v>
      </c>
      <c r="AQ443" s="228">
        <f t="shared" si="260"/>
        <v>57</v>
      </c>
      <c r="AR443" s="228">
        <f t="shared" si="280"/>
        <v>52</v>
      </c>
      <c r="AS443" s="229">
        <f t="shared" si="261"/>
        <v>60</v>
      </c>
      <c r="AT443" s="982">
        <f t="shared" ca="1" si="262"/>
        <v>45895</v>
      </c>
      <c r="AU443" s="50"/>
      <c r="AV443" s="51"/>
      <c r="AW443" s="49"/>
      <c r="AX443" s="49"/>
      <c r="AY443" s="49"/>
      <c r="AZ443" s="300"/>
      <c r="BA443" s="52"/>
      <c r="BB443" s="304"/>
      <c r="BC443" s="231"/>
      <c r="BD443" s="232"/>
      <c r="BE443" s="222">
        <f t="shared" si="277"/>
        <v>15</v>
      </c>
      <c r="BF443" s="233">
        <f t="shared" si="285"/>
        <v>0</v>
      </c>
      <c r="BG443" s="248"/>
      <c r="BH443" s="235"/>
      <c r="BI443" s="234"/>
      <c r="BJ443" s="236"/>
      <c r="BK443" s="222"/>
      <c r="BL443" s="222"/>
      <c r="BM443" s="238"/>
      <c r="BN443" s="222"/>
      <c r="BO443" s="222"/>
      <c r="BP443" s="243"/>
      <c r="BQ443" s="244"/>
      <c r="BR443" s="238"/>
      <c r="BS443" s="67"/>
      <c r="BT443" s="66"/>
      <c r="BU443" s="66"/>
      <c r="BV443" s="66"/>
      <c r="BW443" s="74"/>
      <c r="BX443" s="81"/>
      <c r="BY443" s="66">
        <v>45727</v>
      </c>
      <c r="BZ443" s="944" t="s">
        <v>2583</v>
      </c>
      <c r="CA443" s="42" t="str">
        <f t="shared" si="263"/>
        <v>0</v>
      </c>
      <c r="CB443" s="62">
        <f t="shared" si="264"/>
        <v>-45714.558333333334</v>
      </c>
      <c r="CC443" s="42">
        <f t="shared" si="265"/>
        <v>0</v>
      </c>
      <c r="CD443" s="62">
        <f t="shared" si="266"/>
        <v>-45714.558333333334</v>
      </c>
      <c r="CE443" s="62">
        <f t="shared" si="267"/>
        <v>-1485.1710376409017</v>
      </c>
      <c r="CF443" s="145" t="str">
        <f t="shared" si="268"/>
        <v>0</v>
      </c>
      <c r="CG443" s="145"/>
      <c r="CH443" s="443">
        <f t="shared" si="269"/>
        <v>5.0174889291465057</v>
      </c>
      <c r="CI443" s="996">
        <f t="shared" si="270"/>
        <v>5.0174889291465057</v>
      </c>
      <c r="CJ443" s="261">
        <f t="shared" si="271"/>
        <v>0</v>
      </c>
      <c r="CK443" s="458">
        <f t="shared" si="272"/>
        <v>141.4416666666657</v>
      </c>
      <c r="CL443" t="str">
        <f t="shared" si="273"/>
        <v>REV</v>
      </c>
      <c r="CM443" t="str">
        <f t="shared" si="274"/>
        <v>4-6 MONTHS</v>
      </c>
      <c r="CN443" s="635"/>
      <c r="CO443" s="631"/>
      <c r="CP443" s="629" t="str">
        <f t="shared" si="251"/>
        <v>FOR ISSUANCE</v>
      </c>
      <c r="CQ443" s="635"/>
      <c r="CR443" s="697"/>
      <c r="CS443" s="633" t="str">
        <f t="shared" ca="1" si="275"/>
        <v>0</v>
      </c>
      <c r="CT443" s="635"/>
      <c r="CU443" s="631"/>
      <c r="CV443" s="638"/>
      <c r="CW443" s="156" t="s">
        <v>2584</v>
      </c>
      <c r="CX443" s="156" t="str">
        <f>VLOOKUP(E443,'[1]List of Work Orders'!$A:$I,9,FALSE)</f>
        <v>ME155242</v>
      </c>
      <c r="CY443" s="156"/>
      <c r="DA443" s="762">
        <f t="shared" si="278"/>
        <v>8.1180555555547471</v>
      </c>
      <c r="DS443" s="156" t="s">
        <v>403</v>
      </c>
    </row>
    <row r="444" spans="1:123" ht="15" customHeight="1" x14ac:dyDescent="0.2">
      <c r="A444" s="242">
        <v>45726</v>
      </c>
      <c r="B444" s="222">
        <v>45716</v>
      </c>
      <c r="C444" s="223"/>
      <c r="D444" s="66" t="s">
        <v>320</v>
      </c>
      <c r="E444" s="404" t="s">
        <v>2585</v>
      </c>
      <c r="F444" s="95" t="s">
        <v>2586</v>
      </c>
      <c r="G444" s="95" t="s">
        <v>2587</v>
      </c>
      <c r="H444" s="95" t="s">
        <v>238</v>
      </c>
      <c r="I444" s="95" t="s">
        <v>239</v>
      </c>
      <c r="J444" s="163"/>
      <c r="K444" s="101"/>
      <c r="L444" s="101" t="s">
        <v>255</v>
      </c>
      <c r="M444" s="345" t="s">
        <v>272</v>
      </c>
      <c r="N444" s="442" t="s">
        <v>381</v>
      </c>
      <c r="O444" s="165">
        <v>69.209500000000006</v>
      </c>
      <c r="P444" s="933">
        <v>83.71</v>
      </c>
      <c r="Q444" s="157">
        <v>80</v>
      </c>
      <c r="R444" s="109" t="s">
        <v>244</v>
      </c>
      <c r="S444" s="110">
        <v>558159.81999999995</v>
      </c>
      <c r="T444" s="93">
        <v>71925.459999999977</v>
      </c>
      <c r="U444" s="141"/>
      <c r="V444" s="158">
        <f t="shared" si="252"/>
        <v>0</v>
      </c>
      <c r="W444" s="159">
        <v>45714.572222222225</v>
      </c>
      <c r="X444" s="159">
        <v>45722.677083333336</v>
      </c>
      <c r="Y444" s="160">
        <v>45716</v>
      </c>
      <c r="Z444" s="470"/>
      <c r="AA444" s="470">
        <v>45742</v>
      </c>
      <c r="AB444" s="470"/>
      <c r="AC444" s="161">
        <f t="shared" si="253"/>
        <v>27.427777777775191</v>
      </c>
      <c r="AD444" s="161">
        <f t="shared" si="281"/>
        <v>19.322916666664241</v>
      </c>
      <c r="AE444" s="446">
        <f t="shared" si="276"/>
        <v>-45742</v>
      </c>
      <c r="AF444" s="160">
        <f t="shared" si="282"/>
        <v>45733.872602450363</v>
      </c>
      <c r="AG444" s="160">
        <f t="shared" si="279"/>
        <v>45742.819370511199</v>
      </c>
      <c r="AH444" s="159">
        <f t="shared" si="283"/>
        <v>45764.572222222225</v>
      </c>
      <c r="AI444" s="162">
        <f t="shared" si="254"/>
        <v>0.92244316567197882</v>
      </c>
      <c r="AJ444" s="224">
        <f t="shared" si="284"/>
        <v>-762.36666666666667</v>
      </c>
      <c r="AK444" s="225">
        <f t="shared" si="255"/>
        <v>23</v>
      </c>
      <c r="AL444" s="170">
        <f t="shared" si="256"/>
        <v>34</v>
      </c>
      <c r="AM444" s="170">
        <f t="shared" si="257"/>
        <v>22.300380228136884</v>
      </c>
      <c r="AN444" s="170">
        <f t="shared" si="258"/>
        <v>28.247148288973385</v>
      </c>
      <c r="AO444" s="226">
        <f t="shared" si="259"/>
        <v>19.300380228136884</v>
      </c>
      <c r="AP444" s="227">
        <v>60</v>
      </c>
      <c r="AQ444" s="228">
        <f t="shared" si="260"/>
        <v>57</v>
      </c>
      <c r="AR444" s="228">
        <f t="shared" si="280"/>
        <v>52</v>
      </c>
      <c r="AS444" s="229">
        <f t="shared" si="261"/>
        <v>45802</v>
      </c>
      <c r="AT444" s="982">
        <f t="shared" ca="1" si="262"/>
        <v>153</v>
      </c>
      <c r="AU444" s="1077"/>
      <c r="AV444" s="1092"/>
      <c r="AW444" s="1079"/>
      <c r="AX444" s="1079"/>
      <c r="AY444" s="1079"/>
      <c r="AZ444" s="1080"/>
      <c r="BA444" s="1101"/>
      <c r="BB444" s="1091"/>
      <c r="BC444" s="231" t="s">
        <v>13</v>
      </c>
      <c r="BD444" s="232"/>
      <c r="BE444" s="222">
        <f t="shared" si="277"/>
        <v>45757</v>
      </c>
      <c r="BF444" s="233" t="e">
        <f t="shared" si="285"/>
        <v>#VALUE!</v>
      </c>
      <c r="BG444" s="248"/>
      <c r="BH444" s="235"/>
      <c r="BI444" s="234"/>
      <c r="BJ444" s="236"/>
      <c r="BK444" s="222"/>
      <c r="BL444" s="222"/>
      <c r="BM444" s="238"/>
      <c r="BN444" s="222"/>
      <c r="BO444" s="222"/>
      <c r="BP444" s="243"/>
      <c r="BQ444" s="244"/>
      <c r="BR444" s="238"/>
      <c r="BS444" s="67"/>
      <c r="BT444" s="66"/>
      <c r="BU444" s="66"/>
      <c r="BV444" s="66"/>
      <c r="BW444" s="74"/>
      <c r="BX444" s="81"/>
      <c r="BY444" s="66">
        <v>45728</v>
      </c>
      <c r="BZ444" s="944" t="s">
        <v>2588</v>
      </c>
      <c r="CA444" s="42" t="str">
        <f t="shared" si="263"/>
        <v>0</v>
      </c>
      <c r="CB444" s="62">
        <f t="shared" si="264"/>
        <v>27.427777777775191</v>
      </c>
      <c r="CC444" s="42">
        <f t="shared" si="265"/>
        <v>0</v>
      </c>
      <c r="CD444" s="62">
        <f t="shared" si="266"/>
        <v>27.427777777775191</v>
      </c>
      <c r="CE444" s="62">
        <f t="shared" si="267"/>
        <v>0.92244316567197882</v>
      </c>
      <c r="CF444" s="1059">
        <f t="shared" si="268"/>
        <v>127</v>
      </c>
      <c r="CH444" s="1082">
        <f t="shared" si="269"/>
        <v>5.1936707871553551</v>
      </c>
      <c r="CI444" s="1083">
        <f t="shared" si="270"/>
        <v>5.1936707871553551</v>
      </c>
      <c r="CJ444" s="1084">
        <f t="shared" si="271"/>
        <v>2.1166666666666667</v>
      </c>
      <c r="CK444" s="1085" t="str">
        <f t="shared" si="272"/>
        <v/>
      </c>
      <c r="CL444" s="1057" t="str">
        <f t="shared" si="273"/>
        <v>REV</v>
      </c>
      <c r="CM444" s="1057" t="str">
        <f t="shared" si="274"/>
        <v/>
      </c>
      <c r="CN444" s="1086"/>
      <c r="CO444" s="1087"/>
      <c r="CP444" s="629" t="str">
        <f t="shared" si="251"/>
        <v>FOR ISSUANCE</v>
      </c>
      <c r="CQ444" s="1086"/>
      <c r="CR444" s="1088"/>
      <c r="CS444" s="1089" t="str">
        <f t="shared" ca="1" si="275"/>
        <v>0</v>
      </c>
      <c r="CT444" s="1086"/>
      <c r="CU444" s="1087"/>
      <c r="CV444" s="1090"/>
      <c r="CW444" s="156" t="s">
        <v>2589</v>
      </c>
      <c r="CX444" s="156" t="str">
        <f>VLOOKUP(E444,'[1]List of Work Orders'!$A:$I,9,FALSE)</f>
        <v>ME185284</v>
      </c>
      <c r="CY444" s="156"/>
      <c r="DA444" s="1100">
        <f t="shared" si="278"/>
        <v>8.1048611111109494</v>
      </c>
      <c r="DS444" s="156" t="s">
        <v>403</v>
      </c>
    </row>
    <row r="445" spans="1:123" customFormat="1" ht="15" customHeight="1" x14ac:dyDescent="0.25">
      <c r="A445" s="242">
        <v>45751</v>
      </c>
      <c r="B445" s="222">
        <v>45716</v>
      </c>
      <c r="C445" s="223"/>
      <c r="D445" s="66" t="s">
        <v>320</v>
      </c>
      <c r="E445" s="404" t="s">
        <v>2590</v>
      </c>
      <c r="F445" s="95" t="s">
        <v>2591</v>
      </c>
      <c r="G445" s="95" t="s">
        <v>2592</v>
      </c>
      <c r="H445" s="95" t="s">
        <v>269</v>
      </c>
      <c r="I445" s="95" t="s">
        <v>239</v>
      </c>
      <c r="J445" s="163" t="s">
        <v>2593</v>
      </c>
      <c r="K445" s="101"/>
      <c r="L445" s="101" t="s">
        <v>5</v>
      </c>
      <c r="M445" s="345" t="s">
        <v>272</v>
      </c>
      <c r="N445" s="442" t="s">
        <v>403</v>
      </c>
      <c r="O445" s="165">
        <v>47.496200000000002</v>
      </c>
      <c r="P445" s="933">
        <v>51</v>
      </c>
      <c r="Q445" s="157">
        <v>22.5</v>
      </c>
      <c r="R445" s="109" t="s">
        <v>244</v>
      </c>
      <c r="S445" s="110">
        <v>290132.07</v>
      </c>
      <c r="T445" s="93">
        <v>43421.75</v>
      </c>
      <c r="U445" s="141"/>
      <c r="V445" s="158">
        <f t="shared" si="252"/>
        <v>0</v>
      </c>
      <c r="W445" s="159">
        <v>45714.803472222222</v>
      </c>
      <c r="X445" s="159">
        <v>45722.686111111114</v>
      </c>
      <c r="Y445" s="160">
        <v>45716</v>
      </c>
      <c r="Z445" s="470"/>
      <c r="AA445" s="470">
        <v>45768</v>
      </c>
      <c r="AB445" s="470"/>
      <c r="AC445" s="161">
        <f t="shared" si="253"/>
        <v>53.196527777778101</v>
      </c>
      <c r="AD445" s="161">
        <f t="shared" si="281"/>
        <v>45.31388888888614</v>
      </c>
      <c r="AE445" s="446">
        <f t="shared" si="276"/>
        <v>-45768</v>
      </c>
      <c r="AF445" s="160">
        <f t="shared" si="282"/>
        <v>45734.888974080961</v>
      </c>
      <c r="AG445" s="160">
        <f t="shared" si="279"/>
        <v>45744.045107909951</v>
      </c>
      <c r="AH445" s="159">
        <f t="shared" si="283"/>
        <v>45764.803472222222</v>
      </c>
      <c r="AI445" s="162">
        <f t="shared" si="254"/>
        <v>1.7282446826355446</v>
      </c>
      <c r="AJ445" s="224">
        <f t="shared" si="284"/>
        <v>-762.8</v>
      </c>
      <c r="AK445" s="225">
        <f t="shared" si="255"/>
        <v>23</v>
      </c>
      <c r="AL445" s="170">
        <f t="shared" si="256"/>
        <v>36</v>
      </c>
      <c r="AM445" s="170">
        <f t="shared" si="257"/>
        <v>23.085501858736059</v>
      </c>
      <c r="AN445" s="170">
        <f t="shared" si="258"/>
        <v>29.241635687732341</v>
      </c>
      <c r="AO445" s="226">
        <f t="shared" si="259"/>
        <v>20.085501858736059</v>
      </c>
      <c r="AP445" s="227">
        <v>60</v>
      </c>
      <c r="AQ445" s="228">
        <f t="shared" si="260"/>
        <v>57</v>
      </c>
      <c r="AR445" s="228">
        <f t="shared" si="280"/>
        <v>52</v>
      </c>
      <c r="AS445" s="229">
        <f t="shared" si="261"/>
        <v>45828</v>
      </c>
      <c r="AT445" s="982">
        <f t="shared" ca="1" si="262"/>
        <v>127</v>
      </c>
      <c r="AU445" s="50"/>
      <c r="AV445" s="51"/>
      <c r="AW445" s="49"/>
      <c r="AX445" s="49"/>
      <c r="AY445" s="49"/>
      <c r="AZ445" s="300"/>
      <c r="BA445" s="52"/>
      <c r="BB445" s="304"/>
      <c r="BC445" s="231" t="s">
        <v>12</v>
      </c>
      <c r="BD445" s="232"/>
      <c r="BE445" s="222">
        <f t="shared" si="277"/>
        <v>45783</v>
      </c>
      <c r="BF445" s="233">
        <f t="shared" si="285"/>
        <v>-6</v>
      </c>
      <c r="BG445" s="248">
        <v>45768</v>
      </c>
      <c r="BH445" s="235">
        <v>45777</v>
      </c>
      <c r="BI445" s="234"/>
      <c r="BJ445" s="236"/>
      <c r="BK445" s="222"/>
      <c r="BL445" s="222"/>
      <c r="BM445" s="238"/>
      <c r="BN445" s="222"/>
      <c r="BO445" s="222"/>
      <c r="BP445" s="243"/>
      <c r="BQ445" s="244"/>
      <c r="BR445" s="238"/>
      <c r="BS445" s="67"/>
      <c r="BT445" s="66"/>
      <c r="BU445" s="66"/>
      <c r="BV445" s="66"/>
      <c r="BW445" s="74"/>
      <c r="BX445" s="81"/>
      <c r="BY445" s="66">
        <v>45754</v>
      </c>
      <c r="BZ445" s="944" t="s">
        <v>2594</v>
      </c>
      <c r="CA445" s="42" t="str">
        <f t="shared" si="263"/>
        <v>0</v>
      </c>
      <c r="CB445" s="62">
        <f t="shared" si="264"/>
        <v>53.196527777778101</v>
      </c>
      <c r="CC445" s="42">
        <f t="shared" si="265"/>
        <v>0</v>
      </c>
      <c r="CD445" s="62">
        <f t="shared" si="266"/>
        <v>53.196527777778101</v>
      </c>
      <c r="CE445" s="62">
        <f t="shared" si="267"/>
        <v>1.7282446826355446</v>
      </c>
      <c r="CF445" s="145">
        <f t="shared" si="268"/>
        <v>101</v>
      </c>
      <c r="CG445" s="145"/>
      <c r="CH445" s="443">
        <f t="shared" si="269"/>
        <v>5.009524875872259</v>
      </c>
      <c r="CI445" s="996">
        <f t="shared" si="270"/>
        <v>5.009524875872259</v>
      </c>
      <c r="CJ445" s="261">
        <f t="shared" si="271"/>
        <v>1.6833333333333333</v>
      </c>
      <c r="CK445" s="458" t="str">
        <f t="shared" si="272"/>
        <v/>
      </c>
      <c r="CL445" t="str">
        <f t="shared" si="273"/>
        <v>REV</v>
      </c>
      <c r="CM445" t="str">
        <f t="shared" si="274"/>
        <v/>
      </c>
      <c r="CN445" s="635"/>
      <c r="CO445" s="631"/>
      <c r="CP445" s="629" t="str">
        <f t="shared" si="251"/>
        <v>FOR ISSUANCE</v>
      </c>
      <c r="CQ445" s="635"/>
      <c r="CR445" s="697"/>
      <c r="CS445" s="633" t="str">
        <f t="shared" ca="1" si="275"/>
        <v>0</v>
      </c>
      <c r="CT445" s="635"/>
      <c r="CU445" s="631"/>
      <c r="CV445" s="638"/>
      <c r="CW445" s="156" t="s">
        <v>2595</v>
      </c>
      <c r="CX445" s="156" t="str">
        <f>VLOOKUP(E445,'[1]List of Work Orders'!$A:$I,9,FALSE)</f>
        <v>ME166067</v>
      </c>
      <c r="CY445" s="156"/>
      <c r="DA445" s="762">
        <f t="shared" si="278"/>
        <v>7.882638888891961</v>
      </c>
      <c r="DS445" s="156" t="s">
        <v>403</v>
      </c>
    </row>
    <row r="446" spans="1:123" customFormat="1" ht="15" customHeight="1" x14ac:dyDescent="0.25">
      <c r="A446" s="242">
        <v>45726</v>
      </c>
      <c r="B446" s="222">
        <v>45716</v>
      </c>
      <c r="C446" s="223"/>
      <c r="D446" s="66" t="s">
        <v>320</v>
      </c>
      <c r="E446" s="404" t="s">
        <v>2596</v>
      </c>
      <c r="F446" s="95" t="s">
        <v>2597</v>
      </c>
      <c r="G446" s="95" t="s">
        <v>2598</v>
      </c>
      <c r="H446" s="95" t="s">
        <v>238</v>
      </c>
      <c r="I446" s="95" t="s">
        <v>239</v>
      </c>
      <c r="J446" s="163"/>
      <c r="K446" s="101"/>
      <c r="L446" s="101" t="s">
        <v>242</v>
      </c>
      <c r="M446" s="345" t="s">
        <v>272</v>
      </c>
      <c r="N446" s="442" t="s">
        <v>467</v>
      </c>
      <c r="O446" s="165">
        <v>50.980199999999996</v>
      </c>
      <c r="P446" s="933">
        <v>136.91999999999999</v>
      </c>
      <c r="Q446" s="157">
        <v>82</v>
      </c>
      <c r="R446" s="109" t="s">
        <v>244</v>
      </c>
      <c r="S446" s="110">
        <v>398405.14</v>
      </c>
      <c r="T446" s="93">
        <v>50006.080000000009</v>
      </c>
      <c r="U446" s="141"/>
      <c r="V446" s="158">
        <f t="shared" si="252"/>
        <v>0</v>
      </c>
      <c r="W446" s="159">
        <v>45715.313194444447</v>
      </c>
      <c r="X446" s="159">
        <v>45722.688888888886</v>
      </c>
      <c r="Y446" s="160">
        <v>45716</v>
      </c>
      <c r="Z446" s="470"/>
      <c r="AA446" s="470">
        <v>45747</v>
      </c>
      <c r="AB446" s="470"/>
      <c r="AC446" s="161">
        <f t="shared" si="253"/>
        <v>31.686805555553292</v>
      </c>
      <c r="AD446" s="161">
        <f t="shared" si="281"/>
        <v>24.31111111111386</v>
      </c>
      <c r="AE446" s="446">
        <f t="shared" si="276"/>
        <v>-45747</v>
      </c>
      <c r="AF446" s="160">
        <f t="shared" si="282"/>
        <v>45735.658264866979</v>
      </c>
      <c r="AG446" s="160">
        <f t="shared" si="279"/>
        <v>45744.883616979656</v>
      </c>
      <c r="AH446" s="159">
        <f t="shared" si="283"/>
        <v>45765.313194444447</v>
      </c>
      <c r="AI446" s="162">
        <f t="shared" si="254"/>
        <v>1.0179923956761465</v>
      </c>
      <c r="AJ446" s="224">
        <f t="shared" si="284"/>
        <v>-762.45</v>
      </c>
      <c r="AK446" s="225">
        <f t="shared" si="255"/>
        <v>26</v>
      </c>
      <c r="AL446" s="170">
        <f t="shared" si="256"/>
        <v>34</v>
      </c>
      <c r="AM446" s="170">
        <f t="shared" si="257"/>
        <v>23.345070422535212</v>
      </c>
      <c r="AN446" s="170">
        <f t="shared" si="258"/>
        <v>29.570422535211268</v>
      </c>
      <c r="AO446" s="226">
        <f t="shared" si="259"/>
        <v>20.345070422535212</v>
      </c>
      <c r="AP446" s="227">
        <v>60</v>
      </c>
      <c r="AQ446" s="228">
        <f t="shared" si="260"/>
        <v>57</v>
      </c>
      <c r="AR446" s="228">
        <f t="shared" si="280"/>
        <v>52</v>
      </c>
      <c r="AS446" s="229">
        <f t="shared" si="261"/>
        <v>45807</v>
      </c>
      <c r="AT446" s="982">
        <f t="shared" ca="1" si="262"/>
        <v>148</v>
      </c>
      <c r="AU446" s="50"/>
      <c r="AV446" s="51"/>
      <c r="AW446" s="49"/>
      <c r="AX446" s="49"/>
      <c r="AY446" s="49"/>
      <c r="AZ446" s="300"/>
      <c r="BA446" s="52"/>
      <c r="BB446" s="304"/>
      <c r="BC446" s="231" t="s">
        <v>12</v>
      </c>
      <c r="BD446" s="232"/>
      <c r="BE446" s="222">
        <f>AA446+15</f>
        <v>45762</v>
      </c>
      <c r="BF446" s="233">
        <f t="shared" si="285"/>
        <v>-15</v>
      </c>
      <c r="BG446" s="248">
        <v>45811</v>
      </c>
      <c r="BH446" s="235">
        <v>45747</v>
      </c>
      <c r="BI446" s="234"/>
      <c r="BJ446" s="236"/>
      <c r="BK446" s="222"/>
      <c r="BL446" s="222"/>
      <c r="BM446" s="238"/>
      <c r="BN446" s="222"/>
      <c r="BO446" s="222"/>
      <c r="BP446" s="243"/>
      <c r="BQ446" s="244" t="s">
        <v>247</v>
      </c>
      <c r="BR446" s="238">
        <v>45747</v>
      </c>
      <c r="BS446" s="67"/>
      <c r="BT446" s="66"/>
      <c r="BU446" s="66"/>
      <c r="BV446" s="66"/>
      <c r="BW446" s="74"/>
      <c r="BX446" s="81"/>
      <c r="BY446" s="66">
        <v>45730</v>
      </c>
      <c r="BZ446" s="944" t="s">
        <v>2599</v>
      </c>
      <c r="CA446" s="42" t="str">
        <f t="shared" si="263"/>
        <v>0</v>
      </c>
      <c r="CB446" s="62">
        <f t="shared" si="264"/>
        <v>31.686805555553292</v>
      </c>
      <c r="CC446" s="42">
        <f t="shared" si="265"/>
        <v>0</v>
      </c>
      <c r="CD446" s="62">
        <f t="shared" si="266"/>
        <v>31.686805555553292</v>
      </c>
      <c r="CE446" s="62">
        <f t="shared" si="267"/>
        <v>1.0179923956761465</v>
      </c>
      <c r="CF446" s="145">
        <f t="shared" si="268"/>
        <v>122</v>
      </c>
      <c r="CG446" s="145"/>
      <c r="CH446" s="443">
        <f t="shared" si="269"/>
        <v>4.9374494092508066</v>
      </c>
      <c r="CI446" s="996">
        <f t="shared" si="270"/>
        <v>4.9374494092508066</v>
      </c>
      <c r="CJ446" s="261">
        <f t="shared" si="271"/>
        <v>2.0333333333333332</v>
      </c>
      <c r="CK446" s="458" t="str">
        <f t="shared" si="272"/>
        <v/>
      </c>
      <c r="CL446" t="str">
        <f t="shared" si="273"/>
        <v>REV</v>
      </c>
      <c r="CM446" t="str">
        <f t="shared" si="274"/>
        <v/>
      </c>
      <c r="CN446" s="635"/>
      <c r="CO446" s="631"/>
      <c r="CP446" s="629" t="str">
        <f t="shared" si="251"/>
        <v>FOR ISSUANCE</v>
      </c>
      <c r="CQ446" s="635"/>
      <c r="CR446" s="697"/>
      <c r="CS446" s="633" t="str">
        <f t="shared" ca="1" si="275"/>
        <v>0</v>
      </c>
      <c r="CT446" s="635"/>
      <c r="CU446" s="631"/>
      <c r="CV446" s="638"/>
      <c r="CW446" s="156" t="s">
        <v>2600</v>
      </c>
      <c r="CX446" s="156" t="str">
        <f>VLOOKUP(E446,'[1]List of Work Orders'!$A:$I,9,FALSE)</f>
        <v>ME155242</v>
      </c>
      <c r="CY446" s="156"/>
      <c r="CZ446" s="63"/>
      <c r="DA446" s="762">
        <f t="shared" si="278"/>
        <v>7.3756944444394321</v>
      </c>
      <c r="DS446" s="156" t="s">
        <v>2238</v>
      </c>
    </row>
    <row r="447" spans="1:123" customFormat="1" ht="15" customHeight="1" x14ac:dyDescent="0.25">
      <c r="A447" s="242">
        <v>45726</v>
      </c>
      <c r="B447" s="222">
        <v>45716</v>
      </c>
      <c r="C447" s="223"/>
      <c r="D447" s="66" t="s">
        <v>320</v>
      </c>
      <c r="E447" s="404" t="s">
        <v>2601</v>
      </c>
      <c r="F447" s="95" t="s">
        <v>2602</v>
      </c>
      <c r="G447" s="95" t="s">
        <v>2598</v>
      </c>
      <c r="H447" s="95" t="s">
        <v>238</v>
      </c>
      <c r="I447" s="95" t="s">
        <v>239</v>
      </c>
      <c r="J447" s="163"/>
      <c r="K447" s="101"/>
      <c r="L447" s="101" t="s">
        <v>242</v>
      </c>
      <c r="M447" s="350" t="s">
        <v>272</v>
      </c>
      <c r="N447" s="442" t="s">
        <v>467</v>
      </c>
      <c r="O447" s="165">
        <v>48.302600000000005</v>
      </c>
      <c r="P447" s="933">
        <v>62.72</v>
      </c>
      <c r="Q447" s="157">
        <v>80</v>
      </c>
      <c r="R447" s="109" t="s">
        <v>244</v>
      </c>
      <c r="S447" s="110">
        <v>415129.66</v>
      </c>
      <c r="T447" s="93">
        <v>53886.459999999992</v>
      </c>
      <c r="U447" s="141"/>
      <c r="V447" s="158">
        <f t="shared" si="252"/>
        <v>0</v>
      </c>
      <c r="W447" s="159">
        <v>45715.314583333333</v>
      </c>
      <c r="X447" s="159">
        <v>45722.69027777778</v>
      </c>
      <c r="Y447" s="160">
        <v>45716</v>
      </c>
      <c r="Z447" s="470"/>
      <c r="AA447" s="470">
        <v>45749</v>
      </c>
      <c r="AB447" s="470"/>
      <c r="AC447" s="161">
        <f t="shared" si="253"/>
        <v>33.685416666667152</v>
      </c>
      <c r="AD447" s="161">
        <f t="shared" si="281"/>
        <v>26.309722222220444</v>
      </c>
      <c r="AE447" s="446">
        <f t="shared" si="276"/>
        <v>-45749</v>
      </c>
      <c r="AF447" s="160">
        <f t="shared" si="282"/>
        <v>45734.614963561471</v>
      </c>
      <c r="AG447" s="160">
        <f t="shared" si="279"/>
        <v>45743.561731622307</v>
      </c>
      <c r="AH447" s="159">
        <f t="shared" si="283"/>
        <v>45765.314583333333</v>
      </c>
      <c r="AI447" s="162">
        <f t="shared" si="254"/>
        <v>1.1328982843137418</v>
      </c>
      <c r="AJ447" s="224">
        <f t="shared" si="284"/>
        <v>-762.48333333333335</v>
      </c>
      <c r="AK447" s="225">
        <f t="shared" si="255"/>
        <v>23</v>
      </c>
      <c r="AL447" s="170">
        <f t="shared" si="256"/>
        <v>34</v>
      </c>
      <c r="AM447" s="170">
        <f t="shared" si="257"/>
        <v>22.300380228136884</v>
      </c>
      <c r="AN447" s="170">
        <f t="shared" si="258"/>
        <v>28.247148288973385</v>
      </c>
      <c r="AO447" s="226">
        <f t="shared" si="259"/>
        <v>19.300380228136884</v>
      </c>
      <c r="AP447" s="227">
        <v>60</v>
      </c>
      <c r="AQ447" s="228">
        <f t="shared" si="260"/>
        <v>57</v>
      </c>
      <c r="AR447" s="228">
        <f t="shared" si="280"/>
        <v>52</v>
      </c>
      <c r="AS447" s="229">
        <f t="shared" si="261"/>
        <v>45809</v>
      </c>
      <c r="AT447" s="982">
        <f t="shared" ca="1" si="262"/>
        <v>146</v>
      </c>
      <c r="AU447" s="50"/>
      <c r="AV447" s="51"/>
      <c r="AW447" s="49"/>
      <c r="AX447" s="49"/>
      <c r="AY447" s="49"/>
      <c r="AZ447" s="300"/>
      <c r="BA447" s="52"/>
      <c r="BB447" s="304"/>
      <c r="BC447" s="231" t="s">
        <v>12</v>
      </c>
      <c r="BD447" s="232"/>
      <c r="BE447" s="222">
        <f t="shared" si="277"/>
        <v>45764</v>
      </c>
      <c r="BF447" s="233">
        <f t="shared" si="285"/>
        <v>-17</v>
      </c>
      <c r="BG447" s="248">
        <v>45811</v>
      </c>
      <c r="BH447" s="235">
        <v>45747</v>
      </c>
      <c r="BI447" s="234"/>
      <c r="BJ447" s="236"/>
      <c r="BK447" s="222"/>
      <c r="BL447" s="222"/>
      <c r="BM447" s="238"/>
      <c r="BN447" s="222"/>
      <c r="BO447" s="222"/>
      <c r="BP447" s="243"/>
      <c r="BQ447" s="244" t="s">
        <v>247</v>
      </c>
      <c r="BR447" s="238">
        <v>45747</v>
      </c>
      <c r="BS447" s="67"/>
      <c r="BT447" s="66"/>
      <c r="BU447" s="66"/>
      <c r="BV447" s="66"/>
      <c r="BW447" s="74"/>
      <c r="BX447" s="81"/>
      <c r="BY447" s="66">
        <v>45719</v>
      </c>
      <c r="BZ447" s="944" t="s">
        <v>2603</v>
      </c>
      <c r="CA447" s="42" t="str">
        <f t="shared" si="263"/>
        <v>0</v>
      </c>
      <c r="CB447" s="62">
        <f t="shared" si="264"/>
        <v>33.685416666667152</v>
      </c>
      <c r="CC447" s="42">
        <f t="shared" si="265"/>
        <v>0</v>
      </c>
      <c r="CD447" s="62">
        <f t="shared" si="266"/>
        <v>33.685416666667152</v>
      </c>
      <c r="CE447" s="62">
        <f t="shared" si="267"/>
        <v>1.1328982843137418</v>
      </c>
      <c r="CF447" s="145">
        <f t="shared" si="268"/>
        <v>120</v>
      </c>
      <c r="CG447" s="145"/>
      <c r="CH447" s="443">
        <f t="shared" si="269"/>
        <v>5.1687039109122068</v>
      </c>
      <c r="CI447" s="996">
        <f t="shared" si="270"/>
        <v>5.1687039109122068</v>
      </c>
      <c r="CJ447" s="261">
        <f t="shared" si="271"/>
        <v>2</v>
      </c>
      <c r="CK447" s="458" t="str">
        <f t="shared" si="272"/>
        <v/>
      </c>
      <c r="CL447" t="str">
        <f t="shared" si="273"/>
        <v>REV</v>
      </c>
      <c r="CM447" t="str">
        <f t="shared" si="274"/>
        <v/>
      </c>
      <c r="CN447" s="635"/>
      <c r="CO447" s="631"/>
      <c r="CP447" s="629" t="str">
        <f t="shared" si="251"/>
        <v>FOR ISSUANCE</v>
      </c>
      <c r="CQ447" s="635"/>
      <c r="CR447" s="697"/>
      <c r="CS447" s="633" t="str">
        <f t="shared" ca="1" si="275"/>
        <v>0</v>
      </c>
      <c r="CT447" s="635"/>
      <c r="CU447" s="631"/>
      <c r="CV447" s="638"/>
      <c r="CW447" s="156" t="s">
        <v>2604</v>
      </c>
      <c r="CX447" s="156" t="str">
        <f>VLOOKUP(E447,'[1]List of Work Orders'!$A:$I,9,FALSE)</f>
        <v>ME155242</v>
      </c>
      <c r="CY447" s="156"/>
      <c r="CZ447" s="63"/>
      <c r="DA447" s="762">
        <f t="shared" si="278"/>
        <v>7.3756944444467081</v>
      </c>
      <c r="DS447" s="156" t="s">
        <v>397</v>
      </c>
    </row>
    <row r="448" spans="1:123" customFormat="1" ht="15" customHeight="1" x14ac:dyDescent="0.25">
      <c r="A448" s="242">
        <v>45726</v>
      </c>
      <c r="B448" s="222">
        <v>45728</v>
      </c>
      <c r="C448" s="223"/>
      <c r="D448" s="66" t="s">
        <v>320</v>
      </c>
      <c r="E448" s="404" t="s">
        <v>2605</v>
      </c>
      <c r="F448" s="95" t="s">
        <v>2606</v>
      </c>
      <c r="G448" s="95" t="s">
        <v>2607</v>
      </c>
      <c r="H448" s="95" t="s">
        <v>269</v>
      </c>
      <c r="I448" s="95" t="s">
        <v>239</v>
      </c>
      <c r="J448" s="163"/>
      <c r="K448" s="101"/>
      <c r="L448" s="101" t="s">
        <v>263</v>
      </c>
      <c r="M448" s="101" t="s">
        <v>272</v>
      </c>
      <c r="N448" s="442" t="s">
        <v>467</v>
      </c>
      <c r="O448" s="165">
        <v>9.9133000000000013</v>
      </c>
      <c r="P448" s="165">
        <v>12.75</v>
      </c>
      <c r="Q448" s="157">
        <v>10.5</v>
      </c>
      <c r="R448" s="109" t="s">
        <v>244</v>
      </c>
      <c r="S448" s="110">
        <v>145803.29999999999</v>
      </c>
      <c r="T448" s="93">
        <v>10957.9</v>
      </c>
      <c r="U448" s="141"/>
      <c r="V448" s="158">
        <f t="shared" si="252"/>
        <v>0</v>
      </c>
      <c r="W448" s="159">
        <v>45716.509027777778</v>
      </c>
      <c r="X448" s="159">
        <v>45726.609722222223</v>
      </c>
      <c r="Y448" s="160">
        <v>45726</v>
      </c>
      <c r="Z448" s="470"/>
      <c r="AA448" s="470">
        <v>45854</v>
      </c>
      <c r="AB448" s="470"/>
      <c r="AC448" s="161">
        <f t="shared" si="253"/>
        <v>137.4909722222219</v>
      </c>
      <c r="AD448" s="161">
        <f t="shared" si="281"/>
        <v>127.39027777777665</v>
      </c>
      <c r="AE448" s="446">
        <f t="shared" si="276"/>
        <v>-45854</v>
      </c>
      <c r="AF448" s="160">
        <f t="shared" si="282"/>
        <v>45735.283221326164</v>
      </c>
      <c r="AG448" s="160">
        <f t="shared" si="279"/>
        <v>45744.089672939066</v>
      </c>
      <c r="AH448" s="159">
        <f t="shared" si="283"/>
        <v>45766.509027777778</v>
      </c>
      <c r="AI448" s="162">
        <f t="shared" si="254"/>
        <v>4.7358001543209767</v>
      </c>
      <c r="AJ448" s="224">
        <f t="shared" si="284"/>
        <v>-764.23333333333335</v>
      </c>
      <c r="AK448" s="225">
        <f t="shared" si="255"/>
        <v>20</v>
      </c>
      <c r="AL448" s="170">
        <f t="shared" si="256"/>
        <v>36</v>
      </c>
      <c r="AM448" s="170">
        <f t="shared" si="257"/>
        <v>21.774193548387096</v>
      </c>
      <c r="AN448" s="170">
        <f t="shared" si="258"/>
        <v>27.58064516129032</v>
      </c>
      <c r="AO448" s="226">
        <f t="shared" si="259"/>
        <v>18.774193548387096</v>
      </c>
      <c r="AP448" s="227">
        <v>60</v>
      </c>
      <c r="AQ448" s="228">
        <f t="shared" si="260"/>
        <v>57</v>
      </c>
      <c r="AR448" s="228">
        <f t="shared" si="280"/>
        <v>52</v>
      </c>
      <c r="AS448" s="229">
        <f t="shared" si="261"/>
        <v>45914</v>
      </c>
      <c r="AT448" s="982">
        <f t="shared" ca="1" si="262"/>
        <v>41</v>
      </c>
      <c r="AU448" s="50"/>
      <c r="AV448" s="51"/>
      <c r="AW448" s="49"/>
      <c r="AX448" s="49"/>
      <c r="AY448" s="49"/>
      <c r="AZ448" s="300"/>
      <c r="BA448" s="52"/>
      <c r="BB448" s="304"/>
      <c r="BC448" s="231" t="s">
        <v>13</v>
      </c>
      <c r="BD448" s="232"/>
      <c r="BE448" s="222">
        <f t="shared" si="277"/>
        <v>45869</v>
      </c>
      <c r="BF448" s="233" t="e">
        <f t="shared" si="285"/>
        <v>#VALUE!</v>
      </c>
      <c r="BG448" s="248"/>
      <c r="BH448" s="235"/>
      <c r="BI448" s="234"/>
      <c r="BJ448" s="236"/>
      <c r="BK448" s="222"/>
      <c r="BL448" s="222"/>
      <c r="BM448" s="238"/>
      <c r="BN448" s="222"/>
      <c r="BO448" s="222"/>
      <c r="BP448" s="243"/>
      <c r="BQ448" s="244"/>
      <c r="BR448" s="238"/>
      <c r="BS448" s="67"/>
      <c r="BT448" s="66"/>
      <c r="BU448" s="66"/>
      <c r="BV448" s="66"/>
      <c r="BW448" s="74"/>
      <c r="BX448" s="81"/>
      <c r="BY448" s="66">
        <v>45730</v>
      </c>
      <c r="BZ448" s="944" t="s">
        <v>2608</v>
      </c>
      <c r="CA448" s="42" t="str">
        <f t="shared" si="263"/>
        <v>0</v>
      </c>
      <c r="CB448" s="62">
        <f t="shared" si="264"/>
        <v>137.4909722222219</v>
      </c>
      <c r="CC448" s="42">
        <f t="shared" si="265"/>
        <v>0</v>
      </c>
      <c r="CD448" s="62">
        <f t="shared" si="266"/>
        <v>137.4909722222219</v>
      </c>
      <c r="CE448" s="62">
        <f t="shared" si="267"/>
        <v>4.7358001543209767</v>
      </c>
      <c r="CF448" s="145">
        <f t="shared" si="268"/>
        <v>15</v>
      </c>
      <c r="CG448" s="145"/>
      <c r="CH448" s="443">
        <f t="shared" si="269"/>
        <v>5.2524668209876433</v>
      </c>
      <c r="CI448" s="996">
        <f t="shared" si="270"/>
        <v>5.2524668209876433</v>
      </c>
      <c r="CJ448" s="261">
        <f t="shared" si="271"/>
        <v>0.25</v>
      </c>
      <c r="CK448" s="458" t="str">
        <f t="shared" si="272"/>
        <v/>
      </c>
      <c r="CL448" t="str">
        <f t="shared" si="273"/>
        <v>REV</v>
      </c>
      <c r="CM448" t="str">
        <f t="shared" si="274"/>
        <v/>
      </c>
      <c r="CN448" s="635"/>
      <c r="CO448" s="631"/>
      <c r="CP448" s="629" t="str">
        <f t="shared" si="251"/>
        <v>FOR ISSUANCE</v>
      </c>
      <c r="CQ448" s="635"/>
      <c r="CR448" s="697"/>
      <c r="CS448" s="633" t="str">
        <f t="shared" ca="1" si="275"/>
        <v>0</v>
      </c>
      <c r="CT448" s="635"/>
      <c r="CU448" s="631"/>
      <c r="CV448" s="638"/>
      <c r="CW448" s="156" t="s">
        <v>2609</v>
      </c>
      <c r="CX448" s="156" t="str">
        <f>VLOOKUP(E448,'[1]List of Work Orders'!$A:$I,9,FALSE)</f>
        <v>ME155242</v>
      </c>
      <c r="CY448" s="156"/>
      <c r="DA448" s="762">
        <f t="shared" si="278"/>
        <v>10.100694444445253</v>
      </c>
      <c r="DS448" s="156" t="s">
        <v>397</v>
      </c>
    </row>
    <row r="449" spans="1:123" customFormat="1" ht="15" customHeight="1" x14ac:dyDescent="0.25">
      <c r="A449" s="242">
        <v>45726</v>
      </c>
      <c r="B449" s="222">
        <v>45728</v>
      </c>
      <c r="C449" s="223"/>
      <c r="D449" s="66" t="s">
        <v>320</v>
      </c>
      <c r="E449" s="404" t="s">
        <v>2610</v>
      </c>
      <c r="F449" s="95" t="s">
        <v>2611</v>
      </c>
      <c r="G449" s="95" t="s">
        <v>2612</v>
      </c>
      <c r="H449" s="95" t="s">
        <v>269</v>
      </c>
      <c r="I449" s="95" t="s">
        <v>239</v>
      </c>
      <c r="J449" s="163"/>
      <c r="K449" s="101"/>
      <c r="L449" s="101" t="s">
        <v>263</v>
      </c>
      <c r="M449" s="101" t="s">
        <v>331</v>
      </c>
      <c r="N449" s="442" t="s">
        <v>467</v>
      </c>
      <c r="O449" s="165">
        <v>32.028700000000001</v>
      </c>
      <c r="P449" s="165">
        <v>113.32</v>
      </c>
      <c r="Q449" s="157" t="s">
        <v>2021</v>
      </c>
      <c r="R449" s="109" t="s">
        <v>327</v>
      </c>
      <c r="S449" s="110">
        <v>146325.04</v>
      </c>
      <c r="T449" s="93">
        <v>31308.559999999994</v>
      </c>
      <c r="U449" s="141"/>
      <c r="V449" s="158">
        <f t="shared" si="252"/>
        <v>0</v>
      </c>
      <c r="W449" s="159">
        <v>45716.509027777778</v>
      </c>
      <c r="X449" s="159">
        <v>45726.628472222219</v>
      </c>
      <c r="Y449" s="160">
        <v>45726</v>
      </c>
      <c r="Z449" s="470"/>
      <c r="AA449" s="470"/>
      <c r="AB449" s="470"/>
      <c r="AC449" s="161">
        <f t="shared" si="253"/>
        <v>-45716.509027777778</v>
      </c>
      <c r="AD449" s="161">
        <f t="shared" si="281"/>
        <v>-45726.628472222219</v>
      </c>
      <c r="AE449" s="446">
        <f t="shared" si="276"/>
        <v>0</v>
      </c>
      <c r="AF449" s="160">
        <f t="shared" si="282"/>
        <v>45729.624730257114</v>
      </c>
      <c r="AG449" s="160">
        <f t="shared" si="279"/>
        <v>45736.922250918273</v>
      </c>
      <c r="AH449" s="159">
        <f t="shared" si="283"/>
        <v>45766.509027777778</v>
      </c>
      <c r="AI449" s="162">
        <f t="shared" si="254"/>
        <v>-2127.5759970619656</v>
      </c>
      <c r="AJ449" s="224">
        <f t="shared" si="284"/>
        <v>0</v>
      </c>
      <c r="AK449" s="225">
        <f t="shared" si="255"/>
        <v>26</v>
      </c>
      <c r="AL449" s="170">
        <f t="shared" si="256"/>
        <v>20</v>
      </c>
      <c r="AM449" s="170">
        <f t="shared" si="257"/>
        <v>16.115702479338843</v>
      </c>
      <c r="AN449" s="170">
        <f t="shared" si="258"/>
        <v>20.41322314049587</v>
      </c>
      <c r="AO449" s="226">
        <f t="shared" si="259"/>
        <v>13.115702479338843</v>
      </c>
      <c r="AP449" s="227">
        <v>60</v>
      </c>
      <c r="AQ449" s="228">
        <f t="shared" si="260"/>
        <v>57</v>
      </c>
      <c r="AR449" s="228">
        <f t="shared" si="280"/>
        <v>52</v>
      </c>
      <c r="AS449" s="229">
        <f t="shared" si="261"/>
        <v>60</v>
      </c>
      <c r="AT449" s="982">
        <f t="shared" ca="1" si="262"/>
        <v>45895</v>
      </c>
      <c r="AU449" s="50"/>
      <c r="AV449" s="51"/>
      <c r="AW449" s="49"/>
      <c r="AX449" s="49"/>
      <c r="AY449" s="49"/>
      <c r="AZ449" s="300"/>
      <c r="BA449" s="52"/>
      <c r="BB449" s="304"/>
      <c r="BC449" s="231"/>
      <c r="BD449" s="232"/>
      <c r="BE449" s="222">
        <f t="shared" si="277"/>
        <v>15</v>
      </c>
      <c r="BF449" s="233">
        <f t="shared" si="285"/>
        <v>0</v>
      </c>
      <c r="BG449" s="248"/>
      <c r="BH449" s="235"/>
      <c r="BI449" s="234"/>
      <c r="BJ449" s="236"/>
      <c r="BK449" s="222"/>
      <c r="BL449" s="222"/>
      <c r="BM449" s="238"/>
      <c r="BN449" s="222"/>
      <c r="BO449" s="222"/>
      <c r="BP449" s="243"/>
      <c r="BQ449" s="244"/>
      <c r="BR449" s="238"/>
      <c r="BS449" s="67"/>
      <c r="BT449" s="66"/>
      <c r="BU449" s="66"/>
      <c r="BV449" s="66"/>
      <c r="BW449" s="74"/>
      <c r="BX449" s="81"/>
      <c r="BY449" s="66">
        <v>45730</v>
      </c>
      <c r="BZ449" s="944" t="s">
        <v>2613</v>
      </c>
      <c r="CA449" s="42" t="str">
        <f t="shared" si="263"/>
        <v>0</v>
      </c>
      <c r="CB449" s="62">
        <f t="shared" si="264"/>
        <v>-45716.509027777778</v>
      </c>
      <c r="CC449" s="42">
        <f t="shared" si="265"/>
        <v>0</v>
      </c>
      <c r="CD449" s="62">
        <f t="shared" si="266"/>
        <v>-45716.509027777778</v>
      </c>
      <c r="CE449" s="62">
        <f t="shared" si="267"/>
        <v>-2127.5759970619656</v>
      </c>
      <c r="CF449" s="145" t="str">
        <f t="shared" si="268"/>
        <v>0</v>
      </c>
      <c r="CG449" s="145"/>
      <c r="CH449" s="443">
        <f t="shared" si="269"/>
        <v>7.0966952457264805</v>
      </c>
      <c r="CI449" s="996">
        <f t="shared" si="270"/>
        <v>7.0966952457264805</v>
      </c>
      <c r="CJ449" s="261">
        <f t="shared" si="271"/>
        <v>0</v>
      </c>
      <c r="CK449" s="458">
        <f t="shared" si="272"/>
        <v>139.4909722222219</v>
      </c>
      <c r="CL449" t="str">
        <f t="shared" si="273"/>
        <v>NON-REV</v>
      </c>
      <c r="CM449" t="str">
        <f t="shared" si="274"/>
        <v>4-6 MONTHS</v>
      </c>
      <c r="CN449" s="635"/>
      <c r="CO449" s="631"/>
      <c r="CP449" s="629" t="str">
        <f t="shared" ref="CP449:CP512" si="286">IF(CQ449,"NTC ISSUED","FOR ISSUANCE")</f>
        <v>FOR ISSUANCE</v>
      </c>
      <c r="CQ449" s="635"/>
      <c r="CR449" s="697"/>
      <c r="CS449" s="633" t="str">
        <f t="shared" ca="1" si="275"/>
        <v>0</v>
      </c>
      <c r="CT449" s="635"/>
      <c r="CU449" s="631"/>
      <c r="CV449" s="638"/>
      <c r="CW449" s="156" t="s">
        <v>2614</v>
      </c>
      <c r="CX449" s="156" t="str">
        <f>VLOOKUP(E449,'[1]List of Work Orders'!$A:$I,9,FALSE)</f>
        <v>ME155242</v>
      </c>
      <c r="CY449" s="156"/>
      <c r="DA449" s="762">
        <f t="shared" si="278"/>
        <v>10.119444444440887</v>
      </c>
      <c r="DS449" s="156" t="s">
        <v>397</v>
      </c>
    </row>
    <row r="450" spans="1:123" customFormat="1" ht="15" customHeight="1" x14ac:dyDescent="0.25">
      <c r="A450" s="242">
        <v>45727</v>
      </c>
      <c r="B450" s="222">
        <v>45728</v>
      </c>
      <c r="C450" s="223"/>
      <c r="D450" s="66" t="s">
        <v>320</v>
      </c>
      <c r="E450" s="404" t="s">
        <v>2615</v>
      </c>
      <c r="F450" s="95" t="s">
        <v>2616</v>
      </c>
      <c r="G450" s="95" t="s">
        <v>2598</v>
      </c>
      <c r="H450" s="95" t="s">
        <v>238</v>
      </c>
      <c r="I450" s="95" t="s">
        <v>239</v>
      </c>
      <c r="J450" s="163"/>
      <c r="K450" s="101"/>
      <c r="L450" s="101" t="s">
        <v>242</v>
      </c>
      <c r="M450" s="101" t="s">
        <v>272</v>
      </c>
      <c r="N450" s="442" t="s">
        <v>467</v>
      </c>
      <c r="O450" s="165">
        <v>52.850699999999989</v>
      </c>
      <c r="P450" s="933">
        <v>165.62</v>
      </c>
      <c r="Q450" s="157">
        <v>80</v>
      </c>
      <c r="R450" s="109" t="s">
        <v>244</v>
      </c>
      <c r="S450" s="110">
        <v>416189.14</v>
      </c>
      <c r="T450" s="93">
        <v>58969.420000000006</v>
      </c>
      <c r="U450" s="141">
        <v>43597.25</v>
      </c>
      <c r="V450" s="158">
        <f t="shared" si="252"/>
        <v>0.7393196338034187</v>
      </c>
      <c r="W450" s="159">
        <v>45716.628472222219</v>
      </c>
      <c r="X450" s="159">
        <v>45726.628472222219</v>
      </c>
      <c r="Y450" s="160">
        <v>45726</v>
      </c>
      <c r="Z450" s="470">
        <v>45747</v>
      </c>
      <c r="AA450" s="470">
        <v>45747</v>
      </c>
      <c r="AB450" s="470"/>
      <c r="AC450" s="161">
        <f t="shared" si="253"/>
        <v>30.371527777781012</v>
      </c>
      <c r="AD450" s="161">
        <f t="shared" si="281"/>
        <v>20.371527777781012</v>
      </c>
      <c r="AE450" s="446">
        <f t="shared" si="276"/>
        <v>-45747</v>
      </c>
      <c r="AF450" s="160">
        <f t="shared" si="282"/>
        <v>45736.973542644751</v>
      </c>
      <c r="AG450" s="160">
        <f t="shared" si="279"/>
        <v>45746.198894757428</v>
      </c>
      <c r="AH450" s="159">
        <f t="shared" si="283"/>
        <v>45766.628472222219</v>
      </c>
      <c r="AI450" s="162">
        <f t="shared" si="254"/>
        <v>0.97573686525902792</v>
      </c>
      <c r="AJ450" s="224">
        <f t="shared" si="284"/>
        <v>-762.45</v>
      </c>
      <c r="AK450" s="225">
        <f t="shared" si="255"/>
        <v>26</v>
      </c>
      <c r="AL450" s="170">
        <f t="shared" si="256"/>
        <v>34</v>
      </c>
      <c r="AM450" s="170">
        <f t="shared" si="257"/>
        <v>23.345070422535212</v>
      </c>
      <c r="AN450" s="170">
        <f t="shared" si="258"/>
        <v>29.570422535211268</v>
      </c>
      <c r="AO450" s="226">
        <f t="shared" si="259"/>
        <v>20.345070422535212</v>
      </c>
      <c r="AP450" s="227">
        <v>60</v>
      </c>
      <c r="AQ450" s="228">
        <f t="shared" si="260"/>
        <v>57</v>
      </c>
      <c r="AR450" s="228">
        <f t="shared" si="280"/>
        <v>52</v>
      </c>
      <c r="AS450" s="229">
        <f t="shared" si="261"/>
        <v>45807</v>
      </c>
      <c r="AT450" s="982">
        <f t="shared" ca="1" si="262"/>
        <v>148</v>
      </c>
      <c r="AU450" s="50"/>
      <c r="AV450" s="51"/>
      <c r="AW450" s="49"/>
      <c r="AX450" s="49"/>
      <c r="AY450" s="49"/>
      <c r="AZ450" s="300"/>
      <c r="BA450" s="52"/>
      <c r="BB450" s="304"/>
      <c r="BC450" s="231" t="s">
        <v>12</v>
      </c>
      <c r="BD450" s="232" t="s">
        <v>601</v>
      </c>
      <c r="BE450" s="222">
        <f t="shared" si="277"/>
        <v>45762</v>
      </c>
      <c r="BF450" s="233">
        <f t="shared" si="285"/>
        <v>29</v>
      </c>
      <c r="BG450" s="248">
        <v>45747</v>
      </c>
      <c r="BH450" s="235">
        <v>45791</v>
      </c>
      <c r="BI450" s="234"/>
      <c r="BJ450" s="236"/>
      <c r="BK450" s="222"/>
      <c r="BL450" s="222"/>
      <c r="BM450" s="238"/>
      <c r="BN450" s="222"/>
      <c r="BO450" s="222"/>
      <c r="BP450" s="243"/>
      <c r="BQ450" s="244"/>
      <c r="BR450" s="238"/>
      <c r="BS450" s="67"/>
      <c r="BT450" s="66"/>
      <c r="BU450" s="66"/>
      <c r="BV450" s="66"/>
      <c r="BW450" s="74"/>
      <c r="BX450" s="81"/>
      <c r="BY450" s="66">
        <v>45730</v>
      </c>
      <c r="BZ450" s="944" t="s">
        <v>2617</v>
      </c>
      <c r="CA450" s="42" t="str">
        <f t="shared" si="263"/>
        <v>0</v>
      </c>
      <c r="CB450" s="62">
        <f t="shared" si="264"/>
        <v>30.371527777781012</v>
      </c>
      <c r="CC450" s="42">
        <f t="shared" si="265"/>
        <v>0</v>
      </c>
      <c r="CD450" s="62">
        <f t="shared" si="266"/>
        <v>30.371527777781012</v>
      </c>
      <c r="CE450" s="62">
        <f t="shared" si="267"/>
        <v>0.97573686525902792</v>
      </c>
      <c r="CF450" s="145">
        <f t="shared" si="268"/>
        <v>122</v>
      </c>
      <c r="CG450" s="145"/>
      <c r="CH450" s="443">
        <f t="shared" si="269"/>
        <v>4.8951938788336884</v>
      </c>
      <c r="CI450" s="996">
        <f t="shared" si="270"/>
        <v>4.8951938788336884</v>
      </c>
      <c r="CJ450" s="261">
        <f t="shared" si="271"/>
        <v>2.0333333333333332</v>
      </c>
      <c r="CK450" s="458" t="str">
        <f t="shared" si="272"/>
        <v/>
      </c>
      <c r="CL450" t="str">
        <f t="shared" si="273"/>
        <v>REV</v>
      </c>
      <c r="CM450" t="str">
        <f t="shared" si="274"/>
        <v/>
      </c>
      <c r="CN450" s="635"/>
      <c r="CO450" s="631"/>
      <c r="CP450" s="629" t="str">
        <f t="shared" si="286"/>
        <v>FOR ISSUANCE</v>
      </c>
      <c r="CQ450" s="635"/>
      <c r="CR450" s="697"/>
      <c r="CS450" s="633" t="str">
        <f t="shared" ca="1" si="275"/>
        <v>0</v>
      </c>
      <c r="CT450" s="635"/>
      <c r="CU450" s="631"/>
      <c r="CV450" s="638"/>
      <c r="CW450" s="156" t="s">
        <v>2618</v>
      </c>
      <c r="CX450" s="156" t="str">
        <f>VLOOKUP(E450,'[1]List of Work Orders'!$A:$I,9,FALSE)</f>
        <v>ME155242</v>
      </c>
      <c r="CY450" s="156"/>
      <c r="CZ450" s="63"/>
      <c r="DA450" s="762">
        <f t="shared" si="278"/>
        <v>10</v>
      </c>
      <c r="DS450" s="156" t="s">
        <v>397</v>
      </c>
    </row>
    <row r="451" spans="1:123" customFormat="1" ht="15" customHeight="1" x14ac:dyDescent="0.25">
      <c r="A451" s="242">
        <v>45730</v>
      </c>
      <c r="B451" s="222">
        <v>45728</v>
      </c>
      <c r="C451" s="223"/>
      <c r="D451" s="66" t="s">
        <v>234</v>
      </c>
      <c r="E451" s="404" t="s">
        <v>2619</v>
      </c>
      <c r="F451" s="95" t="s">
        <v>2620</v>
      </c>
      <c r="G451" s="95" t="s">
        <v>842</v>
      </c>
      <c r="H451" s="348" t="s">
        <v>318</v>
      </c>
      <c r="I451" s="95" t="s">
        <v>239</v>
      </c>
      <c r="J451" s="163"/>
      <c r="K451" s="101"/>
      <c r="L451" s="101" t="s">
        <v>5</v>
      </c>
      <c r="M451" s="101" t="s">
        <v>272</v>
      </c>
      <c r="N451" s="442" t="s">
        <v>403</v>
      </c>
      <c r="O451" s="165">
        <v>40.589500000000001</v>
      </c>
      <c r="P451" s="933">
        <v>64.8</v>
      </c>
      <c r="Q451" s="157">
        <v>95</v>
      </c>
      <c r="R451" s="109" t="s">
        <v>548</v>
      </c>
      <c r="S451" s="110">
        <v>588364.43999999994</v>
      </c>
      <c r="T451" s="93">
        <v>55307.66</v>
      </c>
      <c r="U451" s="141">
        <v>24818.29</v>
      </c>
      <c r="V451" s="158">
        <f t="shared" ref="V451:V514" si="287">U451/T451</f>
        <v>0.44873151386263671</v>
      </c>
      <c r="W451" s="159">
        <v>45719.621527777781</v>
      </c>
      <c r="X451" s="159">
        <v>45726.631249999999</v>
      </c>
      <c r="Y451" s="160">
        <v>45727</v>
      </c>
      <c r="Z451" s="470"/>
      <c r="AA451" s="470">
        <v>45733.381944444445</v>
      </c>
      <c r="AB451" s="470"/>
      <c r="AC451" s="161">
        <f t="shared" ref="AC451:AC514" si="288">AA451-W451</f>
        <v>13.760416666664241</v>
      </c>
      <c r="AD451" s="161">
        <f t="shared" si="281"/>
        <v>6.7506944444467081</v>
      </c>
      <c r="AE451" s="446">
        <f t="shared" si="276"/>
        <v>-45733.381944444445</v>
      </c>
      <c r="AF451" s="160">
        <f t="shared" si="282"/>
        <v>45738.921908005919</v>
      </c>
      <c r="AG451" s="160">
        <f t="shared" si="279"/>
        <v>45747.868676066755</v>
      </c>
      <c r="AH451" s="159">
        <f t="shared" si="283"/>
        <v>45769.621527777781</v>
      </c>
      <c r="AI451" s="162">
        <f t="shared" ref="AI451:AI514" si="289" xml:space="preserve"> (0.3)*(AC451/AK451)+(0.7)*(AC451/AL451)</f>
        <v>0.46278639173052372</v>
      </c>
      <c r="AJ451" s="224">
        <f t="shared" si="284"/>
        <v>-762.22303240740746</v>
      </c>
      <c r="AK451" s="225">
        <f t="shared" ref="AK451:AK514" si="290">IF(P451&lt;51,20,(IF(P451&lt;101,23,(IF(P451&lt;201,26,IF(P451&lt;301,28,IF(P451&lt;401,30,(IF(P451&lt;501,32,(IF(P451&lt;1001,40,50)))))))))))</f>
        <v>23</v>
      </c>
      <c r="AL451" s="170">
        <f t="shared" ref="AL451:AL514" si="291">IF(Q451&lt;51,36,(IF(Q451&lt;101,34,(IF(Q451&lt;201,32,IF(Q451&lt;301,30,IF(Q451&lt;401,28,(IF(Q451&lt;501,26,(IF(Q451&lt;1001,23,20)))))))))))</f>
        <v>34</v>
      </c>
      <c r="AM451" s="170">
        <f t="shared" ref="AM451:AM514" si="292">(0.75)/((0.3/AK451)+(0.7/AL451))</f>
        <v>22.300380228136884</v>
      </c>
      <c r="AN451" s="170">
        <f t="shared" ref="AN451:AN514" si="293">(0.95)/((0.3/AK451)+(0.7/AL451))</f>
        <v>28.247148288973385</v>
      </c>
      <c r="AO451" s="226">
        <f t="shared" ref="AO451:AO514" si="294">AM451-3</f>
        <v>19.300380228136884</v>
      </c>
      <c r="AP451" s="227">
        <v>60</v>
      </c>
      <c r="AQ451" s="228">
        <f t="shared" ref="AQ451:AQ514" si="295">0.95*AP451</f>
        <v>57</v>
      </c>
      <c r="AR451" s="228">
        <f t="shared" si="280"/>
        <v>52</v>
      </c>
      <c r="AS451" s="229">
        <f t="shared" ref="AS451:AS514" si="296">AA451+AP451</f>
        <v>45793.381944444445</v>
      </c>
      <c r="AT451" s="982">
        <f t="shared" ref="AT451:AT514" ca="1" si="297">IFERROR(TODAY()-AA451,"")</f>
        <v>161.61805555555475</v>
      </c>
      <c r="AU451" s="50"/>
      <c r="AV451" s="51"/>
      <c r="AW451" s="49"/>
      <c r="AX451" s="49"/>
      <c r="AY451" s="49"/>
      <c r="AZ451" s="300"/>
      <c r="BA451" s="52"/>
      <c r="BB451" s="304"/>
      <c r="BC451" s="231" t="s">
        <v>264</v>
      </c>
      <c r="BD451" s="232" t="s">
        <v>601</v>
      </c>
      <c r="BE451" s="222">
        <f t="shared" si="277"/>
        <v>45748.381944444445</v>
      </c>
      <c r="BF451" s="233">
        <f t="shared" si="285"/>
        <v>9.6180555555547471</v>
      </c>
      <c r="BG451" s="248">
        <v>45733</v>
      </c>
      <c r="BH451" s="235">
        <v>45758</v>
      </c>
      <c r="BI451" s="234"/>
      <c r="BJ451" s="236"/>
      <c r="BK451" s="222"/>
      <c r="BL451" s="222"/>
      <c r="BM451" s="238"/>
      <c r="BN451" s="222"/>
      <c r="BO451" s="222">
        <v>45876</v>
      </c>
      <c r="BP451" s="243" t="s">
        <v>1084</v>
      </c>
      <c r="BQ451" s="244"/>
      <c r="BR451" s="238"/>
      <c r="BS451" s="67"/>
      <c r="BT451" s="66"/>
      <c r="BU451" s="66"/>
      <c r="BV451" s="66"/>
      <c r="BW451" s="74"/>
      <c r="BX451" s="81"/>
      <c r="BY451" s="66">
        <v>45730</v>
      </c>
      <c r="BZ451" s="944" t="s">
        <v>2621</v>
      </c>
      <c r="CA451" s="42" t="str">
        <f t="shared" ref="CA451:CA514" si="298">IF(AY451="Y",BA451,"0")</f>
        <v>0</v>
      </c>
      <c r="CB451" s="62">
        <f t="shared" ref="CB451:CB514" si="299">AC451-CA451</f>
        <v>13.760416666664241</v>
      </c>
      <c r="CC451" s="42">
        <f t="shared" ref="CC451:CC514" si="300">BA451</f>
        <v>0</v>
      </c>
      <c r="CD451" s="62">
        <f t="shared" ref="CD451:CD514" si="301">AC451-BA451</f>
        <v>13.760416666664241</v>
      </c>
      <c r="CE451" s="62">
        <f t="shared" ref="CE451:CE514" si="302" xml:space="preserve"> (0.3)*(CD451/AK451)+(0.7)*(CD451/AL451)</f>
        <v>0.46278639173052372</v>
      </c>
      <c r="CF451" s="145">
        <f t="shared" ref="CF451:CF514" si="303">IF(AA451="","0",$CF$1-AA451)</f>
        <v>135.61805555555475</v>
      </c>
      <c r="CG451" s="145"/>
      <c r="CH451" s="443">
        <f t="shared" ref="CH451:CH514" si="304" xml:space="preserve"> (0.3)*(($CF$1-W451)/AK451)+(0.7)*(($CF$1-W451)/AL451)</f>
        <v>5.0238539890592833</v>
      </c>
      <c r="CI451" s="996">
        <f t="shared" ref="CI451:CI514" si="305">CH451-CG451</f>
        <v>5.0238539890592833</v>
      </c>
      <c r="CJ451" s="261">
        <f t="shared" ref="CJ451:CJ514" si="306">CF451/AP451</f>
        <v>2.2603009259259124</v>
      </c>
      <c r="CK451" s="458" t="str">
        <f t="shared" ref="CK451:CK514" si="307">IF(AA451&gt;0,"",$CK$1-W451)</f>
        <v/>
      </c>
      <c r="CL451" t="str">
        <f t="shared" ref="CL451:CL514" si="308">IF(R451="NEW","REV","NON-REV")</f>
        <v>NON-REV</v>
      </c>
      <c r="CM451" t="str">
        <f t="shared" ref="CM451:CM514" si="309">IF(CK451="","",IF(CK451&lt;91,"0-3 MONTHS",(IF(CK451&lt;181,"4-6 MONTHS",(IF(CK451&lt;271,"7-9 MONTHS",IF(CK451&gt;270,"10 MONTHS AND ABOVE",)))))))</f>
        <v/>
      </c>
      <c r="CN451" s="635">
        <v>45876</v>
      </c>
      <c r="CO451" s="631">
        <v>4137.78</v>
      </c>
      <c r="CP451" s="629" t="str">
        <f t="shared" si="286"/>
        <v>NTC ISSUED</v>
      </c>
      <c r="CQ451" s="635">
        <v>45876</v>
      </c>
      <c r="CR451" s="697"/>
      <c r="CS451" s="633">
        <f t="shared" ref="CS451:CS514" ca="1" si="310">IF(AND(CQ451=0,CR451=0), "0",IF(CR451,(CR451-CQ451),TODAY()-CQ451))</f>
        <v>19</v>
      </c>
      <c r="CT451" s="635"/>
      <c r="CU451" s="631"/>
      <c r="CV451" s="638"/>
      <c r="CW451" s="156" t="s">
        <v>2622</v>
      </c>
      <c r="CX451" s="156" t="str">
        <f>VLOOKUP(E451,'[1]List of Work Orders'!$A:$I,9,FALSE)</f>
        <v>ME166067</v>
      </c>
      <c r="CY451" s="156"/>
      <c r="DA451" s="762">
        <f t="shared" si="278"/>
        <v>7.0097222222175333</v>
      </c>
      <c r="DS451" s="156" t="s">
        <v>397</v>
      </c>
    </row>
    <row r="452" spans="1:123" customFormat="1" ht="15" customHeight="1" x14ac:dyDescent="0.25">
      <c r="A452" s="242">
        <v>45733</v>
      </c>
      <c r="B452" s="222">
        <v>45727</v>
      </c>
      <c r="C452" s="223"/>
      <c r="D452" s="66" t="s">
        <v>284</v>
      </c>
      <c r="E452" s="404" t="s">
        <v>2623</v>
      </c>
      <c r="F452" s="95" t="s">
        <v>1134</v>
      </c>
      <c r="G452" s="95" t="s">
        <v>2624</v>
      </c>
      <c r="H452" s="95" t="s">
        <v>378</v>
      </c>
      <c r="I452" s="95" t="s">
        <v>239</v>
      </c>
      <c r="J452" s="163"/>
      <c r="K452" s="101"/>
      <c r="L452" s="101" t="s">
        <v>288</v>
      </c>
      <c r="M452" s="101" t="s">
        <v>243</v>
      </c>
      <c r="N452" s="442" t="s">
        <v>381</v>
      </c>
      <c r="O452" s="165">
        <v>29.906899999999997</v>
      </c>
      <c r="P452" s="933">
        <v>35.82</v>
      </c>
      <c r="Q452" s="157">
        <v>19</v>
      </c>
      <c r="R452" s="109" t="s">
        <v>244</v>
      </c>
      <c r="S452" s="110">
        <v>220841.32</v>
      </c>
      <c r="T452" s="93">
        <v>30781.120000000003</v>
      </c>
      <c r="U452" s="141"/>
      <c r="V452" s="158">
        <f t="shared" si="287"/>
        <v>0</v>
      </c>
      <c r="W452" s="159">
        <v>45719.625</v>
      </c>
      <c r="X452" s="159">
        <v>45726.632638888892</v>
      </c>
      <c r="Y452" s="160">
        <v>45727</v>
      </c>
      <c r="Z452" s="470">
        <v>45743</v>
      </c>
      <c r="AA452" s="470">
        <v>45743.341666666667</v>
      </c>
      <c r="AB452" s="470">
        <v>45890</v>
      </c>
      <c r="AC452" s="161">
        <f t="shared" si="288"/>
        <v>23.716666666667152</v>
      </c>
      <c r="AD452" s="161">
        <f t="shared" si="281"/>
        <v>16.709027777775191</v>
      </c>
      <c r="AE452" s="446">
        <f t="shared" si="276"/>
        <v>146.65833333333285</v>
      </c>
      <c r="AF452" s="160">
        <f t="shared" si="282"/>
        <v>45738.399193548386</v>
      </c>
      <c r="AG452" s="160">
        <f t="shared" si="279"/>
        <v>45747.205645161288</v>
      </c>
      <c r="AH452" s="159">
        <f t="shared" si="283"/>
        <v>45769.625</v>
      </c>
      <c r="AI452" s="162">
        <f t="shared" si="289"/>
        <v>0.81690740740742407</v>
      </c>
      <c r="AJ452" s="224">
        <f t="shared" si="284"/>
        <v>2.4443055555555473</v>
      </c>
      <c r="AK452" s="225">
        <f t="shared" si="290"/>
        <v>20</v>
      </c>
      <c r="AL452" s="170">
        <f t="shared" si="291"/>
        <v>36</v>
      </c>
      <c r="AM452" s="170">
        <f t="shared" si="292"/>
        <v>21.774193548387096</v>
      </c>
      <c r="AN452" s="170">
        <f t="shared" si="293"/>
        <v>27.58064516129032</v>
      </c>
      <c r="AO452" s="226">
        <f t="shared" si="294"/>
        <v>18.774193548387096</v>
      </c>
      <c r="AP452" s="227">
        <v>60</v>
      </c>
      <c r="AQ452" s="228">
        <f t="shared" si="295"/>
        <v>57</v>
      </c>
      <c r="AR452" s="228">
        <f t="shared" si="280"/>
        <v>52</v>
      </c>
      <c r="AS452" s="229">
        <f t="shared" si="296"/>
        <v>45803.341666666667</v>
      </c>
      <c r="AT452" s="982">
        <f t="shared" ca="1" si="297"/>
        <v>151.65833333333285</v>
      </c>
      <c r="AU452" s="50" t="s">
        <v>61</v>
      </c>
      <c r="AV452" s="51" t="s">
        <v>247</v>
      </c>
      <c r="AW452" s="49" t="s">
        <v>247</v>
      </c>
      <c r="AX452" s="49"/>
      <c r="AY452" s="49"/>
      <c r="AZ452" s="300">
        <v>45737</v>
      </c>
      <c r="BA452" s="52">
        <f>BB452-AZ452</f>
        <v>5</v>
      </c>
      <c r="BB452" s="304">
        <v>45742</v>
      </c>
      <c r="BC452" s="231" t="s">
        <v>14</v>
      </c>
      <c r="BD452" s="232"/>
      <c r="BE452" s="222">
        <f t="shared" si="277"/>
        <v>45758.341666666667</v>
      </c>
      <c r="BF452" s="233">
        <f t="shared" si="285"/>
        <v>32.658333333332848</v>
      </c>
      <c r="BG452" s="248">
        <v>45743</v>
      </c>
      <c r="BH452" s="235">
        <v>45791</v>
      </c>
      <c r="BI452" s="234"/>
      <c r="BJ452" s="236"/>
      <c r="BK452" s="222"/>
      <c r="BL452" s="222"/>
      <c r="BM452" s="238"/>
      <c r="BN452" s="222"/>
      <c r="BO452" s="222">
        <v>45881</v>
      </c>
      <c r="BP452" s="243" t="s">
        <v>1084</v>
      </c>
      <c r="BQ452" s="244" t="s">
        <v>247</v>
      </c>
      <c r="BR452" s="238">
        <v>45740</v>
      </c>
      <c r="BS452" s="67"/>
      <c r="BT452" s="66"/>
      <c r="BU452" s="66"/>
      <c r="BV452" s="66"/>
      <c r="BW452" s="74"/>
      <c r="BX452" s="81"/>
      <c r="BY452" s="66">
        <v>45734</v>
      </c>
      <c r="BZ452" s="944" t="s">
        <v>2625</v>
      </c>
      <c r="CA452" s="42" t="str">
        <f t="shared" si="298"/>
        <v>0</v>
      </c>
      <c r="CB452" s="62">
        <f t="shared" si="299"/>
        <v>23.716666666667152</v>
      </c>
      <c r="CC452" s="42">
        <f t="shared" si="300"/>
        <v>5</v>
      </c>
      <c r="CD452" s="62">
        <f t="shared" si="301"/>
        <v>18.716666666667152</v>
      </c>
      <c r="CE452" s="62">
        <f t="shared" si="302"/>
        <v>0.6446851851852019</v>
      </c>
      <c r="CF452" s="145">
        <f t="shared" si="303"/>
        <v>125.65833333333285</v>
      </c>
      <c r="CG452" s="145">
        <f xml:space="preserve"> (0.3)*(($CF$1-W452-CF452)/AK452)+(0.7)*(($CF$1-W452-CF452)/AL452)</f>
        <v>0.81690740740742407</v>
      </c>
      <c r="CH452" s="443">
        <f t="shared" si="304"/>
        <v>5.1451388888888889</v>
      </c>
      <c r="CI452" s="996">
        <f t="shared" si="305"/>
        <v>4.3282314814814651</v>
      </c>
      <c r="CJ452" s="261">
        <f t="shared" si="306"/>
        <v>2.0943055555555476</v>
      </c>
      <c r="CK452" s="458" t="str">
        <f t="shared" si="307"/>
        <v/>
      </c>
      <c r="CL452" t="str">
        <f t="shared" si="308"/>
        <v>REV</v>
      </c>
      <c r="CM452" t="str">
        <f t="shared" si="309"/>
        <v/>
      </c>
      <c r="CN452" s="635">
        <v>45881</v>
      </c>
      <c r="CO452" s="631">
        <v>38194.26</v>
      </c>
      <c r="CP452" s="629" t="str">
        <f t="shared" si="286"/>
        <v>NTC ISSUED</v>
      </c>
      <c r="CQ452" s="635">
        <v>45884</v>
      </c>
      <c r="CR452" s="697"/>
      <c r="CS452" s="633">
        <f t="shared" ca="1" si="310"/>
        <v>11</v>
      </c>
      <c r="CT452" s="635"/>
      <c r="CU452" s="631"/>
      <c r="CV452" s="638"/>
      <c r="CW452" s="156" t="s">
        <v>2626</v>
      </c>
      <c r="CX452" s="156" t="str">
        <f>VLOOKUP(E452,'[1]List of Work Orders'!$A:$I,9,FALSE)</f>
        <v>ME185284</v>
      </c>
      <c r="CY452" s="156"/>
      <c r="DA452" s="762">
        <f t="shared" si="278"/>
        <v>7.007638888891961</v>
      </c>
      <c r="DS452" s="156" t="s">
        <v>397</v>
      </c>
    </row>
    <row r="453" spans="1:123" customFormat="1" ht="15" customHeight="1" x14ac:dyDescent="0.25">
      <c r="A453" s="242">
        <v>45733</v>
      </c>
      <c r="B453" s="222">
        <v>45727</v>
      </c>
      <c r="C453" s="223"/>
      <c r="D453" s="66" t="s">
        <v>284</v>
      </c>
      <c r="E453" s="404" t="s">
        <v>2627</v>
      </c>
      <c r="F453" s="95" t="s">
        <v>2628</v>
      </c>
      <c r="G453" s="95" t="s">
        <v>2629</v>
      </c>
      <c r="H453" s="95" t="s">
        <v>378</v>
      </c>
      <c r="I453" s="95" t="s">
        <v>239</v>
      </c>
      <c r="J453" s="163"/>
      <c r="K453" s="101"/>
      <c r="L453" s="101" t="s">
        <v>288</v>
      </c>
      <c r="M453" s="101" t="s">
        <v>272</v>
      </c>
      <c r="N453" s="442" t="s">
        <v>381</v>
      </c>
      <c r="O453" s="165">
        <v>10.132800000000001</v>
      </c>
      <c r="P453" s="933">
        <v>12.2</v>
      </c>
      <c r="Q453" s="157">
        <v>19</v>
      </c>
      <c r="R453" s="109" t="s">
        <v>244</v>
      </c>
      <c r="S453" s="110">
        <v>146700.63</v>
      </c>
      <c r="T453" s="93">
        <v>10482.84</v>
      </c>
      <c r="U453" s="141"/>
      <c r="V453" s="158">
        <f t="shared" si="287"/>
        <v>0</v>
      </c>
      <c r="W453" s="159">
        <v>45719.627083333333</v>
      </c>
      <c r="X453" s="159">
        <v>45726.631944444445</v>
      </c>
      <c r="Y453" s="160">
        <v>45727</v>
      </c>
      <c r="Z453" s="470"/>
      <c r="AA453" s="470">
        <v>45742</v>
      </c>
      <c r="AB453" s="470"/>
      <c r="AC453" s="161">
        <f t="shared" si="288"/>
        <v>22.372916666667152</v>
      </c>
      <c r="AD453" s="161">
        <f t="shared" si="281"/>
        <v>15.368055555554747</v>
      </c>
      <c r="AE453" s="446">
        <f t="shared" si="276"/>
        <v>-45742</v>
      </c>
      <c r="AF453" s="160">
        <f t="shared" si="282"/>
        <v>45738.401276881719</v>
      </c>
      <c r="AG453" s="160">
        <f t="shared" si="279"/>
        <v>45747.207728494621</v>
      </c>
      <c r="AH453" s="159">
        <f t="shared" si="283"/>
        <v>45769.627083333333</v>
      </c>
      <c r="AI453" s="162">
        <f t="shared" si="289"/>
        <v>0.77062268518520183</v>
      </c>
      <c r="AJ453" s="224">
        <f t="shared" si="284"/>
        <v>-762.36666666666667</v>
      </c>
      <c r="AK453" s="225">
        <f t="shared" si="290"/>
        <v>20</v>
      </c>
      <c r="AL453" s="170">
        <f t="shared" si="291"/>
        <v>36</v>
      </c>
      <c r="AM453" s="170">
        <f t="shared" si="292"/>
        <v>21.774193548387096</v>
      </c>
      <c r="AN453" s="170">
        <f t="shared" si="293"/>
        <v>27.58064516129032</v>
      </c>
      <c r="AO453" s="226">
        <f t="shared" si="294"/>
        <v>18.774193548387096</v>
      </c>
      <c r="AP453" s="227">
        <v>60</v>
      </c>
      <c r="AQ453" s="228">
        <f t="shared" si="295"/>
        <v>57</v>
      </c>
      <c r="AR453" s="228">
        <f t="shared" si="280"/>
        <v>52</v>
      </c>
      <c r="AS453" s="229">
        <f t="shared" si="296"/>
        <v>45802</v>
      </c>
      <c r="AT453" s="982">
        <f t="shared" ca="1" si="297"/>
        <v>153</v>
      </c>
      <c r="AU453" s="50"/>
      <c r="AV453" s="51"/>
      <c r="AW453" s="49"/>
      <c r="AX453" s="49"/>
      <c r="AY453" s="49"/>
      <c r="AZ453" s="300"/>
      <c r="BA453" s="52"/>
      <c r="BB453" s="304"/>
      <c r="BC453" s="231" t="s">
        <v>12</v>
      </c>
      <c r="BD453" s="232"/>
      <c r="BE453" s="222">
        <f t="shared" si="277"/>
        <v>45757</v>
      </c>
      <c r="BF453" s="233">
        <f t="shared" si="285"/>
        <v>81</v>
      </c>
      <c r="BG453" s="248">
        <v>45742</v>
      </c>
      <c r="BH453" s="235">
        <v>45838</v>
      </c>
      <c r="BI453" s="234"/>
      <c r="BJ453" s="236"/>
      <c r="BK453" s="222"/>
      <c r="BL453" s="222"/>
      <c r="BM453" s="238"/>
      <c r="BN453" s="222"/>
      <c r="BO453" s="222"/>
      <c r="BP453" s="243"/>
      <c r="BQ453" s="244" t="s">
        <v>247</v>
      </c>
      <c r="BR453" s="238">
        <v>45740</v>
      </c>
      <c r="BS453" s="67"/>
      <c r="BT453" s="66"/>
      <c r="BU453" s="66"/>
      <c r="BV453" s="66"/>
      <c r="BW453" s="74"/>
      <c r="BX453" s="81"/>
      <c r="BY453" s="66">
        <v>45734</v>
      </c>
      <c r="BZ453" s="944" t="s">
        <v>2630</v>
      </c>
      <c r="CA453" s="42" t="str">
        <f t="shared" si="298"/>
        <v>0</v>
      </c>
      <c r="CB453" s="62">
        <f t="shared" si="299"/>
        <v>22.372916666667152</v>
      </c>
      <c r="CC453" s="42">
        <f t="shared" si="300"/>
        <v>0</v>
      </c>
      <c r="CD453" s="62">
        <f t="shared" si="301"/>
        <v>22.372916666667152</v>
      </c>
      <c r="CE453" s="62">
        <f t="shared" si="302"/>
        <v>0.77062268518520183</v>
      </c>
      <c r="CF453" s="145">
        <f t="shared" si="303"/>
        <v>127</v>
      </c>
      <c r="CG453" s="145"/>
      <c r="CH453" s="443">
        <f t="shared" si="304"/>
        <v>5.1450671296296457</v>
      </c>
      <c r="CI453" s="996">
        <f t="shared" si="305"/>
        <v>5.1450671296296457</v>
      </c>
      <c r="CJ453" s="261">
        <f t="shared" si="306"/>
        <v>2.1166666666666667</v>
      </c>
      <c r="CK453" s="458" t="str">
        <f t="shared" si="307"/>
        <v/>
      </c>
      <c r="CL453" t="str">
        <f t="shared" si="308"/>
        <v>REV</v>
      </c>
      <c r="CM453" t="str">
        <f t="shared" si="309"/>
        <v/>
      </c>
      <c r="CN453" s="635"/>
      <c r="CO453" s="631"/>
      <c r="CP453" s="629" t="str">
        <f t="shared" si="286"/>
        <v>FOR ISSUANCE</v>
      </c>
      <c r="CQ453" s="635"/>
      <c r="CR453" s="697"/>
      <c r="CS453" s="633" t="str">
        <f t="shared" ca="1" si="310"/>
        <v>0</v>
      </c>
      <c r="CT453" s="635"/>
      <c r="CU453" s="631"/>
      <c r="CV453" s="638"/>
      <c r="CW453" s="156" t="s">
        <v>2631</v>
      </c>
      <c r="CX453" s="156" t="str">
        <f>VLOOKUP(E453,'[1]List of Work Orders'!$A:$I,9,FALSE)</f>
        <v>ME185284</v>
      </c>
      <c r="CY453" s="156"/>
      <c r="DA453" s="762">
        <f t="shared" si="278"/>
        <v>7.0048611111124046</v>
      </c>
      <c r="DS453" s="156" t="s">
        <v>397</v>
      </c>
    </row>
    <row r="454" spans="1:123" ht="15" customHeight="1" x14ac:dyDescent="0.2">
      <c r="A454" s="242">
        <v>45729</v>
      </c>
      <c r="B454" s="222">
        <v>45728</v>
      </c>
      <c r="C454" s="223"/>
      <c r="D454" s="66" t="s">
        <v>284</v>
      </c>
      <c r="E454" s="404" t="s">
        <v>2632</v>
      </c>
      <c r="F454" s="95" t="s">
        <v>2581</v>
      </c>
      <c r="G454" s="95" t="s">
        <v>2633</v>
      </c>
      <c r="H454" s="95" t="s">
        <v>253</v>
      </c>
      <c r="I454" s="95" t="s">
        <v>254</v>
      </c>
      <c r="J454" s="163"/>
      <c r="K454" s="101"/>
      <c r="L454" s="101" t="s">
        <v>255</v>
      </c>
      <c r="M454" s="101" t="s">
        <v>272</v>
      </c>
      <c r="N454" s="442" t="s">
        <v>381</v>
      </c>
      <c r="O454" s="165">
        <v>144.3689</v>
      </c>
      <c r="P454" s="933">
        <v>144.47</v>
      </c>
      <c r="Q454" s="157">
        <v>40</v>
      </c>
      <c r="R454" s="109" t="s">
        <v>244</v>
      </c>
      <c r="S454" s="110">
        <v>793304.39</v>
      </c>
      <c r="T454" s="93">
        <v>124045.43</v>
      </c>
      <c r="U454" s="141"/>
      <c r="V454" s="158">
        <f t="shared" si="287"/>
        <v>0</v>
      </c>
      <c r="W454" s="159">
        <v>45719.695138888892</v>
      </c>
      <c r="X454" s="159">
        <v>45728.595138888886</v>
      </c>
      <c r="Y454" s="160">
        <v>45727</v>
      </c>
      <c r="Z454" s="470"/>
      <c r="AA454" s="470">
        <v>45797</v>
      </c>
      <c r="AB454" s="470"/>
      <c r="AC454" s="161">
        <f t="shared" si="288"/>
        <v>77.304861111108039</v>
      </c>
      <c r="AD454" s="161">
        <f t="shared" si="281"/>
        <v>68.40486111111386</v>
      </c>
      <c r="AE454" s="446">
        <f t="shared" si="276"/>
        <v>-45797</v>
      </c>
      <c r="AF454" s="160">
        <f t="shared" si="282"/>
        <v>45740.902035440617</v>
      </c>
      <c r="AG454" s="160">
        <f t="shared" si="279"/>
        <v>45750.357207854409</v>
      </c>
      <c r="AH454" s="159">
        <f t="shared" si="283"/>
        <v>45769.695138888892</v>
      </c>
      <c r="AI454" s="162">
        <f t="shared" si="289"/>
        <v>2.395129243827065</v>
      </c>
      <c r="AJ454" s="224">
        <f t="shared" si="284"/>
        <v>-763.2833333333333</v>
      </c>
      <c r="AK454" s="225">
        <f t="shared" si="290"/>
        <v>26</v>
      </c>
      <c r="AL454" s="170">
        <f t="shared" si="291"/>
        <v>36</v>
      </c>
      <c r="AM454" s="170">
        <f t="shared" si="292"/>
        <v>24.206896551724139</v>
      </c>
      <c r="AN454" s="170">
        <f t="shared" si="293"/>
        <v>30.662068965517239</v>
      </c>
      <c r="AO454" s="226">
        <f t="shared" si="294"/>
        <v>21.206896551724139</v>
      </c>
      <c r="AP454" s="227">
        <v>60</v>
      </c>
      <c r="AQ454" s="228">
        <f t="shared" si="295"/>
        <v>57</v>
      </c>
      <c r="AR454" s="228">
        <f t="shared" si="280"/>
        <v>52</v>
      </c>
      <c r="AS454" s="229">
        <f t="shared" si="296"/>
        <v>45857</v>
      </c>
      <c r="AT454" s="982">
        <f t="shared" ca="1" si="297"/>
        <v>98</v>
      </c>
      <c r="AU454" s="1077"/>
      <c r="AV454" s="1092"/>
      <c r="AW454" s="1079"/>
      <c r="AX454" s="1079"/>
      <c r="AY454" s="1079"/>
      <c r="AZ454" s="1080"/>
      <c r="BA454" s="1101"/>
      <c r="BB454" s="1091"/>
      <c r="BC454" s="231" t="s">
        <v>13</v>
      </c>
      <c r="BD454" s="232"/>
      <c r="BE454" s="222">
        <f t="shared" si="277"/>
        <v>45812</v>
      </c>
      <c r="BF454" s="233" t="e">
        <f t="shared" si="285"/>
        <v>#VALUE!</v>
      </c>
      <c r="BG454" s="248"/>
      <c r="BH454" s="235"/>
      <c r="BI454" s="234"/>
      <c r="BJ454" s="236"/>
      <c r="BK454" s="222"/>
      <c r="BL454" s="222"/>
      <c r="BM454" s="238"/>
      <c r="BN454" s="222"/>
      <c r="BO454" s="222"/>
      <c r="BP454" s="243"/>
      <c r="BQ454" s="244" t="s">
        <v>247</v>
      </c>
      <c r="BR454" s="238">
        <v>45779</v>
      </c>
      <c r="BS454" s="67"/>
      <c r="BT454" s="66"/>
      <c r="BU454" s="66"/>
      <c r="BV454" s="66"/>
      <c r="BW454" s="74"/>
      <c r="BX454" s="81"/>
      <c r="BY454" s="66">
        <v>45730</v>
      </c>
      <c r="BZ454" s="944" t="s">
        <v>2634</v>
      </c>
      <c r="CA454" s="42" t="str">
        <f t="shared" si="298"/>
        <v>0</v>
      </c>
      <c r="CB454" s="62">
        <f t="shared" si="299"/>
        <v>77.304861111108039</v>
      </c>
      <c r="CC454" s="42">
        <f t="shared" si="300"/>
        <v>0</v>
      </c>
      <c r="CD454" s="62">
        <f t="shared" si="301"/>
        <v>77.304861111108039</v>
      </c>
      <c r="CE454" s="62">
        <f t="shared" si="302"/>
        <v>2.395129243827065</v>
      </c>
      <c r="CF454" s="1059">
        <f t="shared" si="303"/>
        <v>72</v>
      </c>
      <c r="CH454" s="1082">
        <f t="shared" si="304"/>
        <v>4.6258984745962959</v>
      </c>
      <c r="CI454" s="1083">
        <f t="shared" si="305"/>
        <v>4.6258984745962959</v>
      </c>
      <c r="CJ454" s="1084">
        <f t="shared" si="306"/>
        <v>1.2</v>
      </c>
      <c r="CK454" s="1085" t="str">
        <f t="shared" si="307"/>
        <v/>
      </c>
      <c r="CL454" s="1057" t="str">
        <f t="shared" si="308"/>
        <v>REV</v>
      </c>
      <c r="CM454" s="1057" t="str">
        <f t="shared" si="309"/>
        <v/>
      </c>
      <c r="CN454" s="1086"/>
      <c r="CO454" s="1087"/>
      <c r="CP454" s="629" t="str">
        <f t="shared" si="286"/>
        <v>FOR ISSUANCE</v>
      </c>
      <c r="CQ454" s="1086"/>
      <c r="CR454" s="1088"/>
      <c r="CS454" s="1089" t="str">
        <f t="shared" ca="1" si="310"/>
        <v>0</v>
      </c>
      <c r="CT454" s="1086"/>
      <c r="CU454" s="1087"/>
      <c r="CV454" s="1090"/>
      <c r="CW454" s="156" t="s">
        <v>2635</v>
      </c>
      <c r="CX454" s="156" t="str">
        <f>VLOOKUP(E454,'[1]List of Work Orders'!$A:$I,9,FALSE)</f>
        <v>ME185284</v>
      </c>
      <c r="CY454" s="156"/>
      <c r="DA454" s="1100">
        <f t="shared" si="278"/>
        <v>8.8999999999941792</v>
      </c>
      <c r="DS454" s="156" t="s">
        <v>397</v>
      </c>
    </row>
    <row r="455" spans="1:123" customFormat="1" ht="15" customHeight="1" x14ac:dyDescent="0.25">
      <c r="A455" s="242">
        <v>45733</v>
      </c>
      <c r="B455" s="222">
        <v>45727</v>
      </c>
      <c r="C455" s="223"/>
      <c r="D455" s="66" t="s">
        <v>320</v>
      </c>
      <c r="E455" s="404" t="s">
        <v>2636</v>
      </c>
      <c r="F455" s="95" t="s">
        <v>2637</v>
      </c>
      <c r="G455" s="95" t="s">
        <v>2638</v>
      </c>
      <c r="H455" s="344" t="s">
        <v>318</v>
      </c>
      <c r="I455" s="95" t="s">
        <v>239</v>
      </c>
      <c r="J455" s="163"/>
      <c r="K455" s="101"/>
      <c r="L455" s="101" t="s">
        <v>5</v>
      </c>
      <c r="M455" s="101" t="s">
        <v>272</v>
      </c>
      <c r="N455" s="442" t="s">
        <v>403</v>
      </c>
      <c r="O455" s="165">
        <v>14.693299999999999</v>
      </c>
      <c r="P455" s="933">
        <v>22.7</v>
      </c>
      <c r="Q455" s="157">
        <v>80</v>
      </c>
      <c r="R455" s="109" t="s">
        <v>548</v>
      </c>
      <c r="S455" s="110">
        <v>252394.2</v>
      </c>
      <c r="T455" s="93">
        <v>19533.16</v>
      </c>
      <c r="U455" s="141"/>
      <c r="V455" s="158">
        <f t="shared" si="287"/>
        <v>0</v>
      </c>
      <c r="W455" s="159">
        <v>45720.447222222225</v>
      </c>
      <c r="X455" s="159">
        <v>45726.634027777778</v>
      </c>
      <c r="Y455" s="160">
        <v>45727</v>
      </c>
      <c r="Z455" s="470"/>
      <c r="AA455" s="470">
        <v>45730</v>
      </c>
      <c r="AB455" s="470"/>
      <c r="AC455" s="161">
        <f t="shared" si="288"/>
        <v>9.5527777777751908</v>
      </c>
      <c r="AD455" s="161">
        <f t="shared" si="281"/>
        <v>3.3659722222218988</v>
      </c>
      <c r="AE455" s="446">
        <f t="shared" si="276"/>
        <v>-45730</v>
      </c>
      <c r="AF455" s="160">
        <f t="shared" si="282"/>
        <v>45738.521602387511</v>
      </c>
      <c r="AG455" s="160">
        <f t="shared" si="279"/>
        <v>45747.14143709826</v>
      </c>
      <c r="AH455" s="159">
        <f t="shared" si="283"/>
        <v>45770.447222222225</v>
      </c>
      <c r="AI455" s="162">
        <f t="shared" si="289"/>
        <v>0.33996650326788175</v>
      </c>
      <c r="AJ455" s="224">
        <f t="shared" si="284"/>
        <v>-762.16666666666663</v>
      </c>
      <c r="AK455" s="225">
        <f t="shared" si="290"/>
        <v>20</v>
      </c>
      <c r="AL455" s="170">
        <f t="shared" si="291"/>
        <v>34</v>
      </c>
      <c r="AM455" s="170">
        <f t="shared" si="292"/>
        <v>21.074380165289259</v>
      </c>
      <c r="AN455" s="170">
        <f t="shared" si="293"/>
        <v>26.694214876033058</v>
      </c>
      <c r="AO455" s="226">
        <f t="shared" si="294"/>
        <v>18.074380165289259</v>
      </c>
      <c r="AP455" s="227">
        <v>60</v>
      </c>
      <c r="AQ455" s="228">
        <f t="shared" si="295"/>
        <v>57</v>
      </c>
      <c r="AR455" s="228">
        <f t="shared" si="280"/>
        <v>52</v>
      </c>
      <c r="AS455" s="229">
        <f t="shared" si="296"/>
        <v>45790</v>
      </c>
      <c r="AT455" s="982">
        <f t="shared" ca="1" si="297"/>
        <v>165</v>
      </c>
      <c r="AU455" s="50"/>
      <c r="AV455" s="51"/>
      <c r="AW455" s="49"/>
      <c r="AX455" s="49"/>
      <c r="AY455" s="49"/>
      <c r="AZ455" s="300"/>
      <c r="BA455" s="52"/>
      <c r="BB455" s="304"/>
      <c r="BC455" s="231" t="s">
        <v>12</v>
      </c>
      <c r="BD455" s="232"/>
      <c r="BE455" s="222">
        <f t="shared" si="277"/>
        <v>45745</v>
      </c>
      <c r="BF455" s="233">
        <f t="shared" si="285"/>
        <v>27</v>
      </c>
      <c r="BG455" s="248">
        <v>45730</v>
      </c>
      <c r="BH455" s="235">
        <v>45772</v>
      </c>
      <c r="BI455" s="234"/>
      <c r="BJ455" s="236"/>
      <c r="BK455" s="222"/>
      <c r="BL455" s="222"/>
      <c r="BM455" s="238"/>
      <c r="BN455" s="222"/>
      <c r="BO455" s="222"/>
      <c r="BP455" s="243"/>
      <c r="BQ455" s="244" t="s">
        <v>247</v>
      </c>
      <c r="BR455" s="238">
        <v>45729</v>
      </c>
      <c r="BS455" s="67"/>
      <c r="BT455" s="66"/>
      <c r="BU455" s="66"/>
      <c r="BV455" s="66"/>
      <c r="BW455" s="74"/>
      <c r="BX455" s="81"/>
      <c r="BY455" s="66">
        <v>45734</v>
      </c>
      <c r="BZ455" s="944" t="s">
        <v>2639</v>
      </c>
      <c r="CA455" s="42" t="str">
        <f t="shared" si="298"/>
        <v>0</v>
      </c>
      <c r="CB455" s="62">
        <f t="shared" si="299"/>
        <v>9.5527777777751908</v>
      </c>
      <c r="CC455" s="42">
        <f t="shared" si="300"/>
        <v>0</v>
      </c>
      <c r="CD455" s="62">
        <f t="shared" si="301"/>
        <v>9.5527777777751908</v>
      </c>
      <c r="CE455" s="62">
        <f t="shared" si="302"/>
        <v>0.33996650326788175</v>
      </c>
      <c r="CF455" s="145">
        <f t="shared" si="303"/>
        <v>139</v>
      </c>
      <c r="CG455" s="145"/>
      <c r="CH455" s="443">
        <f t="shared" si="304"/>
        <v>5.2867312091502345</v>
      </c>
      <c r="CI455" s="996">
        <f t="shared" si="305"/>
        <v>5.2867312091502345</v>
      </c>
      <c r="CJ455" s="261">
        <f t="shared" si="306"/>
        <v>2.3166666666666669</v>
      </c>
      <c r="CK455" s="458" t="str">
        <f t="shared" si="307"/>
        <v/>
      </c>
      <c r="CL455" t="str">
        <f t="shared" si="308"/>
        <v>NON-REV</v>
      </c>
      <c r="CM455" t="str">
        <f t="shared" si="309"/>
        <v/>
      </c>
      <c r="CN455" s="635"/>
      <c r="CO455" s="631"/>
      <c r="CP455" s="629" t="str">
        <f t="shared" si="286"/>
        <v>FOR ISSUANCE</v>
      </c>
      <c r="CQ455" s="635"/>
      <c r="CR455" s="697"/>
      <c r="CS455" s="633" t="str">
        <f t="shared" ca="1" si="310"/>
        <v>0</v>
      </c>
      <c r="CT455" s="635"/>
      <c r="CU455" s="631"/>
      <c r="CV455" s="638"/>
      <c r="CW455" s="156" t="s">
        <v>2640</v>
      </c>
      <c r="CX455" s="156" t="str">
        <f>VLOOKUP(E455,'[1]List of Work Orders'!$A:$I,9,FALSE)</f>
        <v>ME166067</v>
      </c>
      <c r="CY455" s="156"/>
      <c r="DA455" s="762">
        <f t="shared" si="278"/>
        <v>6.1868055555532919</v>
      </c>
      <c r="DS455" s="442" t="s">
        <v>403</v>
      </c>
    </row>
    <row r="456" spans="1:123" customFormat="1" ht="15" customHeight="1" x14ac:dyDescent="0.25">
      <c r="A456" s="242">
        <v>45727</v>
      </c>
      <c r="B456" s="222">
        <v>45727</v>
      </c>
      <c r="C456" s="223"/>
      <c r="D456" s="66" t="s">
        <v>320</v>
      </c>
      <c r="E456" s="404" t="s">
        <v>2641</v>
      </c>
      <c r="F456" s="95" t="s">
        <v>2642</v>
      </c>
      <c r="G456" s="95" t="s">
        <v>2643</v>
      </c>
      <c r="H456" s="454" t="s">
        <v>1513</v>
      </c>
      <c r="I456" s="95" t="s">
        <v>239</v>
      </c>
      <c r="J456" s="163"/>
      <c r="K456" s="101"/>
      <c r="L456" s="101" t="s">
        <v>288</v>
      </c>
      <c r="M456" s="101" t="s">
        <v>272</v>
      </c>
      <c r="N456" s="442" t="s">
        <v>381</v>
      </c>
      <c r="O456" s="165">
        <v>35.50894000000001</v>
      </c>
      <c r="P456" s="165">
        <v>153.19999999999999</v>
      </c>
      <c r="Q456" s="157">
        <v>21</v>
      </c>
      <c r="R456" s="109" t="s">
        <v>244</v>
      </c>
      <c r="S456" s="110">
        <v>208132.44</v>
      </c>
      <c r="T456" s="93">
        <v>131636.9</v>
      </c>
      <c r="U456" s="141"/>
      <c r="V456" s="158">
        <f t="shared" si="287"/>
        <v>0</v>
      </c>
      <c r="W456" s="159">
        <v>45720.677083333336</v>
      </c>
      <c r="X456" s="159">
        <v>45726.634027777778</v>
      </c>
      <c r="Y456" s="160">
        <v>45727</v>
      </c>
      <c r="Z456" s="470"/>
      <c r="AA456" s="470">
        <v>45878.380555555559</v>
      </c>
      <c r="AB456" s="470"/>
      <c r="AC456" s="161">
        <f t="shared" si="288"/>
        <v>157.70347222222335</v>
      </c>
      <c r="AD456" s="161">
        <f t="shared" si="281"/>
        <v>151.74652777778101</v>
      </c>
      <c r="AE456" s="446">
        <f t="shared" si="276"/>
        <v>-45878.380555555559</v>
      </c>
      <c r="AF456" s="160">
        <f t="shared" si="282"/>
        <v>45741.88397988506</v>
      </c>
      <c r="AG456" s="160">
        <f t="shared" si="279"/>
        <v>45751.339152298853</v>
      </c>
      <c r="AH456" s="159">
        <f t="shared" si="283"/>
        <v>45770.677083333336</v>
      </c>
      <c r="AI456" s="162">
        <f t="shared" si="289"/>
        <v>4.8861118530389707</v>
      </c>
      <c r="AJ456" s="224">
        <f t="shared" si="284"/>
        <v>-764.63967592592599</v>
      </c>
      <c r="AK456" s="225">
        <f t="shared" si="290"/>
        <v>26</v>
      </c>
      <c r="AL456" s="170">
        <f t="shared" si="291"/>
        <v>36</v>
      </c>
      <c r="AM456" s="170">
        <f t="shared" si="292"/>
        <v>24.206896551724139</v>
      </c>
      <c r="AN456" s="170">
        <f t="shared" si="293"/>
        <v>30.662068965517239</v>
      </c>
      <c r="AO456" s="226">
        <f t="shared" si="294"/>
        <v>21.206896551724139</v>
      </c>
      <c r="AP456" s="227">
        <v>60</v>
      </c>
      <c r="AQ456" s="228">
        <f t="shared" si="295"/>
        <v>57</v>
      </c>
      <c r="AR456" s="228">
        <f t="shared" si="280"/>
        <v>52</v>
      </c>
      <c r="AS456" s="229">
        <f t="shared" si="296"/>
        <v>45938.380555555559</v>
      </c>
      <c r="AT456" s="982">
        <f t="shared" ca="1" si="297"/>
        <v>16.619444444440887</v>
      </c>
      <c r="AU456" s="50" t="s">
        <v>61</v>
      </c>
      <c r="AV456" s="51" t="s">
        <v>247</v>
      </c>
      <c r="AW456" s="49" t="s">
        <v>247</v>
      </c>
      <c r="AX456" s="49"/>
      <c r="AY456" s="49"/>
      <c r="AZ456" s="300">
        <v>45812</v>
      </c>
      <c r="BA456" s="52">
        <f>BB456-AZ456</f>
        <v>6</v>
      </c>
      <c r="BB456" s="304">
        <v>45818</v>
      </c>
      <c r="BC456" s="231" t="s">
        <v>13</v>
      </c>
      <c r="BD456" s="232"/>
      <c r="BE456" s="222">
        <f t="shared" si="277"/>
        <v>45893.380555555559</v>
      </c>
      <c r="BF456" s="233" t="e">
        <f t="shared" si="285"/>
        <v>#VALUE!</v>
      </c>
      <c r="BG456" s="248"/>
      <c r="BH456" s="235"/>
      <c r="BI456" s="234"/>
      <c r="BJ456" s="236"/>
      <c r="BK456" s="222"/>
      <c r="BL456" s="222"/>
      <c r="BM456" s="238"/>
      <c r="BN456" s="222"/>
      <c r="BO456" s="222"/>
      <c r="BP456" s="243"/>
      <c r="BQ456" s="244"/>
      <c r="BR456" s="238"/>
      <c r="BS456" s="67"/>
      <c r="BT456" s="66"/>
      <c r="BU456" s="66"/>
      <c r="BV456" s="66"/>
      <c r="BW456" s="74"/>
      <c r="BX456" s="81"/>
      <c r="BY456" s="66" t="s">
        <v>308</v>
      </c>
      <c r="BZ456" s="944"/>
      <c r="CA456" s="42" t="str">
        <f t="shared" si="298"/>
        <v>0</v>
      </c>
      <c r="CB456" s="62">
        <f t="shared" si="299"/>
        <v>157.70347222222335</v>
      </c>
      <c r="CC456" s="42">
        <f t="shared" si="300"/>
        <v>6</v>
      </c>
      <c r="CD456" s="62">
        <f t="shared" si="301"/>
        <v>151.70347222222335</v>
      </c>
      <c r="CE456" s="62">
        <f t="shared" si="302"/>
        <v>4.7002144171415354</v>
      </c>
      <c r="CF456" s="145">
        <f t="shared" si="303"/>
        <v>-9.3805555555591127</v>
      </c>
      <c r="CG456" s="145">
        <f xml:space="preserve"> (0.3)*(($CF$1-W456-CF456)/AK456)+(0.7)*(($CF$1-W456-CF456)/AL456)</f>
        <v>4.8861118530389707</v>
      </c>
      <c r="CH456" s="443">
        <f t="shared" si="304"/>
        <v>4.5954749821936574</v>
      </c>
      <c r="CI456" s="996">
        <f t="shared" si="305"/>
        <v>-0.29063687084531331</v>
      </c>
      <c r="CJ456" s="261">
        <f t="shared" si="306"/>
        <v>-0.15634259259265187</v>
      </c>
      <c r="CK456" s="458" t="str">
        <f t="shared" si="307"/>
        <v/>
      </c>
      <c r="CL456" t="str">
        <f t="shared" si="308"/>
        <v>REV</v>
      </c>
      <c r="CM456" t="str">
        <f t="shared" si="309"/>
        <v/>
      </c>
      <c r="CN456" s="635"/>
      <c r="CO456" s="631"/>
      <c r="CP456" s="629" t="str">
        <f t="shared" si="286"/>
        <v>FOR ISSUANCE</v>
      </c>
      <c r="CQ456" s="635"/>
      <c r="CR456" s="697"/>
      <c r="CS456" s="633" t="str">
        <f t="shared" ca="1" si="310"/>
        <v>0</v>
      </c>
      <c r="CT456" s="635"/>
      <c r="CU456" s="631"/>
      <c r="CV456" s="638"/>
      <c r="CW456" s="156" t="s">
        <v>2644</v>
      </c>
      <c r="CX456" s="156" t="str">
        <f>VLOOKUP(E456,'[1]List of Work Orders'!$A:$I,9,FALSE)</f>
        <v>ME185284</v>
      </c>
      <c r="CY456" s="156"/>
      <c r="DA456" s="762">
        <f t="shared" si="278"/>
        <v>5.9569444444423425</v>
      </c>
      <c r="DS456" s="442" t="s">
        <v>403</v>
      </c>
    </row>
    <row r="457" spans="1:123" customFormat="1" ht="15" customHeight="1" x14ac:dyDescent="0.25">
      <c r="A457" s="242">
        <v>45727</v>
      </c>
      <c r="B457" s="222">
        <v>45727</v>
      </c>
      <c r="C457" s="223"/>
      <c r="D457" s="66" t="s">
        <v>234</v>
      </c>
      <c r="E457" s="404" t="s">
        <v>2645</v>
      </c>
      <c r="F457" s="95" t="s">
        <v>1359</v>
      </c>
      <c r="G457" s="95" t="s">
        <v>2646</v>
      </c>
      <c r="H457" s="95" t="s">
        <v>238</v>
      </c>
      <c r="I457" s="95" t="s">
        <v>239</v>
      </c>
      <c r="J457" s="163"/>
      <c r="K457" s="101"/>
      <c r="L457" s="101" t="s">
        <v>288</v>
      </c>
      <c r="M457" s="101" t="s">
        <v>272</v>
      </c>
      <c r="N457" s="442" t="s">
        <v>381</v>
      </c>
      <c r="O457" s="165">
        <v>10.816699999999999</v>
      </c>
      <c r="P457" s="933">
        <v>12.42</v>
      </c>
      <c r="Q457" s="157">
        <v>27</v>
      </c>
      <c r="R457" s="109" t="s">
        <v>244</v>
      </c>
      <c r="S457" s="110">
        <v>189975.78</v>
      </c>
      <c r="T457" s="93">
        <v>10668.75</v>
      </c>
      <c r="U457" s="141"/>
      <c r="V457" s="158">
        <f t="shared" si="287"/>
        <v>0</v>
      </c>
      <c r="W457" s="159">
        <v>45720.680555555555</v>
      </c>
      <c r="X457" s="159">
        <v>45726.633333333331</v>
      </c>
      <c r="Y457" s="160">
        <v>45727</v>
      </c>
      <c r="Z457" s="470"/>
      <c r="AA457" s="470">
        <v>45812</v>
      </c>
      <c r="AB457" s="470"/>
      <c r="AC457" s="161">
        <f t="shared" si="288"/>
        <v>91.319444444445253</v>
      </c>
      <c r="AD457" s="161">
        <f t="shared" si="281"/>
        <v>85.366666666668607</v>
      </c>
      <c r="AE457" s="446">
        <f t="shared" ref="AE457:AE520" si="311">AB457-AA457</f>
        <v>-45812</v>
      </c>
      <c r="AF457" s="160">
        <f t="shared" si="282"/>
        <v>45739.454749103941</v>
      </c>
      <c r="AG457" s="160">
        <f t="shared" si="279"/>
        <v>45748.261200716843</v>
      </c>
      <c r="AH457" s="159">
        <f t="shared" si="283"/>
        <v>45770.680555555555</v>
      </c>
      <c r="AI457" s="162">
        <f t="shared" si="289"/>
        <v>3.1454475308642253</v>
      </c>
      <c r="AJ457" s="224">
        <f t="shared" si="284"/>
        <v>-763.5333333333333</v>
      </c>
      <c r="AK457" s="225">
        <f t="shared" si="290"/>
        <v>20</v>
      </c>
      <c r="AL457" s="170">
        <f t="shared" si="291"/>
        <v>36</v>
      </c>
      <c r="AM457" s="170">
        <f t="shared" si="292"/>
        <v>21.774193548387096</v>
      </c>
      <c r="AN457" s="170">
        <f t="shared" si="293"/>
        <v>27.58064516129032</v>
      </c>
      <c r="AO457" s="226">
        <f t="shared" si="294"/>
        <v>18.774193548387096</v>
      </c>
      <c r="AP457" s="227">
        <v>60</v>
      </c>
      <c r="AQ457" s="228">
        <f t="shared" si="295"/>
        <v>57</v>
      </c>
      <c r="AR457" s="228">
        <f t="shared" si="280"/>
        <v>52</v>
      </c>
      <c r="AS457" s="229">
        <f t="shared" si="296"/>
        <v>45872</v>
      </c>
      <c r="AT457" s="982">
        <f t="shared" ca="1" si="297"/>
        <v>83</v>
      </c>
      <c r="AU457" s="50"/>
      <c r="AV457" s="51"/>
      <c r="AW457" s="49"/>
      <c r="AX457" s="49"/>
      <c r="AY457" s="49"/>
      <c r="AZ457" s="300"/>
      <c r="BA457" s="52"/>
      <c r="BB457" s="304"/>
      <c r="BC457" s="231" t="s">
        <v>13</v>
      </c>
      <c r="BD457" s="232"/>
      <c r="BE457" s="222">
        <f t="shared" si="277"/>
        <v>45827</v>
      </c>
      <c r="BF457" s="233" t="e">
        <f t="shared" si="285"/>
        <v>#VALUE!</v>
      </c>
      <c r="BG457" s="248"/>
      <c r="BH457" s="235"/>
      <c r="BI457" s="234"/>
      <c r="BJ457" s="236"/>
      <c r="BK457" s="222"/>
      <c r="BL457" s="222"/>
      <c r="BM457" s="238"/>
      <c r="BN457" s="222"/>
      <c r="BO457" s="222"/>
      <c r="BP457" s="243"/>
      <c r="BQ457" s="244" t="s">
        <v>247</v>
      </c>
      <c r="BR457" s="238">
        <v>45807</v>
      </c>
      <c r="BS457" s="67"/>
      <c r="BT457" s="66"/>
      <c r="BU457" s="66"/>
      <c r="BV457" s="66"/>
      <c r="BW457" s="74"/>
      <c r="BX457" s="81"/>
      <c r="BY457" s="66">
        <v>45730</v>
      </c>
      <c r="BZ457" s="944" t="s">
        <v>2647</v>
      </c>
      <c r="CA457" s="42" t="str">
        <f t="shared" si="298"/>
        <v>0</v>
      </c>
      <c r="CB457" s="62">
        <f t="shared" si="299"/>
        <v>91.319444444445253</v>
      </c>
      <c r="CC457" s="42">
        <f t="shared" si="300"/>
        <v>0</v>
      </c>
      <c r="CD457" s="62">
        <f t="shared" si="301"/>
        <v>91.319444444445253</v>
      </c>
      <c r="CE457" s="62">
        <f t="shared" si="302"/>
        <v>3.1454475308642253</v>
      </c>
      <c r="CF457" s="145">
        <f t="shared" si="303"/>
        <v>57</v>
      </c>
      <c r="CG457" s="145"/>
      <c r="CH457" s="443">
        <f t="shared" si="304"/>
        <v>5.1087808641975592</v>
      </c>
      <c r="CI457" s="996">
        <f t="shared" si="305"/>
        <v>5.1087808641975592</v>
      </c>
      <c r="CJ457" s="261">
        <f t="shared" si="306"/>
        <v>0.95</v>
      </c>
      <c r="CK457" s="458" t="str">
        <f t="shared" si="307"/>
        <v/>
      </c>
      <c r="CL457" t="str">
        <f t="shared" si="308"/>
        <v>REV</v>
      </c>
      <c r="CM457" t="str">
        <f t="shared" si="309"/>
        <v/>
      </c>
      <c r="CN457" s="635"/>
      <c r="CO457" s="631"/>
      <c r="CP457" s="629" t="str">
        <f t="shared" si="286"/>
        <v>FOR ISSUANCE</v>
      </c>
      <c r="CQ457" s="635"/>
      <c r="CR457" s="697"/>
      <c r="CS457" s="633" t="str">
        <f t="shared" ca="1" si="310"/>
        <v>0</v>
      </c>
      <c r="CT457" s="635"/>
      <c r="CU457" s="631"/>
      <c r="CV457" s="638"/>
      <c r="CW457" s="156" t="s">
        <v>2648</v>
      </c>
      <c r="CX457" s="156" t="str">
        <f>VLOOKUP(E457,'[1]List of Work Orders'!$A:$I,9,FALSE)</f>
        <v>ME185284</v>
      </c>
      <c r="CY457" s="156"/>
      <c r="DA457" s="762">
        <f t="shared" si="278"/>
        <v>5.952777777776646</v>
      </c>
      <c r="DS457" s="442" t="s">
        <v>403</v>
      </c>
    </row>
    <row r="458" spans="1:123" customFormat="1" ht="15" customHeight="1" x14ac:dyDescent="0.25">
      <c r="A458" s="242">
        <v>45733</v>
      </c>
      <c r="B458" s="222">
        <v>45728</v>
      </c>
      <c r="C458" s="223"/>
      <c r="D458" s="66" t="s">
        <v>320</v>
      </c>
      <c r="E458" s="404" t="s">
        <v>2649</v>
      </c>
      <c r="F458" s="95" t="s">
        <v>2650</v>
      </c>
      <c r="G458" s="95" t="s">
        <v>2651</v>
      </c>
      <c r="H458" s="344" t="s">
        <v>318</v>
      </c>
      <c r="I458" s="95" t="s">
        <v>239</v>
      </c>
      <c r="J458" s="163"/>
      <c r="K458" s="101"/>
      <c r="L458" s="101" t="s">
        <v>5</v>
      </c>
      <c r="M458" s="101" t="s">
        <v>272</v>
      </c>
      <c r="N458" s="442" t="s">
        <v>403</v>
      </c>
      <c r="O458" s="165">
        <v>210.0295999999999</v>
      </c>
      <c r="P458" s="933">
        <v>256.95999999999998</v>
      </c>
      <c r="Q458" s="157">
        <v>32</v>
      </c>
      <c r="R458" s="109" t="s">
        <v>548</v>
      </c>
      <c r="S458" s="110">
        <v>1240286.08</v>
      </c>
      <c r="T458" s="93">
        <v>220788.86000000004</v>
      </c>
      <c r="U458" s="141"/>
      <c r="V458" s="158">
        <f t="shared" si="287"/>
        <v>0</v>
      </c>
      <c r="W458" s="159">
        <v>45721.410416666666</v>
      </c>
      <c r="X458" s="159">
        <v>45728.599305555559</v>
      </c>
      <c r="Y458" s="160">
        <v>45727</v>
      </c>
      <c r="Z458" s="470">
        <v>45771</v>
      </c>
      <c r="AA458" s="470">
        <v>45771</v>
      </c>
      <c r="AB458" s="470"/>
      <c r="AC458" s="161">
        <f t="shared" si="288"/>
        <v>49.589583333334303</v>
      </c>
      <c r="AD458" s="161">
        <f t="shared" si="281"/>
        <v>42.400694444440887</v>
      </c>
      <c r="AE458" s="446">
        <f t="shared" si="311"/>
        <v>-45771</v>
      </c>
      <c r="AF458" s="160">
        <f t="shared" si="282"/>
        <v>45743.278837719299</v>
      </c>
      <c r="AG458" s="160">
        <f t="shared" si="279"/>
        <v>45752.910416666666</v>
      </c>
      <c r="AH458" s="159">
        <f t="shared" si="283"/>
        <v>45771.410416666666</v>
      </c>
      <c r="AI458" s="162">
        <f t="shared" si="289"/>
        <v>1.4955588624338914</v>
      </c>
      <c r="AJ458" s="224">
        <f t="shared" si="284"/>
        <v>-762.85</v>
      </c>
      <c r="AK458" s="225">
        <f t="shared" si="290"/>
        <v>28</v>
      </c>
      <c r="AL458" s="170">
        <f t="shared" si="291"/>
        <v>36</v>
      </c>
      <c r="AM458" s="170">
        <f t="shared" si="292"/>
        <v>24.868421052631579</v>
      </c>
      <c r="AN458" s="170">
        <f t="shared" si="293"/>
        <v>31.499999999999996</v>
      </c>
      <c r="AO458" s="226">
        <f t="shared" si="294"/>
        <v>21.868421052631579</v>
      </c>
      <c r="AP458" s="227">
        <v>60</v>
      </c>
      <c r="AQ458" s="228">
        <f t="shared" si="295"/>
        <v>57</v>
      </c>
      <c r="AR458" s="228">
        <f t="shared" si="280"/>
        <v>52</v>
      </c>
      <c r="AS458" s="229">
        <f t="shared" si="296"/>
        <v>45831</v>
      </c>
      <c r="AT458" s="982">
        <f t="shared" ca="1" si="297"/>
        <v>124</v>
      </c>
      <c r="AU458" s="50"/>
      <c r="AV458" s="51"/>
      <c r="AW458" s="49"/>
      <c r="AX458" s="49"/>
      <c r="AY458" s="49"/>
      <c r="AZ458" s="300"/>
      <c r="BA458" s="52"/>
      <c r="BB458" s="304"/>
      <c r="BC458" s="231" t="s">
        <v>12</v>
      </c>
      <c r="BD458" s="232"/>
      <c r="BE458" s="222">
        <f t="shared" si="277"/>
        <v>45786</v>
      </c>
      <c r="BF458" s="233">
        <f t="shared" si="285"/>
        <v>6</v>
      </c>
      <c r="BG458" s="248">
        <v>45771</v>
      </c>
      <c r="BH458" s="235">
        <v>45792</v>
      </c>
      <c r="BI458" s="234"/>
      <c r="BJ458" s="236"/>
      <c r="BK458" s="222"/>
      <c r="BL458" s="222"/>
      <c r="BM458" s="238"/>
      <c r="BN458" s="222"/>
      <c r="BO458" s="222"/>
      <c r="BP458" s="243"/>
      <c r="BQ458" s="244" t="s">
        <v>247</v>
      </c>
      <c r="BR458" s="238">
        <v>45771</v>
      </c>
      <c r="BS458" s="67"/>
      <c r="BT458" s="66"/>
      <c r="BU458" s="66"/>
      <c r="BV458" s="66"/>
      <c r="BW458" s="74"/>
      <c r="BX458" s="81"/>
      <c r="BY458" s="66">
        <v>45734</v>
      </c>
      <c r="BZ458" s="944" t="s">
        <v>2652</v>
      </c>
      <c r="CA458" s="42" t="str">
        <f t="shared" si="298"/>
        <v>0</v>
      </c>
      <c r="CB458" s="62">
        <f t="shared" si="299"/>
        <v>49.589583333334303</v>
      </c>
      <c r="CC458" s="42">
        <f t="shared" si="300"/>
        <v>0</v>
      </c>
      <c r="CD458" s="62">
        <f t="shared" si="301"/>
        <v>49.589583333334303</v>
      </c>
      <c r="CE458" s="62">
        <f t="shared" si="302"/>
        <v>1.4955588624338914</v>
      </c>
      <c r="CF458" s="145">
        <f t="shared" si="303"/>
        <v>98</v>
      </c>
      <c r="CG458" s="145"/>
      <c r="CH458" s="443">
        <f t="shared" si="304"/>
        <v>4.4511144179894471</v>
      </c>
      <c r="CI458" s="996">
        <f t="shared" si="305"/>
        <v>4.4511144179894471</v>
      </c>
      <c r="CJ458" s="261">
        <f t="shared" si="306"/>
        <v>1.6333333333333333</v>
      </c>
      <c r="CK458" s="458" t="str">
        <f t="shared" si="307"/>
        <v/>
      </c>
      <c r="CL458" t="str">
        <f t="shared" si="308"/>
        <v>NON-REV</v>
      </c>
      <c r="CM458" t="str">
        <f t="shared" si="309"/>
        <v/>
      </c>
      <c r="CN458" s="635"/>
      <c r="CO458" s="631"/>
      <c r="CP458" s="629" t="str">
        <f t="shared" si="286"/>
        <v>FOR ISSUANCE</v>
      </c>
      <c r="CQ458" s="635"/>
      <c r="CR458" s="697"/>
      <c r="CS458" s="633" t="str">
        <f t="shared" ca="1" si="310"/>
        <v>0</v>
      </c>
      <c r="CT458" s="635"/>
      <c r="CU458" s="631"/>
      <c r="CV458" s="638"/>
      <c r="CW458" s="156" t="s">
        <v>2653</v>
      </c>
      <c r="CX458" s="156" t="str">
        <f>VLOOKUP(E458,'[1]List of Work Orders'!$A:$I,9,FALSE)</f>
        <v>ME166067</v>
      </c>
      <c r="CY458" s="156"/>
      <c r="DA458" s="762">
        <f t="shared" si="278"/>
        <v>7.1888888888934162</v>
      </c>
      <c r="DS458" s="442" t="s">
        <v>403</v>
      </c>
    </row>
    <row r="459" spans="1:123" customFormat="1" ht="15" customHeight="1" x14ac:dyDescent="0.25">
      <c r="A459" s="242">
        <v>45729</v>
      </c>
      <c r="B459" s="222">
        <v>45728</v>
      </c>
      <c r="C459" s="223"/>
      <c r="D459" s="66" t="s">
        <v>320</v>
      </c>
      <c r="E459" s="404" t="s">
        <v>2654</v>
      </c>
      <c r="F459" s="95" t="s">
        <v>2655</v>
      </c>
      <c r="G459" s="95" t="s">
        <v>2656</v>
      </c>
      <c r="H459" s="95" t="s">
        <v>269</v>
      </c>
      <c r="I459" s="95" t="s">
        <v>239</v>
      </c>
      <c r="J459" s="163"/>
      <c r="K459" s="101"/>
      <c r="L459" s="101" t="s">
        <v>263</v>
      </c>
      <c r="M459" s="101" t="s">
        <v>331</v>
      </c>
      <c r="N459" s="442" t="s">
        <v>467</v>
      </c>
      <c r="O459" s="165">
        <v>32.919499999999985</v>
      </c>
      <c r="P459" s="165">
        <v>113.09</v>
      </c>
      <c r="Q459" s="157">
        <v>32.6</v>
      </c>
      <c r="R459" s="109" t="s">
        <v>244</v>
      </c>
      <c r="S459" s="110">
        <v>271232.90000000002</v>
      </c>
      <c r="T459" s="93">
        <v>29907.079999999998</v>
      </c>
      <c r="U459" s="141"/>
      <c r="V459" s="158">
        <f t="shared" si="287"/>
        <v>0</v>
      </c>
      <c r="W459" s="159">
        <v>45721.689583333333</v>
      </c>
      <c r="X459" s="159">
        <v>45728.597916666666</v>
      </c>
      <c r="Y459" s="160">
        <v>45726</v>
      </c>
      <c r="Z459" s="470"/>
      <c r="AA459" s="470"/>
      <c r="AB459" s="470"/>
      <c r="AC459" s="161">
        <f t="shared" si="288"/>
        <v>-45721.689583333333</v>
      </c>
      <c r="AD459" s="161">
        <f t="shared" si="281"/>
        <v>-45728.597916666666</v>
      </c>
      <c r="AE459" s="446">
        <f t="shared" si="311"/>
        <v>0</v>
      </c>
      <c r="AF459" s="160">
        <f t="shared" si="282"/>
        <v>45742.896479885057</v>
      </c>
      <c r="AG459" s="160">
        <f t="shared" si="279"/>
        <v>45752.35165229885</v>
      </c>
      <c r="AH459" s="159">
        <f t="shared" si="283"/>
        <v>45771.689583333333</v>
      </c>
      <c r="AI459" s="162">
        <f t="shared" si="289"/>
        <v>-1416.5908097400284</v>
      </c>
      <c r="AJ459" s="224">
        <f t="shared" si="284"/>
        <v>0</v>
      </c>
      <c r="AK459" s="225">
        <f t="shared" si="290"/>
        <v>26</v>
      </c>
      <c r="AL459" s="170">
        <f t="shared" si="291"/>
        <v>36</v>
      </c>
      <c r="AM459" s="170">
        <f t="shared" si="292"/>
        <v>24.206896551724139</v>
      </c>
      <c r="AN459" s="170">
        <f t="shared" si="293"/>
        <v>30.662068965517239</v>
      </c>
      <c r="AO459" s="226">
        <f t="shared" si="294"/>
        <v>21.206896551724139</v>
      </c>
      <c r="AP459" s="227">
        <v>60</v>
      </c>
      <c r="AQ459" s="228">
        <f t="shared" si="295"/>
        <v>57</v>
      </c>
      <c r="AR459" s="228">
        <f t="shared" si="280"/>
        <v>52</v>
      </c>
      <c r="AS459" s="229">
        <f t="shared" si="296"/>
        <v>60</v>
      </c>
      <c r="AT459" s="982">
        <f t="shared" ca="1" si="297"/>
        <v>45895</v>
      </c>
      <c r="AU459" s="50"/>
      <c r="AV459" s="51"/>
      <c r="AW459" s="49"/>
      <c r="AX459" s="49"/>
      <c r="AY459" s="49"/>
      <c r="AZ459" s="300"/>
      <c r="BA459" s="52"/>
      <c r="BB459" s="304"/>
      <c r="BC459" s="231"/>
      <c r="BD459" s="232"/>
      <c r="BE459" s="222">
        <f t="shared" si="277"/>
        <v>15</v>
      </c>
      <c r="BF459" s="233">
        <f t="shared" si="285"/>
        <v>0</v>
      </c>
      <c r="BG459" s="248"/>
      <c r="BH459" s="235"/>
      <c r="BI459" s="234"/>
      <c r="BJ459" s="236"/>
      <c r="BK459" s="222"/>
      <c r="BL459" s="222"/>
      <c r="BM459" s="238"/>
      <c r="BN459" s="222"/>
      <c r="BO459" s="222"/>
      <c r="BP459" s="243"/>
      <c r="BQ459" s="244"/>
      <c r="BR459" s="238"/>
      <c r="BS459" s="67"/>
      <c r="BT459" s="66"/>
      <c r="BU459" s="66"/>
      <c r="BV459" s="66"/>
      <c r="BW459" s="74"/>
      <c r="BX459" s="81"/>
      <c r="BY459" s="66"/>
      <c r="BZ459" s="944"/>
      <c r="CA459" s="42" t="str">
        <f t="shared" si="298"/>
        <v>0</v>
      </c>
      <c r="CB459" s="62">
        <f t="shared" si="299"/>
        <v>-45721.689583333333</v>
      </c>
      <c r="CC459" s="42">
        <f t="shared" si="300"/>
        <v>0</v>
      </c>
      <c r="CD459" s="62">
        <f t="shared" si="301"/>
        <v>-45721.689583333333</v>
      </c>
      <c r="CE459" s="62">
        <f t="shared" si="302"/>
        <v>-1416.5908097400284</v>
      </c>
      <c r="CF459" s="145" t="str">
        <f t="shared" si="303"/>
        <v>0</v>
      </c>
      <c r="CG459" s="145"/>
      <c r="CH459" s="443">
        <f t="shared" si="304"/>
        <v>4.5641047898860547</v>
      </c>
      <c r="CI459" s="996">
        <f t="shared" si="305"/>
        <v>4.5641047898860547</v>
      </c>
      <c r="CJ459" s="261">
        <f t="shared" si="306"/>
        <v>0</v>
      </c>
      <c r="CK459" s="458">
        <f t="shared" si="307"/>
        <v>134.31041666666715</v>
      </c>
      <c r="CL459" t="str">
        <f t="shared" si="308"/>
        <v>REV</v>
      </c>
      <c r="CM459" t="str">
        <f t="shared" si="309"/>
        <v>4-6 MONTHS</v>
      </c>
      <c r="CN459" s="635"/>
      <c r="CO459" s="631"/>
      <c r="CP459" s="629" t="str">
        <f t="shared" si="286"/>
        <v>FOR ISSUANCE</v>
      </c>
      <c r="CQ459" s="635"/>
      <c r="CR459" s="697"/>
      <c r="CS459" s="633" t="str">
        <f t="shared" ca="1" si="310"/>
        <v>0</v>
      </c>
      <c r="CT459" s="635"/>
      <c r="CU459" s="631"/>
      <c r="CV459" s="638"/>
      <c r="CW459" s="156" t="s">
        <v>2657</v>
      </c>
      <c r="CX459" s="156" t="str">
        <f>VLOOKUP(E459,'[1]List of Work Orders'!$A:$I,9,FALSE)</f>
        <v>ME155242</v>
      </c>
      <c r="CY459" s="156"/>
      <c r="DA459" s="762">
        <f t="shared" si="278"/>
        <v>6.9083333333328483</v>
      </c>
      <c r="DS459" s="442" t="s">
        <v>403</v>
      </c>
    </row>
    <row r="460" spans="1:123" customFormat="1" ht="15" customHeight="1" x14ac:dyDescent="0.25">
      <c r="A460" s="242">
        <v>45729</v>
      </c>
      <c r="B460" s="222">
        <v>45728</v>
      </c>
      <c r="C460" s="223"/>
      <c r="D460" s="66" t="s">
        <v>320</v>
      </c>
      <c r="E460" s="404" t="s">
        <v>2658</v>
      </c>
      <c r="F460" s="95" t="s">
        <v>1859</v>
      </c>
      <c r="G460" s="95" t="s">
        <v>2659</v>
      </c>
      <c r="H460" s="95" t="s">
        <v>269</v>
      </c>
      <c r="I460" s="95" t="s">
        <v>239</v>
      </c>
      <c r="J460" s="163"/>
      <c r="K460" s="101"/>
      <c r="L460" s="101" t="s">
        <v>263</v>
      </c>
      <c r="M460" s="101" t="s">
        <v>331</v>
      </c>
      <c r="N460" s="442" t="s">
        <v>467</v>
      </c>
      <c r="O460" s="165">
        <v>34.653300000000002</v>
      </c>
      <c r="P460" s="165">
        <v>118.72</v>
      </c>
      <c r="Q460" s="157">
        <v>11.9</v>
      </c>
      <c r="R460" s="109" t="s">
        <v>244</v>
      </c>
      <c r="S460" s="110">
        <v>327573.94</v>
      </c>
      <c r="T460" s="93">
        <v>35944.400000000001</v>
      </c>
      <c r="U460" s="141"/>
      <c r="V460" s="158">
        <f t="shared" si="287"/>
        <v>0</v>
      </c>
      <c r="W460" s="159">
        <v>45721.706250000003</v>
      </c>
      <c r="X460" s="159">
        <v>45728.598611111112</v>
      </c>
      <c r="Y460" s="160">
        <v>45726</v>
      </c>
      <c r="Z460" s="470"/>
      <c r="AA460" s="470"/>
      <c r="AB460" s="470"/>
      <c r="AC460" s="161">
        <f t="shared" si="288"/>
        <v>-45721.706250000003</v>
      </c>
      <c r="AD460" s="161">
        <f t="shared" si="281"/>
        <v>-45728.598611111112</v>
      </c>
      <c r="AE460" s="446">
        <f t="shared" si="311"/>
        <v>0</v>
      </c>
      <c r="AF460" s="160">
        <f t="shared" si="282"/>
        <v>45742.913146551728</v>
      </c>
      <c r="AG460" s="160">
        <f t="shared" si="279"/>
        <v>45752.36831896552</v>
      </c>
      <c r="AH460" s="159">
        <f t="shared" si="283"/>
        <v>45771.706250000003</v>
      </c>
      <c r="AI460" s="162">
        <f t="shared" si="289"/>
        <v>-1416.591326121795</v>
      </c>
      <c r="AJ460" s="224">
        <f t="shared" si="284"/>
        <v>0</v>
      </c>
      <c r="AK460" s="225">
        <f t="shared" si="290"/>
        <v>26</v>
      </c>
      <c r="AL460" s="170">
        <f t="shared" si="291"/>
        <v>36</v>
      </c>
      <c r="AM460" s="170">
        <f t="shared" si="292"/>
        <v>24.206896551724139</v>
      </c>
      <c r="AN460" s="170">
        <f t="shared" si="293"/>
        <v>30.662068965517239</v>
      </c>
      <c r="AO460" s="226">
        <f t="shared" si="294"/>
        <v>21.206896551724139</v>
      </c>
      <c r="AP460" s="227">
        <v>60</v>
      </c>
      <c r="AQ460" s="228">
        <f t="shared" si="295"/>
        <v>57</v>
      </c>
      <c r="AR460" s="228">
        <f t="shared" si="280"/>
        <v>52</v>
      </c>
      <c r="AS460" s="229">
        <f t="shared" si="296"/>
        <v>60</v>
      </c>
      <c r="AT460" s="982">
        <f t="shared" ca="1" si="297"/>
        <v>45895</v>
      </c>
      <c r="AU460" s="50"/>
      <c r="AV460" s="51"/>
      <c r="AW460" s="49"/>
      <c r="AX460" s="49"/>
      <c r="AY460" s="49"/>
      <c r="AZ460" s="300"/>
      <c r="BA460" s="52"/>
      <c r="BB460" s="304"/>
      <c r="BC460" s="231"/>
      <c r="BD460" s="232"/>
      <c r="BE460" s="222">
        <f t="shared" si="277"/>
        <v>15</v>
      </c>
      <c r="BF460" s="233">
        <f t="shared" si="285"/>
        <v>0</v>
      </c>
      <c r="BG460" s="248"/>
      <c r="BH460" s="235"/>
      <c r="BI460" s="234"/>
      <c r="BJ460" s="236"/>
      <c r="BK460" s="222"/>
      <c r="BL460" s="222"/>
      <c r="BM460" s="238"/>
      <c r="BN460" s="222"/>
      <c r="BO460" s="222"/>
      <c r="BP460" s="243"/>
      <c r="BQ460" s="244"/>
      <c r="BR460" s="238"/>
      <c r="BS460" s="67"/>
      <c r="BT460" s="66"/>
      <c r="BU460" s="66"/>
      <c r="BV460" s="66"/>
      <c r="BW460" s="74"/>
      <c r="BX460" s="81"/>
      <c r="BY460" s="66">
        <v>45730</v>
      </c>
      <c r="BZ460" s="944" t="s">
        <v>2660</v>
      </c>
      <c r="CA460" s="42" t="str">
        <f t="shared" si="298"/>
        <v>0</v>
      </c>
      <c r="CB460" s="62">
        <f t="shared" si="299"/>
        <v>-45721.706250000003</v>
      </c>
      <c r="CC460" s="42">
        <f t="shared" si="300"/>
        <v>0</v>
      </c>
      <c r="CD460" s="62">
        <f t="shared" si="301"/>
        <v>-45721.706250000003</v>
      </c>
      <c r="CE460" s="62">
        <f t="shared" si="302"/>
        <v>-1416.591326121795</v>
      </c>
      <c r="CF460" s="145" t="str">
        <f t="shared" si="303"/>
        <v>0</v>
      </c>
      <c r="CG460" s="145"/>
      <c r="CH460" s="443">
        <f t="shared" si="304"/>
        <v>4.5635884081195677</v>
      </c>
      <c r="CI460" s="996">
        <f t="shared" si="305"/>
        <v>4.5635884081195677</v>
      </c>
      <c r="CJ460" s="261">
        <f t="shared" si="306"/>
        <v>0</v>
      </c>
      <c r="CK460" s="458">
        <f t="shared" si="307"/>
        <v>134.29374999999709</v>
      </c>
      <c r="CL460" t="str">
        <f t="shared" si="308"/>
        <v>REV</v>
      </c>
      <c r="CM460" t="str">
        <f t="shared" si="309"/>
        <v>4-6 MONTHS</v>
      </c>
      <c r="CN460" s="635"/>
      <c r="CO460" s="631"/>
      <c r="CP460" s="629" t="str">
        <f t="shared" si="286"/>
        <v>FOR ISSUANCE</v>
      </c>
      <c r="CQ460" s="635"/>
      <c r="CR460" s="697"/>
      <c r="CS460" s="633" t="str">
        <f t="shared" ca="1" si="310"/>
        <v>0</v>
      </c>
      <c r="CT460" s="635"/>
      <c r="CU460" s="631"/>
      <c r="CV460" s="638"/>
      <c r="CW460" s="156" t="s">
        <v>2661</v>
      </c>
      <c r="CX460" s="156" t="str">
        <f>VLOOKUP(E460,'[1]List of Work Orders'!$A:$I,9,FALSE)</f>
        <v>ME155242</v>
      </c>
      <c r="CY460" s="156"/>
      <c r="DA460" s="762">
        <f t="shared" si="278"/>
        <v>6.8923611111094942</v>
      </c>
      <c r="DS460" s="442" t="s">
        <v>381</v>
      </c>
    </row>
    <row r="461" spans="1:123" customFormat="1" ht="15" customHeight="1" x14ac:dyDescent="0.25">
      <c r="A461" s="242">
        <v>45733</v>
      </c>
      <c r="B461" s="222">
        <v>45727</v>
      </c>
      <c r="C461" s="223"/>
      <c r="D461" s="66" t="s">
        <v>234</v>
      </c>
      <c r="E461" s="404" t="s">
        <v>2662</v>
      </c>
      <c r="F461" s="95" t="s">
        <v>926</v>
      </c>
      <c r="G461" s="95" t="s">
        <v>2663</v>
      </c>
      <c r="H461" s="348" t="s">
        <v>318</v>
      </c>
      <c r="I461" s="95" t="s">
        <v>239</v>
      </c>
      <c r="J461" s="163"/>
      <c r="K461" s="101"/>
      <c r="L461" s="101" t="s">
        <v>5</v>
      </c>
      <c r="M461" s="101" t="s">
        <v>272</v>
      </c>
      <c r="N461" s="442" t="s">
        <v>403</v>
      </c>
      <c r="O461" s="165">
        <v>18.142799999999998</v>
      </c>
      <c r="P461" s="933">
        <v>39.479999999999997</v>
      </c>
      <c r="Q461" s="157">
        <v>31</v>
      </c>
      <c r="R461" s="109" t="s">
        <v>244</v>
      </c>
      <c r="S461" s="110">
        <v>267147.11</v>
      </c>
      <c r="T461" s="93">
        <v>33918.39</v>
      </c>
      <c r="U461" s="141"/>
      <c r="V461" s="158">
        <f t="shared" si="287"/>
        <v>0</v>
      </c>
      <c r="W461" s="159">
        <v>45722.583333333336</v>
      </c>
      <c r="X461" s="159">
        <v>45729.553472222222</v>
      </c>
      <c r="Y461" s="160">
        <v>45727</v>
      </c>
      <c r="Z461" s="470"/>
      <c r="AA461" s="470">
        <v>45737</v>
      </c>
      <c r="AB461" s="470"/>
      <c r="AC461" s="161">
        <f t="shared" si="288"/>
        <v>14.416666666664241</v>
      </c>
      <c r="AD461" s="161">
        <f t="shared" si="281"/>
        <v>7.4465277777781012</v>
      </c>
      <c r="AE461" s="446">
        <f t="shared" si="311"/>
        <v>-45737</v>
      </c>
      <c r="AF461" s="160">
        <f t="shared" si="282"/>
        <v>45741.357526881722</v>
      </c>
      <c r="AG461" s="160">
        <f t="shared" si="279"/>
        <v>45750.163978494624</v>
      </c>
      <c r="AH461" s="159">
        <f t="shared" si="283"/>
        <v>45772.583333333336</v>
      </c>
      <c r="AI461" s="162">
        <f t="shared" si="289"/>
        <v>0.49657407407399046</v>
      </c>
      <c r="AJ461" s="224">
        <f t="shared" si="284"/>
        <v>-762.2833333333333</v>
      </c>
      <c r="AK461" s="225">
        <f t="shared" si="290"/>
        <v>20</v>
      </c>
      <c r="AL461" s="170">
        <f t="shared" si="291"/>
        <v>36</v>
      </c>
      <c r="AM461" s="170">
        <f t="shared" si="292"/>
        <v>21.774193548387096</v>
      </c>
      <c r="AN461" s="170">
        <f t="shared" si="293"/>
        <v>27.58064516129032</v>
      </c>
      <c r="AO461" s="226">
        <f t="shared" si="294"/>
        <v>18.774193548387096</v>
      </c>
      <c r="AP461" s="227">
        <v>60</v>
      </c>
      <c r="AQ461" s="228">
        <f t="shared" si="295"/>
        <v>57</v>
      </c>
      <c r="AR461" s="228">
        <f t="shared" si="280"/>
        <v>52</v>
      </c>
      <c r="AS461" s="229">
        <f t="shared" si="296"/>
        <v>45797</v>
      </c>
      <c r="AT461" s="982">
        <f t="shared" ca="1" si="297"/>
        <v>158</v>
      </c>
      <c r="AU461" s="50" t="s">
        <v>61</v>
      </c>
      <c r="AV461" s="51" t="s">
        <v>247</v>
      </c>
      <c r="AW461" s="49"/>
      <c r="AX461" s="49"/>
      <c r="AY461" s="49" t="s">
        <v>247</v>
      </c>
      <c r="AZ461" s="300">
        <v>45731</v>
      </c>
      <c r="BA461" s="52">
        <v>6</v>
      </c>
      <c r="BB461" s="304">
        <v>45737</v>
      </c>
      <c r="BC461" s="231" t="s">
        <v>12</v>
      </c>
      <c r="BD461" s="232"/>
      <c r="BE461" s="222">
        <f t="shared" si="277"/>
        <v>45752</v>
      </c>
      <c r="BF461" s="233">
        <f t="shared" si="285"/>
        <v>9</v>
      </c>
      <c r="BG461" s="248">
        <v>45737</v>
      </c>
      <c r="BH461" s="235">
        <v>45761</v>
      </c>
      <c r="BI461" s="234"/>
      <c r="BJ461" s="236"/>
      <c r="BK461" s="222"/>
      <c r="BL461" s="222"/>
      <c r="BM461" s="238"/>
      <c r="BN461" s="222"/>
      <c r="BO461" s="222"/>
      <c r="BP461" s="243"/>
      <c r="BQ461" s="244"/>
      <c r="BR461" s="238"/>
      <c r="BS461" s="67"/>
      <c r="BT461" s="66"/>
      <c r="BU461" s="66"/>
      <c r="BV461" s="66"/>
      <c r="BW461" s="74"/>
      <c r="BX461" s="81"/>
      <c r="BY461" s="66"/>
      <c r="BZ461" s="944"/>
      <c r="CA461" s="42">
        <f t="shared" si="298"/>
        <v>6</v>
      </c>
      <c r="CB461" s="62">
        <f t="shared" si="299"/>
        <v>8.4166666666642413</v>
      </c>
      <c r="CC461" s="42">
        <f t="shared" si="300"/>
        <v>6</v>
      </c>
      <c r="CD461" s="62">
        <f t="shared" si="301"/>
        <v>8.4166666666642413</v>
      </c>
      <c r="CE461" s="62">
        <f t="shared" si="302"/>
        <v>0.28990740740732385</v>
      </c>
      <c r="CF461" s="145">
        <f t="shared" si="303"/>
        <v>132</v>
      </c>
      <c r="CG461" s="145"/>
      <c r="CH461" s="443">
        <f t="shared" si="304"/>
        <v>5.0432407407406572</v>
      </c>
      <c r="CI461" s="996">
        <f t="shared" si="305"/>
        <v>5.0432407407406572</v>
      </c>
      <c r="CJ461" s="261">
        <f t="shared" si="306"/>
        <v>2.2000000000000002</v>
      </c>
      <c r="CK461" s="458" t="str">
        <f t="shared" si="307"/>
        <v/>
      </c>
      <c r="CL461" t="str">
        <f t="shared" si="308"/>
        <v>REV</v>
      </c>
      <c r="CM461" t="str">
        <f t="shared" si="309"/>
        <v/>
      </c>
      <c r="CN461" s="635"/>
      <c r="CO461" s="631"/>
      <c r="CP461" s="629" t="str">
        <f t="shared" si="286"/>
        <v>FOR ISSUANCE</v>
      </c>
      <c r="CQ461" s="635"/>
      <c r="CR461" s="697"/>
      <c r="CS461" s="633" t="str">
        <f t="shared" ca="1" si="310"/>
        <v>0</v>
      </c>
      <c r="CT461" s="635"/>
      <c r="CU461" s="631"/>
      <c r="CV461" s="638"/>
      <c r="CW461" s="156" t="s">
        <v>2664</v>
      </c>
      <c r="CX461" s="156" t="str">
        <f>VLOOKUP(E461,'[1]List of Work Orders'!$A:$I,9,FALSE)</f>
        <v>ME166067</v>
      </c>
      <c r="CY461" s="156"/>
      <c r="DA461" s="762">
        <f t="shared" si="278"/>
        <v>6.9701388888861402</v>
      </c>
      <c r="DS461" s="442" t="s">
        <v>381</v>
      </c>
    </row>
    <row r="462" spans="1:123" customFormat="1" ht="15" customHeight="1" x14ac:dyDescent="0.25">
      <c r="A462" s="242">
        <v>45729</v>
      </c>
      <c r="B462" s="222"/>
      <c r="C462" s="223"/>
      <c r="D462" s="66" t="s">
        <v>361</v>
      </c>
      <c r="E462" s="411" t="s">
        <v>2665</v>
      </c>
      <c r="F462" s="155" t="s">
        <v>2666</v>
      </c>
      <c r="G462" s="95" t="s">
        <v>2667</v>
      </c>
      <c r="H462" s="348" t="s">
        <v>378</v>
      </c>
      <c r="I462" s="95" t="s">
        <v>239</v>
      </c>
      <c r="J462" s="163"/>
      <c r="K462" s="101"/>
      <c r="L462" s="101" t="s">
        <v>288</v>
      </c>
      <c r="M462" s="101" t="s">
        <v>272</v>
      </c>
      <c r="N462" s="442" t="s">
        <v>381</v>
      </c>
      <c r="O462" s="933">
        <v>109.69</v>
      </c>
      <c r="P462" s="933">
        <v>109.69</v>
      </c>
      <c r="Q462" s="157" t="s">
        <v>2021</v>
      </c>
      <c r="R462" s="109" t="s">
        <v>867</v>
      </c>
      <c r="S462" s="110">
        <v>234068.93</v>
      </c>
      <c r="T462" s="93">
        <v>102134.84</v>
      </c>
      <c r="U462" s="141"/>
      <c r="V462" s="158">
        <f t="shared" si="287"/>
        <v>0</v>
      </c>
      <c r="W462" s="159">
        <v>45722.672222222223</v>
      </c>
      <c r="X462" s="159">
        <v>45728.614583333336</v>
      </c>
      <c r="Y462" s="160"/>
      <c r="Z462" s="470"/>
      <c r="AA462" s="470">
        <v>45735</v>
      </c>
      <c r="AB462" s="470"/>
      <c r="AC462" s="161">
        <f t="shared" si="288"/>
        <v>12.327777777776646</v>
      </c>
      <c r="AD462" s="161">
        <f t="shared" si="281"/>
        <v>6.3854166666642413</v>
      </c>
      <c r="AE462" s="446">
        <f t="shared" si="311"/>
        <v>-45735</v>
      </c>
      <c r="AF462" s="160">
        <f t="shared" si="282"/>
        <v>45735.787924701559</v>
      </c>
      <c r="AG462" s="160">
        <f t="shared" si="279"/>
        <v>45743.085445362718</v>
      </c>
      <c r="AH462" s="159">
        <f t="shared" si="283"/>
        <v>45772.672222222223</v>
      </c>
      <c r="AI462" s="162">
        <f t="shared" si="289"/>
        <v>0.57371581196575927</v>
      </c>
      <c r="AJ462" s="224">
        <f t="shared" si="284"/>
        <v>-762.25</v>
      </c>
      <c r="AK462" s="225">
        <f t="shared" si="290"/>
        <v>26</v>
      </c>
      <c r="AL462" s="170">
        <f t="shared" si="291"/>
        <v>20</v>
      </c>
      <c r="AM462" s="170">
        <f t="shared" si="292"/>
        <v>16.115702479338843</v>
      </c>
      <c r="AN462" s="170">
        <f t="shared" si="293"/>
        <v>20.41322314049587</v>
      </c>
      <c r="AO462" s="226">
        <f t="shared" si="294"/>
        <v>13.115702479338843</v>
      </c>
      <c r="AP462" s="227">
        <v>60</v>
      </c>
      <c r="AQ462" s="228">
        <f t="shared" si="295"/>
        <v>57</v>
      </c>
      <c r="AR462" s="228">
        <f t="shared" si="280"/>
        <v>52</v>
      </c>
      <c r="AS462" s="229">
        <f t="shared" si="296"/>
        <v>45795</v>
      </c>
      <c r="AT462" s="982">
        <f t="shared" ca="1" si="297"/>
        <v>160</v>
      </c>
      <c r="AU462" s="50"/>
      <c r="AV462" s="51"/>
      <c r="AW462" s="49"/>
      <c r="AX462" s="49"/>
      <c r="AY462" s="49"/>
      <c r="AZ462" s="300"/>
      <c r="BA462" s="52"/>
      <c r="BB462" s="304"/>
      <c r="BC462" s="231" t="s">
        <v>13</v>
      </c>
      <c r="BD462" s="232"/>
      <c r="BE462" s="222">
        <f t="shared" si="277"/>
        <v>45750</v>
      </c>
      <c r="BF462" s="233" t="e">
        <f t="shared" si="285"/>
        <v>#VALUE!</v>
      </c>
      <c r="BG462" s="248"/>
      <c r="BH462" s="235"/>
      <c r="BI462" s="234"/>
      <c r="BJ462" s="236"/>
      <c r="BK462" s="222"/>
      <c r="BL462" s="222"/>
      <c r="BM462" s="238"/>
      <c r="BN462" s="222"/>
      <c r="BO462" s="222"/>
      <c r="BP462" s="243"/>
      <c r="BQ462" s="244"/>
      <c r="BR462" s="238"/>
      <c r="BS462" s="67"/>
      <c r="BT462" s="66"/>
      <c r="BU462" s="66"/>
      <c r="BV462" s="66"/>
      <c r="BW462" s="74"/>
      <c r="BX462" s="81"/>
      <c r="BY462" s="66" t="s">
        <v>2668</v>
      </c>
      <c r="BZ462" s="944"/>
      <c r="CA462" s="42" t="str">
        <f t="shared" si="298"/>
        <v>0</v>
      </c>
      <c r="CB462" s="62">
        <f t="shared" si="299"/>
        <v>12.327777777776646</v>
      </c>
      <c r="CC462" s="42">
        <f t="shared" si="300"/>
        <v>0</v>
      </c>
      <c r="CD462" s="62">
        <f t="shared" si="301"/>
        <v>12.327777777776646</v>
      </c>
      <c r="CE462" s="62">
        <f t="shared" si="302"/>
        <v>0.57371581196575927</v>
      </c>
      <c r="CF462" s="145">
        <f t="shared" si="303"/>
        <v>134</v>
      </c>
      <c r="CG462" s="145"/>
      <c r="CH462" s="443">
        <f t="shared" si="304"/>
        <v>6.8098696581196059</v>
      </c>
      <c r="CI462" s="996">
        <f t="shared" si="305"/>
        <v>6.8098696581196059</v>
      </c>
      <c r="CJ462" s="261">
        <f t="shared" si="306"/>
        <v>2.2333333333333334</v>
      </c>
      <c r="CK462" s="458" t="str">
        <f t="shared" si="307"/>
        <v/>
      </c>
      <c r="CL462" t="str">
        <f t="shared" si="308"/>
        <v>NON-REV</v>
      </c>
      <c r="CM462" t="str">
        <f t="shared" si="309"/>
        <v/>
      </c>
      <c r="CN462" s="635"/>
      <c r="CO462" s="631"/>
      <c r="CP462" s="629" t="str">
        <f t="shared" si="286"/>
        <v>FOR ISSUANCE</v>
      </c>
      <c r="CQ462" s="635"/>
      <c r="CR462" s="697"/>
      <c r="CS462" s="633" t="str">
        <f t="shared" ca="1" si="310"/>
        <v>0</v>
      </c>
      <c r="CT462" s="635"/>
      <c r="CU462" s="631"/>
      <c r="CV462" s="638"/>
      <c r="CW462" s="156" t="s">
        <v>2669</v>
      </c>
      <c r="CX462" s="156" t="str">
        <f>VLOOKUP(E462,'[1]List of Work Orders'!$A:$I,9,FALSE)</f>
        <v>ME185284</v>
      </c>
      <c r="CY462" s="156"/>
      <c r="DA462" s="762">
        <f t="shared" si="278"/>
        <v>5.9423611111124046</v>
      </c>
      <c r="DS462" s="442" t="s">
        <v>381</v>
      </c>
    </row>
    <row r="463" spans="1:123" customFormat="1" ht="15" customHeight="1" x14ac:dyDescent="0.25">
      <c r="A463" s="242">
        <v>45734</v>
      </c>
      <c r="B463" s="222">
        <v>45728</v>
      </c>
      <c r="C463" s="223"/>
      <c r="D463" s="66" t="s">
        <v>320</v>
      </c>
      <c r="E463" s="404" t="s">
        <v>2670</v>
      </c>
      <c r="F463" s="95" t="s">
        <v>2306</v>
      </c>
      <c r="G463" s="95" t="s">
        <v>2671</v>
      </c>
      <c r="H463" s="95" t="s">
        <v>269</v>
      </c>
      <c r="I463" s="95" t="s">
        <v>239</v>
      </c>
      <c r="J463" s="163" t="s">
        <v>2672</v>
      </c>
      <c r="K463" s="101"/>
      <c r="L463" s="101" t="s">
        <v>242</v>
      </c>
      <c r="M463" s="101" t="s">
        <v>331</v>
      </c>
      <c r="N463" s="442" t="s">
        <v>467</v>
      </c>
      <c r="O463" s="165">
        <v>89.382599999999996</v>
      </c>
      <c r="P463" s="165">
        <v>273.37</v>
      </c>
      <c r="Q463" s="157">
        <v>9</v>
      </c>
      <c r="R463" s="109" t="s">
        <v>548</v>
      </c>
      <c r="S463" s="110">
        <v>532048.99</v>
      </c>
      <c r="T463" s="93">
        <v>100358.97000000002</v>
      </c>
      <c r="U463" s="141"/>
      <c r="V463" s="158">
        <f t="shared" si="287"/>
        <v>0</v>
      </c>
      <c r="W463" s="159">
        <v>45722.691666666666</v>
      </c>
      <c r="X463" s="159">
        <v>45729.559027777781</v>
      </c>
      <c r="Y463" s="160">
        <v>45727</v>
      </c>
      <c r="Z463" s="470"/>
      <c r="AA463" s="470"/>
      <c r="AB463" s="470"/>
      <c r="AC463" s="161">
        <f t="shared" si="288"/>
        <v>-45722.691666666666</v>
      </c>
      <c r="AD463" s="161">
        <f t="shared" si="281"/>
        <v>-45729.559027777781</v>
      </c>
      <c r="AE463" s="446">
        <f t="shared" si="311"/>
        <v>0</v>
      </c>
      <c r="AF463" s="160">
        <f t="shared" si="282"/>
        <v>45744.560087719299</v>
      </c>
      <c r="AG463" s="160">
        <f t="shared" si="279"/>
        <v>45754.191666666666</v>
      </c>
      <c r="AH463" s="159">
        <f t="shared" si="283"/>
        <v>45772.691666666666</v>
      </c>
      <c r="AI463" s="162">
        <f t="shared" si="289"/>
        <v>-1378.9383201058201</v>
      </c>
      <c r="AJ463" s="224">
        <f t="shared" si="284"/>
        <v>0</v>
      </c>
      <c r="AK463" s="225">
        <f t="shared" si="290"/>
        <v>28</v>
      </c>
      <c r="AL463" s="170">
        <f t="shared" si="291"/>
        <v>36</v>
      </c>
      <c r="AM463" s="170">
        <f t="shared" si="292"/>
        <v>24.868421052631579</v>
      </c>
      <c r="AN463" s="170">
        <f t="shared" si="293"/>
        <v>31.499999999999996</v>
      </c>
      <c r="AO463" s="226">
        <f t="shared" si="294"/>
        <v>21.868421052631579</v>
      </c>
      <c r="AP463" s="227">
        <v>60</v>
      </c>
      <c r="AQ463" s="228">
        <f t="shared" si="295"/>
        <v>57</v>
      </c>
      <c r="AR463" s="228">
        <f t="shared" si="280"/>
        <v>52</v>
      </c>
      <c r="AS463" s="229">
        <f t="shared" si="296"/>
        <v>60</v>
      </c>
      <c r="AT463" s="982">
        <f t="shared" ca="1" si="297"/>
        <v>45895</v>
      </c>
      <c r="AU463" s="50"/>
      <c r="AV463" s="51"/>
      <c r="AW463" s="49"/>
      <c r="AX463" s="49"/>
      <c r="AY463" s="49"/>
      <c r="AZ463" s="300"/>
      <c r="BA463" s="52"/>
      <c r="BB463" s="304"/>
      <c r="BC463" s="231"/>
      <c r="BD463" s="232"/>
      <c r="BE463" s="222">
        <f t="shared" si="277"/>
        <v>15</v>
      </c>
      <c r="BF463" s="233">
        <f t="shared" si="285"/>
        <v>0</v>
      </c>
      <c r="BG463" s="248"/>
      <c r="BH463" s="235"/>
      <c r="BI463" s="234"/>
      <c r="BJ463" s="236"/>
      <c r="BK463" s="222"/>
      <c r="BL463" s="222"/>
      <c r="BM463" s="238"/>
      <c r="BN463" s="222"/>
      <c r="BO463" s="222"/>
      <c r="BP463" s="243"/>
      <c r="BQ463" s="244"/>
      <c r="BR463" s="238"/>
      <c r="BS463" s="67"/>
      <c r="BT463" s="66"/>
      <c r="BU463" s="66"/>
      <c r="BV463" s="66"/>
      <c r="BW463" s="74"/>
      <c r="BX463" s="81"/>
      <c r="BY463" s="66">
        <v>45734</v>
      </c>
      <c r="BZ463" s="944" t="s">
        <v>2673</v>
      </c>
      <c r="CA463" s="42" t="str">
        <f t="shared" si="298"/>
        <v>0</v>
      </c>
      <c r="CB463" s="62">
        <f t="shared" si="299"/>
        <v>-45722.691666666666</v>
      </c>
      <c r="CC463" s="42">
        <f t="shared" si="300"/>
        <v>0</v>
      </c>
      <c r="CD463" s="62">
        <f t="shared" si="301"/>
        <v>-45722.691666666666</v>
      </c>
      <c r="CE463" s="62">
        <f t="shared" si="302"/>
        <v>-1378.9383201058201</v>
      </c>
      <c r="CF463" s="145" t="str">
        <f t="shared" si="303"/>
        <v>0</v>
      </c>
      <c r="CG463" s="145"/>
      <c r="CH463" s="443">
        <f t="shared" si="304"/>
        <v>4.4124735449735741</v>
      </c>
      <c r="CI463" s="996">
        <f t="shared" si="305"/>
        <v>4.4124735449735741</v>
      </c>
      <c r="CJ463" s="261">
        <f t="shared" si="306"/>
        <v>0</v>
      </c>
      <c r="CK463" s="458">
        <f t="shared" si="307"/>
        <v>133.3083333333343</v>
      </c>
      <c r="CL463" t="str">
        <f t="shared" si="308"/>
        <v>NON-REV</v>
      </c>
      <c r="CM463" t="str">
        <f t="shared" si="309"/>
        <v>4-6 MONTHS</v>
      </c>
      <c r="CN463" s="635"/>
      <c r="CO463" s="631"/>
      <c r="CP463" s="629" t="str">
        <f t="shared" si="286"/>
        <v>FOR ISSUANCE</v>
      </c>
      <c r="CQ463" s="635"/>
      <c r="CR463" s="697"/>
      <c r="CS463" s="633" t="str">
        <f t="shared" ca="1" si="310"/>
        <v>0</v>
      </c>
      <c r="CT463" s="635"/>
      <c r="CU463" s="631"/>
      <c r="CV463" s="638"/>
      <c r="CW463" s="156" t="s">
        <v>2674</v>
      </c>
      <c r="CX463" s="156" t="str">
        <f>VLOOKUP(E463,'[1]List of Work Orders'!$A:$I,9,FALSE)</f>
        <v>ME155242</v>
      </c>
      <c r="CY463" s="156"/>
      <c r="CZ463" s="63"/>
      <c r="DA463" s="762">
        <f t="shared" si="278"/>
        <v>6.867361111115315</v>
      </c>
      <c r="DS463" s="442" t="s">
        <v>381</v>
      </c>
    </row>
    <row r="464" spans="1:123" ht="15" customHeight="1" x14ac:dyDescent="0.2">
      <c r="A464" s="242">
        <v>45729</v>
      </c>
      <c r="B464" s="222">
        <v>45728</v>
      </c>
      <c r="C464" s="223"/>
      <c r="D464" s="66" t="s">
        <v>320</v>
      </c>
      <c r="E464" s="404" t="s">
        <v>2675</v>
      </c>
      <c r="F464" s="95" t="s">
        <v>2676</v>
      </c>
      <c r="G464" s="95" t="s">
        <v>2677</v>
      </c>
      <c r="H464" s="95" t="s">
        <v>269</v>
      </c>
      <c r="I464" s="95" t="s">
        <v>239</v>
      </c>
      <c r="J464" s="1134" t="s">
        <v>410</v>
      </c>
      <c r="K464" s="101"/>
      <c r="L464" s="101" t="s">
        <v>255</v>
      </c>
      <c r="M464" s="101" t="s">
        <v>331</v>
      </c>
      <c r="N464" s="442" t="s">
        <v>403</v>
      </c>
      <c r="O464" s="165">
        <v>53.522799999999989</v>
      </c>
      <c r="P464" s="165">
        <v>103.13</v>
      </c>
      <c r="Q464" s="157">
        <v>287.2</v>
      </c>
      <c r="R464" s="109" t="s">
        <v>548</v>
      </c>
      <c r="S464" s="110">
        <v>851846.96</v>
      </c>
      <c r="T464" s="93">
        <v>104930.69</v>
      </c>
      <c r="U464" s="141"/>
      <c r="V464" s="158">
        <f t="shared" si="287"/>
        <v>0</v>
      </c>
      <c r="W464" s="159">
        <v>45722.706944444442</v>
      </c>
      <c r="X464" s="159">
        <v>45729.551388888889</v>
      </c>
      <c r="Y464" s="160">
        <v>45727</v>
      </c>
      <c r="Z464" s="470"/>
      <c r="AA464" s="470"/>
      <c r="AB464" s="470"/>
      <c r="AC464" s="161">
        <f t="shared" si="288"/>
        <v>-45722.706944444442</v>
      </c>
      <c r="AD464" s="161">
        <f t="shared" si="281"/>
        <v>-45729.551388888889</v>
      </c>
      <c r="AE464" s="446">
        <f t="shared" si="311"/>
        <v>0</v>
      </c>
      <c r="AF464" s="160">
        <f t="shared" si="282"/>
        <v>45741.214297385617</v>
      </c>
      <c r="AG464" s="160">
        <f t="shared" si="279"/>
        <v>45749.949591503268</v>
      </c>
      <c r="AH464" s="159">
        <f t="shared" si="283"/>
        <v>45772.706944444442</v>
      </c>
      <c r="AI464" s="162">
        <f t="shared" si="289"/>
        <v>-1594.4328575498575</v>
      </c>
      <c r="AJ464" s="224">
        <f t="shared" si="284"/>
        <v>0</v>
      </c>
      <c r="AK464" s="225">
        <f t="shared" si="290"/>
        <v>26</v>
      </c>
      <c r="AL464" s="170">
        <f t="shared" si="291"/>
        <v>30</v>
      </c>
      <c r="AM464" s="170">
        <f t="shared" si="292"/>
        <v>21.507352941176471</v>
      </c>
      <c r="AN464" s="170">
        <f t="shared" si="293"/>
        <v>27.242647058823529</v>
      </c>
      <c r="AO464" s="226">
        <f t="shared" si="294"/>
        <v>18.507352941176471</v>
      </c>
      <c r="AP464" s="227">
        <v>60</v>
      </c>
      <c r="AQ464" s="228">
        <f t="shared" si="295"/>
        <v>57</v>
      </c>
      <c r="AR464" s="228">
        <f t="shared" si="280"/>
        <v>52</v>
      </c>
      <c r="AS464" s="229">
        <f t="shared" si="296"/>
        <v>60</v>
      </c>
      <c r="AT464" s="982">
        <f t="shared" ca="1" si="297"/>
        <v>45895</v>
      </c>
      <c r="AU464" s="1077"/>
      <c r="AV464" s="1092"/>
      <c r="AW464" s="1079"/>
      <c r="AX464" s="1079"/>
      <c r="AY464" s="1079"/>
      <c r="AZ464" s="1080"/>
      <c r="BA464" s="1101"/>
      <c r="BB464" s="1091"/>
      <c r="BC464" s="231"/>
      <c r="BD464" s="232"/>
      <c r="BE464" s="222">
        <f t="shared" si="277"/>
        <v>15</v>
      </c>
      <c r="BF464" s="233">
        <f t="shared" si="285"/>
        <v>0</v>
      </c>
      <c r="BG464" s="248"/>
      <c r="BH464" s="235"/>
      <c r="BI464" s="234"/>
      <c r="BJ464" s="236"/>
      <c r="BK464" s="222"/>
      <c r="BL464" s="222"/>
      <c r="BM464" s="238"/>
      <c r="BN464" s="222"/>
      <c r="BO464" s="222"/>
      <c r="BP464" s="243"/>
      <c r="BQ464" s="244" t="s">
        <v>247</v>
      </c>
      <c r="BR464" s="238">
        <v>45749</v>
      </c>
      <c r="BS464" s="67"/>
      <c r="BT464" s="66"/>
      <c r="BU464" s="66"/>
      <c r="BV464" s="66"/>
      <c r="BW464" s="74"/>
      <c r="BX464" s="81"/>
      <c r="BY464" s="66">
        <v>45733</v>
      </c>
      <c r="BZ464" s="944" t="s">
        <v>2678</v>
      </c>
      <c r="CA464" s="42" t="str">
        <f t="shared" si="298"/>
        <v>0</v>
      </c>
      <c r="CB464" s="62">
        <f t="shared" si="299"/>
        <v>-45722.706944444442</v>
      </c>
      <c r="CC464" s="42">
        <f t="shared" si="300"/>
        <v>0</v>
      </c>
      <c r="CD464" s="62">
        <f t="shared" si="301"/>
        <v>-45722.706944444442</v>
      </c>
      <c r="CE464" s="62">
        <f t="shared" si="302"/>
        <v>-1594.4328575498575</v>
      </c>
      <c r="CF464" s="1059" t="str">
        <f t="shared" si="303"/>
        <v>0</v>
      </c>
      <c r="CH464" s="1082">
        <f t="shared" si="304"/>
        <v>5.1015014245014978</v>
      </c>
      <c r="CI464" s="1083">
        <f t="shared" si="305"/>
        <v>5.1015014245014978</v>
      </c>
      <c r="CJ464" s="1084">
        <f t="shared" si="306"/>
        <v>0</v>
      </c>
      <c r="CK464" s="1085">
        <f t="shared" si="307"/>
        <v>133.29305555555766</v>
      </c>
      <c r="CL464" s="1057" t="str">
        <f t="shared" si="308"/>
        <v>NON-REV</v>
      </c>
      <c r="CM464" s="1057" t="str">
        <f t="shared" si="309"/>
        <v>4-6 MONTHS</v>
      </c>
      <c r="CN464" s="1086"/>
      <c r="CO464" s="1087"/>
      <c r="CP464" s="629" t="str">
        <f t="shared" si="286"/>
        <v>FOR ISSUANCE</v>
      </c>
      <c r="CQ464" s="1086"/>
      <c r="CR464" s="1088"/>
      <c r="CS464" s="1089" t="str">
        <f t="shared" ca="1" si="310"/>
        <v>0</v>
      </c>
      <c r="CT464" s="1086"/>
      <c r="CU464" s="1087"/>
      <c r="CV464" s="1090"/>
      <c r="CW464" s="156" t="s">
        <v>2679</v>
      </c>
      <c r="CX464" s="156" t="str">
        <f>VLOOKUP(E464,'[1]List of Work Orders'!$A:$I,9,FALSE)</f>
        <v>ME185284</v>
      </c>
      <c r="CY464" s="156"/>
      <c r="DA464" s="1100">
        <f t="shared" si="278"/>
        <v>6.8444444444467081</v>
      </c>
      <c r="DS464" s="442" t="s">
        <v>381</v>
      </c>
    </row>
    <row r="465" spans="1:123" ht="15" customHeight="1" x14ac:dyDescent="0.2">
      <c r="A465" s="242">
        <v>45729</v>
      </c>
      <c r="B465" s="222">
        <v>45728</v>
      </c>
      <c r="C465" s="223"/>
      <c r="D465" s="66" t="s">
        <v>320</v>
      </c>
      <c r="E465" s="404" t="s">
        <v>2680</v>
      </c>
      <c r="F465" s="95" t="s">
        <v>2676</v>
      </c>
      <c r="G465" s="95" t="s">
        <v>2677</v>
      </c>
      <c r="H465" s="95" t="s">
        <v>269</v>
      </c>
      <c r="I465" s="95" t="s">
        <v>239</v>
      </c>
      <c r="J465" s="1134" t="s">
        <v>410</v>
      </c>
      <c r="K465" s="101"/>
      <c r="L465" s="101" t="s">
        <v>255</v>
      </c>
      <c r="M465" s="101" t="s">
        <v>331</v>
      </c>
      <c r="N465" s="442" t="s">
        <v>403</v>
      </c>
      <c r="O465" s="165">
        <v>585.37979999999959</v>
      </c>
      <c r="P465" s="165">
        <v>1699.21</v>
      </c>
      <c r="Q465" s="157">
        <v>287.2</v>
      </c>
      <c r="R465" s="109" t="s">
        <v>548</v>
      </c>
      <c r="S465" s="110">
        <v>3468548.84</v>
      </c>
      <c r="T465" s="93">
        <v>853471.37999999977</v>
      </c>
      <c r="U465" s="141"/>
      <c r="V465" s="158">
        <f t="shared" si="287"/>
        <v>0</v>
      </c>
      <c r="W465" s="159">
        <v>45722.711805555555</v>
      </c>
      <c r="X465" s="159">
        <v>45729.542361111111</v>
      </c>
      <c r="Y465" s="160">
        <v>45727</v>
      </c>
      <c r="Z465" s="470"/>
      <c r="AA465" s="470"/>
      <c r="AB465" s="470"/>
      <c r="AC465" s="161">
        <f t="shared" si="288"/>
        <v>-45722.711805555555</v>
      </c>
      <c r="AD465" s="161">
        <f t="shared" si="281"/>
        <v>-45729.542361111111</v>
      </c>
      <c r="AE465" s="446">
        <f t="shared" si="311"/>
        <v>0</v>
      </c>
      <c r="AF465" s="160">
        <f t="shared" si="282"/>
        <v>45745.279987373739</v>
      </c>
      <c r="AG465" s="160">
        <f t="shared" si="279"/>
        <v>45755.098169191915</v>
      </c>
      <c r="AH465" s="159">
        <f t="shared" si="283"/>
        <v>45772.711805555555</v>
      </c>
      <c r="AI465" s="162">
        <f t="shared" si="289"/>
        <v>-1341.1995462962964</v>
      </c>
      <c r="AJ465" s="224">
        <f t="shared" si="284"/>
        <v>0</v>
      </c>
      <c r="AK465" s="225">
        <f t="shared" si="290"/>
        <v>50</v>
      </c>
      <c r="AL465" s="170">
        <f t="shared" si="291"/>
        <v>30</v>
      </c>
      <c r="AM465" s="170">
        <f t="shared" si="292"/>
        <v>25.56818181818182</v>
      </c>
      <c r="AN465" s="170">
        <f t="shared" si="293"/>
        <v>32.38636363636364</v>
      </c>
      <c r="AO465" s="226">
        <f t="shared" si="294"/>
        <v>22.56818181818182</v>
      </c>
      <c r="AP465" s="227">
        <v>60</v>
      </c>
      <c r="AQ465" s="228">
        <f t="shared" si="295"/>
        <v>57</v>
      </c>
      <c r="AR465" s="228">
        <f t="shared" si="280"/>
        <v>52</v>
      </c>
      <c r="AS465" s="229">
        <f t="shared" si="296"/>
        <v>60</v>
      </c>
      <c r="AT465" s="982">
        <f t="shared" ca="1" si="297"/>
        <v>45895</v>
      </c>
      <c r="AU465" s="1077"/>
      <c r="AV465" s="1092"/>
      <c r="AW465" s="1079"/>
      <c r="AX465" s="1079"/>
      <c r="AY465" s="1079"/>
      <c r="AZ465" s="1080"/>
      <c r="BA465" s="1101"/>
      <c r="BB465" s="1091"/>
      <c r="BC465" s="231"/>
      <c r="BD465" s="232" t="s">
        <v>2681</v>
      </c>
      <c r="BE465" s="222">
        <f t="shared" si="277"/>
        <v>15</v>
      </c>
      <c r="BF465" s="233">
        <f t="shared" si="285"/>
        <v>0</v>
      </c>
      <c r="BG465" s="248"/>
      <c r="BH465" s="235"/>
      <c r="BI465" s="234"/>
      <c r="BJ465" s="236"/>
      <c r="BK465" s="222"/>
      <c r="BL465" s="222"/>
      <c r="BM465" s="238"/>
      <c r="BN465" s="222"/>
      <c r="BO465" s="222"/>
      <c r="BP465" s="243"/>
      <c r="BQ465" s="244"/>
      <c r="BR465" s="238"/>
      <c r="BS465" s="67"/>
      <c r="BT465" s="66"/>
      <c r="BU465" s="66"/>
      <c r="BV465" s="66"/>
      <c r="BW465" s="74"/>
      <c r="BX465" s="81"/>
      <c r="BY465" s="66">
        <v>45733</v>
      </c>
      <c r="BZ465" s="944" t="s">
        <v>2682</v>
      </c>
      <c r="CA465" s="42" t="str">
        <f t="shared" si="298"/>
        <v>0</v>
      </c>
      <c r="CB465" s="62">
        <f t="shared" si="299"/>
        <v>-45722.711805555555</v>
      </c>
      <c r="CC465" s="42">
        <f t="shared" si="300"/>
        <v>0</v>
      </c>
      <c r="CD465" s="62">
        <f t="shared" si="301"/>
        <v>-45722.711805555555</v>
      </c>
      <c r="CE465" s="62">
        <f t="shared" si="302"/>
        <v>-1341.1995462962964</v>
      </c>
      <c r="CF465" s="1059" t="str">
        <f t="shared" si="303"/>
        <v>0</v>
      </c>
      <c r="CH465" s="1082">
        <f t="shared" si="304"/>
        <v>4.2911203703703933</v>
      </c>
      <c r="CI465" s="1083">
        <f t="shared" si="305"/>
        <v>4.2911203703703933</v>
      </c>
      <c r="CJ465" s="1084">
        <f t="shared" si="306"/>
        <v>0</v>
      </c>
      <c r="CK465" s="1085">
        <f t="shared" si="307"/>
        <v>133.28819444444525</v>
      </c>
      <c r="CL465" s="1057" t="str">
        <f t="shared" si="308"/>
        <v>NON-REV</v>
      </c>
      <c r="CM465" s="1057" t="str">
        <f t="shared" si="309"/>
        <v>4-6 MONTHS</v>
      </c>
      <c r="CN465" s="1086"/>
      <c r="CO465" s="1087"/>
      <c r="CP465" s="629" t="str">
        <f t="shared" si="286"/>
        <v>FOR ISSUANCE</v>
      </c>
      <c r="CQ465" s="1086"/>
      <c r="CR465" s="1088"/>
      <c r="CS465" s="1089" t="str">
        <f t="shared" ca="1" si="310"/>
        <v>0</v>
      </c>
      <c r="CT465" s="1086"/>
      <c r="CU465" s="1087"/>
      <c r="CV465" s="1090"/>
      <c r="CW465" s="156" t="s">
        <v>2683</v>
      </c>
      <c r="CX465" s="156" t="str">
        <f>VLOOKUP(E465,'[1]List of Work Orders'!$A:$I,9,FALSE)</f>
        <v>ME185284</v>
      </c>
      <c r="CY465" s="156"/>
      <c r="DA465" s="1100">
        <f t="shared" si="278"/>
        <v>6.8305555555562023</v>
      </c>
      <c r="DS465" s="442" t="s">
        <v>381</v>
      </c>
    </row>
    <row r="466" spans="1:123" ht="15" customHeight="1" x14ac:dyDescent="0.2">
      <c r="A466" s="242">
        <v>45729</v>
      </c>
      <c r="B466" s="222">
        <v>45727</v>
      </c>
      <c r="C466" s="223"/>
      <c r="D466" s="66" t="s">
        <v>320</v>
      </c>
      <c r="E466" s="404" t="s">
        <v>2684</v>
      </c>
      <c r="F466" s="95" t="s">
        <v>1045</v>
      </c>
      <c r="G466" s="95" t="s">
        <v>715</v>
      </c>
      <c r="H466" s="95" t="s">
        <v>269</v>
      </c>
      <c r="I466" s="95" t="s">
        <v>239</v>
      </c>
      <c r="J466" s="163"/>
      <c r="K466" s="101"/>
      <c r="L466" s="101" t="s">
        <v>255</v>
      </c>
      <c r="M466" s="101" t="s">
        <v>272</v>
      </c>
      <c r="N466" s="442" t="s">
        <v>381</v>
      </c>
      <c r="O466" s="165">
        <v>10.9328</v>
      </c>
      <c r="P466" s="933">
        <v>17.059999999999999</v>
      </c>
      <c r="Q466" s="157">
        <v>32.6</v>
      </c>
      <c r="R466" s="109" t="s">
        <v>244</v>
      </c>
      <c r="S466" s="110">
        <v>192652.59</v>
      </c>
      <c r="T466" s="93">
        <v>14659.570000000002</v>
      </c>
      <c r="U466" s="141"/>
      <c r="V466" s="158">
        <f t="shared" si="287"/>
        <v>0</v>
      </c>
      <c r="W466" s="159">
        <v>45722.711805555555</v>
      </c>
      <c r="X466" s="159">
        <v>45729.554166666669</v>
      </c>
      <c r="Y466" s="160">
        <v>45727</v>
      </c>
      <c r="Z466" s="470"/>
      <c r="AA466" s="470">
        <v>45825.255555555559</v>
      </c>
      <c r="AB466" s="470"/>
      <c r="AC466" s="161">
        <f t="shared" si="288"/>
        <v>102.54375000000437</v>
      </c>
      <c r="AD466" s="161">
        <f t="shared" si="281"/>
        <v>95.701388888890506</v>
      </c>
      <c r="AE466" s="446">
        <f t="shared" si="311"/>
        <v>-45825.255555555559</v>
      </c>
      <c r="AF466" s="160">
        <f t="shared" si="282"/>
        <v>45741.485999103941</v>
      </c>
      <c r="AG466" s="160">
        <f t="shared" si="279"/>
        <v>45750.292450716843</v>
      </c>
      <c r="AH466" s="159">
        <f t="shared" si="283"/>
        <v>45772.711805555555</v>
      </c>
      <c r="AI466" s="162">
        <f t="shared" si="289"/>
        <v>3.5320625000001504</v>
      </c>
      <c r="AJ466" s="224">
        <f t="shared" si="284"/>
        <v>-763.75425925925936</v>
      </c>
      <c r="AK466" s="225">
        <f t="shared" si="290"/>
        <v>20</v>
      </c>
      <c r="AL466" s="170">
        <f t="shared" si="291"/>
        <v>36</v>
      </c>
      <c r="AM466" s="170">
        <f t="shared" si="292"/>
        <v>21.774193548387096</v>
      </c>
      <c r="AN466" s="170">
        <f t="shared" si="293"/>
        <v>27.58064516129032</v>
      </c>
      <c r="AO466" s="226">
        <f t="shared" si="294"/>
        <v>18.774193548387096</v>
      </c>
      <c r="AP466" s="227">
        <v>60</v>
      </c>
      <c r="AQ466" s="228">
        <f t="shared" si="295"/>
        <v>57</v>
      </c>
      <c r="AR466" s="228">
        <f t="shared" si="280"/>
        <v>52</v>
      </c>
      <c r="AS466" s="229">
        <f t="shared" si="296"/>
        <v>45885.255555555559</v>
      </c>
      <c r="AT466" s="982">
        <f t="shared" ca="1" si="297"/>
        <v>69.744444444440887</v>
      </c>
      <c r="AU466" s="1077"/>
      <c r="AV466" s="1092"/>
      <c r="AW466" s="1079"/>
      <c r="AX466" s="1079"/>
      <c r="AY466" s="1079"/>
      <c r="AZ466" s="1080"/>
      <c r="BA466" s="1101"/>
      <c r="BB466" s="1091"/>
      <c r="BC466" s="231" t="s">
        <v>13</v>
      </c>
      <c r="BD466" s="232"/>
      <c r="BE466" s="222">
        <f t="shared" si="277"/>
        <v>45840.255555555559</v>
      </c>
      <c r="BF466" s="233" t="e">
        <f t="shared" si="285"/>
        <v>#VALUE!</v>
      </c>
      <c r="BG466" s="248"/>
      <c r="BH466" s="235"/>
      <c r="BI466" s="234"/>
      <c r="BJ466" s="236"/>
      <c r="BK466" s="222"/>
      <c r="BL466" s="222"/>
      <c r="BM466" s="238"/>
      <c r="BN466" s="222"/>
      <c r="BO466" s="222"/>
      <c r="BP466" s="243"/>
      <c r="BQ466" s="244"/>
      <c r="BR466" s="238"/>
      <c r="BS466" s="67"/>
      <c r="BT466" s="66"/>
      <c r="BU466" s="66"/>
      <c r="BV466" s="66"/>
      <c r="BW466" s="74"/>
      <c r="BX466" s="81"/>
      <c r="BY466" s="66">
        <v>45730</v>
      </c>
      <c r="BZ466" s="944" t="s">
        <v>2685</v>
      </c>
      <c r="CA466" s="42" t="str">
        <f t="shared" si="298"/>
        <v>0</v>
      </c>
      <c r="CB466" s="62">
        <f t="shared" si="299"/>
        <v>102.54375000000437</v>
      </c>
      <c r="CC466" s="42">
        <f t="shared" si="300"/>
        <v>0</v>
      </c>
      <c r="CD466" s="62">
        <f t="shared" si="301"/>
        <v>102.54375000000437</v>
      </c>
      <c r="CE466" s="62">
        <f t="shared" si="302"/>
        <v>3.5320625000001504</v>
      </c>
      <c r="CF466" s="1059">
        <f t="shared" si="303"/>
        <v>43.744444444440887</v>
      </c>
      <c r="CG466" s="1059">
        <f xml:space="preserve"> (0.3)*(($CF$1-W466-CF466)/AK466)+(0.7)*(($CF$1-W466-CF466)/AL466)</f>
        <v>3.5320625000001504</v>
      </c>
      <c r="CH466" s="1082">
        <f t="shared" si="304"/>
        <v>5.0388155864197799</v>
      </c>
      <c r="CI466" s="1083">
        <f t="shared" si="305"/>
        <v>1.5067530864196295</v>
      </c>
      <c r="CJ466" s="1084">
        <f t="shared" si="306"/>
        <v>0.72907407407401481</v>
      </c>
      <c r="CK466" s="1085" t="str">
        <f t="shared" si="307"/>
        <v/>
      </c>
      <c r="CL466" s="1057" t="str">
        <f t="shared" si="308"/>
        <v>REV</v>
      </c>
      <c r="CM466" s="1057" t="str">
        <f t="shared" si="309"/>
        <v/>
      </c>
      <c r="CN466" s="1086"/>
      <c r="CO466" s="1087"/>
      <c r="CP466" s="629" t="str">
        <f t="shared" si="286"/>
        <v>FOR ISSUANCE</v>
      </c>
      <c r="CQ466" s="1086"/>
      <c r="CR466" s="1088"/>
      <c r="CS466" s="1089" t="str">
        <f t="shared" ca="1" si="310"/>
        <v>0</v>
      </c>
      <c r="CT466" s="1086"/>
      <c r="CU466" s="1087"/>
      <c r="CV466" s="1090"/>
      <c r="CW466" s="156" t="s">
        <v>2686</v>
      </c>
      <c r="CX466" s="156" t="str">
        <f>VLOOKUP(E466,'[1]List of Work Orders'!$A:$I,9,FALSE)</f>
        <v>ME185284</v>
      </c>
      <c r="CY466" s="156"/>
      <c r="DA466" s="1100">
        <f t="shared" si="278"/>
        <v>6.8423611111138598</v>
      </c>
      <c r="DS466" s="442" t="s">
        <v>381</v>
      </c>
    </row>
    <row r="467" spans="1:123" ht="15" customHeight="1" x14ac:dyDescent="0.2">
      <c r="A467" s="242">
        <v>45729</v>
      </c>
      <c r="B467" s="222">
        <v>45727</v>
      </c>
      <c r="C467" s="223"/>
      <c r="D467" s="66" t="s">
        <v>320</v>
      </c>
      <c r="E467" s="404" t="s">
        <v>2687</v>
      </c>
      <c r="F467" s="95" t="s">
        <v>1045</v>
      </c>
      <c r="G467" s="95" t="s">
        <v>2688</v>
      </c>
      <c r="H467" s="95" t="s">
        <v>269</v>
      </c>
      <c r="I467" s="95" t="s">
        <v>239</v>
      </c>
      <c r="J467" s="163"/>
      <c r="K467" s="101"/>
      <c r="L467" s="101" t="s">
        <v>255</v>
      </c>
      <c r="M467" s="101" t="s">
        <v>272</v>
      </c>
      <c r="N467" s="442" t="s">
        <v>381</v>
      </c>
      <c r="O467" s="165">
        <v>10.4428</v>
      </c>
      <c r="P467" s="933">
        <v>11.92</v>
      </c>
      <c r="Q467" s="157">
        <v>18.5</v>
      </c>
      <c r="R467" s="109" t="s">
        <v>548</v>
      </c>
      <c r="S467" s="110">
        <v>140707.85999999999</v>
      </c>
      <c r="T467" s="93">
        <v>10242.26</v>
      </c>
      <c r="U467" s="141"/>
      <c r="V467" s="158">
        <f t="shared" si="287"/>
        <v>0</v>
      </c>
      <c r="W467" s="159">
        <v>45722.711805555555</v>
      </c>
      <c r="X467" s="159">
        <v>45729.554861111108</v>
      </c>
      <c r="Y467" s="160">
        <v>45727</v>
      </c>
      <c r="Z467" s="470"/>
      <c r="AA467" s="470">
        <v>45805.61041666667</v>
      </c>
      <c r="AB467" s="470"/>
      <c r="AC467" s="161">
        <f t="shared" si="288"/>
        <v>82.898611111115315</v>
      </c>
      <c r="AD467" s="161">
        <f t="shared" si="281"/>
        <v>76.055555555562023</v>
      </c>
      <c r="AE467" s="446">
        <f t="shared" si="311"/>
        <v>-45805.61041666667</v>
      </c>
      <c r="AF467" s="160">
        <f t="shared" si="282"/>
        <v>45741.485999103941</v>
      </c>
      <c r="AG467" s="160">
        <f t="shared" si="279"/>
        <v>45750.292450716843</v>
      </c>
      <c r="AH467" s="159">
        <f t="shared" si="283"/>
        <v>45772.711805555555</v>
      </c>
      <c r="AI467" s="162">
        <f t="shared" si="289"/>
        <v>2.8553966049384161</v>
      </c>
      <c r="AJ467" s="224">
        <f t="shared" si="284"/>
        <v>-763.42684027777784</v>
      </c>
      <c r="AK467" s="225">
        <f t="shared" si="290"/>
        <v>20</v>
      </c>
      <c r="AL467" s="170">
        <f t="shared" si="291"/>
        <v>36</v>
      </c>
      <c r="AM467" s="170">
        <f t="shared" si="292"/>
        <v>21.774193548387096</v>
      </c>
      <c r="AN467" s="170">
        <f t="shared" si="293"/>
        <v>27.58064516129032</v>
      </c>
      <c r="AO467" s="226">
        <f t="shared" si="294"/>
        <v>18.774193548387096</v>
      </c>
      <c r="AP467" s="227">
        <v>60</v>
      </c>
      <c r="AQ467" s="228">
        <f t="shared" si="295"/>
        <v>57</v>
      </c>
      <c r="AR467" s="228">
        <f t="shared" si="280"/>
        <v>52</v>
      </c>
      <c r="AS467" s="229">
        <f t="shared" si="296"/>
        <v>45865.61041666667</v>
      </c>
      <c r="AT467" s="982">
        <f t="shared" ca="1" si="297"/>
        <v>89.389583333329938</v>
      </c>
      <c r="AU467" s="1077"/>
      <c r="AV467" s="1092"/>
      <c r="AW467" s="1079"/>
      <c r="AX467" s="1079"/>
      <c r="AY467" s="1079"/>
      <c r="AZ467" s="1080"/>
      <c r="BA467" s="1101"/>
      <c r="BB467" s="1091"/>
      <c r="BC467" s="231" t="s">
        <v>13</v>
      </c>
      <c r="BD467" s="232"/>
      <c r="BE467" s="222">
        <f t="shared" si="277"/>
        <v>45820.61041666667</v>
      </c>
      <c r="BF467" s="233" t="e">
        <f t="shared" si="285"/>
        <v>#VALUE!</v>
      </c>
      <c r="BG467" s="248"/>
      <c r="BH467" s="235"/>
      <c r="BI467" s="234"/>
      <c r="BJ467" s="236"/>
      <c r="BK467" s="222"/>
      <c r="BL467" s="222"/>
      <c r="BM467" s="238"/>
      <c r="BN467" s="222"/>
      <c r="BO467" s="222"/>
      <c r="BP467" s="243"/>
      <c r="BQ467" s="244" t="s">
        <v>247</v>
      </c>
      <c r="BR467" s="238">
        <v>45805</v>
      </c>
      <c r="BS467" s="67"/>
      <c r="BT467" s="66"/>
      <c r="BU467" s="66"/>
      <c r="BV467" s="66"/>
      <c r="BW467" s="74"/>
      <c r="BX467" s="81"/>
      <c r="BY467" s="66">
        <v>45733</v>
      </c>
      <c r="BZ467" s="944" t="s">
        <v>2689</v>
      </c>
      <c r="CA467" s="42" t="str">
        <f t="shared" si="298"/>
        <v>0</v>
      </c>
      <c r="CB467" s="62">
        <f t="shared" si="299"/>
        <v>82.898611111115315</v>
      </c>
      <c r="CC467" s="42">
        <f t="shared" si="300"/>
        <v>0</v>
      </c>
      <c r="CD467" s="62">
        <f t="shared" si="301"/>
        <v>82.898611111115315</v>
      </c>
      <c r="CE467" s="62">
        <f t="shared" si="302"/>
        <v>2.8553966049384161</v>
      </c>
      <c r="CF467" s="1059">
        <f t="shared" si="303"/>
        <v>63.389583333329938</v>
      </c>
      <c r="CH467" s="1082">
        <f t="shared" si="304"/>
        <v>5.0388155864197799</v>
      </c>
      <c r="CI467" s="1083">
        <f t="shared" si="305"/>
        <v>5.0388155864197799</v>
      </c>
      <c r="CJ467" s="1084">
        <f t="shared" si="306"/>
        <v>1.056493055555499</v>
      </c>
      <c r="CK467" s="1085" t="str">
        <f t="shared" si="307"/>
        <v/>
      </c>
      <c r="CL467" s="1057" t="str">
        <f t="shared" si="308"/>
        <v>NON-REV</v>
      </c>
      <c r="CM467" s="1057" t="str">
        <f t="shared" si="309"/>
        <v/>
      </c>
      <c r="CN467" s="1086"/>
      <c r="CO467" s="1087"/>
      <c r="CP467" s="629" t="str">
        <f t="shared" si="286"/>
        <v>FOR ISSUANCE</v>
      </c>
      <c r="CQ467" s="1086"/>
      <c r="CR467" s="1088"/>
      <c r="CS467" s="1089" t="str">
        <f t="shared" ca="1" si="310"/>
        <v>0</v>
      </c>
      <c r="CT467" s="1086"/>
      <c r="CU467" s="1087"/>
      <c r="CV467" s="1090"/>
      <c r="CW467" s="156" t="s">
        <v>2690</v>
      </c>
      <c r="CX467" s="156" t="str">
        <f>VLOOKUP(E467,'[1]List of Work Orders'!$A:$I,9,FALSE)</f>
        <v>ME185284</v>
      </c>
      <c r="CY467" s="156"/>
      <c r="DA467" s="1100">
        <f t="shared" si="278"/>
        <v>6.8430555555532919</v>
      </c>
      <c r="DS467" s="442" t="s">
        <v>381</v>
      </c>
    </row>
    <row r="468" spans="1:123" customFormat="1" ht="15" customHeight="1" x14ac:dyDescent="0.25">
      <c r="A468" s="242">
        <v>45729</v>
      </c>
      <c r="B468" s="222">
        <v>45728</v>
      </c>
      <c r="C468" s="223"/>
      <c r="D468" s="66" t="s">
        <v>234</v>
      </c>
      <c r="E468" s="404" t="s">
        <v>2691</v>
      </c>
      <c r="F468" s="95" t="s">
        <v>1231</v>
      </c>
      <c r="G468" s="95" t="s">
        <v>1232</v>
      </c>
      <c r="H468" s="95" t="s">
        <v>238</v>
      </c>
      <c r="I468" s="95" t="s">
        <v>239</v>
      </c>
      <c r="J468" s="163"/>
      <c r="K468" s="101"/>
      <c r="L468" s="101" t="s">
        <v>263</v>
      </c>
      <c r="M468" s="101" t="s">
        <v>331</v>
      </c>
      <c r="N468" s="442" t="s">
        <v>467</v>
      </c>
      <c r="O468" s="165">
        <v>9.9339999999999993</v>
      </c>
      <c r="P468" s="165">
        <v>9.93</v>
      </c>
      <c r="Q468" s="157" t="s">
        <v>2021</v>
      </c>
      <c r="R468" s="468" t="s">
        <v>548</v>
      </c>
      <c r="S468" s="110">
        <v>19780.38</v>
      </c>
      <c r="T468" s="93">
        <v>8535.56</v>
      </c>
      <c r="U468" s="141"/>
      <c r="V468" s="158">
        <f t="shared" si="287"/>
        <v>0</v>
      </c>
      <c r="W468" s="159">
        <v>45722.730555555558</v>
      </c>
      <c r="X468" s="159">
        <v>45729.558333333334</v>
      </c>
      <c r="Y468" s="160">
        <v>45726</v>
      </c>
      <c r="Z468" s="470"/>
      <c r="AA468" s="470"/>
      <c r="AB468" s="470"/>
      <c r="AC468" s="161">
        <f t="shared" si="288"/>
        <v>-45722.730555555558</v>
      </c>
      <c r="AD468" s="161">
        <f t="shared" si="281"/>
        <v>-45729.558333333334</v>
      </c>
      <c r="AE468" s="446">
        <f t="shared" si="311"/>
        <v>0</v>
      </c>
      <c r="AF468" s="160">
        <f t="shared" si="282"/>
        <v>45734.730555555558</v>
      </c>
      <c r="AG468" s="160">
        <f t="shared" si="279"/>
        <v>45741.730555555558</v>
      </c>
      <c r="AH468" s="159">
        <f t="shared" si="283"/>
        <v>45772.730555555558</v>
      </c>
      <c r="AI468" s="162">
        <f t="shared" si="289"/>
        <v>-2286.1365277777777</v>
      </c>
      <c r="AJ468" s="224">
        <f t="shared" si="284"/>
        <v>0</v>
      </c>
      <c r="AK468" s="225">
        <f t="shared" si="290"/>
        <v>20</v>
      </c>
      <c r="AL468" s="170">
        <f t="shared" si="291"/>
        <v>20</v>
      </c>
      <c r="AM468" s="170">
        <f t="shared" si="292"/>
        <v>15.000000000000002</v>
      </c>
      <c r="AN468" s="170">
        <f t="shared" si="293"/>
        <v>19</v>
      </c>
      <c r="AO468" s="226">
        <f t="shared" si="294"/>
        <v>12.000000000000002</v>
      </c>
      <c r="AP468" s="227">
        <v>60</v>
      </c>
      <c r="AQ468" s="228">
        <f t="shared" si="295"/>
        <v>57</v>
      </c>
      <c r="AR468" s="228">
        <f t="shared" si="280"/>
        <v>52</v>
      </c>
      <c r="AS468" s="229">
        <f t="shared" si="296"/>
        <v>60</v>
      </c>
      <c r="AT468" s="982">
        <f t="shared" ca="1" si="297"/>
        <v>45895</v>
      </c>
      <c r="AU468" s="50"/>
      <c r="AV468" s="51"/>
      <c r="AW468" s="49"/>
      <c r="AX468" s="49"/>
      <c r="AY468" s="49"/>
      <c r="AZ468" s="300"/>
      <c r="BA468" s="52"/>
      <c r="BB468" s="304"/>
      <c r="BC468" s="231"/>
      <c r="BD468" s="232"/>
      <c r="BE468" s="222">
        <f t="shared" si="277"/>
        <v>15</v>
      </c>
      <c r="BF468" s="233">
        <f t="shared" si="285"/>
        <v>0</v>
      </c>
      <c r="BG468" s="248"/>
      <c r="BH468" s="235"/>
      <c r="BI468" s="234"/>
      <c r="BJ468" s="236"/>
      <c r="BK468" s="222"/>
      <c r="BL468" s="222"/>
      <c r="BM468" s="238"/>
      <c r="BN468" s="222"/>
      <c r="BO468" s="222"/>
      <c r="BP468" s="243"/>
      <c r="BQ468" s="244"/>
      <c r="BR468" s="238"/>
      <c r="BS468" s="67"/>
      <c r="BT468" s="66"/>
      <c r="BU468" s="66"/>
      <c r="BV468" s="66"/>
      <c r="BW468" s="74"/>
      <c r="BX468" s="81"/>
      <c r="BY468" s="66" t="s">
        <v>308</v>
      </c>
      <c r="BZ468" s="944"/>
      <c r="CA468" s="42" t="str">
        <f t="shared" si="298"/>
        <v>0</v>
      </c>
      <c r="CB468" s="62">
        <f t="shared" si="299"/>
        <v>-45722.730555555558</v>
      </c>
      <c r="CC468" s="42">
        <f t="shared" si="300"/>
        <v>0</v>
      </c>
      <c r="CD468" s="62">
        <f t="shared" si="301"/>
        <v>-45722.730555555558</v>
      </c>
      <c r="CE468" s="62">
        <f t="shared" si="302"/>
        <v>-2286.1365277777777</v>
      </c>
      <c r="CF468" s="145" t="str">
        <f t="shared" si="303"/>
        <v>0</v>
      </c>
      <c r="CG468" s="145"/>
      <c r="CH468" s="443">
        <f t="shared" si="304"/>
        <v>7.3134722222221171</v>
      </c>
      <c r="CI468" s="996">
        <f t="shared" si="305"/>
        <v>7.3134722222221171</v>
      </c>
      <c r="CJ468" s="261">
        <f t="shared" si="306"/>
        <v>0</v>
      </c>
      <c r="CK468" s="458">
        <f t="shared" si="307"/>
        <v>133.26944444444234</v>
      </c>
      <c r="CL468" t="str">
        <f t="shared" si="308"/>
        <v>NON-REV</v>
      </c>
      <c r="CM468" t="str">
        <f t="shared" si="309"/>
        <v>4-6 MONTHS</v>
      </c>
      <c r="CN468" s="635"/>
      <c r="CO468" s="631"/>
      <c r="CP468" s="629" t="str">
        <f t="shared" si="286"/>
        <v>FOR ISSUANCE</v>
      </c>
      <c r="CQ468" s="635"/>
      <c r="CR468" s="697"/>
      <c r="CS468" s="633" t="str">
        <f t="shared" ca="1" si="310"/>
        <v>0</v>
      </c>
      <c r="CT468" s="635"/>
      <c r="CU468" s="631"/>
      <c r="CV468" s="638"/>
      <c r="CW468" s="156" t="s">
        <v>2692</v>
      </c>
      <c r="CX468" s="156" t="str">
        <f>VLOOKUP(E468,'[1]List of Work Orders'!$A:$I,9,FALSE)</f>
        <v>ME155242</v>
      </c>
      <c r="CY468" s="156"/>
      <c r="DA468" s="762">
        <f t="shared" si="278"/>
        <v>6.827777777776646</v>
      </c>
      <c r="DS468" s="442" t="s">
        <v>381</v>
      </c>
    </row>
    <row r="469" spans="1:123" customFormat="1" ht="15" customHeight="1" x14ac:dyDescent="0.25">
      <c r="A469" s="242">
        <v>45733</v>
      </c>
      <c r="B469" s="222">
        <v>45728</v>
      </c>
      <c r="C469" s="223"/>
      <c r="D469" s="66" t="s">
        <v>234</v>
      </c>
      <c r="E469" s="404" t="s">
        <v>2693</v>
      </c>
      <c r="F469" s="95" t="s">
        <v>614</v>
      </c>
      <c r="G469" s="95" t="s">
        <v>2026</v>
      </c>
      <c r="H469" s="95" t="s">
        <v>238</v>
      </c>
      <c r="I469" s="95" t="s">
        <v>239</v>
      </c>
      <c r="J469" s="163"/>
      <c r="K469" s="101"/>
      <c r="L469" s="101" t="s">
        <v>242</v>
      </c>
      <c r="M469" s="101" t="s">
        <v>331</v>
      </c>
      <c r="N469" s="442" t="s">
        <v>467</v>
      </c>
      <c r="O469" s="165">
        <v>72.088399999999993</v>
      </c>
      <c r="P469" s="165">
        <v>1035.48</v>
      </c>
      <c r="Q469" s="157">
        <v>23</v>
      </c>
      <c r="R469" s="109" t="s">
        <v>244</v>
      </c>
      <c r="S469" s="110">
        <v>1052989.58</v>
      </c>
      <c r="T469" s="93">
        <v>61948.89</v>
      </c>
      <c r="U469" s="141"/>
      <c r="V469" s="158">
        <f t="shared" si="287"/>
        <v>0</v>
      </c>
      <c r="W469" s="159">
        <v>45723.519444444442</v>
      </c>
      <c r="X469" s="159">
        <v>45729.64166666667</v>
      </c>
      <c r="Y469" s="160">
        <v>45727</v>
      </c>
      <c r="Z469" s="470"/>
      <c r="AA469" s="470"/>
      <c r="AB469" s="470"/>
      <c r="AC469" s="161">
        <f t="shared" si="288"/>
        <v>-45723.519444444442</v>
      </c>
      <c r="AD469" s="161">
        <f t="shared" si="281"/>
        <v>-45729.64166666667</v>
      </c>
      <c r="AE469" s="446">
        <f t="shared" si="311"/>
        <v>0</v>
      </c>
      <c r="AF469" s="160">
        <f t="shared" si="282"/>
        <v>45749.995426977192</v>
      </c>
      <c r="AG469" s="160">
        <f t="shared" si="279"/>
        <v>45760.855688985925</v>
      </c>
      <c r="AH469" s="159">
        <f t="shared" si="283"/>
        <v>45773.519444444442</v>
      </c>
      <c r="AI469" s="162">
        <f t="shared" si="289"/>
        <v>-1163.4095503086419</v>
      </c>
      <c r="AJ469" s="224">
        <f t="shared" si="284"/>
        <v>0</v>
      </c>
      <c r="AK469" s="225">
        <f t="shared" si="290"/>
        <v>50</v>
      </c>
      <c r="AL469" s="170">
        <f t="shared" si="291"/>
        <v>36</v>
      </c>
      <c r="AM469" s="170">
        <f t="shared" si="292"/>
        <v>29.475982532751093</v>
      </c>
      <c r="AN469" s="170">
        <f t="shared" si="293"/>
        <v>37.336244541484717</v>
      </c>
      <c r="AO469" s="226">
        <f t="shared" si="294"/>
        <v>26.475982532751093</v>
      </c>
      <c r="AP469" s="227">
        <v>60</v>
      </c>
      <c r="AQ469" s="228">
        <f t="shared" si="295"/>
        <v>57</v>
      </c>
      <c r="AR469" s="228">
        <f t="shared" si="280"/>
        <v>52</v>
      </c>
      <c r="AS469" s="229">
        <f t="shared" si="296"/>
        <v>60</v>
      </c>
      <c r="AT469" s="982">
        <f t="shared" ca="1" si="297"/>
        <v>45895</v>
      </c>
      <c r="AU469" s="50"/>
      <c r="AV469" s="51"/>
      <c r="AW469" s="49"/>
      <c r="AX469" s="49"/>
      <c r="AY469" s="49"/>
      <c r="AZ469" s="300"/>
      <c r="BA469" s="52"/>
      <c r="BB469" s="304"/>
      <c r="BC469" s="231"/>
      <c r="BD469" s="232"/>
      <c r="BE469" s="222">
        <f t="shared" ref="BE469:BE532" si="312">AA469+15</f>
        <v>15</v>
      </c>
      <c r="BF469" s="233">
        <f t="shared" si="285"/>
        <v>0</v>
      </c>
      <c r="BG469" s="248"/>
      <c r="BH469" s="235"/>
      <c r="BI469" s="234"/>
      <c r="BJ469" s="236"/>
      <c r="BK469" s="222"/>
      <c r="BL469" s="222"/>
      <c r="BM469" s="238"/>
      <c r="BN469" s="222"/>
      <c r="BO469" s="222"/>
      <c r="BP469" s="243"/>
      <c r="BQ469" s="244"/>
      <c r="BR469" s="238"/>
      <c r="BS469" s="67"/>
      <c r="BT469" s="66"/>
      <c r="BU469" s="66"/>
      <c r="BV469" s="66"/>
      <c r="BW469" s="74"/>
      <c r="BX469" s="81"/>
      <c r="BY469" s="66">
        <v>45734</v>
      </c>
      <c r="BZ469" s="944" t="s">
        <v>2694</v>
      </c>
      <c r="CA469" s="42" t="str">
        <f t="shared" si="298"/>
        <v>0</v>
      </c>
      <c r="CB469" s="62">
        <f t="shared" si="299"/>
        <v>-45723.519444444442</v>
      </c>
      <c r="CC469" s="42">
        <f t="shared" si="300"/>
        <v>0</v>
      </c>
      <c r="CD469" s="62">
        <f t="shared" si="301"/>
        <v>-45723.519444444442</v>
      </c>
      <c r="CE469" s="62">
        <f t="shared" si="302"/>
        <v>-1163.4095503086419</v>
      </c>
      <c r="CF469" s="145" t="str">
        <f t="shared" si="303"/>
        <v>0</v>
      </c>
      <c r="CG469" s="145"/>
      <c r="CH469" s="443">
        <f t="shared" si="304"/>
        <v>3.7016719135803005</v>
      </c>
      <c r="CI469" s="996">
        <f t="shared" si="305"/>
        <v>3.7016719135803005</v>
      </c>
      <c r="CJ469" s="261">
        <f t="shared" si="306"/>
        <v>0</v>
      </c>
      <c r="CK469" s="458">
        <f t="shared" si="307"/>
        <v>132.48055555555766</v>
      </c>
      <c r="CL469" t="str">
        <f t="shared" si="308"/>
        <v>REV</v>
      </c>
      <c r="CM469" t="str">
        <f t="shared" si="309"/>
        <v>4-6 MONTHS</v>
      </c>
      <c r="CN469" s="635"/>
      <c r="CO469" s="631"/>
      <c r="CP469" s="629" t="str">
        <f t="shared" si="286"/>
        <v>FOR ISSUANCE</v>
      </c>
      <c r="CQ469" s="635"/>
      <c r="CR469" s="697"/>
      <c r="CS469" s="633" t="str">
        <f t="shared" ca="1" si="310"/>
        <v>0</v>
      </c>
      <c r="CT469" s="635"/>
      <c r="CU469" s="631"/>
      <c r="CV469" s="638"/>
      <c r="CW469" s="156" t="s">
        <v>2695</v>
      </c>
      <c r="CX469" s="156" t="str">
        <f>VLOOKUP(E469,'[1]List of Work Orders'!$A:$I,9,FALSE)</f>
        <v>ME155242</v>
      </c>
      <c r="CY469" s="156"/>
      <c r="CZ469" s="63"/>
      <c r="DA469" s="762">
        <f t="shared" si="278"/>
        <v>6.1222222222277196</v>
      </c>
      <c r="DS469" s="442" t="s">
        <v>381</v>
      </c>
    </row>
    <row r="470" spans="1:123" customFormat="1" ht="15" customHeight="1" x14ac:dyDescent="0.25">
      <c r="A470" s="242">
        <v>45733</v>
      </c>
      <c r="B470" s="222">
        <v>45728</v>
      </c>
      <c r="C470" s="223"/>
      <c r="D470" s="66" t="s">
        <v>234</v>
      </c>
      <c r="E470" s="404" t="s">
        <v>2696</v>
      </c>
      <c r="F470" s="95" t="s">
        <v>926</v>
      </c>
      <c r="G470" s="95" t="s">
        <v>2697</v>
      </c>
      <c r="H470" s="344" t="s">
        <v>318</v>
      </c>
      <c r="I470" s="95" t="s">
        <v>239</v>
      </c>
      <c r="J470" s="163"/>
      <c r="K470" s="101"/>
      <c r="L470" s="101" t="s">
        <v>5</v>
      </c>
      <c r="M470" s="101" t="s">
        <v>272</v>
      </c>
      <c r="N470" s="442" t="s">
        <v>403</v>
      </c>
      <c r="O470" s="165">
        <v>98.487099999999998</v>
      </c>
      <c r="P470" s="933">
        <v>113.7</v>
      </c>
      <c r="Q470" s="157">
        <v>20</v>
      </c>
      <c r="R470" s="109" t="s">
        <v>244</v>
      </c>
      <c r="S470" s="110">
        <v>1900472.29</v>
      </c>
      <c r="T470" s="93">
        <v>97287.75</v>
      </c>
      <c r="U470" s="141"/>
      <c r="V470" s="158">
        <f t="shared" si="287"/>
        <v>0</v>
      </c>
      <c r="W470" s="159">
        <v>45723.526388888888</v>
      </c>
      <c r="X470" s="159">
        <v>45729.642361111109</v>
      </c>
      <c r="Y470" s="160">
        <v>45727</v>
      </c>
      <c r="Z470" s="470"/>
      <c r="AA470" s="470">
        <v>45835</v>
      </c>
      <c r="AB470" s="470"/>
      <c r="AC470" s="161">
        <f t="shared" si="288"/>
        <v>111.4736111111124</v>
      </c>
      <c r="AD470" s="161">
        <f t="shared" si="281"/>
        <v>105.35763888889051</v>
      </c>
      <c r="AE470" s="446">
        <f t="shared" si="311"/>
        <v>-45835</v>
      </c>
      <c r="AF470" s="160">
        <f t="shared" si="282"/>
        <v>45744.733285440612</v>
      </c>
      <c r="AG470" s="160">
        <f t="shared" si="279"/>
        <v>45754.188457854405</v>
      </c>
      <c r="AH470" s="159">
        <f t="shared" si="283"/>
        <v>45773.526388888888</v>
      </c>
      <c r="AI470" s="162">
        <f t="shared" si="289"/>
        <v>3.453776412630619</v>
      </c>
      <c r="AJ470" s="224">
        <f t="shared" si="284"/>
        <v>-763.91666666666663</v>
      </c>
      <c r="AK470" s="225">
        <f t="shared" si="290"/>
        <v>26</v>
      </c>
      <c r="AL470" s="170">
        <f t="shared" si="291"/>
        <v>36</v>
      </c>
      <c r="AM470" s="170">
        <f t="shared" si="292"/>
        <v>24.206896551724139</v>
      </c>
      <c r="AN470" s="170">
        <f t="shared" si="293"/>
        <v>30.662068965517239</v>
      </c>
      <c r="AO470" s="226">
        <f t="shared" si="294"/>
        <v>21.206896551724139</v>
      </c>
      <c r="AP470" s="227">
        <v>60</v>
      </c>
      <c r="AQ470" s="228">
        <f t="shared" si="295"/>
        <v>57</v>
      </c>
      <c r="AR470" s="228">
        <f t="shared" si="280"/>
        <v>52</v>
      </c>
      <c r="AS470" s="229">
        <f t="shared" si="296"/>
        <v>45895</v>
      </c>
      <c r="AT470" s="982">
        <f t="shared" ca="1" si="297"/>
        <v>60</v>
      </c>
      <c r="AU470" s="50" t="s">
        <v>2698</v>
      </c>
      <c r="AV470" s="51" t="s">
        <v>247</v>
      </c>
      <c r="AW470" s="49" t="s">
        <v>247</v>
      </c>
      <c r="AX470" s="49"/>
      <c r="AY470" s="49"/>
      <c r="AZ470" s="300">
        <v>45791</v>
      </c>
      <c r="BA470" s="52">
        <v>27</v>
      </c>
      <c r="BB470" s="1038">
        <v>45827</v>
      </c>
      <c r="BC470" s="231" t="s">
        <v>13</v>
      </c>
      <c r="BD470" s="232"/>
      <c r="BE470" s="222">
        <f t="shared" si="312"/>
        <v>45850</v>
      </c>
      <c r="BF470" s="233" t="e">
        <f t="shared" si="285"/>
        <v>#VALUE!</v>
      </c>
      <c r="BG470" s="248"/>
      <c r="BH470" s="235"/>
      <c r="BI470" s="234"/>
      <c r="BJ470" s="236"/>
      <c r="BK470" s="222"/>
      <c r="BL470" s="222"/>
      <c r="BM470" s="238"/>
      <c r="BN470" s="222"/>
      <c r="BO470" s="222"/>
      <c r="BP470" s="243"/>
      <c r="BQ470" s="244" t="s">
        <v>247</v>
      </c>
      <c r="BR470" s="238">
        <v>45835</v>
      </c>
      <c r="BS470" s="67"/>
      <c r="BT470" s="66"/>
      <c r="BU470" s="66"/>
      <c r="BV470" s="66"/>
      <c r="BW470" s="74"/>
      <c r="BX470" s="81"/>
      <c r="BY470" s="66"/>
      <c r="BZ470" s="944"/>
      <c r="CA470" s="42" t="str">
        <f>IF(AY470="Y",BB470,"0")</f>
        <v>0</v>
      </c>
      <c r="CB470" s="62">
        <f t="shared" si="299"/>
        <v>111.4736111111124</v>
      </c>
      <c r="CC470" s="42">
        <f>BB470</f>
        <v>45827</v>
      </c>
      <c r="CD470" s="62">
        <f t="shared" si="301"/>
        <v>84.473611111112405</v>
      </c>
      <c r="CE470" s="62">
        <f xml:space="preserve"> (0.3)*(CD470/AK470)+(0.7)*(CD470/AL470)</f>
        <v>2.6172379510921577</v>
      </c>
      <c r="CF470" s="145">
        <f t="shared" si="303"/>
        <v>34</v>
      </c>
      <c r="CG470" s="145">
        <f xml:space="preserve"> (0.3)*(($CF$1-W470-CF470)/AK470)+(0.7)*(($CF$1-W470-CF470)/AL470)</f>
        <v>3.453776412630619</v>
      </c>
      <c r="CH470" s="443">
        <f t="shared" si="304"/>
        <v>4.5071952160494231</v>
      </c>
      <c r="CI470" s="996">
        <f t="shared" si="305"/>
        <v>1.0534188034188041</v>
      </c>
      <c r="CJ470" s="261">
        <f t="shared" si="306"/>
        <v>0.56666666666666665</v>
      </c>
      <c r="CK470" s="458" t="str">
        <f t="shared" si="307"/>
        <v/>
      </c>
      <c r="CL470" t="str">
        <f t="shared" si="308"/>
        <v>REV</v>
      </c>
      <c r="CM470" t="str">
        <f t="shared" si="309"/>
        <v/>
      </c>
      <c r="CN470" s="635"/>
      <c r="CO470" s="631"/>
      <c r="CP470" s="629" t="str">
        <f t="shared" si="286"/>
        <v>FOR ISSUANCE</v>
      </c>
      <c r="CQ470" s="635"/>
      <c r="CR470" s="697"/>
      <c r="CS470" s="633" t="str">
        <f t="shared" ca="1" si="310"/>
        <v>0</v>
      </c>
      <c r="CT470" s="635"/>
      <c r="CU470" s="631"/>
      <c r="CV470" s="638"/>
      <c r="CW470" s="156" t="s">
        <v>2699</v>
      </c>
      <c r="CX470" s="156" t="str">
        <f>VLOOKUP(E470,'[1]List of Work Orders'!$A:$I,9,FALSE)</f>
        <v>ME166067</v>
      </c>
      <c r="CY470" s="156"/>
      <c r="DA470" s="762">
        <f t="shared" si="278"/>
        <v>6.1159722222218988</v>
      </c>
      <c r="DS470" s="442" t="s">
        <v>381</v>
      </c>
    </row>
    <row r="471" spans="1:123" customFormat="1" ht="15" customHeight="1" x14ac:dyDescent="0.25">
      <c r="A471" s="242">
        <v>45734</v>
      </c>
      <c r="B471" s="222">
        <v>45728</v>
      </c>
      <c r="C471" s="223"/>
      <c r="D471" s="66" t="s">
        <v>320</v>
      </c>
      <c r="E471" s="404" t="s">
        <v>2700</v>
      </c>
      <c r="F471" s="95" t="s">
        <v>2701</v>
      </c>
      <c r="G471" s="95" t="s">
        <v>2702</v>
      </c>
      <c r="H471" s="95" t="s">
        <v>253</v>
      </c>
      <c r="I471" s="95" t="s">
        <v>254</v>
      </c>
      <c r="J471" s="163"/>
      <c r="K471" s="101"/>
      <c r="L471" s="101" t="s">
        <v>263</v>
      </c>
      <c r="M471" s="101" t="s">
        <v>272</v>
      </c>
      <c r="N471" s="442" t="s">
        <v>467</v>
      </c>
      <c r="O471" s="165">
        <v>53.278700000000008</v>
      </c>
      <c r="P471" s="933">
        <v>144.51</v>
      </c>
      <c r="Q471" s="157">
        <v>5</v>
      </c>
      <c r="R471" s="109" t="s">
        <v>244</v>
      </c>
      <c r="S471" s="110">
        <v>337200.19</v>
      </c>
      <c r="T471" s="93">
        <v>56906.67</v>
      </c>
      <c r="U471" s="141"/>
      <c r="V471" s="158">
        <f t="shared" si="287"/>
        <v>0</v>
      </c>
      <c r="W471" s="159">
        <v>45723.697222222225</v>
      </c>
      <c r="X471" s="159">
        <v>45729.635416666664</v>
      </c>
      <c r="Y471" s="160">
        <v>45728</v>
      </c>
      <c r="Z471" s="470"/>
      <c r="AA471" s="470">
        <v>45749</v>
      </c>
      <c r="AB471" s="470"/>
      <c r="AC471" s="161">
        <f t="shared" si="288"/>
        <v>25.302777777775191</v>
      </c>
      <c r="AD471" s="161">
        <f t="shared" si="281"/>
        <v>19.364583333335759</v>
      </c>
      <c r="AE471" s="446">
        <f t="shared" si="311"/>
        <v>-45749</v>
      </c>
      <c r="AF471" s="160">
        <f t="shared" si="282"/>
        <v>45744.904118773949</v>
      </c>
      <c r="AG471" s="160">
        <f t="shared" si="279"/>
        <v>45754.359291187742</v>
      </c>
      <c r="AH471" s="159">
        <f t="shared" si="283"/>
        <v>45773.697222222225</v>
      </c>
      <c r="AI471" s="162">
        <f t="shared" si="289"/>
        <v>0.78395358499517154</v>
      </c>
      <c r="AJ471" s="224">
        <f t="shared" si="284"/>
        <v>-762.48333333333335</v>
      </c>
      <c r="AK471" s="225">
        <f t="shared" si="290"/>
        <v>26</v>
      </c>
      <c r="AL471" s="170">
        <f t="shared" si="291"/>
        <v>36</v>
      </c>
      <c r="AM471" s="170">
        <f t="shared" si="292"/>
        <v>24.206896551724139</v>
      </c>
      <c r="AN471" s="170">
        <f t="shared" si="293"/>
        <v>30.662068965517239</v>
      </c>
      <c r="AO471" s="226">
        <f t="shared" si="294"/>
        <v>21.206896551724139</v>
      </c>
      <c r="AP471" s="227">
        <v>60</v>
      </c>
      <c r="AQ471" s="228">
        <f t="shared" si="295"/>
        <v>57</v>
      </c>
      <c r="AR471" s="228">
        <f t="shared" si="280"/>
        <v>52</v>
      </c>
      <c r="AS471" s="229">
        <f t="shared" si="296"/>
        <v>45809</v>
      </c>
      <c r="AT471" s="982">
        <f t="shared" ca="1" si="297"/>
        <v>146</v>
      </c>
      <c r="AU471" s="50"/>
      <c r="AV471" s="51"/>
      <c r="AW471" s="49"/>
      <c r="AX471" s="49"/>
      <c r="AY471" s="49"/>
      <c r="AZ471" s="300"/>
      <c r="BA471" s="52"/>
      <c r="BB471" s="304"/>
      <c r="BC471" s="231" t="s">
        <v>13</v>
      </c>
      <c r="BD471" s="232"/>
      <c r="BE471" s="222">
        <f t="shared" si="312"/>
        <v>45764</v>
      </c>
      <c r="BF471" s="233" t="e">
        <f t="shared" si="285"/>
        <v>#VALUE!</v>
      </c>
      <c r="BG471" s="248"/>
      <c r="BH471" s="235"/>
      <c r="BI471" s="234"/>
      <c r="BJ471" s="236"/>
      <c r="BK471" s="222"/>
      <c r="BL471" s="222"/>
      <c r="BM471" s="238"/>
      <c r="BN471" s="222"/>
      <c r="BO471" s="222"/>
      <c r="BP471" s="243"/>
      <c r="BQ471" s="244" t="s">
        <v>247</v>
      </c>
      <c r="BR471" s="238">
        <v>45749</v>
      </c>
      <c r="BS471" s="67"/>
      <c r="BT471" s="66"/>
      <c r="BU471" s="66"/>
      <c r="BV471" s="66"/>
      <c r="BW471" s="74"/>
      <c r="BX471" s="81"/>
      <c r="BY471" s="66">
        <v>45734</v>
      </c>
      <c r="BZ471" s="944" t="s">
        <v>2703</v>
      </c>
      <c r="CA471" s="42" t="str">
        <f t="shared" si="298"/>
        <v>0</v>
      </c>
      <c r="CB471" s="62">
        <f t="shared" si="299"/>
        <v>25.302777777775191</v>
      </c>
      <c r="CC471" s="42">
        <f t="shared" si="300"/>
        <v>0</v>
      </c>
      <c r="CD471" s="62">
        <f t="shared" si="301"/>
        <v>25.302777777775191</v>
      </c>
      <c r="CE471" s="62">
        <f t="shared" si="302"/>
        <v>0.78395358499517154</v>
      </c>
      <c r="CF471" s="145">
        <f t="shared" si="303"/>
        <v>120</v>
      </c>
      <c r="CG471" s="145"/>
      <c r="CH471" s="443">
        <f t="shared" si="304"/>
        <v>4.5019023029438898</v>
      </c>
      <c r="CI471" s="996">
        <f t="shared" si="305"/>
        <v>4.5019023029438898</v>
      </c>
      <c r="CJ471" s="261">
        <f t="shared" si="306"/>
        <v>2</v>
      </c>
      <c r="CK471" s="458" t="str">
        <f t="shared" si="307"/>
        <v/>
      </c>
      <c r="CL471" t="str">
        <f t="shared" si="308"/>
        <v>REV</v>
      </c>
      <c r="CM471" t="str">
        <f t="shared" si="309"/>
        <v/>
      </c>
      <c r="CN471" s="635"/>
      <c r="CO471" s="631"/>
      <c r="CP471" s="629" t="str">
        <f t="shared" si="286"/>
        <v>FOR ISSUANCE</v>
      </c>
      <c r="CQ471" s="635"/>
      <c r="CR471" s="697"/>
      <c r="CS471" s="633" t="str">
        <f t="shared" ca="1" si="310"/>
        <v>0</v>
      </c>
      <c r="CT471" s="635"/>
      <c r="CU471" s="631"/>
      <c r="CV471" s="638"/>
      <c r="CW471" s="156" t="s">
        <v>2704</v>
      </c>
      <c r="CX471" s="156" t="str">
        <f>VLOOKUP(E471,'[1]List of Work Orders'!$A:$I,9,FALSE)</f>
        <v>ME155242</v>
      </c>
      <c r="CY471" s="156"/>
      <c r="DA471" s="762">
        <f t="shared" si="278"/>
        <v>5.9381944444394321</v>
      </c>
      <c r="DS471" s="442" t="s">
        <v>381</v>
      </c>
    </row>
    <row r="472" spans="1:123" ht="15" customHeight="1" x14ac:dyDescent="0.2">
      <c r="A472" s="242">
        <v>45734</v>
      </c>
      <c r="B472" s="222">
        <v>45728</v>
      </c>
      <c r="C472" s="223"/>
      <c r="D472" s="66" t="s">
        <v>320</v>
      </c>
      <c r="E472" s="404" t="s">
        <v>2705</v>
      </c>
      <c r="F472" s="95" t="s">
        <v>2706</v>
      </c>
      <c r="G472" s="95" t="s">
        <v>2707</v>
      </c>
      <c r="H472" s="95" t="s">
        <v>253</v>
      </c>
      <c r="I472" s="95" t="s">
        <v>254</v>
      </c>
      <c r="J472" s="163"/>
      <c r="K472" s="101"/>
      <c r="L472" s="101" t="s">
        <v>255</v>
      </c>
      <c r="M472" s="101" t="s">
        <v>272</v>
      </c>
      <c r="N472" s="442" t="s">
        <v>381</v>
      </c>
      <c r="O472" s="165">
        <v>202.26939999999996</v>
      </c>
      <c r="P472" s="933">
        <v>236.56</v>
      </c>
      <c r="Q472" s="157">
        <v>24</v>
      </c>
      <c r="R472" s="109" t="s">
        <v>244</v>
      </c>
      <c r="S472" s="110">
        <v>1005969.01</v>
      </c>
      <c r="T472" s="93">
        <v>202858.23</v>
      </c>
      <c r="U472" s="141"/>
      <c r="V472" s="158">
        <f t="shared" si="287"/>
        <v>0</v>
      </c>
      <c r="W472" s="159">
        <v>45723.7</v>
      </c>
      <c r="X472" s="159">
        <v>45729.640972222223</v>
      </c>
      <c r="Y472" s="160">
        <v>45728</v>
      </c>
      <c r="Z472" s="470"/>
      <c r="AA472" s="470">
        <v>45806.622916666667</v>
      </c>
      <c r="AB472" s="470"/>
      <c r="AC472" s="161">
        <f t="shared" si="288"/>
        <v>82.922916666670062</v>
      </c>
      <c r="AD472" s="161">
        <f t="shared" si="281"/>
        <v>76.981944444443798</v>
      </c>
      <c r="AE472" s="446">
        <f t="shared" si="311"/>
        <v>-45806.622916666667</v>
      </c>
      <c r="AF472" s="160">
        <f t="shared" si="282"/>
        <v>45745.568421052631</v>
      </c>
      <c r="AG472" s="160">
        <f t="shared" si="279"/>
        <v>45755.199999999997</v>
      </c>
      <c r="AH472" s="159">
        <f t="shared" si="283"/>
        <v>45773.7</v>
      </c>
      <c r="AI472" s="162">
        <f t="shared" si="289"/>
        <v>2.5008498677249702</v>
      </c>
      <c r="AJ472" s="224">
        <f t="shared" si="284"/>
        <v>-763.44371527777776</v>
      </c>
      <c r="AK472" s="225">
        <f t="shared" si="290"/>
        <v>28</v>
      </c>
      <c r="AL472" s="170">
        <f t="shared" si="291"/>
        <v>36</v>
      </c>
      <c r="AM472" s="170">
        <f t="shared" si="292"/>
        <v>24.868421052631579</v>
      </c>
      <c r="AN472" s="170">
        <f t="shared" si="293"/>
        <v>31.499999999999996</v>
      </c>
      <c r="AO472" s="226">
        <f t="shared" si="294"/>
        <v>21.868421052631579</v>
      </c>
      <c r="AP472" s="227">
        <v>60</v>
      </c>
      <c r="AQ472" s="228">
        <f t="shared" si="295"/>
        <v>57</v>
      </c>
      <c r="AR472" s="228">
        <f t="shared" si="280"/>
        <v>52</v>
      </c>
      <c r="AS472" s="229">
        <f t="shared" si="296"/>
        <v>45866.622916666667</v>
      </c>
      <c r="AT472" s="982">
        <f t="shared" ca="1" si="297"/>
        <v>88.377083333332848</v>
      </c>
      <c r="AU472" s="1077"/>
      <c r="AV472" s="1092"/>
      <c r="AW472" s="1079"/>
      <c r="AX472" s="1079"/>
      <c r="AY472" s="1079"/>
      <c r="AZ472" s="1080"/>
      <c r="BA472" s="1101"/>
      <c r="BB472" s="1091"/>
      <c r="BC472" s="231" t="s">
        <v>13</v>
      </c>
      <c r="BD472" s="232"/>
      <c r="BE472" s="222">
        <f t="shared" si="312"/>
        <v>45821.622916666667</v>
      </c>
      <c r="BF472" s="233" t="e">
        <f t="shared" si="285"/>
        <v>#VALUE!</v>
      </c>
      <c r="BG472" s="248"/>
      <c r="BH472" s="235"/>
      <c r="BI472" s="234"/>
      <c r="BJ472" s="236"/>
      <c r="BK472" s="222"/>
      <c r="BL472" s="222"/>
      <c r="BM472" s="238"/>
      <c r="BN472" s="222"/>
      <c r="BO472" s="222"/>
      <c r="BP472" s="243"/>
      <c r="BQ472" s="244" t="s">
        <v>247</v>
      </c>
      <c r="BR472" s="238">
        <v>45834</v>
      </c>
      <c r="BS472" s="67"/>
      <c r="BT472" s="66"/>
      <c r="BU472" s="66"/>
      <c r="BV472" s="66"/>
      <c r="BW472" s="74"/>
      <c r="BX472" s="81"/>
      <c r="BY472" s="66">
        <v>45734</v>
      </c>
      <c r="BZ472" s="944" t="s">
        <v>2708</v>
      </c>
      <c r="CA472" s="42" t="str">
        <f t="shared" si="298"/>
        <v>0</v>
      </c>
      <c r="CB472" s="62">
        <f t="shared" si="299"/>
        <v>82.922916666670062</v>
      </c>
      <c r="CC472" s="42">
        <f t="shared" si="300"/>
        <v>0</v>
      </c>
      <c r="CD472" s="62">
        <f t="shared" si="301"/>
        <v>82.922916666670062</v>
      </c>
      <c r="CE472" s="62">
        <f t="shared" si="302"/>
        <v>2.5008498677249702</v>
      </c>
      <c r="CF472" s="1059">
        <f t="shared" si="303"/>
        <v>62.377083333332848</v>
      </c>
      <c r="CH472" s="1082">
        <f t="shared" si="304"/>
        <v>4.3820634920635797</v>
      </c>
      <c r="CI472" s="1083">
        <f t="shared" si="305"/>
        <v>4.3820634920635797</v>
      </c>
      <c r="CJ472" s="1084">
        <f t="shared" si="306"/>
        <v>1.0396180555555474</v>
      </c>
      <c r="CK472" s="1085" t="str">
        <f t="shared" si="307"/>
        <v/>
      </c>
      <c r="CL472" s="1057" t="str">
        <f t="shared" si="308"/>
        <v>REV</v>
      </c>
      <c r="CM472" s="1057" t="str">
        <f t="shared" si="309"/>
        <v/>
      </c>
      <c r="CN472" s="1086"/>
      <c r="CO472" s="1087"/>
      <c r="CP472" s="629" t="str">
        <f t="shared" si="286"/>
        <v>FOR ISSUANCE</v>
      </c>
      <c r="CQ472" s="1086"/>
      <c r="CR472" s="1088"/>
      <c r="CS472" s="1089" t="str">
        <f t="shared" ca="1" si="310"/>
        <v>0</v>
      </c>
      <c r="CT472" s="1086"/>
      <c r="CU472" s="1087"/>
      <c r="CV472" s="1090"/>
      <c r="CW472" s="156" t="s">
        <v>2709</v>
      </c>
      <c r="CX472" s="156" t="str">
        <f>VLOOKUP(E472,'[1]List of Work Orders'!$A:$I,9,FALSE)</f>
        <v>ME185284</v>
      </c>
      <c r="CY472" s="156"/>
      <c r="DA472" s="1100">
        <f t="shared" si="278"/>
        <v>5.9409722222262644</v>
      </c>
      <c r="DS472" s="442" t="s">
        <v>403</v>
      </c>
    </row>
    <row r="473" spans="1:123" customFormat="1" ht="15" customHeight="1" x14ac:dyDescent="0.25">
      <c r="A473" s="242">
        <v>45762</v>
      </c>
      <c r="B473" s="222">
        <v>45728</v>
      </c>
      <c r="C473" s="223"/>
      <c r="D473" s="66" t="s">
        <v>284</v>
      </c>
      <c r="E473" s="404" t="s">
        <v>2710</v>
      </c>
      <c r="F473" s="95" t="s">
        <v>2711</v>
      </c>
      <c r="G473" s="95" t="s">
        <v>2712</v>
      </c>
      <c r="H473" s="95" t="s">
        <v>269</v>
      </c>
      <c r="I473" s="95" t="s">
        <v>239</v>
      </c>
      <c r="J473" s="163"/>
      <c r="K473" s="101"/>
      <c r="L473" s="101" t="s">
        <v>242</v>
      </c>
      <c r="M473" s="101" t="s">
        <v>331</v>
      </c>
      <c r="N473" s="442" t="s">
        <v>467</v>
      </c>
      <c r="O473" s="165">
        <v>151.47400000000005</v>
      </c>
      <c r="P473" s="165">
        <v>269.11</v>
      </c>
      <c r="Q473" s="157">
        <v>492</v>
      </c>
      <c r="R473" s="109" t="s">
        <v>548</v>
      </c>
      <c r="S473" s="110">
        <v>1535974.57</v>
      </c>
      <c r="T473" s="93">
        <v>197109.85</v>
      </c>
      <c r="U473" s="141"/>
      <c r="V473" s="158">
        <f t="shared" si="287"/>
        <v>0</v>
      </c>
      <c r="W473" s="159">
        <v>45726.5</v>
      </c>
      <c r="X473" s="159">
        <v>45733.413194444445</v>
      </c>
      <c r="Y473" s="160">
        <v>45728</v>
      </c>
      <c r="Z473" s="470"/>
      <c r="AA473" s="470"/>
      <c r="AB473" s="470"/>
      <c r="AC473" s="161">
        <f t="shared" si="288"/>
        <v>-45726.5</v>
      </c>
      <c r="AD473" s="161">
        <f t="shared" si="281"/>
        <v>-45733.413194444445</v>
      </c>
      <c r="AE473" s="446">
        <f t="shared" si="311"/>
        <v>0</v>
      </c>
      <c r="AF473" s="160">
        <f t="shared" si="282"/>
        <v>45743.427007299273</v>
      </c>
      <c r="AG473" s="160">
        <f t="shared" si="279"/>
        <v>45751.740875912408</v>
      </c>
      <c r="AH473" s="159">
        <f t="shared" si="283"/>
        <v>45776.5</v>
      </c>
      <c r="AI473" s="162">
        <f t="shared" si="289"/>
        <v>-1721.0248626373625</v>
      </c>
      <c r="AJ473" s="224">
        <f t="shared" si="284"/>
        <v>0</v>
      </c>
      <c r="AK473" s="225">
        <f t="shared" si="290"/>
        <v>28</v>
      </c>
      <c r="AL473" s="170">
        <f t="shared" si="291"/>
        <v>26</v>
      </c>
      <c r="AM473" s="170">
        <f t="shared" si="292"/>
        <v>19.927007299270073</v>
      </c>
      <c r="AN473" s="170">
        <f t="shared" si="293"/>
        <v>25.240875912408761</v>
      </c>
      <c r="AO473" s="226">
        <f t="shared" si="294"/>
        <v>16.927007299270073</v>
      </c>
      <c r="AP473" s="227">
        <v>60</v>
      </c>
      <c r="AQ473" s="228">
        <f t="shared" si="295"/>
        <v>57</v>
      </c>
      <c r="AR473" s="228">
        <f t="shared" si="280"/>
        <v>52</v>
      </c>
      <c r="AS473" s="229">
        <f t="shared" si="296"/>
        <v>60</v>
      </c>
      <c r="AT473" s="982">
        <f t="shared" ca="1" si="297"/>
        <v>45895</v>
      </c>
      <c r="AU473" s="50"/>
      <c r="AV473" s="51"/>
      <c r="AW473" s="49"/>
      <c r="AX473" s="49"/>
      <c r="AY473" s="49"/>
      <c r="AZ473" s="300"/>
      <c r="BA473" s="52"/>
      <c r="BB473" s="304"/>
      <c r="BC473" s="231"/>
      <c r="BD473" s="232"/>
      <c r="BE473" s="222">
        <f t="shared" si="312"/>
        <v>15</v>
      </c>
      <c r="BF473" s="233">
        <f t="shared" si="285"/>
        <v>0</v>
      </c>
      <c r="BG473" s="248"/>
      <c r="BH473" s="235"/>
      <c r="BI473" s="234"/>
      <c r="BJ473" s="236"/>
      <c r="BK473" s="222"/>
      <c r="BL473" s="222"/>
      <c r="BM473" s="238"/>
      <c r="BN473" s="222"/>
      <c r="BO473" s="222"/>
      <c r="BP473" s="243"/>
      <c r="BQ473" s="244"/>
      <c r="BR473" s="238"/>
      <c r="BS473" s="67"/>
      <c r="BT473" s="66"/>
      <c r="BU473" s="66"/>
      <c r="BV473" s="66"/>
      <c r="BW473" s="74"/>
      <c r="BX473" s="81"/>
      <c r="BY473" s="66">
        <v>45762</v>
      </c>
      <c r="BZ473" s="944" t="s">
        <v>2713</v>
      </c>
      <c r="CA473" s="42" t="str">
        <f t="shared" si="298"/>
        <v>0</v>
      </c>
      <c r="CB473" s="62">
        <f t="shared" si="299"/>
        <v>-45726.5</v>
      </c>
      <c r="CC473" s="42">
        <f t="shared" si="300"/>
        <v>0</v>
      </c>
      <c r="CD473" s="62">
        <f t="shared" si="301"/>
        <v>-45726.5</v>
      </c>
      <c r="CE473" s="62">
        <f t="shared" si="302"/>
        <v>-1721.0248626373625</v>
      </c>
      <c r="CF473" s="145" t="str">
        <f t="shared" si="303"/>
        <v>0</v>
      </c>
      <c r="CG473" s="145"/>
      <c r="CH473" s="443">
        <f t="shared" si="304"/>
        <v>5.3633241758241752</v>
      </c>
      <c r="CI473" s="996">
        <f t="shared" si="305"/>
        <v>5.3633241758241752</v>
      </c>
      <c r="CJ473" s="261">
        <f t="shared" si="306"/>
        <v>0</v>
      </c>
      <c r="CK473" s="458">
        <f t="shared" si="307"/>
        <v>129.5</v>
      </c>
      <c r="CL473" t="str">
        <f t="shared" si="308"/>
        <v>NON-REV</v>
      </c>
      <c r="CM473" t="str">
        <f t="shared" si="309"/>
        <v>4-6 MONTHS</v>
      </c>
      <c r="CN473" s="635"/>
      <c r="CO473" s="631"/>
      <c r="CP473" s="629" t="str">
        <f t="shared" si="286"/>
        <v>FOR ISSUANCE</v>
      </c>
      <c r="CQ473" s="635"/>
      <c r="CR473" s="697"/>
      <c r="CS473" s="633" t="str">
        <f t="shared" ca="1" si="310"/>
        <v>0</v>
      </c>
      <c r="CT473" s="635"/>
      <c r="CU473" s="631"/>
      <c r="CV473" s="638"/>
      <c r="CW473" s="156" t="s">
        <v>2714</v>
      </c>
      <c r="CX473" s="156" t="str">
        <f>VLOOKUP(E473,'[1]List of Work Orders'!$A:$I,9,FALSE)</f>
        <v>ME155242</v>
      </c>
      <c r="CY473" s="156"/>
      <c r="CZ473" s="63"/>
      <c r="DA473" s="762">
        <f t="shared" si="278"/>
        <v>6.9131944444452529</v>
      </c>
      <c r="DS473" s="156" t="s">
        <v>397</v>
      </c>
    </row>
    <row r="474" spans="1:123" customFormat="1" ht="15" customHeight="1" x14ac:dyDescent="0.25">
      <c r="A474" s="242">
        <v>45762</v>
      </c>
      <c r="B474" s="222">
        <v>45728</v>
      </c>
      <c r="C474" s="223" t="s">
        <v>247</v>
      </c>
      <c r="D474" s="66" t="s">
        <v>234</v>
      </c>
      <c r="E474" s="404" t="s">
        <v>2715</v>
      </c>
      <c r="F474" s="95" t="s">
        <v>2716</v>
      </c>
      <c r="G474" s="95" t="s">
        <v>768</v>
      </c>
      <c r="H474" s="95" t="s">
        <v>238</v>
      </c>
      <c r="I474" s="95" t="s">
        <v>239</v>
      </c>
      <c r="J474" s="163"/>
      <c r="K474" s="101"/>
      <c r="L474" s="101" t="s">
        <v>288</v>
      </c>
      <c r="M474" s="101" t="s">
        <v>256</v>
      </c>
      <c r="N474" s="442" t="s">
        <v>381</v>
      </c>
      <c r="O474" s="165">
        <v>35.618499999999997</v>
      </c>
      <c r="P474" s="933">
        <v>72</v>
      </c>
      <c r="Q474" s="157">
        <v>1062</v>
      </c>
      <c r="R474" s="109" t="s">
        <v>244</v>
      </c>
      <c r="S474" s="110">
        <v>149903.73000000001</v>
      </c>
      <c r="T474" s="93">
        <v>41002.370000000003</v>
      </c>
      <c r="U474" s="141"/>
      <c r="V474" s="158">
        <f t="shared" si="287"/>
        <v>0</v>
      </c>
      <c r="W474" s="159">
        <v>45726.707638888889</v>
      </c>
      <c r="X474" s="159">
        <v>45733.35</v>
      </c>
      <c r="Y474" s="160">
        <v>45728</v>
      </c>
      <c r="Z474" s="470">
        <v>45759</v>
      </c>
      <c r="AA474" s="470">
        <v>45759</v>
      </c>
      <c r="AB474" s="470">
        <v>45868.584027777775</v>
      </c>
      <c r="AC474" s="161">
        <f t="shared" si="288"/>
        <v>32.292361111110949</v>
      </c>
      <c r="AD474" s="161">
        <f t="shared" si="281"/>
        <v>25.650000000001455</v>
      </c>
      <c r="AE474" s="446">
        <f t="shared" si="311"/>
        <v>109.58402777777519</v>
      </c>
      <c r="AF474" s="160">
        <f t="shared" si="282"/>
        <v>45739.318498617395</v>
      </c>
      <c r="AG474" s="160">
        <f t="shared" si="279"/>
        <v>45746.481394545001</v>
      </c>
      <c r="AH474" s="159">
        <f t="shared" si="283"/>
        <v>45776.707638888889</v>
      </c>
      <c r="AI474" s="162">
        <f t="shared" si="289"/>
        <v>1.5514373490338085</v>
      </c>
      <c r="AJ474" s="224">
        <f t="shared" si="284"/>
        <v>1.8264004629629198</v>
      </c>
      <c r="AK474" s="225">
        <f t="shared" si="290"/>
        <v>23</v>
      </c>
      <c r="AL474" s="170">
        <f t="shared" si="291"/>
        <v>20</v>
      </c>
      <c r="AM474" s="170">
        <f t="shared" si="292"/>
        <v>15.610859728506789</v>
      </c>
      <c r="AN474" s="170">
        <f t="shared" si="293"/>
        <v>19.773755656108598</v>
      </c>
      <c r="AO474" s="226">
        <f t="shared" si="294"/>
        <v>12.610859728506789</v>
      </c>
      <c r="AP474" s="227">
        <v>60</v>
      </c>
      <c r="AQ474" s="228">
        <f t="shared" si="295"/>
        <v>57</v>
      </c>
      <c r="AR474" s="228">
        <f t="shared" si="280"/>
        <v>52</v>
      </c>
      <c r="AS474" s="229">
        <f t="shared" si="296"/>
        <v>45819</v>
      </c>
      <c r="AT474" s="982">
        <f t="shared" ca="1" si="297"/>
        <v>136</v>
      </c>
      <c r="AU474" s="50"/>
      <c r="AV474" s="51"/>
      <c r="AW474" s="49"/>
      <c r="AX474" s="49"/>
      <c r="AY474" s="49"/>
      <c r="AZ474" s="300"/>
      <c r="BA474" s="52"/>
      <c r="BB474" s="304"/>
      <c r="BC474" s="231" t="s">
        <v>14</v>
      </c>
      <c r="BD474" s="232"/>
      <c r="BE474" s="222">
        <f t="shared" si="312"/>
        <v>45774</v>
      </c>
      <c r="BF474" s="233">
        <f t="shared" si="285"/>
        <v>17</v>
      </c>
      <c r="BG474" s="248">
        <v>45759</v>
      </c>
      <c r="BH474" s="235">
        <v>45791</v>
      </c>
      <c r="BI474" s="234"/>
      <c r="BJ474" s="236"/>
      <c r="BK474" s="222"/>
      <c r="BL474" s="222"/>
      <c r="BM474" s="238"/>
      <c r="BN474" s="222"/>
      <c r="BO474" s="222"/>
      <c r="BP474" s="243"/>
      <c r="BQ474" s="244"/>
      <c r="BR474" s="238"/>
      <c r="BS474" s="67"/>
      <c r="BT474" s="66"/>
      <c r="BU474" s="66"/>
      <c r="BV474" s="66"/>
      <c r="BW474" s="74"/>
      <c r="BX474" s="81"/>
      <c r="BY474" s="66">
        <v>45762</v>
      </c>
      <c r="BZ474" s="944" t="s">
        <v>2717</v>
      </c>
      <c r="CA474" s="42" t="str">
        <f t="shared" si="298"/>
        <v>0</v>
      </c>
      <c r="CB474" s="62">
        <f t="shared" si="299"/>
        <v>32.292361111110949</v>
      </c>
      <c r="CC474" s="42">
        <f t="shared" si="300"/>
        <v>0</v>
      </c>
      <c r="CD474" s="62">
        <f t="shared" si="301"/>
        <v>32.292361111110949</v>
      </c>
      <c r="CE474" s="62">
        <f t="shared" si="302"/>
        <v>1.5514373490338085</v>
      </c>
      <c r="CF474" s="145">
        <f t="shared" si="303"/>
        <v>110</v>
      </c>
      <c r="CG474" s="145"/>
      <c r="CH474" s="443">
        <f t="shared" si="304"/>
        <v>6.8362199577294609</v>
      </c>
      <c r="CI474" s="996">
        <f t="shared" si="305"/>
        <v>6.8362199577294609</v>
      </c>
      <c r="CJ474" s="261">
        <f t="shared" si="306"/>
        <v>1.8333333333333333</v>
      </c>
      <c r="CK474" s="458" t="str">
        <f t="shared" si="307"/>
        <v/>
      </c>
      <c r="CL474" t="str">
        <f t="shared" si="308"/>
        <v>REV</v>
      </c>
      <c r="CM474" t="str">
        <f t="shared" si="309"/>
        <v/>
      </c>
      <c r="CN474" s="635"/>
      <c r="CO474" s="631"/>
      <c r="CP474" s="629" t="str">
        <f t="shared" si="286"/>
        <v>FOR ISSUANCE</v>
      </c>
      <c r="CQ474" s="635"/>
      <c r="CR474" s="697"/>
      <c r="CS474" s="633" t="str">
        <f t="shared" ca="1" si="310"/>
        <v>0</v>
      </c>
      <c r="CT474" s="635"/>
      <c r="CU474" s="631"/>
      <c r="CV474" s="638"/>
      <c r="CW474" s="156" t="s">
        <v>2718</v>
      </c>
      <c r="CX474" s="156" t="str">
        <f>VLOOKUP(E474,'[1]List of Work Orders'!$A:$I,9,FALSE)</f>
        <v>ME185284</v>
      </c>
      <c r="CY474" s="156"/>
      <c r="DA474" s="762">
        <f t="shared" si="278"/>
        <v>6.6423611111094942</v>
      </c>
      <c r="DS474" s="156" t="s">
        <v>397</v>
      </c>
    </row>
    <row r="475" spans="1:123" customFormat="1" ht="15" customHeight="1" x14ac:dyDescent="0.25">
      <c r="A475" s="242">
        <v>45729</v>
      </c>
      <c r="B475" s="222">
        <v>45728</v>
      </c>
      <c r="C475" s="223"/>
      <c r="D475" s="66" t="s">
        <v>284</v>
      </c>
      <c r="E475" s="404" t="s">
        <v>2719</v>
      </c>
      <c r="F475" s="95" t="s">
        <v>2720</v>
      </c>
      <c r="G475" s="95" t="s">
        <v>2721</v>
      </c>
      <c r="H475" s="95" t="s">
        <v>238</v>
      </c>
      <c r="I475" s="95" t="s">
        <v>239</v>
      </c>
      <c r="J475" s="163"/>
      <c r="K475" s="101"/>
      <c r="L475" s="101" t="s">
        <v>5</v>
      </c>
      <c r="M475" s="101" t="s">
        <v>272</v>
      </c>
      <c r="N475" s="442" t="s">
        <v>403</v>
      </c>
      <c r="O475" s="165">
        <v>7.97</v>
      </c>
      <c r="P475" s="933">
        <v>42.53</v>
      </c>
      <c r="Q475" s="157">
        <v>21</v>
      </c>
      <c r="R475" s="109" t="s">
        <v>548</v>
      </c>
      <c r="S475" s="110">
        <v>41565.68</v>
      </c>
      <c r="T475" s="93">
        <v>36542.85</v>
      </c>
      <c r="U475" s="141"/>
      <c r="V475" s="158">
        <f t="shared" si="287"/>
        <v>0</v>
      </c>
      <c r="W475" s="159">
        <v>45726.709722222222</v>
      </c>
      <c r="X475" s="159">
        <v>45729.605555555558</v>
      </c>
      <c r="Y475" s="160">
        <v>45728</v>
      </c>
      <c r="Z475" s="470"/>
      <c r="AA475" s="470">
        <v>45747.394444444442</v>
      </c>
      <c r="AB475" s="470"/>
      <c r="AC475" s="161">
        <f t="shared" si="288"/>
        <v>20.684722222220444</v>
      </c>
      <c r="AD475" s="161">
        <f t="shared" si="281"/>
        <v>17.788888888884685</v>
      </c>
      <c r="AE475" s="446">
        <f t="shared" si="311"/>
        <v>-45747.394444444442</v>
      </c>
      <c r="AF475" s="160">
        <f t="shared" si="282"/>
        <v>45745.483915770608</v>
      </c>
      <c r="AG475" s="160">
        <f t="shared" si="279"/>
        <v>45754.29036738351</v>
      </c>
      <c r="AH475" s="159">
        <f t="shared" si="283"/>
        <v>45776.709722222222</v>
      </c>
      <c r="AI475" s="162">
        <f t="shared" si="289"/>
        <v>0.71247376543203744</v>
      </c>
      <c r="AJ475" s="224">
        <f t="shared" si="284"/>
        <v>-762.45657407407407</v>
      </c>
      <c r="AK475" s="225">
        <f t="shared" si="290"/>
        <v>20</v>
      </c>
      <c r="AL475" s="170">
        <f t="shared" si="291"/>
        <v>36</v>
      </c>
      <c r="AM475" s="170">
        <f t="shared" si="292"/>
        <v>21.774193548387096</v>
      </c>
      <c r="AN475" s="170">
        <f t="shared" si="293"/>
        <v>27.58064516129032</v>
      </c>
      <c r="AO475" s="226">
        <f t="shared" si="294"/>
        <v>18.774193548387096</v>
      </c>
      <c r="AP475" s="227">
        <v>60</v>
      </c>
      <c r="AQ475" s="228">
        <f t="shared" si="295"/>
        <v>57</v>
      </c>
      <c r="AR475" s="228">
        <f t="shared" si="280"/>
        <v>52</v>
      </c>
      <c r="AS475" s="229">
        <f t="shared" si="296"/>
        <v>45807.394444444442</v>
      </c>
      <c r="AT475" s="982">
        <f t="shared" ca="1" si="297"/>
        <v>147.60555555555766</v>
      </c>
      <c r="AU475" s="50" t="s">
        <v>61</v>
      </c>
      <c r="AV475" s="51" t="s">
        <v>247</v>
      </c>
      <c r="AW475" s="49"/>
      <c r="AX475" s="49"/>
      <c r="AY475" s="49" t="s">
        <v>247</v>
      </c>
      <c r="AZ475" s="300">
        <v>45737</v>
      </c>
      <c r="BA475" s="52">
        <v>35</v>
      </c>
      <c r="BB475" s="304">
        <v>45772</v>
      </c>
      <c r="BC475" s="231" t="s">
        <v>12</v>
      </c>
      <c r="BD475" s="232"/>
      <c r="BE475" s="222">
        <f t="shared" si="312"/>
        <v>45762.394444444442</v>
      </c>
      <c r="BF475" s="233">
        <f t="shared" si="285"/>
        <v>-1.3944444444423425</v>
      </c>
      <c r="BG475" s="248">
        <v>45747</v>
      </c>
      <c r="BH475" s="235">
        <v>45761</v>
      </c>
      <c r="BI475" s="234"/>
      <c r="BJ475" s="236"/>
      <c r="BK475" s="222"/>
      <c r="BL475" s="222"/>
      <c r="BM475" s="238"/>
      <c r="BN475" s="222"/>
      <c r="BO475" s="222"/>
      <c r="BP475" s="243"/>
      <c r="BQ475" s="244"/>
      <c r="BR475" s="238"/>
      <c r="BS475" s="67"/>
      <c r="BT475" s="66"/>
      <c r="BU475" s="66"/>
      <c r="BV475" s="66"/>
      <c r="BW475" s="74"/>
      <c r="BX475" s="81"/>
      <c r="BY475" s="66" t="s">
        <v>308</v>
      </c>
      <c r="BZ475" s="944"/>
      <c r="CA475" s="42">
        <f t="shared" si="298"/>
        <v>35</v>
      </c>
      <c r="CB475" s="62">
        <f t="shared" si="299"/>
        <v>-14.315277777779556</v>
      </c>
      <c r="CC475" s="42">
        <f t="shared" si="300"/>
        <v>35</v>
      </c>
      <c r="CD475" s="62">
        <f t="shared" si="301"/>
        <v>-14.315277777779556</v>
      </c>
      <c r="CE475" s="62">
        <f t="shared" si="302"/>
        <v>-0.49308179012351799</v>
      </c>
      <c r="CF475" s="145">
        <f t="shared" si="303"/>
        <v>121.60555555555766</v>
      </c>
      <c r="CG475" s="145"/>
      <c r="CH475" s="443">
        <f t="shared" si="304"/>
        <v>4.901109567901246</v>
      </c>
      <c r="CI475" s="996">
        <f t="shared" si="305"/>
        <v>4.901109567901246</v>
      </c>
      <c r="CJ475" s="261">
        <f t="shared" si="306"/>
        <v>2.0267592592592942</v>
      </c>
      <c r="CK475" s="458" t="str">
        <f t="shared" si="307"/>
        <v/>
      </c>
      <c r="CL475" t="str">
        <f t="shared" si="308"/>
        <v>NON-REV</v>
      </c>
      <c r="CM475" t="str">
        <f t="shared" si="309"/>
        <v/>
      </c>
      <c r="CN475" s="635"/>
      <c r="CO475" s="631"/>
      <c r="CP475" s="629" t="str">
        <f t="shared" si="286"/>
        <v>FOR ISSUANCE</v>
      </c>
      <c r="CQ475" s="635"/>
      <c r="CR475" s="697"/>
      <c r="CS475" s="633" t="str">
        <f t="shared" ca="1" si="310"/>
        <v>0</v>
      </c>
      <c r="CT475" s="635"/>
      <c r="CU475" s="631"/>
      <c r="CV475" s="638"/>
      <c r="CW475" s="156" t="s">
        <v>2722</v>
      </c>
      <c r="CX475" s="156" t="str">
        <f>VLOOKUP(E475,'[1]List of Work Orders'!$A:$I,9,FALSE)</f>
        <v>ME166067</v>
      </c>
      <c r="CY475" s="156"/>
      <c r="DA475" s="762">
        <f t="shared" si="278"/>
        <v>2.8958333333357587</v>
      </c>
      <c r="DS475" s="156" t="s">
        <v>397</v>
      </c>
    </row>
    <row r="476" spans="1:123" customFormat="1" ht="15" customHeight="1" x14ac:dyDescent="0.25">
      <c r="A476" s="242">
        <v>45740</v>
      </c>
      <c r="B476" s="222">
        <v>45728</v>
      </c>
      <c r="C476" s="223"/>
      <c r="D476" s="66" t="s">
        <v>284</v>
      </c>
      <c r="E476" s="404" t="s">
        <v>2723</v>
      </c>
      <c r="F476" s="95" t="s">
        <v>2724</v>
      </c>
      <c r="G476" s="95" t="s">
        <v>2725</v>
      </c>
      <c r="H476" s="95" t="s">
        <v>238</v>
      </c>
      <c r="I476" s="95" t="s">
        <v>239</v>
      </c>
      <c r="J476" s="163"/>
      <c r="K476" s="101"/>
      <c r="L476" s="101" t="s">
        <v>242</v>
      </c>
      <c r="M476" s="101" t="s">
        <v>272</v>
      </c>
      <c r="N476" s="442" t="s">
        <v>467</v>
      </c>
      <c r="O476" s="165">
        <v>36.509499999999996</v>
      </c>
      <c r="P476" s="933">
        <v>75.83</v>
      </c>
      <c r="Q476" s="157">
        <v>54</v>
      </c>
      <c r="R476" s="109" t="s">
        <v>244</v>
      </c>
      <c r="S476" s="110">
        <v>307792.24</v>
      </c>
      <c r="T476" s="93">
        <v>47727.65</v>
      </c>
      <c r="U476" s="141"/>
      <c r="V476" s="158">
        <f t="shared" si="287"/>
        <v>0</v>
      </c>
      <c r="W476" s="159">
        <v>45726.711111111108</v>
      </c>
      <c r="X476" s="159">
        <v>45733.413194444445</v>
      </c>
      <c r="Y476" s="160">
        <v>45728</v>
      </c>
      <c r="Z476" s="470"/>
      <c r="AA476" s="470">
        <v>45829</v>
      </c>
      <c r="AB476" s="470"/>
      <c r="AC476" s="161">
        <f t="shared" si="288"/>
        <v>102.28888888889196</v>
      </c>
      <c r="AD476" s="161">
        <f t="shared" si="281"/>
        <v>95.586805555554747</v>
      </c>
      <c r="AE476" s="446">
        <f t="shared" si="311"/>
        <v>-45829</v>
      </c>
      <c r="AF476" s="160">
        <f t="shared" si="282"/>
        <v>45746.011491339246</v>
      </c>
      <c r="AG476" s="160">
        <f t="shared" si="279"/>
        <v>45754.958259400082</v>
      </c>
      <c r="AH476" s="159">
        <f t="shared" si="283"/>
        <v>45776.711111111108</v>
      </c>
      <c r="AI476" s="162">
        <f t="shared" si="289"/>
        <v>3.4401506109691287</v>
      </c>
      <c r="AJ476" s="224">
        <f t="shared" si="284"/>
        <v>-763.81666666666672</v>
      </c>
      <c r="AK476" s="225">
        <f t="shared" si="290"/>
        <v>23</v>
      </c>
      <c r="AL476" s="170">
        <f t="shared" si="291"/>
        <v>34</v>
      </c>
      <c r="AM476" s="170">
        <f t="shared" si="292"/>
        <v>22.300380228136884</v>
      </c>
      <c r="AN476" s="170">
        <f t="shared" si="293"/>
        <v>28.247148288973385</v>
      </c>
      <c r="AO476" s="226">
        <f t="shared" si="294"/>
        <v>19.300380228136884</v>
      </c>
      <c r="AP476" s="227">
        <v>60</v>
      </c>
      <c r="AQ476" s="228">
        <f t="shared" si="295"/>
        <v>57</v>
      </c>
      <c r="AR476" s="228">
        <f t="shared" si="280"/>
        <v>52</v>
      </c>
      <c r="AS476" s="229">
        <f t="shared" si="296"/>
        <v>45889</v>
      </c>
      <c r="AT476" s="982">
        <f t="shared" ca="1" si="297"/>
        <v>66</v>
      </c>
      <c r="AU476" s="50"/>
      <c r="AV476" s="51"/>
      <c r="AW476" s="49"/>
      <c r="AX476" s="49"/>
      <c r="AY476" s="49"/>
      <c r="AZ476" s="300"/>
      <c r="BA476" s="52"/>
      <c r="BB476" s="304"/>
      <c r="BC476" s="231" t="s">
        <v>13</v>
      </c>
      <c r="BD476" s="232"/>
      <c r="BE476" s="222">
        <f t="shared" si="312"/>
        <v>45844</v>
      </c>
      <c r="BF476" s="233" t="e">
        <f t="shared" si="285"/>
        <v>#VALUE!</v>
      </c>
      <c r="BG476" s="248"/>
      <c r="BH476" s="235"/>
      <c r="BI476" s="234"/>
      <c r="BJ476" s="236"/>
      <c r="BK476" s="222"/>
      <c r="BL476" s="222"/>
      <c r="BM476" s="238"/>
      <c r="BN476" s="222"/>
      <c r="BO476" s="222"/>
      <c r="BP476" s="243"/>
      <c r="BQ476" s="244"/>
      <c r="BR476" s="238"/>
      <c r="BS476" s="67"/>
      <c r="BT476" s="66"/>
      <c r="BU476" s="66"/>
      <c r="BV476" s="66"/>
      <c r="BW476" s="74"/>
      <c r="BX476" s="81"/>
      <c r="BY476" s="66"/>
      <c r="BZ476" s="944"/>
      <c r="CA476" s="42" t="str">
        <f t="shared" si="298"/>
        <v>0</v>
      </c>
      <c r="CB476" s="62">
        <f t="shared" si="299"/>
        <v>102.28888888889196</v>
      </c>
      <c r="CC476" s="42">
        <f t="shared" si="300"/>
        <v>0</v>
      </c>
      <c r="CD476" s="62">
        <f t="shared" si="301"/>
        <v>102.28888888889196</v>
      </c>
      <c r="CE476" s="62">
        <f t="shared" si="302"/>
        <v>3.4401506109691287</v>
      </c>
      <c r="CF476" s="145">
        <f t="shared" si="303"/>
        <v>40</v>
      </c>
      <c r="CG476" s="145"/>
      <c r="CH476" s="443">
        <f t="shared" si="304"/>
        <v>4.7854191531686165</v>
      </c>
      <c r="CI476" s="996">
        <f t="shared" si="305"/>
        <v>4.7854191531686165</v>
      </c>
      <c r="CJ476" s="261">
        <f t="shared" si="306"/>
        <v>0.66666666666666663</v>
      </c>
      <c r="CK476" s="458" t="str">
        <f t="shared" si="307"/>
        <v/>
      </c>
      <c r="CL476" t="str">
        <f t="shared" si="308"/>
        <v>REV</v>
      </c>
      <c r="CM476" t="str">
        <f t="shared" si="309"/>
        <v/>
      </c>
      <c r="CN476" s="635"/>
      <c r="CO476" s="631"/>
      <c r="CP476" s="629" t="str">
        <f t="shared" si="286"/>
        <v>FOR ISSUANCE</v>
      </c>
      <c r="CQ476" s="635"/>
      <c r="CR476" s="697"/>
      <c r="CS476" s="633" t="str">
        <f t="shared" ca="1" si="310"/>
        <v>0</v>
      </c>
      <c r="CT476" s="635"/>
      <c r="CU476" s="631"/>
      <c r="CV476" s="638"/>
      <c r="CW476" s="156" t="s">
        <v>2726</v>
      </c>
      <c r="CX476" s="156" t="str">
        <f>VLOOKUP(E476,'[1]List of Work Orders'!$A:$I,9,FALSE)</f>
        <v>ME155242</v>
      </c>
      <c r="CY476" s="156"/>
      <c r="CZ476" s="63"/>
      <c r="DA476" s="762">
        <f t="shared" si="278"/>
        <v>6.7020833333372138</v>
      </c>
      <c r="DS476" s="156" t="s">
        <v>397</v>
      </c>
    </row>
    <row r="477" spans="1:123" ht="15" customHeight="1" x14ac:dyDescent="0.2">
      <c r="A477" s="242">
        <v>45740</v>
      </c>
      <c r="B477" s="222"/>
      <c r="C477" s="223"/>
      <c r="D477" s="66" t="s">
        <v>320</v>
      </c>
      <c r="E477" s="404" t="s">
        <v>2727</v>
      </c>
      <c r="F477" s="95" t="s">
        <v>2331</v>
      </c>
      <c r="G477" s="95" t="s">
        <v>311</v>
      </c>
      <c r="H477" s="95" t="s">
        <v>238</v>
      </c>
      <c r="I477" s="95" t="s">
        <v>239</v>
      </c>
      <c r="J477" s="163"/>
      <c r="K477" s="101"/>
      <c r="L477" s="101" t="s">
        <v>255</v>
      </c>
      <c r="M477" s="101" t="s">
        <v>272</v>
      </c>
      <c r="N477" s="442" t="s">
        <v>381</v>
      </c>
      <c r="O477" s="165">
        <v>11.450000000000001</v>
      </c>
      <c r="P477" s="933">
        <v>19.38</v>
      </c>
      <c r="Q477" s="157" t="s">
        <v>2021</v>
      </c>
      <c r="R477" s="109" t="s">
        <v>319</v>
      </c>
      <c r="S477" s="110">
        <v>24195.919999999998</v>
      </c>
      <c r="T477" s="93">
        <v>16660.359999999997</v>
      </c>
      <c r="U477" s="141"/>
      <c r="V477" s="158">
        <f t="shared" si="287"/>
        <v>0</v>
      </c>
      <c r="W477" s="159">
        <v>45726.717361111114</v>
      </c>
      <c r="X477" s="159">
        <v>45733.411805555559</v>
      </c>
      <c r="Y477" s="160"/>
      <c r="Z477" s="470"/>
      <c r="AA477" s="470">
        <v>45747</v>
      </c>
      <c r="AB477" s="470"/>
      <c r="AC477" s="161">
        <f t="shared" si="288"/>
        <v>20.28263888888614</v>
      </c>
      <c r="AD477" s="161">
        <f t="shared" si="281"/>
        <v>13.588194444440887</v>
      </c>
      <c r="AE477" s="446">
        <f t="shared" si="311"/>
        <v>-45747</v>
      </c>
      <c r="AF477" s="160">
        <f t="shared" si="282"/>
        <v>45738.717361111114</v>
      </c>
      <c r="AG477" s="160">
        <f t="shared" si="279"/>
        <v>45745.717361111114</v>
      </c>
      <c r="AH477" s="159">
        <f t="shared" si="283"/>
        <v>45776.717361111114</v>
      </c>
      <c r="AI477" s="162">
        <f t="shared" si="289"/>
        <v>1.0141319444443071</v>
      </c>
      <c r="AJ477" s="224">
        <f t="shared" si="284"/>
        <v>-762.45</v>
      </c>
      <c r="AK477" s="225">
        <f t="shared" si="290"/>
        <v>20</v>
      </c>
      <c r="AL477" s="170">
        <f t="shared" si="291"/>
        <v>20</v>
      </c>
      <c r="AM477" s="170">
        <f t="shared" si="292"/>
        <v>15.000000000000002</v>
      </c>
      <c r="AN477" s="170">
        <f t="shared" si="293"/>
        <v>19</v>
      </c>
      <c r="AO477" s="226">
        <f t="shared" si="294"/>
        <v>12.000000000000002</v>
      </c>
      <c r="AP477" s="227">
        <v>60</v>
      </c>
      <c r="AQ477" s="228">
        <f t="shared" si="295"/>
        <v>57</v>
      </c>
      <c r="AR477" s="228">
        <f t="shared" si="280"/>
        <v>52</v>
      </c>
      <c r="AS477" s="229">
        <f t="shared" si="296"/>
        <v>45807</v>
      </c>
      <c r="AT477" s="982">
        <f t="shared" ca="1" si="297"/>
        <v>148</v>
      </c>
      <c r="AU477" s="1077"/>
      <c r="AV477" s="1092"/>
      <c r="AW477" s="1079"/>
      <c r="AX477" s="1079"/>
      <c r="AY477" s="1079"/>
      <c r="AZ477" s="1080"/>
      <c r="BA477" s="1101"/>
      <c r="BB477" s="1091"/>
      <c r="BC477" s="231" t="s">
        <v>13</v>
      </c>
      <c r="BD477" s="232" t="s">
        <v>2728</v>
      </c>
      <c r="BE477" s="222">
        <f t="shared" si="312"/>
        <v>45762</v>
      </c>
      <c r="BF477" s="233" t="e">
        <f t="shared" si="285"/>
        <v>#VALUE!</v>
      </c>
      <c r="BG477" s="248"/>
      <c r="BH477" s="235"/>
      <c r="BI477" s="234"/>
      <c r="BJ477" s="236"/>
      <c r="BK477" s="222"/>
      <c r="BL477" s="222"/>
      <c r="BM477" s="238"/>
      <c r="BN477" s="222"/>
      <c r="BO477" s="222"/>
      <c r="BP477" s="243"/>
      <c r="BQ477" s="244"/>
      <c r="BR477" s="238"/>
      <c r="BS477" s="67"/>
      <c r="BT477" s="66"/>
      <c r="BU477" s="66"/>
      <c r="BV477" s="66"/>
      <c r="BW477" s="74"/>
      <c r="BX477" s="81"/>
      <c r="BY477" s="66"/>
      <c r="BZ477" s="944"/>
      <c r="CA477" s="42" t="str">
        <f t="shared" si="298"/>
        <v>0</v>
      </c>
      <c r="CB477" s="62">
        <f t="shared" si="299"/>
        <v>20.28263888888614</v>
      </c>
      <c r="CC477" s="42">
        <f t="shared" si="300"/>
        <v>0</v>
      </c>
      <c r="CD477" s="62">
        <f t="shared" si="301"/>
        <v>20.28263888888614</v>
      </c>
      <c r="CE477" s="62">
        <f t="shared" si="302"/>
        <v>1.0141319444443071</v>
      </c>
      <c r="CF477" s="1059">
        <f t="shared" si="303"/>
        <v>122</v>
      </c>
      <c r="CH477" s="1082">
        <f t="shared" si="304"/>
        <v>7.1141319444443063</v>
      </c>
      <c r="CI477" s="1083">
        <f t="shared" si="305"/>
        <v>7.1141319444443063</v>
      </c>
      <c r="CJ477" s="1084">
        <f t="shared" si="306"/>
        <v>2.0333333333333332</v>
      </c>
      <c r="CK477" s="1085" t="str">
        <f t="shared" si="307"/>
        <v/>
      </c>
      <c r="CL477" s="1057" t="str">
        <f t="shared" si="308"/>
        <v>NON-REV</v>
      </c>
      <c r="CM477" s="1057" t="str">
        <f t="shared" si="309"/>
        <v/>
      </c>
      <c r="CN477" s="1086"/>
      <c r="CO477" s="1087"/>
      <c r="CP477" s="629" t="str">
        <f t="shared" si="286"/>
        <v>FOR ISSUANCE</v>
      </c>
      <c r="CQ477" s="1086"/>
      <c r="CR477" s="1088"/>
      <c r="CS477" s="1089" t="str">
        <f t="shared" ca="1" si="310"/>
        <v>0</v>
      </c>
      <c r="CT477" s="1086"/>
      <c r="CU477" s="1087"/>
      <c r="CV477" s="1090"/>
      <c r="CW477" s="156" t="s">
        <v>2729</v>
      </c>
      <c r="CX477" s="156" t="str">
        <f>VLOOKUP(E477,'[1]List of Work Orders'!$A:$I,9,FALSE)</f>
        <v>ME185284</v>
      </c>
      <c r="CY477" s="156"/>
      <c r="DA477" s="1100">
        <f t="shared" si="278"/>
        <v>6.6944444444452529</v>
      </c>
      <c r="DS477" s="156" t="s">
        <v>381</v>
      </c>
    </row>
    <row r="478" spans="1:123" customFormat="1" ht="15" customHeight="1" x14ac:dyDescent="0.25">
      <c r="A478" s="242">
        <v>45762</v>
      </c>
      <c r="B478" s="222">
        <v>45805</v>
      </c>
      <c r="C478" s="223"/>
      <c r="D478" s="66" t="s">
        <v>284</v>
      </c>
      <c r="E478" s="404" t="s">
        <v>2730</v>
      </c>
      <c r="F478" s="95" t="s">
        <v>2731</v>
      </c>
      <c r="G478" s="95" t="s">
        <v>237</v>
      </c>
      <c r="H478" s="95" t="s">
        <v>238</v>
      </c>
      <c r="I478" s="95" t="s">
        <v>239</v>
      </c>
      <c r="J478" s="163"/>
      <c r="K478" s="101"/>
      <c r="L478" s="101" t="s">
        <v>263</v>
      </c>
      <c r="M478" s="101" t="s">
        <v>331</v>
      </c>
      <c r="N478" s="442" t="s">
        <v>467</v>
      </c>
      <c r="O478" s="165">
        <v>20.170000000000002</v>
      </c>
      <c r="P478" s="165">
        <v>27.61</v>
      </c>
      <c r="Q478" s="157" t="s">
        <v>2021</v>
      </c>
      <c r="R478" s="109" t="s">
        <v>319</v>
      </c>
      <c r="S478" s="110">
        <v>29537.03</v>
      </c>
      <c r="T478" s="93">
        <v>23757.59</v>
      </c>
      <c r="U478" s="141"/>
      <c r="V478" s="158">
        <f t="shared" si="287"/>
        <v>0</v>
      </c>
      <c r="W478" s="159">
        <v>45727.451388888891</v>
      </c>
      <c r="X478" s="159">
        <v>45733.431250000001</v>
      </c>
      <c r="Y478" s="160">
        <v>45728</v>
      </c>
      <c r="Z478" s="470"/>
      <c r="AA478" s="470"/>
      <c r="AB478" s="470"/>
      <c r="AC478" s="161">
        <f t="shared" si="288"/>
        <v>-45727.451388888891</v>
      </c>
      <c r="AD478" s="161">
        <f t="shared" si="281"/>
        <v>-45733.431250000001</v>
      </c>
      <c r="AE478" s="446">
        <f t="shared" si="311"/>
        <v>0</v>
      </c>
      <c r="AF478" s="160">
        <f t="shared" si="282"/>
        <v>45739.451388888891</v>
      </c>
      <c r="AG478" s="160">
        <f t="shared" si="279"/>
        <v>45746.451388888891</v>
      </c>
      <c r="AH478" s="159">
        <f t="shared" si="283"/>
        <v>45777.451388888891</v>
      </c>
      <c r="AI478" s="162">
        <f t="shared" si="289"/>
        <v>-2286.3725694444447</v>
      </c>
      <c r="AJ478" s="224">
        <f t="shared" si="284"/>
        <v>0</v>
      </c>
      <c r="AK478" s="225">
        <f t="shared" si="290"/>
        <v>20</v>
      </c>
      <c r="AL478" s="170">
        <f t="shared" si="291"/>
        <v>20</v>
      </c>
      <c r="AM478" s="170">
        <f t="shared" si="292"/>
        <v>15.000000000000002</v>
      </c>
      <c r="AN478" s="170">
        <f t="shared" si="293"/>
        <v>19</v>
      </c>
      <c r="AO478" s="226">
        <f t="shared" si="294"/>
        <v>12.000000000000002</v>
      </c>
      <c r="AP478" s="227">
        <v>60</v>
      </c>
      <c r="AQ478" s="228">
        <f t="shared" si="295"/>
        <v>57</v>
      </c>
      <c r="AR478" s="228">
        <f t="shared" si="280"/>
        <v>52</v>
      </c>
      <c r="AS478" s="229">
        <f t="shared" si="296"/>
        <v>60</v>
      </c>
      <c r="AT478" s="982">
        <f t="shared" ca="1" si="297"/>
        <v>45895</v>
      </c>
      <c r="AU478" s="50"/>
      <c r="AV478" s="51"/>
      <c r="AW478" s="49"/>
      <c r="AX478" s="49"/>
      <c r="AY478" s="49"/>
      <c r="AZ478" s="300"/>
      <c r="BA478" s="52"/>
      <c r="BB478" s="304"/>
      <c r="BC478" s="231"/>
      <c r="BD478" s="232"/>
      <c r="BE478" s="222">
        <f t="shared" si="312"/>
        <v>15</v>
      </c>
      <c r="BF478" s="233">
        <f t="shared" si="285"/>
        <v>0</v>
      </c>
      <c r="BG478" s="248"/>
      <c r="BH478" s="235"/>
      <c r="BI478" s="234"/>
      <c r="BJ478" s="236"/>
      <c r="BK478" s="222"/>
      <c r="BL478" s="222"/>
      <c r="BM478" s="238"/>
      <c r="BN478" s="222"/>
      <c r="BO478" s="222"/>
      <c r="BP478" s="243"/>
      <c r="BQ478" s="244"/>
      <c r="BR478" s="238"/>
      <c r="BS478" s="67"/>
      <c r="BT478" s="66"/>
      <c r="BU478" s="66"/>
      <c r="BV478" s="66"/>
      <c r="BW478" s="74"/>
      <c r="BX478" s="81"/>
      <c r="BY478" s="66" t="s">
        <v>308</v>
      </c>
      <c r="BZ478" s="944"/>
      <c r="CA478" s="42" t="str">
        <f t="shared" si="298"/>
        <v>0</v>
      </c>
      <c r="CB478" s="62">
        <f t="shared" si="299"/>
        <v>-45727.451388888891</v>
      </c>
      <c r="CC478" s="42">
        <f t="shared" si="300"/>
        <v>0</v>
      </c>
      <c r="CD478" s="62">
        <f t="shared" si="301"/>
        <v>-45727.451388888891</v>
      </c>
      <c r="CE478" s="62">
        <f t="shared" si="302"/>
        <v>-2286.3725694444447</v>
      </c>
      <c r="CF478" s="145" t="str">
        <f t="shared" si="303"/>
        <v>0</v>
      </c>
      <c r="CG478" s="145"/>
      <c r="CH478" s="443">
        <f t="shared" si="304"/>
        <v>7.0774305555554751</v>
      </c>
      <c r="CI478" s="996">
        <f t="shared" si="305"/>
        <v>7.0774305555554751</v>
      </c>
      <c r="CJ478" s="261">
        <f t="shared" si="306"/>
        <v>0</v>
      </c>
      <c r="CK478" s="458">
        <f t="shared" si="307"/>
        <v>128.54861111110949</v>
      </c>
      <c r="CL478" t="str">
        <f t="shared" si="308"/>
        <v>NON-REV</v>
      </c>
      <c r="CM478" t="str">
        <f t="shared" si="309"/>
        <v>4-6 MONTHS</v>
      </c>
      <c r="CN478" s="635"/>
      <c r="CO478" s="631"/>
      <c r="CP478" s="629" t="str">
        <f t="shared" si="286"/>
        <v>FOR ISSUANCE</v>
      </c>
      <c r="CQ478" s="635"/>
      <c r="CR478" s="697"/>
      <c r="CS478" s="633" t="str">
        <f t="shared" ca="1" si="310"/>
        <v>0</v>
      </c>
      <c r="CT478" s="635"/>
      <c r="CU478" s="631"/>
      <c r="CV478" s="638"/>
      <c r="CW478" s="156" t="s">
        <v>2732</v>
      </c>
      <c r="CX478" s="156" t="str">
        <f>VLOOKUP(E478,'[1]List of Work Orders'!$A:$I,9,FALSE)</f>
        <v>ME155242</v>
      </c>
      <c r="CY478" s="156"/>
      <c r="DA478" s="762">
        <f t="shared" si="278"/>
        <v>5.9798611111109494</v>
      </c>
      <c r="DS478" s="442" t="s">
        <v>381</v>
      </c>
    </row>
    <row r="479" spans="1:123" ht="15" customHeight="1" x14ac:dyDescent="0.2">
      <c r="A479" s="242">
        <v>45737</v>
      </c>
      <c r="B479" s="222">
        <v>45733</v>
      </c>
      <c r="C479" s="223"/>
      <c r="D479" s="66" t="s">
        <v>284</v>
      </c>
      <c r="E479" s="404" t="s">
        <v>2733</v>
      </c>
      <c r="F479" s="95" t="s">
        <v>2734</v>
      </c>
      <c r="G479" s="95" t="s">
        <v>2735</v>
      </c>
      <c r="H479" s="95" t="s">
        <v>269</v>
      </c>
      <c r="I479" s="95" t="s">
        <v>239</v>
      </c>
      <c r="J479" s="163"/>
      <c r="K479" s="101"/>
      <c r="L479" s="101" t="s">
        <v>255</v>
      </c>
      <c r="M479" s="101" t="s">
        <v>272</v>
      </c>
      <c r="N479" s="442" t="s">
        <v>381</v>
      </c>
      <c r="O479" s="165">
        <v>15.5528</v>
      </c>
      <c r="P479" s="933">
        <v>35.5</v>
      </c>
      <c r="Q479" s="157">
        <v>56</v>
      </c>
      <c r="R479" s="109" t="s">
        <v>244</v>
      </c>
      <c r="S479" s="110">
        <v>366702.33</v>
      </c>
      <c r="T479" s="93">
        <v>30500.21</v>
      </c>
      <c r="U479" s="141"/>
      <c r="V479" s="158">
        <f t="shared" si="287"/>
        <v>0</v>
      </c>
      <c r="W479" s="159">
        <v>45727.572222222225</v>
      </c>
      <c r="X479" s="159">
        <v>45733.431250000001</v>
      </c>
      <c r="Y479" s="160">
        <v>45730</v>
      </c>
      <c r="Z479" s="470"/>
      <c r="AA479" s="470">
        <v>45741</v>
      </c>
      <c r="AB479" s="470"/>
      <c r="AC479" s="161">
        <f t="shared" si="288"/>
        <v>13.427777777775191</v>
      </c>
      <c r="AD479" s="161">
        <f t="shared" si="281"/>
        <v>7.5687499999985448</v>
      </c>
      <c r="AE479" s="446">
        <f t="shared" si="311"/>
        <v>-45741</v>
      </c>
      <c r="AF479" s="160">
        <f t="shared" si="282"/>
        <v>45745.646602387511</v>
      </c>
      <c r="AG479" s="160">
        <f t="shared" si="279"/>
        <v>45754.26643709826</v>
      </c>
      <c r="AH479" s="159">
        <f t="shared" si="283"/>
        <v>45777.572222222225</v>
      </c>
      <c r="AI479" s="162">
        <f t="shared" si="289"/>
        <v>0.47787091503258772</v>
      </c>
      <c r="AJ479" s="224">
        <f t="shared" si="284"/>
        <v>-762.35</v>
      </c>
      <c r="AK479" s="225">
        <f t="shared" si="290"/>
        <v>20</v>
      </c>
      <c r="AL479" s="170">
        <f t="shared" si="291"/>
        <v>34</v>
      </c>
      <c r="AM479" s="170">
        <f t="shared" si="292"/>
        <v>21.074380165289259</v>
      </c>
      <c r="AN479" s="170">
        <f t="shared" si="293"/>
        <v>26.694214876033058</v>
      </c>
      <c r="AO479" s="226">
        <f t="shared" si="294"/>
        <v>18.074380165289259</v>
      </c>
      <c r="AP479" s="227">
        <v>60</v>
      </c>
      <c r="AQ479" s="228">
        <f t="shared" si="295"/>
        <v>57</v>
      </c>
      <c r="AR479" s="228">
        <f t="shared" si="280"/>
        <v>52</v>
      </c>
      <c r="AS479" s="229">
        <f t="shared" si="296"/>
        <v>45801</v>
      </c>
      <c r="AT479" s="982">
        <f t="shared" ca="1" si="297"/>
        <v>154</v>
      </c>
      <c r="AU479" s="1077"/>
      <c r="AV479" s="1092"/>
      <c r="AW479" s="1079"/>
      <c r="AX479" s="1079"/>
      <c r="AY479" s="1079"/>
      <c r="AZ479" s="1080"/>
      <c r="BA479" s="1101"/>
      <c r="BB479" s="1091"/>
      <c r="BC479" s="231" t="s">
        <v>13</v>
      </c>
      <c r="BD479" s="232"/>
      <c r="BE479" s="222">
        <f t="shared" si="312"/>
        <v>45756</v>
      </c>
      <c r="BF479" s="233" t="e">
        <f t="shared" si="285"/>
        <v>#VALUE!</v>
      </c>
      <c r="BG479" s="248"/>
      <c r="BH479" s="235"/>
      <c r="BI479" s="234"/>
      <c r="BJ479" s="236"/>
      <c r="BK479" s="222"/>
      <c r="BL479" s="222"/>
      <c r="BM479" s="238"/>
      <c r="BN479" s="222"/>
      <c r="BO479" s="222"/>
      <c r="BP479" s="243"/>
      <c r="BQ479" s="244" t="s">
        <v>247</v>
      </c>
      <c r="BR479" s="238">
        <v>45734</v>
      </c>
      <c r="BS479" s="67"/>
      <c r="BT479" s="66"/>
      <c r="BU479" s="66"/>
      <c r="BV479" s="66"/>
      <c r="BW479" s="74"/>
      <c r="BX479" s="81"/>
      <c r="BY479" s="66"/>
      <c r="BZ479" s="944"/>
      <c r="CA479" s="42" t="str">
        <f t="shared" si="298"/>
        <v>0</v>
      </c>
      <c r="CB479" s="62">
        <f t="shared" si="299"/>
        <v>13.427777777775191</v>
      </c>
      <c r="CC479" s="42">
        <f t="shared" si="300"/>
        <v>0</v>
      </c>
      <c r="CD479" s="62">
        <f t="shared" si="301"/>
        <v>13.427777777775191</v>
      </c>
      <c r="CE479" s="62">
        <f t="shared" si="302"/>
        <v>0.47787091503258772</v>
      </c>
      <c r="CF479" s="1059">
        <f t="shared" si="303"/>
        <v>128</v>
      </c>
      <c r="CH479" s="1082">
        <f t="shared" si="304"/>
        <v>5.033165032679646</v>
      </c>
      <c r="CI479" s="1083">
        <f t="shared" si="305"/>
        <v>5.033165032679646</v>
      </c>
      <c r="CJ479" s="1084">
        <f t="shared" si="306"/>
        <v>2.1333333333333333</v>
      </c>
      <c r="CK479" s="1085" t="str">
        <f t="shared" si="307"/>
        <v/>
      </c>
      <c r="CL479" s="1057" t="str">
        <f t="shared" si="308"/>
        <v>REV</v>
      </c>
      <c r="CM479" s="1057" t="str">
        <f t="shared" si="309"/>
        <v/>
      </c>
      <c r="CN479" s="1086"/>
      <c r="CO479" s="1087"/>
      <c r="CP479" s="629" t="str">
        <f t="shared" si="286"/>
        <v>FOR ISSUANCE</v>
      </c>
      <c r="CQ479" s="1086"/>
      <c r="CR479" s="1088"/>
      <c r="CS479" s="1089" t="str">
        <f t="shared" ca="1" si="310"/>
        <v>0</v>
      </c>
      <c r="CT479" s="1086"/>
      <c r="CU479" s="1087"/>
      <c r="CV479" s="1090"/>
      <c r="CW479" s="156" t="s">
        <v>2736</v>
      </c>
      <c r="CX479" s="156" t="str">
        <f>VLOOKUP(E479,'[1]List of Work Orders'!$A:$I,9,FALSE)</f>
        <v>ME185284</v>
      </c>
      <c r="CY479" s="156"/>
      <c r="DA479" s="1100">
        <f t="shared" si="278"/>
        <v>5.859027777776646</v>
      </c>
      <c r="DS479" s="156" t="s">
        <v>397</v>
      </c>
    </row>
    <row r="480" spans="1:123" customFormat="1" ht="15" customHeight="1" x14ac:dyDescent="0.25">
      <c r="A480" s="242">
        <v>45742</v>
      </c>
      <c r="B480" s="222">
        <v>45733</v>
      </c>
      <c r="C480" s="223"/>
      <c r="D480" s="66" t="s">
        <v>320</v>
      </c>
      <c r="E480" s="404" t="s">
        <v>2737</v>
      </c>
      <c r="F480" s="95" t="s">
        <v>2354</v>
      </c>
      <c r="G480" s="95" t="s">
        <v>2355</v>
      </c>
      <c r="H480" s="344" t="s">
        <v>318</v>
      </c>
      <c r="I480" s="95" t="s">
        <v>239</v>
      </c>
      <c r="J480" s="163"/>
      <c r="K480" s="101"/>
      <c r="L480" s="101" t="s">
        <v>242</v>
      </c>
      <c r="M480" s="101" t="s">
        <v>272</v>
      </c>
      <c r="N480" s="442" t="s">
        <v>467</v>
      </c>
      <c r="O480" s="165">
        <v>57.366599999999991</v>
      </c>
      <c r="P480" s="933">
        <v>160.37</v>
      </c>
      <c r="Q480" s="157">
        <v>60</v>
      </c>
      <c r="R480" s="109" t="s">
        <v>548</v>
      </c>
      <c r="S480" s="110">
        <v>439898.81</v>
      </c>
      <c r="T480" s="93">
        <v>70527.929999999993</v>
      </c>
      <c r="U480" s="141"/>
      <c r="V480" s="158">
        <f t="shared" si="287"/>
        <v>0</v>
      </c>
      <c r="W480" s="159">
        <v>45727.57916666667</v>
      </c>
      <c r="X480" s="159">
        <v>45733.430555555555</v>
      </c>
      <c r="Y480" s="160">
        <v>45730</v>
      </c>
      <c r="Z480" s="470"/>
      <c r="AA480" s="470">
        <v>45822.620138888888</v>
      </c>
      <c r="AB480" s="470"/>
      <c r="AC480" s="161">
        <f t="shared" si="288"/>
        <v>95.040972222217533</v>
      </c>
      <c r="AD480" s="161">
        <f t="shared" si="281"/>
        <v>89.189583333332848</v>
      </c>
      <c r="AE480" s="446">
        <f t="shared" si="311"/>
        <v>-45822.620138888888</v>
      </c>
      <c r="AF480" s="160">
        <f t="shared" si="282"/>
        <v>45747.924237089203</v>
      </c>
      <c r="AG480" s="160">
        <f t="shared" si="279"/>
        <v>45757.149589201879</v>
      </c>
      <c r="AH480" s="159">
        <f t="shared" si="283"/>
        <v>45777.57916666667</v>
      </c>
      <c r="AI480" s="162">
        <f t="shared" si="289"/>
        <v>3.0533525012567626</v>
      </c>
      <c r="AJ480" s="224">
        <f t="shared" si="284"/>
        <v>-763.71033564814809</v>
      </c>
      <c r="AK480" s="225">
        <f t="shared" si="290"/>
        <v>26</v>
      </c>
      <c r="AL480" s="170">
        <f t="shared" si="291"/>
        <v>34</v>
      </c>
      <c r="AM480" s="170">
        <f t="shared" si="292"/>
        <v>23.345070422535212</v>
      </c>
      <c r="AN480" s="170">
        <f t="shared" si="293"/>
        <v>29.570422535211268</v>
      </c>
      <c r="AO480" s="226">
        <f t="shared" si="294"/>
        <v>20.345070422535212</v>
      </c>
      <c r="AP480" s="227">
        <v>60</v>
      </c>
      <c r="AQ480" s="228">
        <f t="shared" si="295"/>
        <v>57</v>
      </c>
      <c r="AR480" s="228">
        <f t="shared" si="280"/>
        <v>52</v>
      </c>
      <c r="AS480" s="229">
        <f t="shared" si="296"/>
        <v>45882.620138888888</v>
      </c>
      <c r="AT480" s="982">
        <f t="shared" ca="1" si="297"/>
        <v>72.379861111112405</v>
      </c>
      <c r="AU480" s="50"/>
      <c r="AV480" s="51"/>
      <c r="AW480" s="49"/>
      <c r="AX480" s="49"/>
      <c r="AY480" s="49"/>
      <c r="AZ480" s="300"/>
      <c r="BA480" s="52"/>
      <c r="BB480" s="304"/>
      <c r="BC480" s="231" t="s">
        <v>12</v>
      </c>
      <c r="BD480" s="232"/>
      <c r="BE480" s="222">
        <f t="shared" si="312"/>
        <v>45837.620138888888</v>
      </c>
      <c r="BF480" s="233">
        <f t="shared" si="285"/>
        <v>7.3798611111124046</v>
      </c>
      <c r="BG480" s="248">
        <v>45822</v>
      </c>
      <c r="BH480" s="235">
        <v>45845</v>
      </c>
      <c r="BI480" s="234"/>
      <c r="BJ480" s="236"/>
      <c r="BK480" s="222"/>
      <c r="BL480" s="222"/>
      <c r="BM480" s="238"/>
      <c r="BN480" s="222"/>
      <c r="BO480" s="222"/>
      <c r="BP480" s="243"/>
      <c r="BQ480" s="244" t="s">
        <v>247</v>
      </c>
      <c r="BR480" s="238">
        <v>45824</v>
      </c>
      <c r="BS480" s="67"/>
      <c r="BT480" s="66"/>
      <c r="BU480" s="66"/>
      <c r="BV480" s="66"/>
      <c r="BW480" s="74"/>
      <c r="BX480" s="81"/>
      <c r="BY480" s="66">
        <v>45742</v>
      </c>
      <c r="BZ480" s="944" t="s">
        <v>2738</v>
      </c>
      <c r="CA480" s="42" t="str">
        <f t="shared" si="298"/>
        <v>0</v>
      </c>
      <c r="CB480" s="62">
        <f t="shared" si="299"/>
        <v>95.040972222217533</v>
      </c>
      <c r="CC480" s="42">
        <f t="shared" si="300"/>
        <v>0</v>
      </c>
      <c r="CD480" s="62">
        <f t="shared" si="301"/>
        <v>95.040972222217533</v>
      </c>
      <c r="CE480" s="62">
        <f t="shared" si="302"/>
        <v>3.0533525012567626</v>
      </c>
      <c r="CF480" s="145">
        <f t="shared" si="303"/>
        <v>46.379861111112405</v>
      </c>
      <c r="CG480" s="145"/>
      <c r="CH480" s="443">
        <f t="shared" si="304"/>
        <v>4.5433842383105993</v>
      </c>
      <c r="CI480" s="996">
        <f t="shared" si="305"/>
        <v>4.5433842383105993</v>
      </c>
      <c r="CJ480" s="261">
        <f t="shared" si="306"/>
        <v>0.77299768518520673</v>
      </c>
      <c r="CK480" s="458" t="str">
        <f t="shared" si="307"/>
        <v/>
      </c>
      <c r="CL480" t="str">
        <f t="shared" si="308"/>
        <v>NON-REV</v>
      </c>
      <c r="CM480" t="str">
        <f t="shared" si="309"/>
        <v/>
      </c>
      <c r="CN480" s="635"/>
      <c r="CO480" s="631"/>
      <c r="CP480" s="629" t="str">
        <f t="shared" si="286"/>
        <v>FOR ISSUANCE</v>
      </c>
      <c r="CQ480" s="635"/>
      <c r="CR480" s="697"/>
      <c r="CS480" s="633" t="str">
        <f t="shared" ca="1" si="310"/>
        <v>0</v>
      </c>
      <c r="CT480" s="635"/>
      <c r="CU480" s="631"/>
      <c r="CV480" s="638"/>
      <c r="CW480" s="156" t="s">
        <v>2739</v>
      </c>
      <c r="CX480" s="156" t="str">
        <f>VLOOKUP(E480,'[1]List of Work Orders'!$A:$I,9,FALSE)</f>
        <v>ME155242</v>
      </c>
      <c r="CY480" s="156"/>
      <c r="CZ480" s="63"/>
      <c r="DA480" s="762">
        <f t="shared" si="278"/>
        <v>5.851388888884685</v>
      </c>
      <c r="DS480" s="156" t="s">
        <v>397</v>
      </c>
    </row>
    <row r="481" spans="1:123" ht="15" customHeight="1" x14ac:dyDescent="0.2">
      <c r="A481" s="242">
        <v>45737</v>
      </c>
      <c r="B481" s="222">
        <v>45733</v>
      </c>
      <c r="C481" s="223"/>
      <c r="D481" s="66" t="s">
        <v>320</v>
      </c>
      <c r="E481" s="404" t="s">
        <v>2740</v>
      </c>
      <c r="F481" s="95" t="s">
        <v>2741</v>
      </c>
      <c r="G481" s="95" t="s">
        <v>2742</v>
      </c>
      <c r="H481" s="95" t="s">
        <v>269</v>
      </c>
      <c r="I481" s="95" t="s">
        <v>239</v>
      </c>
      <c r="J481" s="163"/>
      <c r="K481" s="101"/>
      <c r="L481" s="101" t="s">
        <v>255</v>
      </c>
      <c r="M481" s="101" t="s">
        <v>272</v>
      </c>
      <c r="N481" s="442" t="s">
        <v>381</v>
      </c>
      <c r="O481" s="165">
        <v>0.33</v>
      </c>
      <c r="P481" s="933">
        <v>0.99</v>
      </c>
      <c r="Q481" s="157">
        <v>10.5</v>
      </c>
      <c r="R481" s="109" t="s">
        <v>244</v>
      </c>
      <c r="S481" s="110">
        <v>13519</v>
      </c>
      <c r="T481" s="93">
        <v>850.62</v>
      </c>
      <c r="U481" s="141"/>
      <c r="V481" s="158">
        <f t="shared" si="287"/>
        <v>0</v>
      </c>
      <c r="W481" s="159">
        <v>45727.647222222222</v>
      </c>
      <c r="X481" s="159">
        <v>45733.430555555555</v>
      </c>
      <c r="Y481" s="160">
        <v>45730</v>
      </c>
      <c r="Z481" s="470"/>
      <c r="AA481" s="470">
        <v>45758</v>
      </c>
      <c r="AB481" s="470"/>
      <c r="AC481" s="161">
        <f t="shared" si="288"/>
        <v>30.352777777778101</v>
      </c>
      <c r="AD481" s="161">
        <f t="shared" si="281"/>
        <v>24.569444444445253</v>
      </c>
      <c r="AE481" s="446">
        <f t="shared" si="311"/>
        <v>-45758</v>
      </c>
      <c r="AF481" s="160">
        <f t="shared" si="282"/>
        <v>45746.421415770608</v>
      </c>
      <c r="AG481" s="160">
        <f t="shared" si="279"/>
        <v>45755.22786738351</v>
      </c>
      <c r="AH481" s="159">
        <f t="shared" si="283"/>
        <v>45777.647222222222</v>
      </c>
      <c r="AI481" s="162">
        <f t="shared" si="289"/>
        <v>1.0454845679012457</v>
      </c>
      <c r="AJ481" s="224">
        <f t="shared" si="284"/>
        <v>-762.63333333333333</v>
      </c>
      <c r="AK481" s="225">
        <f t="shared" si="290"/>
        <v>20</v>
      </c>
      <c r="AL481" s="170">
        <f t="shared" si="291"/>
        <v>36</v>
      </c>
      <c r="AM481" s="170">
        <f t="shared" si="292"/>
        <v>21.774193548387096</v>
      </c>
      <c r="AN481" s="170">
        <f t="shared" si="293"/>
        <v>27.58064516129032</v>
      </c>
      <c r="AO481" s="226">
        <f t="shared" si="294"/>
        <v>18.774193548387096</v>
      </c>
      <c r="AP481" s="227">
        <v>60</v>
      </c>
      <c r="AQ481" s="228">
        <f t="shared" si="295"/>
        <v>57</v>
      </c>
      <c r="AR481" s="228">
        <f t="shared" si="280"/>
        <v>52</v>
      </c>
      <c r="AS481" s="229">
        <f t="shared" si="296"/>
        <v>45818</v>
      </c>
      <c r="AT481" s="982">
        <f t="shared" ca="1" si="297"/>
        <v>137</v>
      </c>
      <c r="AU481" s="1077"/>
      <c r="AV481" s="1092"/>
      <c r="AW481" s="1079"/>
      <c r="AX481" s="1079"/>
      <c r="AY481" s="1079"/>
      <c r="AZ481" s="1080"/>
      <c r="BA481" s="1101"/>
      <c r="BB481" s="1091"/>
      <c r="BC481" s="231" t="s">
        <v>13</v>
      </c>
      <c r="BD481" s="232"/>
      <c r="BE481" s="222">
        <f t="shared" si="312"/>
        <v>45773</v>
      </c>
      <c r="BF481" s="233" t="e">
        <f t="shared" si="285"/>
        <v>#VALUE!</v>
      </c>
      <c r="BG481" s="248"/>
      <c r="BH481" s="235"/>
      <c r="BI481" s="234"/>
      <c r="BJ481" s="236"/>
      <c r="BK481" s="222"/>
      <c r="BL481" s="222"/>
      <c r="BM481" s="238"/>
      <c r="BN481" s="222"/>
      <c r="BO481" s="222"/>
      <c r="BP481" s="243"/>
      <c r="BQ481" s="244"/>
      <c r="BR481" s="238"/>
      <c r="BS481" s="67"/>
      <c r="BT481" s="66"/>
      <c r="BU481" s="66"/>
      <c r="BV481" s="66"/>
      <c r="BW481" s="74"/>
      <c r="BX481" s="81"/>
      <c r="BY481" s="66"/>
      <c r="BZ481" s="944"/>
      <c r="CA481" s="42" t="str">
        <f t="shared" si="298"/>
        <v>0</v>
      </c>
      <c r="CB481" s="62">
        <f t="shared" si="299"/>
        <v>30.352777777778101</v>
      </c>
      <c r="CC481" s="42">
        <f t="shared" si="300"/>
        <v>0</v>
      </c>
      <c r="CD481" s="62">
        <f t="shared" si="301"/>
        <v>30.352777777778101</v>
      </c>
      <c r="CE481" s="62">
        <f t="shared" si="302"/>
        <v>1.0454845679012457</v>
      </c>
      <c r="CF481" s="1059">
        <f t="shared" si="303"/>
        <v>111</v>
      </c>
      <c r="CH481" s="1082">
        <f t="shared" si="304"/>
        <v>4.8688179012345785</v>
      </c>
      <c r="CI481" s="1083">
        <f t="shared" si="305"/>
        <v>4.8688179012345785</v>
      </c>
      <c r="CJ481" s="1084">
        <f t="shared" si="306"/>
        <v>1.85</v>
      </c>
      <c r="CK481" s="1085" t="str">
        <f t="shared" si="307"/>
        <v/>
      </c>
      <c r="CL481" s="1057" t="str">
        <f t="shared" si="308"/>
        <v>REV</v>
      </c>
      <c r="CM481" s="1057" t="str">
        <f t="shared" si="309"/>
        <v/>
      </c>
      <c r="CN481" s="1086"/>
      <c r="CO481" s="1087"/>
      <c r="CP481" s="629" t="str">
        <f t="shared" si="286"/>
        <v>FOR ISSUANCE</v>
      </c>
      <c r="CQ481" s="1086"/>
      <c r="CR481" s="1088"/>
      <c r="CS481" s="1089" t="str">
        <f t="shared" ca="1" si="310"/>
        <v>0</v>
      </c>
      <c r="CT481" s="1086"/>
      <c r="CU481" s="1087"/>
      <c r="CV481" s="1090"/>
      <c r="CW481" s="156" t="s">
        <v>2743</v>
      </c>
      <c r="CX481" s="156" t="str">
        <f>VLOOKUP(E481,'[1]List of Work Orders'!$A:$I,9,FALSE)</f>
        <v>ME155242</v>
      </c>
      <c r="CY481" s="156"/>
      <c r="CZ481" s="1102"/>
      <c r="DA481" s="1100">
        <f t="shared" si="278"/>
        <v>5.7833333333328483</v>
      </c>
      <c r="DS481" s="442" t="s">
        <v>403</v>
      </c>
    </row>
    <row r="482" spans="1:123" customFormat="1" ht="15" customHeight="1" x14ac:dyDescent="0.25">
      <c r="A482" s="242">
        <v>45737</v>
      </c>
      <c r="B482" s="222"/>
      <c r="C482" s="223"/>
      <c r="D482" s="66" t="s">
        <v>284</v>
      </c>
      <c r="E482" s="404" t="s">
        <v>2744</v>
      </c>
      <c r="F482" s="95" t="s">
        <v>2745</v>
      </c>
      <c r="G482" s="95" t="s">
        <v>2746</v>
      </c>
      <c r="H482" s="95" t="s">
        <v>238</v>
      </c>
      <c r="I482" s="95" t="s">
        <v>239</v>
      </c>
      <c r="J482" s="163"/>
      <c r="K482" s="101"/>
      <c r="L482" s="323" t="s">
        <v>1945</v>
      </c>
      <c r="M482" s="101" t="s">
        <v>256</v>
      </c>
      <c r="N482" s="442" t="s">
        <v>1946</v>
      </c>
      <c r="O482" s="165">
        <v>59.97</v>
      </c>
      <c r="P482" s="933">
        <v>69.2</v>
      </c>
      <c r="Q482" s="157">
        <v>97</v>
      </c>
      <c r="R482" s="109" t="s">
        <v>244</v>
      </c>
      <c r="S482" s="110">
        <v>456559.35999999999</v>
      </c>
      <c r="T482" s="93">
        <v>43236.61</v>
      </c>
      <c r="U482" s="141"/>
      <c r="V482" s="158">
        <f t="shared" si="287"/>
        <v>0</v>
      </c>
      <c r="W482" s="159">
        <v>45728.533333333333</v>
      </c>
      <c r="X482" s="159">
        <v>45733.432638888888</v>
      </c>
      <c r="Y482" s="160">
        <v>45730</v>
      </c>
      <c r="Z482" s="470"/>
      <c r="AA482" s="470">
        <v>45747</v>
      </c>
      <c r="AB482" s="470">
        <v>45795.760416666664</v>
      </c>
      <c r="AC482" s="161">
        <f t="shared" si="288"/>
        <v>18.466666666667152</v>
      </c>
      <c r="AD482" s="161">
        <f t="shared" si="281"/>
        <v>13.567361111112405</v>
      </c>
      <c r="AE482" s="446">
        <f t="shared" si="311"/>
        <v>48.760416666664241</v>
      </c>
      <c r="AF482" s="160">
        <f t="shared" si="282"/>
        <v>45747.833713561471</v>
      </c>
      <c r="AG482" s="160">
        <f t="shared" si="279"/>
        <v>45756.780481622307</v>
      </c>
      <c r="AH482" s="159">
        <f t="shared" si="283"/>
        <v>45778.533333333333</v>
      </c>
      <c r="AI482" s="162">
        <f t="shared" si="289"/>
        <v>0.62106564364878014</v>
      </c>
      <c r="AJ482" s="224">
        <f t="shared" si="284"/>
        <v>0.81267361111107073</v>
      </c>
      <c r="AK482" s="225">
        <f t="shared" si="290"/>
        <v>23</v>
      </c>
      <c r="AL482" s="170">
        <f t="shared" si="291"/>
        <v>34</v>
      </c>
      <c r="AM482" s="170">
        <f t="shared" si="292"/>
        <v>22.300380228136884</v>
      </c>
      <c r="AN482" s="170">
        <f t="shared" si="293"/>
        <v>28.247148288973385</v>
      </c>
      <c r="AO482" s="226">
        <f t="shared" si="294"/>
        <v>19.300380228136884</v>
      </c>
      <c r="AP482" s="227">
        <v>60</v>
      </c>
      <c r="AQ482" s="228">
        <f t="shared" si="295"/>
        <v>57</v>
      </c>
      <c r="AR482" s="228">
        <f t="shared" si="280"/>
        <v>52</v>
      </c>
      <c r="AS482" s="229">
        <f t="shared" si="296"/>
        <v>45807</v>
      </c>
      <c r="AT482" s="982">
        <f t="shared" ca="1" si="297"/>
        <v>148</v>
      </c>
      <c r="AU482" s="50"/>
      <c r="AV482" s="51"/>
      <c r="AW482" s="49"/>
      <c r="AX482" s="49"/>
      <c r="AY482" s="49"/>
      <c r="AZ482" s="300"/>
      <c r="BA482" s="52"/>
      <c r="BB482" s="304"/>
      <c r="BC482" s="231" t="s">
        <v>12</v>
      </c>
      <c r="BD482" s="232"/>
      <c r="BE482" s="222">
        <f t="shared" si="312"/>
        <v>45762</v>
      </c>
      <c r="BF482" s="233" t="e">
        <f t="shared" si="285"/>
        <v>#VALUE!</v>
      </c>
      <c r="BG482" s="248"/>
      <c r="BH482" s="235"/>
      <c r="BI482" s="234"/>
      <c r="BJ482" s="236"/>
      <c r="BK482" s="222"/>
      <c r="BL482" s="222"/>
      <c r="BM482" s="238"/>
      <c r="BN482" s="222"/>
      <c r="BO482" s="222"/>
      <c r="BP482" s="243"/>
      <c r="BQ482" s="244"/>
      <c r="BR482" s="238"/>
      <c r="BS482" s="67"/>
      <c r="BT482" s="66"/>
      <c r="BU482" s="66"/>
      <c r="BV482" s="66"/>
      <c r="BW482" s="74"/>
      <c r="BX482" s="81"/>
      <c r="BY482" s="66"/>
      <c r="BZ482" s="944"/>
      <c r="CA482" s="42" t="str">
        <f t="shared" si="298"/>
        <v>0</v>
      </c>
      <c r="CB482" s="62">
        <f t="shared" si="299"/>
        <v>18.466666666667152</v>
      </c>
      <c r="CC482" s="42">
        <f t="shared" si="300"/>
        <v>0</v>
      </c>
      <c r="CD482" s="62">
        <f t="shared" si="301"/>
        <v>18.466666666667152</v>
      </c>
      <c r="CE482" s="62">
        <f t="shared" si="302"/>
        <v>0.62106564364878014</v>
      </c>
      <c r="CF482" s="145">
        <f t="shared" si="303"/>
        <v>122</v>
      </c>
      <c r="CG482" s="145"/>
      <c r="CH482" s="443">
        <f t="shared" si="304"/>
        <v>4.7241346973572202</v>
      </c>
      <c r="CI482" s="996">
        <f t="shared" si="305"/>
        <v>4.7241346973572202</v>
      </c>
      <c r="CJ482" s="261">
        <f t="shared" si="306"/>
        <v>2.0333333333333332</v>
      </c>
      <c r="CK482" s="458" t="str">
        <f t="shared" si="307"/>
        <v/>
      </c>
      <c r="CL482" t="str">
        <f t="shared" si="308"/>
        <v>REV</v>
      </c>
      <c r="CM482" t="str">
        <f t="shared" si="309"/>
        <v/>
      </c>
      <c r="CN482" s="635"/>
      <c r="CO482" s="631"/>
      <c r="CP482" s="629" t="str">
        <f t="shared" si="286"/>
        <v>FOR ISSUANCE</v>
      </c>
      <c r="CQ482" s="635"/>
      <c r="CR482" s="697"/>
      <c r="CS482" s="633" t="str">
        <f t="shared" ca="1" si="310"/>
        <v>0</v>
      </c>
      <c r="CT482" s="635"/>
      <c r="CU482" s="631"/>
      <c r="CV482" s="638"/>
      <c r="CW482" s="156" t="s">
        <v>2747</v>
      </c>
      <c r="CX482" s="156" t="str">
        <f>VLOOKUP(E482,'[1]List of Work Orders'!$A:$I,9,FALSE)</f>
        <v>ME194579</v>
      </c>
      <c r="CY482" s="156"/>
      <c r="DA482" s="762">
        <f t="shared" si="278"/>
        <v>4.8993055555547471</v>
      </c>
      <c r="DS482" s="442" t="s">
        <v>381</v>
      </c>
    </row>
    <row r="483" spans="1:123" customFormat="1" ht="15" customHeight="1" x14ac:dyDescent="0.25">
      <c r="A483" s="242">
        <v>45737</v>
      </c>
      <c r="B483" s="222">
        <v>45733</v>
      </c>
      <c r="C483" s="223"/>
      <c r="D483" s="66" t="s">
        <v>320</v>
      </c>
      <c r="E483" s="404" t="s">
        <v>2748</v>
      </c>
      <c r="F483" s="95" t="s">
        <v>2749</v>
      </c>
      <c r="G483" s="95" t="s">
        <v>1034</v>
      </c>
      <c r="H483" s="95" t="s">
        <v>253</v>
      </c>
      <c r="I483" s="95" t="s">
        <v>254</v>
      </c>
      <c r="J483" s="163"/>
      <c r="K483" s="101"/>
      <c r="L483" s="101" t="s">
        <v>263</v>
      </c>
      <c r="M483" s="101" t="s">
        <v>331</v>
      </c>
      <c r="N483" s="442" t="s">
        <v>467</v>
      </c>
      <c r="O483" s="165">
        <v>15.272299999999998</v>
      </c>
      <c r="P483" s="165">
        <v>17.09</v>
      </c>
      <c r="Q483" s="157" t="s">
        <v>2021</v>
      </c>
      <c r="R483" s="109" t="s">
        <v>327</v>
      </c>
      <c r="S483" s="110">
        <v>30551.07</v>
      </c>
      <c r="T483" s="93">
        <v>14685.110000000002</v>
      </c>
      <c r="U483" s="141"/>
      <c r="V483" s="158">
        <f t="shared" si="287"/>
        <v>0</v>
      </c>
      <c r="W483" s="159">
        <v>45729.563194444447</v>
      </c>
      <c r="X483" s="159">
        <v>45736.375694444447</v>
      </c>
      <c r="Y483" s="160">
        <v>45730</v>
      </c>
      <c r="Z483" s="470"/>
      <c r="AA483" s="470"/>
      <c r="AB483" s="470"/>
      <c r="AC483" s="161">
        <f t="shared" si="288"/>
        <v>-45729.563194444447</v>
      </c>
      <c r="AD483" s="161">
        <f t="shared" si="281"/>
        <v>-45736.375694444447</v>
      </c>
      <c r="AE483" s="446">
        <f t="shared" si="311"/>
        <v>0</v>
      </c>
      <c r="AF483" s="160">
        <f t="shared" si="282"/>
        <v>45741.563194444447</v>
      </c>
      <c r="AG483" s="160">
        <f t="shared" si="279"/>
        <v>45748.563194444447</v>
      </c>
      <c r="AH483" s="159">
        <f t="shared" si="283"/>
        <v>45779.563194444447</v>
      </c>
      <c r="AI483" s="162">
        <f t="shared" si="289"/>
        <v>-2286.4781597222218</v>
      </c>
      <c r="AJ483" s="224">
        <f t="shared" si="284"/>
        <v>0</v>
      </c>
      <c r="AK483" s="225">
        <f t="shared" si="290"/>
        <v>20</v>
      </c>
      <c r="AL483" s="170">
        <f t="shared" si="291"/>
        <v>20</v>
      </c>
      <c r="AM483" s="170">
        <f t="shared" si="292"/>
        <v>15.000000000000002</v>
      </c>
      <c r="AN483" s="170">
        <f t="shared" si="293"/>
        <v>19</v>
      </c>
      <c r="AO483" s="226">
        <f t="shared" si="294"/>
        <v>12.000000000000002</v>
      </c>
      <c r="AP483" s="227">
        <v>60</v>
      </c>
      <c r="AQ483" s="228">
        <f t="shared" si="295"/>
        <v>57</v>
      </c>
      <c r="AR483" s="228">
        <f t="shared" si="280"/>
        <v>52</v>
      </c>
      <c r="AS483" s="229">
        <f t="shared" si="296"/>
        <v>60</v>
      </c>
      <c r="AT483" s="982">
        <f t="shared" ca="1" si="297"/>
        <v>45895</v>
      </c>
      <c r="AU483" s="50"/>
      <c r="AV483" s="51"/>
      <c r="AW483" s="49"/>
      <c r="AX483" s="49"/>
      <c r="AY483" s="49"/>
      <c r="AZ483" s="300"/>
      <c r="BA483" s="52"/>
      <c r="BB483" s="304"/>
      <c r="BC483" s="231"/>
      <c r="BD483" s="232"/>
      <c r="BE483" s="222">
        <f t="shared" si="312"/>
        <v>15</v>
      </c>
      <c r="BF483" s="233">
        <f t="shared" si="285"/>
        <v>0</v>
      </c>
      <c r="BG483" s="248"/>
      <c r="BH483" s="235"/>
      <c r="BI483" s="234"/>
      <c r="BJ483" s="236"/>
      <c r="BK483" s="222"/>
      <c r="BL483" s="222"/>
      <c r="BM483" s="238"/>
      <c r="BN483" s="222"/>
      <c r="BO483" s="222"/>
      <c r="BP483" s="243"/>
      <c r="BQ483" s="244"/>
      <c r="BR483" s="238"/>
      <c r="BS483" s="67"/>
      <c r="BT483" s="66"/>
      <c r="BU483" s="66"/>
      <c r="BV483" s="66"/>
      <c r="BW483" s="74"/>
      <c r="BX483" s="81"/>
      <c r="BY483" s="66"/>
      <c r="BZ483" s="944"/>
      <c r="CA483" s="42" t="str">
        <f t="shared" si="298"/>
        <v>0</v>
      </c>
      <c r="CB483" s="62">
        <f t="shared" si="299"/>
        <v>-45729.563194444447</v>
      </c>
      <c r="CC483" s="42">
        <f t="shared" si="300"/>
        <v>0</v>
      </c>
      <c r="CD483" s="62">
        <f t="shared" si="301"/>
        <v>-45729.563194444447</v>
      </c>
      <c r="CE483" s="62">
        <f t="shared" si="302"/>
        <v>-2286.4781597222218</v>
      </c>
      <c r="CF483" s="145" t="str">
        <f t="shared" si="303"/>
        <v>0</v>
      </c>
      <c r="CG483" s="145"/>
      <c r="CH483" s="443">
        <f t="shared" si="304"/>
        <v>6.9718402777776642</v>
      </c>
      <c r="CI483" s="996">
        <f t="shared" si="305"/>
        <v>6.9718402777776642</v>
      </c>
      <c r="CJ483" s="261">
        <f t="shared" si="306"/>
        <v>0</v>
      </c>
      <c r="CK483" s="458">
        <f t="shared" si="307"/>
        <v>126.43680555555329</v>
      </c>
      <c r="CL483" t="str">
        <f t="shared" si="308"/>
        <v>NON-REV</v>
      </c>
      <c r="CM483" t="str">
        <f t="shared" si="309"/>
        <v>4-6 MONTHS</v>
      </c>
      <c r="CN483" s="635"/>
      <c r="CO483" s="631"/>
      <c r="CP483" s="629" t="str">
        <f t="shared" si="286"/>
        <v>FOR ISSUANCE</v>
      </c>
      <c r="CQ483" s="635"/>
      <c r="CR483" s="697"/>
      <c r="CS483" s="633" t="str">
        <f t="shared" ca="1" si="310"/>
        <v>0</v>
      </c>
      <c r="CT483" s="635"/>
      <c r="CU483" s="631"/>
      <c r="CV483" s="638"/>
      <c r="CW483" s="156" t="s">
        <v>2750</v>
      </c>
      <c r="CX483" s="156" t="str">
        <f>VLOOKUP(E483,'[1]List of Work Orders'!$A:$I,9,FALSE)</f>
        <v>ME155242</v>
      </c>
      <c r="CY483" s="156"/>
      <c r="DA483" s="762">
        <f t="shared" si="278"/>
        <v>6.8125</v>
      </c>
      <c r="DS483" s="156" t="s">
        <v>397</v>
      </c>
    </row>
    <row r="484" spans="1:123" customFormat="1" ht="15" customHeight="1" x14ac:dyDescent="0.25">
      <c r="A484" s="242">
        <v>45740</v>
      </c>
      <c r="B484" s="222">
        <v>45733</v>
      </c>
      <c r="C484" s="223"/>
      <c r="D484" s="66" t="s">
        <v>284</v>
      </c>
      <c r="E484" s="404" t="s">
        <v>2751</v>
      </c>
      <c r="F484" s="95" t="s">
        <v>2752</v>
      </c>
      <c r="G484" s="95" t="s">
        <v>2753</v>
      </c>
      <c r="H484" s="95" t="s">
        <v>238</v>
      </c>
      <c r="I484" s="95" t="s">
        <v>239</v>
      </c>
      <c r="J484" s="163"/>
      <c r="K484" s="101"/>
      <c r="L484" s="101" t="s">
        <v>242</v>
      </c>
      <c r="M484" s="101" t="s">
        <v>272</v>
      </c>
      <c r="N484" s="442" t="s">
        <v>467</v>
      </c>
      <c r="O484" s="165">
        <v>49.665199999999999</v>
      </c>
      <c r="P484" s="933">
        <v>135.03</v>
      </c>
      <c r="Q484" s="157" t="s">
        <v>2021</v>
      </c>
      <c r="R484" s="109" t="s">
        <v>327</v>
      </c>
      <c r="S484" s="110">
        <v>212124.87</v>
      </c>
      <c r="T484" s="93">
        <v>48759.62</v>
      </c>
      <c r="U484" s="141"/>
      <c r="V484" s="158">
        <f t="shared" si="287"/>
        <v>0</v>
      </c>
      <c r="W484" s="159">
        <v>45729.564583333333</v>
      </c>
      <c r="X484" s="159">
        <v>45736.375694444447</v>
      </c>
      <c r="Y484" s="160">
        <v>45730</v>
      </c>
      <c r="Z484" s="470"/>
      <c r="AA484" s="470">
        <v>45822.617361111108</v>
      </c>
      <c r="AB484" s="470"/>
      <c r="AC484" s="161">
        <f t="shared" si="288"/>
        <v>93.052777777775191</v>
      </c>
      <c r="AD484" s="161">
        <f t="shared" si="281"/>
        <v>86.241666666661331</v>
      </c>
      <c r="AE484" s="446">
        <f t="shared" si="311"/>
        <v>-45822.617361111108</v>
      </c>
      <c r="AF484" s="160">
        <f t="shared" si="282"/>
        <v>45742.680285812668</v>
      </c>
      <c r="AG484" s="160">
        <f t="shared" si="279"/>
        <v>45749.977806473828</v>
      </c>
      <c r="AH484" s="159">
        <f t="shared" si="283"/>
        <v>45779.564583333333</v>
      </c>
      <c r="AI484" s="162">
        <f t="shared" si="289"/>
        <v>4.330533119657999</v>
      </c>
      <c r="AJ484" s="224">
        <f t="shared" si="284"/>
        <v>-763.71028935185177</v>
      </c>
      <c r="AK484" s="225">
        <f t="shared" si="290"/>
        <v>26</v>
      </c>
      <c r="AL484" s="170">
        <f t="shared" si="291"/>
        <v>20</v>
      </c>
      <c r="AM484" s="170">
        <f t="shared" si="292"/>
        <v>16.115702479338843</v>
      </c>
      <c r="AN484" s="170">
        <f t="shared" si="293"/>
        <v>20.41322314049587</v>
      </c>
      <c r="AO484" s="226">
        <f t="shared" si="294"/>
        <v>13.115702479338843</v>
      </c>
      <c r="AP484" s="227">
        <v>60</v>
      </c>
      <c r="AQ484" s="228">
        <f t="shared" si="295"/>
        <v>57</v>
      </c>
      <c r="AR484" s="228">
        <f t="shared" si="280"/>
        <v>52</v>
      </c>
      <c r="AS484" s="229">
        <f t="shared" si="296"/>
        <v>45882.617361111108</v>
      </c>
      <c r="AT484" s="982">
        <f t="shared" ca="1" si="297"/>
        <v>72.382638888891961</v>
      </c>
      <c r="AU484" s="50"/>
      <c r="AV484" s="51"/>
      <c r="AW484" s="49"/>
      <c r="AX484" s="49"/>
      <c r="AY484" s="49"/>
      <c r="AZ484" s="300"/>
      <c r="BA484" s="52"/>
      <c r="BB484" s="304"/>
      <c r="BC484" s="231" t="s">
        <v>12</v>
      </c>
      <c r="BD484" s="232"/>
      <c r="BE484" s="222">
        <f t="shared" si="312"/>
        <v>45837.617361111108</v>
      </c>
      <c r="BF484" s="233">
        <f t="shared" si="285"/>
        <v>-16.617361111108039</v>
      </c>
      <c r="BG484" s="248">
        <v>45832</v>
      </c>
      <c r="BH484" s="235">
        <v>45821</v>
      </c>
      <c r="BI484" s="234"/>
      <c r="BJ484" s="236"/>
      <c r="BK484" s="222"/>
      <c r="BL484" s="222"/>
      <c r="BM484" s="238"/>
      <c r="BN484" s="222"/>
      <c r="BO484" s="222"/>
      <c r="BP484" s="243"/>
      <c r="BQ484" s="244"/>
      <c r="BR484" s="238"/>
      <c r="BS484" s="67"/>
      <c r="BT484" s="66"/>
      <c r="BU484" s="66"/>
      <c r="BV484" s="66"/>
      <c r="BW484" s="74"/>
      <c r="BX484" s="81"/>
      <c r="BY484" s="66"/>
      <c r="BZ484" s="944"/>
      <c r="CA484" s="42" t="str">
        <f t="shared" si="298"/>
        <v>0</v>
      </c>
      <c r="CB484" s="62">
        <f t="shared" si="299"/>
        <v>93.052777777775191</v>
      </c>
      <c r="CC484" s="42">
        <f t="shared" si="300"/>
        <v>0</v>
      </c>
      <c r="CD484" s="62">
        <f t="shared" si="301"/>
        <v>93.052777777775191</v>
      </c>
      <c r="CE484" s="62">
        <f t="shared" si="302"/>
        <v>4.330533119657999</v>
      </c>
      <c r="CF484" s="145">
        <f t="shared" si="303"/>
        <v>46.382638888891961</v>
      </c>
      <c r="CG484" s="145"/>
      <c r="CH484" s="443">
        <f t="shared" si="304"/>
        <v>6.4891097756410483</v>
      </c>
      <c r="CI484" s="996">
        <f t="shared" si="305"/>
        <v>6.4891097756410483</v>
      </c>
      <c r="CJ484" s="261">
        <f t="shared" si="306"/>
        <v>0.77304398148153264</v>
      </c>
      <c r="CK484" s="458" t="str">
        <f t="shared" si="307"/>
        <v/>
      </c>
      <c r="CL484" t="str">
        <f t="shared" si="308"/>
        <v>NON-REV</v>
      </c>
      <c r="CM484" t="str">
        <f t="shared" si="309"/>
        <v/>
      </c>
      <c r="CN484" s="635"/>
      <c r="CO484" s="631"/>
      <c r="CP484" s="629" t="str">
        <f t="shared" si="286"/>
        <v>FOR ISSUANCE</v>
      </c>
      <c r="CQ484" s="635"/>
      <c r="CR484" s="697"/>
      <c r="CS484" s="633" t="str">
        <f t="shared" ca="1" si="310"/>
        <v>0</v>
      </c>
      <c r="CT484" s="635"/>
      <c r="CU484" s="631"/>
      <c r="CV484" s="638"/>
      <c r="CW484" s="156" t="s">
        <v>2754</v>
      </c>
      <c r="CX484" s="156" t="str">
        <f>VLOOKUP(E484,'[1]List of Work Orders'!$A:$I,9,FALSE)</f>
        <v>ME155242</v>
      </c>
      <c r="CY484" s="156"/>
      <c r="CZ484" s="63"/>
      <c r="DA484" s="762">
        <f t="shared" si="278"/>
        <v>6.8111111111138598</v>
      </c>
      <c r="DS484" s="442" t="s">
        <v>2238</v>
      </c>
    </row>
    <row r="485" spans="1:123" customFormat="1" ht="15" customHeight="1" x14ac:dyDescent="0.25">
      <c r="A485" s="66">
        <v>45742</v>
      </c>
      <c r="B485" s="222">
        <v>45733</v>
      </c>
      <c r="C485" s="223"/>
      <c r="D485" s="66" t="s">
        <v>320</v>
      </c>
      <c r="E485" s="404" t="s">
        <v>2755</v>
      </c>
      <c r="F485" s="95" t="s">
        <v>2756</v>
      </c>
      <c r="G485" s="95" t="s">
        <v>2757</v>
      </c>
      <c r="H485" s="344" t="s">
        <v>318</v>
      </c>
      <c r="I485" s="95" t="s">
        <v>239</v>
      </c>
      <c r="J485" s="163"/>
      <c r="K485" s="101"/>
      <c r="L485" s="101" t="s">
        <v>5</v>
      </c>
      <c r="M485" s="101" t="s">
        <v>272</v>
      </c>
      <c r="N485" s="442" t="s">
        <v>403</v>
      </c>
      <c r="O485" s="165">
        <v>36.669499999999985</v>
      </c>
      <c r="P485" s="933">
        <v>41.47</v>
      </c>
      <c r="Q485" s="157">
        <v>83</v>
      </c>
      <c r="R485" s="109" t="s">
        <v>244</v>
      </c>
      <c r="S485" s="110">
        <v>368913.31</v>
      </c>
      <c r="T485" s="93">
        <v>35655.359999999993</v>
      </c>
      <c r="U485" s="141"/>
      <c r="V485" s="158">
        <f t="shared" si="287"/>
        <v>0</v>
      </c>
      <c r="W485" s="159">
        <v>45729.6875</v>
      </c>
      <c r="X485" s="159">
        <v>45736.375694444447</v>
      </c>
      <c r="Y485" s="160">
        <v>45730</v>
      </c>
      <c r="Z485" s="470"/>
      <c r="AA485" s="470">
        <v>45784.393750000003</v>
      </c>
      <c r="AB485" s="470"/>
      <c r="AC485" s="161">
        <f t="shared" si="288"/>
        <v>54.70625000000291</v>
      </c>
      <c r="AD485" s="161">
        <f t="shared" si="281"/>
        <v>48.018055555556202</v>
      </c>
      <c r="AE485" s="446">
        <f t="shared" si="311"/>
        <v>-45784.393750000003</v>
      </c>
      <c r="AF485" s="160">
        <f t="shared" si="282"/>
        <v>45747.761880165286</v>
      </c>
      <c r="AG485" s="160">
        <f t="shared" si="279"/>
        <v>45756.381714876035</v>
      </c>
      <c r="AH485" s="159">
        <f t="shared" si="283"/>
        <v>45779.6875</v>
      </c>
      <c r="AI485" s="162">
        <f t="shared" si="289"/>
        <v>1.9468988970589272</v>
      </c>
      <c r="AJ485" s="224">
        <f t="shared" si="284"/>
        <v>-763.07322916666669</v>
      </c>
      <c r="AK485" s="225">
        <f t="shared" si="290"/>
        <v>20</v>
      </c>
      <c r="AL485" s="170">
        <f t="shared" si="291"/>
        <v>34</v>
      </c>
      <c r="AM485" s="170">
        <f t="shared" si="292"/>
        <v>21.074380165289259</v>
      </c>
      <c r="AN485" s="170">
        <f t="shared" si="293"/>
        <v>26.694214876033058</v>
      </c>
      <c r="AO485" s="226">
        <f t="shared" si="294"/>
        <v>18.074380165289259</v>
      </c>
      <c r="AP485" s="227">
        <v>60</v>
      </c>
      <c r="AQ485" s="228">
        <f t="shared" si="295"/>
        <v>57</v>
      </c>
      <c r="AR485" s="228">
        <f t="shared" si="280"/>
        <v>52</v>
      </c>
      <c r="AS485" s="229">
        <f t="shared" si="296"/>
        <v>45844.393750000003</v>
      </c>
      <c r="AT485" s="982">
        <f t="shared" ca="1" si="297"/>
        <v>110.60624999999709</v>
      </c>
      <c r="AU485" s="50"/>
      <c r="AV485" s="51"/>
      <c r="AW485" s="49"/>
      <c r="AX485" s="49"/>
      <c r="AY485" s="49"/>
      <c r="AZ485" s="300"/>
      <c r="BA485" s="52"/>
      <c r="BB485" s="304"/>
      <c r="BC485" s="231" t="s">
        <v>12</v>
      </c>
      <c r="BD485" s="232"/>
      <c r="BE485" s="222">
        <f t="shared" si="312"/>
        <v>45799.393750000003</v>
      </c>
      <c r="BF485" s="233">
        <f t="shared" si="285"/>
        <v>18.60624999999709</v>
      </c>
      <c r="BG485" s="248">
        <v>45784</v>
      </c>
      <c r="BH485" s="235">
        <v>45818</v>
      </c>
      <c r="BI485" s="234"/>
      <c r="BJ485" s="236"/>
      <c r="BK485" s="222"/>
      <c r="BL485" s="222"/>
      <c r="BM485" s="238"/>
      <c r="BN485" s="222"/>
      <c r="BO485" s="222"/>
      <c r="BP485" s="243"/>
      <c r="BQ485" s="244" t="s">
        <v>247</v>
      </c>
      <c r="BR485" s="238">
        <v>45784</v>
      </c>
      <c r="BS485" s="67"/>
      <c r="BT485" s="66"/>
      <c r="BU485" s="66"/>
      <c r="BV485" s="66"/>
      <c r="BW485" s="74"/>
      <c r="BX485" s="81"/>
      <c r="BY485" s="66">
        <v>45742</v>
      </c>
      <c r="BZ485" s="944" t="s">
        <v>2758</v>
      </c>
      <c r="CA485" s="42" t="str">
        <f t="shared" si="298"/>
        <v>0</v>
      </c>
      <c r="CB485" s="62">
        <f t="shared" si="299"/>
        <v>54.70625000000291</v>
      </c>
      <c r="CC485" s="42">
        <f t="shared" si="300"/>
        <v>0</v>
      </c>
      <c r="CD485" s="62">
        <f t="shared" si="301"/>
        <v>54.70625000000291</v>
      </c>
      <c r="CE485" s="62">
        <f t="shared" si="302"/>
        <v>1.9468988970589272</v>
      </c>
      <c r="CF485" s="145">
        <f t="shared" si="303"/>
        <v>84.60624999999709</v>
      </c>
      <c r="CG485" s="145"/>
      <c r="CH485" s="443">
        <f t="shared" si="304"/>
        <v>4.9578860294117648</v>
      </c>
      <c r="CI485" s="996">
        <f t="shared" si="305"/>
        <v>4.9578860294117648</v>
      </c>
      <c r="CJ485" s="261">
        <f t="shared" si="306"/>
        <v>1.4101041666666181</v>
      </c>
      <c r="CK485" s="458" t="str">
        <f t="shared" si="307"/>
        <v/>
      </c>
      <c r="CL485" t="str">
        <f t="shared" si="308"/>
        <v>REV</v>
      </c>
      <c r="CM485" t="str">
        <f t="shared" si="309"/>
        <v/>
      </c>
      <c r="CN485" s="635"/>
      <c r="CO485" s="631"/>
      <c r="CP485" s="629" t="str">
        <f t="shared" si="286"/>
        <v>FOR ISSUANCE</v>
      </c>
      <c r="CQ485" s="635"/>
      <c r="CR485" s="697"/>
      <c r="CS485" s="633" t="str">
        <f t="shared" ca="1" si="310"/>
        <v>0</v>
      </c>
      <c r="CT485" s="635"/>
      <c r="CU485" s="631"/>
      <c r="CV485" s="638"/>
      <c r="CW485" s="156" t="s">
        <v>2759</v>
      </c>
      <c r="CX485" s="156" t="str">
        <f>VLOOKUP(E485,'[1]List of Work Orders'!$A:$I,9,FALSE)</f>
        <v>ME166067</v>
      </c>
      <c r="CY485" s="156"/>
      <c r="DA485" s="762">
        <f t="shared" si="278"/>
        <v>6.6881944444467081</v>
      </c>
      <c r="DS485" s="156" t="s">
        <v>397</v>
      </c>
    </row>
    <row r="486" spans="1:123" customFormat="1" ht="15" customHeight="1" x14ac:dyDescent="0.25">
      <c r="A486" s="242">
        <v>45742</v>
      </c>
      <c r="B486" s="222">
        <v>45736</v>
      </c>
      <c r="C486" s="223"/>
      <c r="D486" s="66" t="s">
        <v>284</v>
      </c>
      <c r="E486" s="404" t="s">
        <v>2760</v>
      </c>
      <c r="F486" s="95" t="s">
        <v>2761</v>
      </c>
      <c r="G486" s="95" t="s">
        <v>2762</v>
      </c>
      <c r="H486" s="95" t="s">
        <v>253</v>
      </c>
      <c r="I486" s="95" t="s">
        <v>254</v>
      </c>
      <c r="J486" s="163"/>
      <c r="K486" s="101"/>
      <c r="L486" s="101" t="s">
        <v>263</v>
      </c>
      <c r="M486" s="101" t="s">
        <v>272</v>
      </c>
      <c r="N486" s="442" t="s">
        <v>467</v>
      </c>
      <c r="O486" s="165">
        <v>10.642799999999999</v>
      </c>
      <c r="P486" s="933">
        <v>13.24</v>
      </c>
      <c r="Q486" s="157">
        <v>24</v>
      </c>
      <c r="R486" s="109" t="s">
        <v>244</v>
      </c>
      <c r="S486" s="110">
        <v>139650.67000000001</v>
      </c>
      <c r="T486" s="93">
        <v>11374.740000000002</v>
      </c>
      <c r="U486" s="141"/>
      <c r="V486" s="158">
        <f t="shared" si="287"/>
        <v>0</v>
      </c>
      <c r="W486" s="159">
        <v>45730.670138888891</v>
      </c>
      <c r="X486" s="159">
        <v>45741.616666666669</v>
      </c>
      <c r="Y486" s="160">
        <v>45736</v>
      </c>
      <c r="Z486" s="470"/>
      <c r="AA486" s="470">
        <v>45777</v>
      </c>
      <c r="AB486" s="470"/>
      <c r="AC486" s="161">
        <f t="shared" si="288"/>
        <v>46.329861111109494</v>
      </c>
      <c r="AD486" s="161">
        <f t="shared" si="281"/>
        <v>35.383333333331393</v>
      </c>
      <c r="AE486" s="446">
        <f t="shared" si="311"/>
        <v>-45777</v>
      </c>
      <c r="AF486" s="160">
        <f t="shared" si="282"/>
        <v>45749.444332437277</v>
      </c>
      <c r="AG486" s="160">
        <f t="shared" si="279"/>
        <v>45758.250784050178</v>
      </c>
      <c r="AH486" s="159">
        <f t="shared" si="283"/>
        <v>45780.670138888891</v>
      </c>
      <c r="AI486" s="162">
        <f t="shared" si="289"/>
        <v>1.5958063271604379</v>
      </c>
      <c r="AJ486" s="224">
        <f t="shared" si="284"/>
        <v>-762.95</v>
      </c>
      <c r="AK486" s="225">
        <f t="shared" si="290"/>
        <v>20</v>
      </c>
      <c r="AL486" s="170">
        <f t="shared" si="291"/>
        <v>36</v>
      </c>
      <c r="AM486" s="170">
        <f t="shared" si="292"/>
        <v>21.774193548387096</v>
      </c>
      <c r="AN486" s="170">
        <f t="shared" si="293"/>
        <v>27.58064516129032</v>
      </c>
      <c r="AO486" s="226">
        <f t="shared" si="294"/>
        <v>18.774193548387096</v>
      </c>
      <c r="AP486" s="227">
        <v>60</v>
      </c>
      <c r="AQ486" s="228">
        <f t="shared" si="295"/>
        <v>57</v>
      </c>
      <c r="AR486" s="228">
        <f t="shared" si="280"/>
        <v>52</v>
      </c>
      <c r="AS486" s="229">
        <f t="shared" si="296"/>
        <v>45837</v>
      </c>
      <c r="AT486" s="982">
        <f t="shared" ca="1" si="297"/>
        <v>118</v>
      </c>
      <c r="AU486" s="50"/>
      <c r="AV486" s="51"/>
      <c r="AW486" s="49"/>
      <c r="AX486" s="49"/>
      <c r="AY486" s="49"/>
      <c r="AZ486" s="300"/>
      <c r="BA486" s="52"/>
      <c r="BB486" s="304"/>
      <c r="BC486" s="231" t="s">
        <v>13</v>
      </c>
      <c r="BD486" s="232"/>
      <c r="BE486" s="222">
        <f t="shared" si="312"/>
        <v>45792</v>
      </c>
      <c r="BF486" s="233" t="e">
        <f t="shared" si="285"/>
        <v>#VALUE!</v>
      </c>
      <c r="BG486" s="248"/>
      <c r="BH486" s="235"/>
      <c r="BI486" s="234"/>
      <c r="BJ486" s="236"/>
      <c r="BK486" s="222"/>
      <c r="BL486" s="222"/>
      <c r="BM486" s="238"/>
      <c r="BN486" s="222"/>
      <c r="BO486" s="222"/>
      <c r="BP486" s="243"/>
      <c r="BQ486" s="244" t="s">
        <v>247</v>
      </c>
      <c r="BR486" s="238">
        <v>45775</v>
      </c>
      <c r="BS486" s="67"/>
      <c r="BT486" s="66"/>
      <c r="BU486" s="66"/>
      <c r="BV486" s="66"/>
      <c r="BW486" s="74"/>
      <c r="BX486" s="81"/>
      <c r="BY486" s="66">
        <v>45742</v>
      </c>
      <c r="BZ486" s="944" t="s">
        <v>2763</v>
      </c>
      <c r="CA486" s="42" t="str">
        <f t="shared" si="298"/>
        <v>0</v>
      </c>
      <c r="CB486" s="62">
        <f t="shared" si="299"/>
        <v>46.329861111109494</v>
      </c>
      <c r="CC486" s="42">
        <f t="shared" si="300"/>
        <v>0</v>
      </c>
      <c r="CD486" s="62">
        <f t="shared" si="301"/>
        <v>46.329861111109494</v>
      </c>
      <c r="CE486" s="62">
        <f t="shared" si="302"/>
        <v>1.5958063271604379</v>
      </c>
      <c r="CF486" s="145">
        <f t="shared" si="303"/>
        <v>92</v>
      </c>
      <c r="CG486" s="145"/>
      <c r="CH486" s="443">
        <f t="shared" si="304"/>
        <v>4.7646952160493274</v>
      </c>
      <c r="CI486" s="996">
        <f t="shared" si="305"/>
        <v>4.7646952160493274</v>
      </c>
      <c r="CJ486" s="261">
        <f t="shared" si="306"/>
        <v>1.5333333333333334</v>
      </c>
      <c r="CK486" s="458" t="str">
        <f t="shared" si="307"/>
        <v/>
      </c>
      <c r="CL486" t="str">
        <f t="shared" si="308"/>
        <v>REV</v>
      </c>
      <c r="CM486" t="str">
        <f t="shared" si="309"/>
        <v/>
      </c>
      <c r="CN486" s="635"/>
      <c r="CO486" s="631"/>
      <c r="CP486" s="629" t="str">
        <f t="shared" si="286"/>
        <v>FOR ISSUANCE</v>
      </c>
      <c r="CQ486" s="635"/>
      <c r="CR486" s="697"/>
      <c r="CS486" s="633" t="str">
        <f t="shared" ca="1" si="310"/>
        <v>0</v>
      </c>
      <c r="CT486" s="635"/>
      <c r="CU486" s="631"/>
      <c r="CV486" s="638"/>
      <c r="CW486" s="156" t="s">
        <v>2764</v>
      </c>
      <c r="CX486" s="156" t="str">
        <f>VLOOKUP(E486,'[1]List of Work Orders'!$A:$I,9,FALSE)</f>
        <v>ME155242</v>
      </c>
      <c r="CY486" s="156"/>
      <c r="DA486" s="762">
        <f t="shared" si="278"/>
        <v>10.946527777778101</v>
      </c>
      <c r="DS486" s="156" t="s">
        <v>397</v>
      </c>
    </row>
    <row r="487" spans="1:123" customFormat="1" ht="15" customHeight="1" x14ac:dyDescent="0.25">
      <c r="A487" s="242">
        <v>45744</v>
      </c>
      <c r="B487" s="222">
        <v>45736</v>
      </c>
      <c r="C487" s="223"/>
      <c r="D487" s="66" t="s">
        <v>320</v>
      </c>
      <c r="E487" s="404" t="s">
        <v>2765</v>
      </c>
      <c r="F487" s="95" t="s">
        <v>2766</v>
      </c>
      <c r="G487" s="95" t="s">
        <v>2767</v>
      </c>
      <c r="H487" s="95" t="s">
        <v>378</v>
      </c>
      <c r="I487" s="95" t="s">
        <v>239</v>
      </c>
      <c r="J487" s="163"/>
      <c r="K487" s="101"/>
      <c r="L487" s="101" t="s">
        <v>242</v>
      </c>
      <c r="M487" s="101" t="s">
        <v>331</v>
      </c>
      <c r="N487" s="442" t="s">
        <v>467</v>
      </c>
      <c r="O487" s="165">
        <v>950.74769999999967</v>
      </c>
      <c r="P487" s="165">
        <v>1102.1099999999999</v>
      </c>
      <c r="Q487" s="157">
        <v>45</v>
      </c>
      <c r="R487" s="109" t="s">
        <v>244</v>
      </c>
      <c r="S487" s="110">
        <v>1710317.87</v>
      </c>
      <c r="T487" s="93">
        <v>627471.26999999932</v>
      </c>
      <c r="U487" s="141"/>
      <c r="V487" s="158">
        <f t="shared" si="287"/>
        <v>0</v>
      </c>
      <c r="W487" s="159">
        <v>45730.674305555556</v>
      </c>
      <c r="X487" s="159">
        <v>45741.618750000001</v>
      </c>
      <c r="Y487" s="160">
        <v>45736</v>
      </c>
      <c r="Z487" s="470"/>
      <c r="AA487" s="470"/>
      <c r="AB487" s="470"/>
      <c r="AC487" s="161">
        <f t="shared" si="288"/>
        <v>-45730.674305555556</v>
      </c>
      <c r="AD487" s="161">
        <f t="shared" si="281"/>
        <v>-45741.618750000001</v>
      </c>
      <c r="AE487" s="446">
        <f t="shared" si="311"/>
        <v>0</v>
      </c>
      <c r="AF487" s="160">
        <f t="shared" si="282"/>
        <v>45757.150288088305</v>
      </c>
      <c r="AG487" s="160">
        <f t="shared" si="279"/>
        <v>45768.010550097039</v>
      </c>
      <c r="AH487" s="159">
        <f t="shared" si="283"/>
        <v>45780.674305555556</v>
      </c>
      <c r="AI487" s="162">
        <f t="shared" si="289"/>
        <v>-1163.5916017746913</v>
      </c>
      <c r="AJ487" s="224">
        <f t="shared" si="284"/>
        <v>0</v>
      </c>
      <c r="AK487" s="225">
        <f t="shared" si="290"/>
        <v>50</v>
      </c>
      <c r="AL487" s="170">
        <f t="shared" si="291"/>
        <v>36</v>
      </c>
      <c r="AM487" s="170">
        <f t="shared" si="292"/>
        <v>29.475982532751093</v>
      </c>
      <c r="AN487" s="170">
        <f t="shared" si="293"/>
        <v>37.336244541484717</v>
      </c>
      <c r="AO487" s="226">
        <f t="shared" si="294"/>
        <v>26.475982532751093</v>
      </c>
      <c r="AP487" s="227">
        <v>60</v>
      </c>
      <c r="AQ487" s="228">
        <f t="shared" si="295"/>
        <v>57</v>
      </c>
      <c r="AR487" s="228">
        <f t="shared" si="280"/>
        <v>52</v>
      </c>
      <c r="AS487" s="229">
        <f t="shared" si="296"/>
        <v>60</v>
      </c>
      <c r="AT487" s="982">
        <f t="shared" ca="1" si="297"/>
        <v>45895</v>
      </c>
      <c r="AU487" s="50"/>
      <c r="AV487" s="51"/>
      <c r="AW487" s="49"/>
      <c r="AX487" s="49"/>
      <c r="AY487" s="49"/>
      <c r="AZ487" s="300"/>
      <c r="BA487" s="52"/>
      <c r="BB487" s="304"/>
      <c r="BC487" s="231"/>
      <c r="BD487" s="232"/>
      <c r="BE487" s="222">
        <f t="shared" si="312"/>
        <v>15</v>
      </c>
      <c r="BF487" s="233">
        <f t="shared" si="285"/>
        <v>0</v>
      </c>
      <c r="BG487" s="248"/>
      <c r="BH487" s="235"/>
      <c r="BI487" s="234"/>
      <c r="BJ487" s="236"/>
      <c r="BK487" s="222"/>
      <c r="BL487" s="222"/>
      <c r="BM487" s="238"/>
      <c r="BN487" s="222"/>
      <c r="BO487" s="222"/>
      <c r="BP487" s="243"/>
      <c r="BQ487" s="244"/>
      <c r="BR487" s="238"/>
      <c r="BS487" s="67"/>
      <c r="BT487" s="66"/>
      <c r="BU487" s="66"/>
      <c r="BV487" s="66"/>
      <c r="BW487" s="74"/>
      <c r="BX487" s="81"/>
      <c r="BY487" s="66"/>
      <c r="BZ487" s="944"/>
      <c r="CA487" s="42" t="str">
        <f t="shared" si="298"/>
        <v>0</v>
      </c>
      <c r="CB487" s="62">
        <f t="shared" si="299"/>
        <v>-45730.674305555556</v>
      </c>
      <c r="CC487" s="42">
        <f t="shared" si="300"/>
        <v>0</v>
      </c>
      <c r="CD487" s="62">
        <f t="shared" si="301"/>
        <v>-45730.674305555556</v>
      </c>
      <c r="CE487" s="62">
        <f t="shared" si="302"/>
        <v>-1163.5916017746913</v>
      </c>
      <c r="CF487" s="145" t="str">
        <f t="shared" si="303"/>
        <v>0</v>
      </c>
      <c r="CG487" s="145"/>
      <c r="CH487" s="443">
        <f t="shared" si="304"/>
        <v>3.5196204475308477</v>
      </c>
      <c r="CI487" s="996">
        <f t="shared" si="305"/>
        <v>3.5196204475308477</v>
      </c>
      <c r="CJ487" s="261">
        <f t="shared" si="306"/>
        <v>0</v>
      </c>
      <c r="CK487" s="458">
        <f t="shared" si="307"/>
        <v>125.3256944444438</v>
      </c>
      <c r="CL487" t="str">
        <f t="shared" si="308"/>
        <v>REV</v>
      </c>
      <c r="CM487" t="str">
        <f t="shared" si="309"/>
        <v>4-6 MONTHS</v>
      </c>
      <c r="CN487" s="635"/>
      <c r="CO487" s="631"/>
      <c r="CP487" s="629" t="str">
        <f t="shared" si="286"/>
        <v>FOR ISSUANCE</v>
      </c>
      <c r="CQ487" s="635"/>
      <c r="CR487" s="697"/>
      <c r="CS487" s="633" t="str">
        <f t="shared" ca="1" si="310"/>
        <v>0</v>
      </c>
      <c r="CT487" s="635"/>
      <c r="CU487" s="631"/>
      <c r="CV487" s="638"/>
      <c r="CW487" s="156" t="s">
        <v>2768</v>
      </c>
      <c r="CX487" s="156" t="str">
        <f>VLOOKUP(E487,'[1]List of Work Orders'!$A:$I,9,FALSE)</f>
        <v>ME155242</v>
      </c>
      <c r="CY487" s="156"/>
      <c r="CZ487" s="63"/>
      <c r="DA487" s="762">
        <f t="shared" si="278"/>
        <v>10.944444444445253</v>
      </c>
      <c r="DS487" s="156" t="s">
        <v>397</v>
      </c>
    </row>
    <row r="488" spans="1:123" customFormat="1" ht="15" customHeight="1" x14ac:dyDescent="0.25">
      <c r="A488" s="242">
        <v>45742</v>
      </c>
      <c r="B488" s="222">
        <v>45736</v>
      </c>
      <c r="C488" s="223"/>
      <c r="D488" s="66" t="s">
        <v>284</v>
      </c>
      <c r="E488" s="404" t="s">
        <v>2769</v>
      </c>
      <c r="F488" s="95" t="s">
        <v>2770</v>
      </c>
      <c r="G488" s="95" t="s">
        <v>1507</v>
      </c>
      <c r="H488" s="95" t="s">
        <v>253</v>
      </c>
      <c r="I488" s="95" t="s">
        <v>254</v>
      </c>
      <c r="J488" s="163"/>
      <c r="K488" s="101"/>
      <c r="L488" s="101" t="s">
        <v>263</v>
      </c>
      <c r="M488" s="101" t="s">
        <v>272</v>
      </c>
      <c r="N488" s="442" t="s">
        <v>467</v>
      </c>
      <c r="O488" s="165">
        <v>14.322800000000001</v>
      </c>
      <c r="P488" s="933">
        <v>40.53</v>
      </c>
      <c r="Q488" s="157">
        <v>54</v>
      </c>
      <c r="R488" s="109" t="s">
        <v>244</v>
      </c>
      <c r="S488" s="110">
        <v>373305.64</v>
      </c>
      <c r="T488" s="642">
        <v>34825.53</v>
      </c>
      <c r="U488" s="141"/>
      <c r="V488" s="158">
        <f t="shared" si="287"/>
        <v>0</v>
      </c>
      <c r="W488" s="159">
        <v>45733.518055555556</v>
      </c>
      <c r="X488" s="159">
        <v>45741.631944444445</v>
      </c>
      <c r="Y488" s="160">
        <v>45736</v>
      </c>
      <c r="Z488" s="470"/>
      <c r="AA488" s="470">
        <v>45777</v>
      </c>
      <c r="AB488" s="470"/>
      <c r="AC488" s="161">
        <f t="shared" si="288"/>
        <v>43.481944444443798</v>
      </c>
      <c r="AD488" s="161">
        <f t="shared" si="281"/>
        <v>35.368055555554747</v>
      </c>
      <c r="AE488" s="446">
        <f t="shared" si="311"/>
        <v>-45777</v>
      </c>
      <c r="AF488" s="160">
        <f t="shared" si="282"/>
        <v>45751.592435720842</v>
      </c>
      <c r="AG488" s="160">
        <f t="shared" si="279"/>
        <v>45760.212270431592</v>
      </c>
      <c r="AH488" s="159">
        <f t="shared" si="283"/>
        <v>45783.518055555556</v>
      </c>
      <c r="AI488" s="162">
        <f t="shared" si="289"/>
        <v>1.5474456699346173</v>
      </c>
      <c r="AJ488" s="224">
        <f t="shared" si="284"/>
        <v>-762.95</v>
      </c>
      <c r="AK488" s="225">
        <f t="shared" si="290"/>
        <v>20</v>
      </c>
      <c r="AL488" s="170">
        <f t="shared" si="291"/>
        <v>34</v>
      </c>
      <c r="AM488" s="170">
        <f t="shared" si="292"/>
        <v>21.074380165289259</v>
      </c>
      <c r="AN488" s="170">
        <f t="shared" si="293"/>
        <v>26.694214876033058</v>
      </c>
      <c r="AO488" s="226">
        <f t="shared" si="294"/>
        <v>18.074380165289259</v>
      </c>
      <c r="AP488" s="227">
        <v>60</v>
      </c>
      <c r="AQ488" s="228">
        <f t="shared" si="295"/>
        <v>57</v>
      </c>
      <c r="AR488" s="228">
        <f t="shared" si="280"/>
        <v>52</v>
      </c>
      <c r="AS488" s="229">
        <f t="shared" si="296"/>
        <v>45837</v>
      </c>
      <c r="AT488" s="982">
        <f t="shared" ca="1" si="297"/>
        <v>118</v>
      </c>
      <c r="AU488" s="50"/>
      <c r="AV488" s="51"/>
      <c r="AW488" s="49"/>
      <c r="AX488" s="49"/>
      <c r="AY488" s="49"/>
      <c r="AZ488" s="300"/>
      <c r="BA488" s="52"/>
      <c r="BB488" s="304"/>
      <c r="BC488" s="231" t="s">
        <v>13</v>
      </c>
      <c r="BD488" s="232"/>
      <c r="BE488" s="222">
        <f t="shared" si="312"/>
        <v>45792</v>
      </c>
      <c r="BF488" s="233" t="e">
        <f t="shared" si="285"/>
        <v>#VALUE!</v>
      </c>
      <c r="BG488" s="248"/>
      <c r="BH488" s="235"/>
      <c r="BI488" s="234"/>
      <c r="BJ488" s="236"/>
      <c r="BK488" s="222"/>
      <c r="BL488" s="222"/>
      <c r="BM488" s="238"/>
      <c r="BN488" s="222"/>
      <c r="BO488" s="222"/>
      <c r="BP488" s="243"/>
      <c r="BQ488" s="244" t="s">
        <v>247</v>
      </c>
      <c r="BR488" s="238">
        <v>45779</v>
      </c>
      <c r="BS488" s="67"/>
      <c r="BT488" s="66"/>
      <c r="BU488" s="66"/>
      <c r="BV488" s="66"/>
      <c r="BW488" s="74"/>
      <c r="BX488" s="81"/>
      <c r="BY488" s="66">
        <v>45742</v>
      </c>
      <c r="BZ488" s="944" t="s">
        <v>2771</v>
      </c>
      <c r="CA488" s="42" t="str">
        <f t="shared" si="298"/>
        <v>0</v>
      </c>
      <c r="CB488" s="62">
        <f t="shared" si="299"/>
        <v>43.481944444443798</v>
      </c>
      <c r="CC488" s="42">
        <f t="shared" si="300"/>
        <v>0</v>
      </c>
      <c r="CD488" s="62">
        <f t="shared" si="301"/>
        <v>43.481944444443798</v>
      </c>
      <c r="CE488" s="62">
        <f t="shared" si="302"/>
        <v>1.5474456699346173</v>
      </c>
      <c r="CF488" s="145">
        <f t="shared" si="303"/>
        <v>92</v>
      </c>
      <c r="CG488" s="145"/>
      <c r="CH488" s="443">
        <f t="shared" si="304"/>
        <v>4.8215633169934407</v>
      </c>
      <c r="CI488" s="996">
        <f t="shared" si="305"/>
        <v>4.8215633169934407</v>
      </c>
      <c r="CJ488" s="261">
        <f t="shared" si="306"/>
        <v>1.5333333333333334</v>
      </c>
      <c r="CK488" s="458" t="str">
        <f t="shared" si="307"/>
        <v/>
      </c>
      <c r="CL488" t="str">
        <f t="shared" si="308"/>
        <v>REV</v>
      </c>
      <c r="CM488" t="str">
        <f t="shared" si="309"/>
        <v/>
      </c>
      <c r="CN488" s="635"/>
      <c r="CO488" s="631"/>
      <c r="CP488" s="629" t="str">
        <f t="shared" si="286"/>
        <v>FOR ISSUANCE</v>
      </c>
      <c r="CQ488" s="635"/>
      <c r="CR488" s="697"/>
      <c r="CS488" s="633" t="str">
        <f t="shared" ca="1" si="310"/>
        <v>0</v>
      </c>
      <c r="CT488" s="635"/>
      <c r="CU488" s="631"/>
      <c r="CV488" s="638"/>
      <c r="CW488" s="156" t="s">
        <v>2772</v>
      </c>
      <c r="CX488" s="156" t="str">
        <f>VLOOKUP(E488,'[1]List of Work Orders'!$A:$I,9,FALSE)</f>
        <v>ME155242</v>
      </c>
      <c r="CY488" s="156"/>
      <c r="DA488" s="762">
        <f t="shared" si="278"/>
        <v>8.1138888888890506</v>
      </c>
      <c r="DS488" s="156" t="s">
        <v>397</v>
      </c>
    </row>
    <row r="489" spans="1:123" customFormat="1" ht="15" customHeight="1" x14ac:dyDescent="0.25">
      <c r="A489" s="242">
        <v>45747</v>
      </c>
      <c r="B489" s="222">
        <v>45736</v>
      </c>
      <c r="C489" s="223"/>
      <c r="D489" s="66" t="s">
        <v>320</v>
      </c>
      <c r="E489" s="404" t="s">
        <v>2773</v>
      </c>
      <c r="F489" s="95" t="s">
        <v>1193</v>
      </c>
      <c r="G489" s="95" t="s">
        <v>2774</v>
      </c>
      <c r="H489" s="95" t="s">
        <v>378</v>
      </c>
      <c r="I489" s="95" t="s">
        <v>239</v>
      </c>
      <c r="J489" s="163" t="s">
        <v>2775</v>
      </c>
      <c r="K489" s="101"/>
      <c r="L489" s="101" t="s">
        <v>288</v>
      </c>
      <c r="M489" s="101" t="s">
        <v>331</v>
      </c>
      <c r="N489" s="442" t="s">
        <v>381</v>
      </c>
      <c r="O489" s="165">
        <v>218.27819999999986</v>
      </c>
      <c r="P489" s="165">
        <v>1760.71</v>
      </c>
      <c r="Q489" s="157">
        <v>60</v>
      </c>
      <c r="R489" s="109" t="s">
        <v>244</v>
      </c>
      <c r="S489" s="110">
        <v>2078054.38</v>
      </c>
      <c r="T489" s="93">
        <v>253118.34</v>
      </c>
      <c r="U489" s="141"/>
      <c r="V489" s="158">
        <f t="shared" si="287"/>
        <v>0</v>
      </c>
      <c r="W489" s="159">
        <v>45735.449305555558</v>
      </c>
      <c r="X489" s="159">
        <v>45741.634027777778</v>
      </c>
      <c r="Y489" s="160">
        <v>45736</v>
      </c>
      <c r="Z489" s="470"/>
      <c r="AA489" s="470"/>
      <c r="AB489" s="470"/>
      <c r="AC489" s="161">
        <f t="shared" si="288"/>
        <v>-45735.449305555558</v>
      </c>
      <c r="AD489" s="161">
        <f t="shared" si="281"/>
        <v>-45741.634027777778</v>
      </c>
      <c r="AE489" s="446">
        <f t="shared" si="311"/>
        <v>0</v>
      </c>
      <c r="AF489" s="160">
        <f t="shared" si="282"/>
        <v>45760.657270157324</v>
      </c>
      <c r="AG489" s="160">
        <f t="shared" si="279"/>
        <v>45771.179394051134</v>
      </c>
      <c r="AH489" s="159">
        <f t="shared" si="283"/>
        <v>45785.449305555558</v>
      </c>
      <c r="AI489" s="162">
        <f t="shared" si="289"/>
        <v>-1216.0248874183005</v>
      </c>
      <c r="AJ489" s="224">
        <f t="shared" si="284"/>
        <v>0</v>
      </c>
      <c r="AK489" s="225">
        <f t="shared" si="290"/>
        <v>50</v>
      </c>
      <c r="AL489" s="170">
        <f t="shared" si="291"/>
        <v>34</v>
      </c>
      <c r="AM489" s="170">
        <f t="shared" si="292"/>
        <v>28.207964601769909</v>
      </c>
      <c r="AN489" s="170">
        <f t="shared" si="293"/>
        <v>35.730088495575217</v>
      </c>
      <c r="AO489" s="226">
        <f t="shared" si="294"/>
        <v>25.207964601769909</v>
      </c>
      <c r="AP489" s="227">
        <v>60</v>
      </c>
      <c r="AQ489" s="228">
        <f t="shared" si="295"/>
        <v>57</v>
      </c>
      <c r="AR489" s="228">
        <f t="shared" si="280"/>
        <v>52</v>
      </c>
      <c r="AS489" s="229">
        <f t="shared" si="296"/>
        <v>60</v>
      </c>
      <c r="AT489" s="982">
        <f t="shared" ca="1" si="297"/>
        <v>45895</v>
      </c>
      <c r="AU489" s="50"/>
      <c r="AV489" s="51"/>
      <c r="AW489" s="49"/>
      <c r="AX489" s="49"/>
      <c r="AY489" s="49"/>
      <c r="AZ489" s="300"/>
      <c r="BA489" s="52"/>
      <c r="BB489" s="304"/>
      <c r="BC489" s="231"/>
      <c r="BD489" s="232"/>
      <c r="BE489" s="222">
        <f t="shared" si="312"/>
        <v>15</v>
      </c>
      <c r="BF489" s="233">
        <f t="shared" si="285"/>
        <v>0</v>
      </c>
      <c r="BG489" s="248"/>
      <c r="BH489" s="235"/>
      <c r="BI489" s="234"/>
      <c r="BJ489" s="236"/>
      <c r="BK489" s="222"/>
      <c r="BL489" s="222"/>
      <c r="BM489" s="238"/>
      <c r="BN489" s="222"/>
      <c r="BO489" s="222"/>
      <c r="BP489" s="243"/>
      <c r="BQ489" s="244"/>
      <c r="BR489" s="238"/>
      <c r="BS489" s="67"/>
      <c r="BT489" s="66"/>
      <c r="BU489" s="66"/>
      <c r="BV489" s="66"/>
      <c r="BW489" s="74"/>
      <c r="BX489" s="81"/>
      <c r="BY489" s="66"/>
      <c r="BZ489" s="944"/>
      <c r="CA489" s="42" t="str">
        <f t="shared" si="298"/>
        <v>0</v>
      </c>
      <c r="CB489" s="62">
        <f t="shared" si="299"/>
        <v>-45735.449305555558</v>
      </c>
      <c r="CC489" s="42">
        <f t="shared" si="300"/>
        <v>0</v>
      </c>
      <c r="CD489" s="62">
        <f t="shared" si="301"/>
        <v>-45735.449305555558</v>
      </c>
      <c r="CE489" s="62">
        <f t="shared" si="302"/>
        <v>-1216.0248874183005</v>
      </c>
      <c r="CF489" s="145" t="str">
        <f t="shared" si="303"/>
        <v>0</v>
      </c>
      <c r="CG489" s="145"/>
      <c r="CH489" s="443">
        <f t="shared" si="304"/>
        <v>3.5508772875816437</v>
      </c>
      <c r="CI489" s="996">
        <f t="shared" si="305"/>
        <v>3.5508772875816437</v>
      </c>
      <c r="CJ489" s="261">
        <f t="shared" si="306"/>
        <v>0</v>
      </c>
      <c r="CK489" s="458">
        <f t="shared" si="307"/>
        <v>120.55069444444234</v>
      </c>
      <c r="CL489" t="str">
        <f t="shared" si="308"/>
        <v>REV</v>
      </c>
      <c r="CM489" t="str">
        <f t="shared" si="309"/>
        <v>4-6 MONTHS</v>
      </c>
      <c r="CN489" s="635"/>
      <c r="CO489" s="631"/>
      <c r="CP489" s="629" t="str">
        <f t="shared" si="286"/>
        <v>FOR ISSUANCE</v>
      </c>
      <c r="CQ489" s="635"/>
      <c r="CR489" s="697"/>
      <c r="CS489" s="633" t="str">
        <f t="shared" ca="1" si="310"/>
        <v>0</v>
      </c>
      <c r="CT489" s="635"/>
      <c r="CU489" s="631"/>
      <c r="CV489" s="638"/>
      <c r="CW489" s="156" t="s">
        <v>2776</v>
      </c>
      <c r="CX489" s="156" t="str">
        <f>VLOOKUP(E489,'[1]List of Work Orders'!$A:$I,9,FALSE)</f>
        <v>ME185284</v>
      </c>
      <c r="CY489" s="156"/>
      <c r="DA489" s="762">
        <f t="shared" si="278"/>
        <v>6.1847222222204437</v>
      </c>
      <c r="DS489" s="442" t="s">
        <v>381</v>
      </c>
    </row>
    <row r="490" spans="1:123" customFormat="1" ht="16.5" customHeight="1" x14ac:dyDescent="0.25">
      <c r="A490" s="242">
        <v>45747</v>
      </c>
      <c r="B490" s="222">
        <v>45736</v>
      </c>
      <c r="C490" s="223"/>
      <c r="D490" s="66" t="s">
        <v>320</v>
      </c>
      <c r="E490" s="404" t="s">
        <v>2777</v>
      </c>
      <c r="F490" s="95" t="s">
        <v>1193</v>
      </c>
      <c r="G490" s="95" t="s">
        <v>1194</v>
      </c>
      <c r="H490" s="95" t="s">
        <v>378</v>
      </c>
      <c r="I490" s="95" t="s">
        <v>239</v>
      </c>
      <c r="J490" s="163" t="s">
        <v>2775</v>
      </c>
      <c r="K490" s="101"/>
      <c r="L490" s="101" t="s">
        <v>288</v>
      </c>
      <c r="M490" s="101" t="s">
        <v>331</v>
      </c>
      <c r="N490" s="442" t="s">
        <v>381</v>
      </c>
      <c r="O490" s="165">
        <v>109.08740000000003</v>
      </c>
      <c r="P490" s="165">
        <v>257.64</v>
      </c>
      <c r="Q490" s="157">
        <v>60</v>
      </c>
      <c r="R490" s="109" t="s">
        <v>244</v>
      </c>
      <c r="S490" s="110">
        <v>963714.39</v>
      </c>
      <c r="T490" s="93">
        <v>111642.05000000002</v>
      </c>
      <c r="U490" s="141"/>
      <c r="V490" s="158">
        <f t="shared" si="287"/>
        <v>0</v>
      </c>
      <c r="W490" s="159">
        <v>45735.45208333333</v>
      </c>
      <c r="X490" s="159">
        <v>45741.632638888892</v>
      </c>
      <c r="Y490" s="160">
        <v>45736</v>
      </c>
      <c r="Z490" s="470"/>
      <c r="AA490" s="470"/>
      <c r="AB490" s="470"/>
      <c r="AC490" s="161">
        <f t="shared" si="288"/>
        <v>-45735.45208333333</v>
      </c>
      <c r="AD490" s="161">
        <f t="shared" si="281"/>
        <v>-45741.632638888892</v>
      </c>
      <c r="AE490" s="446">
        <f t="shared" si="311"/>
        <v>0</v>
      </c>
      <c r="AF490" s="160">
        <f t="shared" si="282"/>
        <v>45756.411814876956</v>
      </c>
      <c r="AG490" s="160">
        <f t="shared" si="279"/>
        <v>45765.801076621923</v>
      </c>
      <c r="AH490" s="159">
        <f t="shared" si="283"/>
        <v>45785.45208333333</v>
      </c>
      <c r="AI490" s="162">
        <f t="shared" si="289"/>
        <v>-1431.6349496673668</v>
      </c>
      <c r="AJ490" s="224">
        <f t="shared" si="284"/>
        <v>0</v>
      </c>
      <c r="AK490" s="225">
        <f t="shared" si="290"/>
        <v>28</v>
      </c>
      <c r="AL490" s="170">
        <f t="shared" si="291"/>
        <v>34</v>
      </c>
      <c r="AM490" s="170">
        <f t="shared" si="292"/>
        <v>23.959731543624162</v>
      </c>
      <c r="AN490" s="170">
        <f t="shared" si="293"/>
        <v>30.348993288590602</v>
      </c>
      <c r="AO490" s="226">
        <f t="shared" si="294"/>
        <v>20.959731543624162</v>
      </c>
      <c r="AP490" s="227">
        <v>60</v>
      </c>
      <c r="AQ490" s="228">
        <f t="shared" si="295"/>
        <v>57</v>
      </c>
      <c r="AR490" s="228">
        <f t="shared" si="280"/>
        <v>52</v>
      </c>
      <c r="AS490" s="229">
        <f t="shared" si="296"/>
        <v>60</v>
      </c>
      <c r="AT490" s="982">
        <f t="shared" ca="1" si="297"/>
        <v>45895</v>
      </c>
      <c r="AU490" s="50"/>
      <c r="AV490" s="51"/>
      <c r="AW490" s="49"/>
      <c r="AX490" s="49"/>
      <c r="AY490" s="49"/>
      <c r="AZ490" s="300"/>
      <c r="BA490" s="52"/>
      <c r="BB490" s="304"/>
      <c r="BC490" s="231"/>
      <c r="BD490" s="232"/>
      <c r="BE490" s="222">
        <f t="shared" si="312"/>
        <v>15</v>
      </c>
      <c r="BF490" s="233">
        <f t="shared" si="285"/>
        <v>0</v>
      </c>
      <c r="BG490" s="260"/>
      <c r="BH490" s="235"/>
      <c r="BI490" s="234"/>
      <c r="BJ490" s="236"/>
      <c r="BK490" s="222"/>
      <c r="BL490" s="222"/>
      <c r="BM490" s="238"/>
      <c r="BN490" s="222"/>
      <c r="BO490" s="222"/>
      <c r="BP490" s="243"/>
      <c r="BQ490" s="244"/>
      <c r="BR490" s="238"/>
      <c r="BS490" s="67"/>
      <c r="BT490" s="66"/>
      <c r="BU490" s="66"/>
      <c r="BV490" s="66"/>
      <c r="BW490" s="74"/>
      <c r="BX490" s="81"/>
      <c r="BY490" s="66"/>
      <c r="BZ490" s="944"/>
      <c r="CA490" s="42" t="str">
        <f t="shared" si="298"/>
        <v>0</v>
      </c>
      <c r="CB490" s="62">
        <f t="shared" si="299"/>
        <v>-45735.45208333333</v>
      </c>
      <c r="CC490" s="42">
        <f t="shared" si="300"/>
        <v>0</v>
      </c>
      <c r="CD490" s="62">
        <f t="shared" si="301"/>
        <v>-45735.45208333333</v>
      </c>
      <c r="CE490" s="62">
        <f t="shared" si="302"/>
        <v>-1431.6349496673668</v>
      </c>
      <c r="CF490" s="145" t="str">
        <f t="shared" si="303"/>
        <v>0</v>
      </c>
      <c r="CG490" s="145"/>
      <c r="CH490" s="443">
        <f t="shared" si="304"/>
        <v>4.1803864670869411</v>
      </c>
      <c r="CI490" s="996">
        <f t="shared" si="305"/>
        <v>4.1803864670869411</v>
      </c>
      <c r="CJ490" s="261">
        <f t="shared" si="306"/>
        <v>0</v>
      </c>
      <c r="CK490" s="458">
        <f t="shared" si="307"/>
        <v>120.54791666667006</v>
      </c>
      <c r="CL490" t="str">
        <f t="shared" si="308"/>
        <v>REV</v>
      </c>
      <c r="CM490" t="str">
        <f t="shared" si="309"/>
        <v>4-6 MONTHS</v>
      </c>
      <c r="CN490" s="635"/>
      <c r="CO490" s="631"/>
      <c r="CP490" s="629" t="str">
        <f t="shared" si="286"/>
        <v>FOR ISSUANCE</v>
      </c>
      <c r="CQ490" s="635"/>
      <c r="CR490" s="697"/>
      <c r="CS490" s="633" t="str">
        <f t="shared" ca="1" si="310"/>
        <v>0</v>
      </c>
      <c r="CT490" s="635"/>
      <c r="CU490" s="631"/>
      <c r="CV490" s="638"/>
      <c r="CW490" s="156" t="s">
        <v>2778</v>
      </c>
      <c r="CX490" s="156" t="str">
        <f>VLOOKUP(E490,'[1]List of Work Orders'!$A:$I,9,FALSE)</f>
        <v>ME185284</v>
      </c>
      <c r="CY490" s="156"/>
      <c r="DA490" s="762">
        <f t="shared" ref="DA490:DA553" si="313">X490-W490</f>
        <v>6.1805555555620231</v>
      </c>
      <c r="DS490" s="442" t="s">
        <v>381</v>
      </c>
    </row>
    <row r="491" spans="1:123" customFormat="1" ht="16.5" customHeight="1" x14ac:dyDescent="0.25">
      <c r="A491" s="242">
        <v>45762</v>
      </c>
      <c r="B491" s="222">
        <v>45736</v>
      </c>
      <c r="C491" s="223"/>
      <c r="D491" s="66" t="s">
        <v>320</v>
      </c>
      <c r="E491" s="404" t="s">
        <v>2779</v>
      </c>
      <c r="F491" s="95" t="s">
        <v>2780</v>
      </c>
      <c r="G491" s="95" t="s">
        <v>2781</v>
      </c>
      <c r="H491" s="344" t="s">
        <v>318</v>
      </c>
      <c r="I491" s="95" t="s">
        <v>239</v>
      </c>
      <c r="J491" s="163" t="s">
        <v>2782</v>
      </c>
      <c r="K491" s="101"/>
      <c r="L491" s="101" t="s">
        <v>5</v>
      </c>
      <c r="M491" s="101" t="s">
        <v>272</v>
      </c>
      <c r="N491" s="442" t="s">
        <v>403</v>
      </c>
      <c r="O491" s="165">
        <v>5.92</v>
      </c>
      <c r="P491" s="933">
        <v>75.959999999999994</v>
      </c>
      <c r="Q491" s="157">
        <v>76</v>
      </c>
      <c r="R491" s="109" t="s">
        <v>244</v>
      </c>
      <c r="S491" s="110">
        <v>153594.65</v>
      </c>
      <c r="T491" s="93">
        <v>65266.75</v>
      </c>
      <c r="U491" s="141"/>
      <c r="V491" s="158">
        <f t="shared" si="287"/>
        <v>0</v>
      </c>
      <c r="W491" s="159">
        <v>45735.459722222222</v>
      </c>
      <c r="X491" s="159">
        <v>45736.509027777778</v>
      </c>
      <c r="Y491" s="160">
        <v>45736</v>
      </c>
      <c r="Z491" s="470"/>
      <c r="AA491" s="470">
        <v>45743.354166666664</v>
      </c>
      <c r="AB491" s="470"/>
      <c r="AC491" s="161">
        <f t="shared" si="288"/>
        <v>7.8944444444423425</v>
      </c>
      <c r="AD491" s="161">
        <f t="shared" si="281"/>
        <v>6.8451388888861402</v>
      </c>
      <c r="AE491" s="446">
        <f t="shared" si="311"/>
        <v>-45743.354166666664</v>
      </c>
      <c r="AF491" s="160">
        <f t="shared" si="282"/>
        <v>45754.76010245036</v>
      </c>
      <c r="AG491" s="160">
        <f t="shared" si="279"/>
        <v>45763.706870511196</v>
      </c>
      <c r="AH491" s="159">
        <f t="shared" si="283"/>
        <v>45785.459722222222</v>
      </c>
      <c r="AI491" s="162">
        <f t="shared" si="289"/>
        <v>0.26550369423124498</v>
      </c>
      <c r="AJ491" s="224">
        <f t="shared" si="284"/>
        <v>-762.38923611111102</v>
      </c>
      <c r="AK491" s="225">
        <f t="shared" si="290"/>
        <v>23</v>
      </c>
      <c r="AL491" s="170">
        <f t="shared" si="291"/>
        <v>34</v>
      </c>
      <c r="AM491" s="170">
        <f t="shared" si="292"/>
        <v>22.300380228136884</v>
      </c>
      <c r="AN491" s="170">
        <f t="shared" si="293"/>
        <v>28.247148288973385</v>
      </c>
      <c r="AO491" s="226">
        <f t="shared" si="294"/>
        <v>19.300380228136884</v>
      </c>
      <c r="AP491" s="227">
        <v>60</v>
      </c>
      <c r="AQ491" s="228">
        <f t="shared" si="295"/>
        <v>57</v>
      </c>
      <c r="AR491" s="228">
        <f t="shared" si="280"/>
        <v>52</v>
      </c>
      <c r="AS491" s="229">
        <f t="shared" si="296"/>
        <v>45803.354166666664</v>
      </c>
      <c r="AT491" s="982">
        <f t="shared" ca="1" si="297"/>
        <v>151.64583333333576</v>
      </c>
      <c r="AU491" s="50"/>
      <c r="AV491" s="51"/>
      <c r="AW491" s="49"/>
      <c r="AX491" s="49"/>
      <c r="AY491" s="49"/>
      <c r="AZ491" s="300"/>
      <c r="BA491" s="52"/>
      <c r="BB491" s="304"/>
      <c r="BC491" s="231" t="s">
        <v>12</v>
      </c>
      <c r="BD491" s="641" t="s">
        <v>2783</v>
      </c>
      <c r="BE491" s="222">
        <f t="shared" si="312"/>
        <v>45758.354166666664</v>
      </c>
      <c r="BF491" s="233">
        <f t="shared" si="285"/>
        <v>4.6458333333357587</v>
      </c>
      <c r="BG491" s="260">
        <v>45743</v>
      </c>
      <c r="BH491" s="235">
        <v>45763</v>
      </c>
      <c r="BI491" s="234"/>
      <c r="BJ491" s="236"/>
      <c r="BK491" s="222"/>
      <c r="BL491" s="222"/>
      <c r="BM491" s="238"/>
      <c r="BN491" s="222"/>
      <c r="BO491" s="222"/>
      <c r="BP491" s="243"/>
      <c r="BQ491" s="244"/>
      <c r="BR491" s="238"/>
      <c r="BS491" s="67"/>
      <c r="BT491" s="66"/>
      <c r="BU491" s="66"/>
      <c r="BV491" s="66"/>
      <c r="BW491" s="74"/>
      <c r="BX491" s="81"/>
      <c r="BY491" s="66" t="s">
        <v>308</v>
      </c>
      <c r="BZ491" s="944"/>
      <c r="CA491" s="42" t="str">
        <f t="shared" si="298"/>
        <v>0</v>
      </c>
      <c r="CB491" s="62">
        <f t="shared" si="299"/>
        <v>7.8944444444423425</v>
      </c>
      <c r="CC491" s="42">
        <f t="shared" si="300"/>
        <v>0</v>
      </c>
      <c r="CD491" s="62">
        <f t="shared" si="301"/>
        <v>7.8944444444423425</v>
      </c>
      <c r="CE491" s="62">
        <f t="shared" si="302"/>
        <v>0.26550369423124498</v>
      </c>
      <c r="CF491" s="145">
        <f t="shared" si="303"/>
        <v>125.64583333333576</v>
      </c>
      <c r="CG491" s="145"/>
      <c r="CH491" s="443">
        <f t="shared" si="304"/>
        <v>4.4911883702756574</v>
      </c>
      <c r="CI491" s="996">
        <f t="shared" si="305"/>
        <v>4.4911883702756574</v>
      </c>
      <c r="CJ491" s="261">
        <f t="shared" si="306"/>
        <v>2.0940972222222625</v>
      </c>
      <c r="CK491" s="458" t="str">
        <f t="shared" si="307"/>
        <v/>
      </c>
      <c r="CL491" t="str">
        <f t="shared" si="308"/>
        <v>REV</v>
      </c>
      <c r="CM491" t="str">
        <f t="shared" si="309"/>
        <v/>
      </c>
      <c r="CN491" s="635"/>
      <c r="CO491" s="631"/>
      <c r="CP491" s="629" t="str">
        <f t="shared" si="286"/>
        <v>FOR ISSUANCE</v>
      </c>
      <c r="CQ491" s="635"/>
      <c r="CR491" s="697"/>
      <c r="CS491" s="633" t="str">
        <f t="shared" ca="1" si="310"/>
        <v>0</v>
      </c>
      <c r="CT491" s="635"/>
      <c r="CU491" s="631"/>
      <c r="CV491" s="638"/>
      <c r="CW491" s="156" t="s">
        <v>2784</v>
      </c>
      <c r="CX491" s="156" t="str">
        <f>VLOOKUP(E491,'[1]List of Work Orders'!$A:$I,9,FALSE)</f>
        <v>ME166067</v>
      </c>
      <c r="CY491" s="156"/>
      <c r="DA491" s="762">
        <f t="shared" si="313"/>
        <v>1.0493055555562023</v>
      </c>
      <c r="DS491" s="442" t="s">
        <v>403</v>
      </c>
    </row>
    <row r="492" spans="1:123" customFormat="1" ht="15" customHeight="1" x14ac:dyDescent="0.25">
      <c r="A492" s="242">
        <v>45747</v>
      </c>
      <c r="B492" s="222">
        <v>45736</v>
      </c>
      <c r="C492" s="223"/>
      <c r="D492" s="66" t="s">
        <v>320</v>
      </c>
      <c r="E492" s="404" t="s">
        <v>2785</v>
      </c>
      <c r="F492" s="95" t="s">
        <v>2786</v>
      </c>
      <c r="G492" s="95" t="s">
        <v>566</v>
      </c>
      <c r="H492" s="95" t="s">
        <v>238</v>
      </c>
      <c r="I492" s="95" t="s">
        <v>239</v>
      </c>
      <c r="J492" s="163"/>
      <c r="K492" s="101"/>
      <c r="L492" s="101" t="s">
        <v>242</v>
      </c>
      <c r="M492" s="101" t="s">
        <v>256</v>
      </c>
      <c r="N492" s="442" t="s">
        <v>467</v>
      </c>
      <c r="O492" s="165">
        <v>1.86</v>
      </c>
      <c r="P492" s="933">
        <v>4.3499999999999996</v>
      </c>
      <c r="Q492" s="157">
        <v>12</v>
      </c>
      <c r="R492" s="109" t="s">
        <v>244</v>
      </c>
      <c r="S492" s="110">
        <v>20856.59</v>
      </c>
      <c r="T492" s="93">
        <v>3737.67</v>
      </c>
      <c r="U492" s="141"/>
      <c r="V492" s="158">
        <f t="shared" si="287"/>
        <v>0</v>
      </c>
      <c r="W492" s="159">
        <v>45735.716666666667</v>
      </c>
      <c r="X492" s="159">
        <v>45741.632638888892</v>
      </c>
      <c r="Y492" s="160">
        <v>45736</v>
      </c>
      <c r="Z492" s="470"/>
      <c r="AA492" s="470">
        <v>45762</v>
      </c>
      <c r="AB492" s="470">
        <v>45860.82708333333</v>
      </c>
      <c r="AC492" s="161">
        <f t="shared" si="288"/>
        <v>26.283333333332848</v>
      </c>
      <c r="AD492" s="161">
        <f t="shared" si="281"/>
        <v>20.367361111108039</v>
      </c>
      <c r="AE492" s="446">
        <f t="shared" si="311"/>
        <v>98.827083333329938</v>
      </c>
      <c r="AF492" s="160">
        <f t="shared" si="282"/>
        <v>45754.490860215054</v>
      </c>
      <c r="AG492" s="160">
        <f t="shared" si="279"/>
        <v>45763.297311827955</v>
      </c>
      <c r="AH492" s="159">
        <f t="shared" si="283"/>
        <v>45785.716666666667</v>
      </c>
      <c r="AI492" s="162">
        <f t="shared" si="289"/>
        <v>0.90531481481479803</v>
      </c>
      <c r="AJ492" s="224">
        <f t="shared" si="284"/>
        <v>1.6471180555554989</v>
      </c>
      <c r="AK492" s="225">
        <f t="shared" si="290"/>
        <v>20</v>
      </c>
      <c r="AL492" s="170">
        <f t="shared" si="291"/>
        <v>36</v>
      </c>
      <c r="AM492" s="170">
        <f t="shared" si="292"/>
        <v>21.774193548387096</v>
      </c>
      <c r="AN492" s="170">
        <f t="shared" si="293"/>
        <v>27.58064516129032</v>
      </c>
      <c r="AO492" s="226">
        <f t="shared" si="294"/>
        <v>18.774193548387096</v>
      </c>
      <c r="AP492" s="227">
        <v>60</v>
      </c>
      <c r="AQ492" s="228">
        <f t="shared" si="295"/>
        <v>57</v>
      </c>
      <c r="AR492" s="228">
        <f t="shared" si="280"/>
        <v>52</v>
      </c>
      <c r="AS492" s="229">
        <f t="shared" si="296"/>
        <v>45822</v>
      </c>
      <c r="AT492" s="982">
        <f t="shared" ca="1" si="297"/>
        <v>133</v>
      </c>
      <c r="AU492" s="50"/>
      <c r="AV492" s="51"/>
      <c r="AW492" s="49"/>
      <c r="AX492" s="49"/>
      <c r="AY492" s="49"/>
      <c r="AZ492" s="300"/>
      <c r="BA492" s="52"/>
      <c r="BB492" s="304"/>
      <c r="BC492" s="231" t="s">
        <v>14</v>
      </c>
      <c r="BD492" s="232"/>
      <c r="BE492" s="222">
        <f t="shared" si="312"/>
        <v>45777</v>
      </c>
      <c r="BF492" s="233">
        <f t="shared" si="285"/>
        <v>14</v>
      </c>
      <c r="BG492" s="260">
        <v>45753</v>
      </c>
      <c r="BH492" s="235">
        <v>45791</v>
      </c>
      <c r="BI492" s="234">
        <v>45820</v>
      </c>
      <c r="BJ492" s="236" t="s">
        <v>245</v>
      </c>
      <c r="BK492" s="222" t="s">
        <v>246</v>
      </c>
      <c r="BL492" s="222"/>
      <c r="BM492" s="238"/>
      <c r="BN492" s="222"/>
      <c r="BO492" s="222">
        <v>45856</v>
      </c>
      <c r="BP492" s="243" t="s">
        <v>1084</v>
      </c>
      <c r="BQ492" s="244" t="s">
        <v>247</v>
      </c>
      <c r="BR492" s="238">
        <v>45754</v>
      </c>
      <c r="BS492" s="67"/>
      <c r="BT492" s="66"/>
      <c r="BU492" s="66"/>
      <c r="BV492" s="66"/>
      <c r="BW492" s="74"/>
      <c r="BX492" s="81"/>
      <c r="BY492" s="66"/>
      <c r="BZ492" s="944"/>
      <c r="CA492" s="42" t="str">
        <f t="shared" si="298"/>
        <v>0</v>
      </c>
      <c r="CB492" s="62">
        <f t="shared" si="299"/>
        <v>26.283333333332848</v>
      </c>
      <c r="CC492" s="42">
        <f t="shared" si="300"/>
        <v>0</v>
      </c>
      <c r="CD492" s="62">
        <f t="shared" si="301"/>
        <v>26.283333333332848</v>
      </c>
      <c r="CE492" s="62">
        <f t="shared" si="302"/>
        <v>0.90531481481479803</v>
      </c>
      <c r="CF492" s="145">
        <f t="shared" si="303"/>
        <v>107</v>
      </c>
      <c r="CG492" s="145"/>
      <c r="CH492" s="443">
        <f t="shared" si="304"/>
        <v>4.5908703703703537</v>
      </c>
      <c r="CI492" s="996">
        <f t="shared" si="305"/>
        <v>4.5908703703703537</v>
      </c>
      <c r="CJ492" s="261">
        <f t="shared" si="306"/>
        <v>1.7833333333333334</v>
      </c>
      <c r="CK492" s="458" t="str">
        <f t="shared" si="307"/>
        <v/>
      </c>
      <c r="CL492" t="str">
        <f t="shared" si="308"/>
        <v>REV</v>
      </c>
      <c r="CM492" t="str">
        <f t="shared" si="309"/>
        <v/>
      </c>
      <c r="CN492" s="635"/>
      <c r="CO492" s="631"/>
      <c r="CP492" s="629" t="str">
        <f t="shared" si="286"/>
        <v>FOR ISSUANCE</v>
      </c>
      <c r="CQ492" s="635"/>
      <c r="CR492" s="697"/>
      <c r="CS492" s="633" t="str">
        <f t="shared" ca="1" si="310"/>
        <v>0</v>
      </c>
      <c r="CT492" s="635"/>
      <c r="CU492" s="631"/>
      <c r="CV492" s="638"/>
      <c r="CW492" s="156" t="s">
        <v>2787</v>
      </c>
      <c r="CX492" s="156" t="str">
        <f>VLOOKUP(E492,'[1]List of Work Orders'!$A:$I,9,FALSE)</f>
        <v>ME155242</v>
      </c>
      <c r="CY492" s="156"/>
      <c r="CZ492" s="63"/>
      <c r="DA492" s="762">
        <f t="shared" si="313"/>
        <v>5.9159722222248092</v>
      </c>
      <c r="DS492" s="442" t="s">
        <v>403</v>
      </c>
    </row>
    <row r="493" spans="1:123" customFormat="1" ht="15" customHeight="1" x14ac:dyDescent="0.25">
      <c r="A493" s="242">
        <v>45747</v>
      </c>
      <c r="B493" s="222">
        <v>45742</v>
      </c>
      <c r="C493" s="223" t="s">
        <v>247</v>
      </c>
      <c r="D493" s="66" t="s">
        <v>284</v>
      </c>
      <c r="E493" s="404" t="s">
        <v>2788</v>
      </c>
      <c r="F493" s="155" t="s">
        <v>2789</v>
      </c>
      <c r="G493" s="95" t="s">
        <v>2790</v>
      </c>
      <c r="H493" s="95" t="s">
        <v>269</v>
      </c>
      <c r="I493" s="95" t="s">
        <v>239</v>
      </c>
      <c r="J493" s="163"/>
      <c r="K493" s="101"/>
      <c r="L493" s="101" t="s">
        <v>5</v>
      </c>
      <c r="M493" s="101" t="s">
        <v>272</v>
      </c>
      <c r="N493" s="442" t="s">
        <v>403</v>
      </c>
      <c r="O493" s="165">
        <v>42.445499999999996</v>
      </c>
      <c r="P493" s="933">
        <v>134.28</v>
      </c>
      <c r="Q493" s="157">
        <v>77</v>
      </c>
      <c r="R493" s="109" t="s">
        <v>244</v>
      </c>
      <c r="S493" s="110">
        <v>395516.39</v>
      </c>
      <c r="T493" s="93">
        <v>48111.19</v>
      </c>
      <c r="U493" s="141"/>
      <c r="V493" s="158">
        <f t="shared" si="287"/>
        <v>0</v>
      </c>
      <c r="W493" s="159">
        <v>45736.634722222225</v>
      </c>
      <c r="X493" s="159">
        <v>45744.44027777778</v>
      </c>
      <c r="Y493" s="160">
        <v>45742</v>
      </c>
      <c r="Z493" s="470">
        <v>45819</v>
      </c>
      <c r="AA493" s="470">
        <v>45819</v>
      </c>
      <c r="AB493" s="470"/>
      <c r="AC493" s="161">
        <f t="shared" si="288"/>
        <v>82.365277777775191</v>
      </c>
      <c r="AD493" s="161">
        <f t="shared" si="281"/>
        <v>74.559722222220444</v>
      </c>
      <c r="AE493" s="446">
        <f t="shared" si="311"/>
        <v>-45819</v>
      </c>
      <c r="AF493" s="160">
        <f t="shared" si="282"/>
        <v>45756.979792644757</v>
      </c>
      <c r="AG493" s="160">
        <f t="shared" ref="AG493:AG556" si="314">W493+AN493</f>
        <v>45766.205144757434</v>
      </c>
      <c r="AH493" s="159">
        <f t="shared" si="283"/>
        <v>45786.634722222225</v>
      </c>
      <c r="AI493" s="162">
        <f t="shared" si="289"/>
        <v>2.6461243086977548</v>
      </c>
      <c r="AJ493" s="224">
        <f t="shared" si="284"/>
        <v>-763.65</v>
      </c>
      <c r="AK493" s="225">
        <f t="shared" si="290"/>
        <v>26</v>
      </c>
      <c r="AL493" s="170">
        <f t="shared" si="291"/>
        <v>34</v>
      </c>
      <c r="AM493" s="170">
        <f t="shared" si="292"/>
        <v>23.345070422535212</v>
      </c>
      <c r="AN493" s="170">
        <f t="shared" si="293"/>
        <v>29.570422535211268</v>
      </c>
      <c r="AO493" s="226">
        <f t="shared" si="294"/>
        <v>20.345070422535212</v>
      </c>
      <c r="AP493" s="227">
        <v>60</v>
      </c>
      <c r="AQ493" s="228">
        <f t="shared" si="295"/>
        <v>57</v>
      </c>
      <c r="AR493" s="228">
        <f t="shared" ref="AR493:AR556" si="315">AQ493-5</f>
        <v>52</v>
      </c>
      <c r="AS493" s="229">
        <f t="shared" si="296"/>
        <v>45879</v>
      </c>
      <c r="AT493" s="982">
        <f t="shared" ca="1" si="297"/>
        <v>76</v>
      </c>
      <c r="AU493" s="50"/>
      <c r="AV493" s="51"/>
      <c r="AW493" s="49"/>
      <c r="AX493" s="49"/>
      <c r="AY493" s="49"/>
      <c r="AZ493" s="300"/>
      <c r="BA493" s="52"/>
      <c r="BB493" s="304"/>
      <c r="BC493" s="231" t="s">
        <v>12</v>
      </c>
      <c r="BD493" s="232"/>
      <c r="BE493" s="222">
        <f t="shared" si="312"/>
        <v>45834</v>
      </c>
      <c r="BF493" s="233">
        <f t="shared" si="285"/>
        <v>13</v>
      </c>
      <c r="BG493" s="260">
        <v>45819</v>
      </c>
      <c r="BH493" s="235">
        <v>45847</v>
      </c>
      <c r="BI493" s="234"/>
      <c r="BJ493" s="236"/>
      <c r="BK493" s="222"/>
      <c r="BL493" s="222"/>
      <c r="BM493" s="238"/>
      <c r="BN493" s="222"/>
      <c r="BO493" s="222"/>
      <c r="BP493" s="243"/>
      <c r="BQ493" s="244" t="s">
        <v>247</v>
      </c>
      <c r="BR493" s="238">
        <v>45800</v>
      </c>
      <c r="BS493" s="68"/>
      <c r="BT493" s="69"/>
      <c r="BU493" s="69"/>
      <c r="BV493" s="69"/>
      <c r="BW493" s="75"/>
      <c r="BX493" s="81"/>
      <c r="BY493" s="66"/>
      <c r="BZ493" s="944"/>
      <c r="CA493" s="42" t="str">
        <f t="shared" si="298"/>
        <v>0</v>
      </c>
      <c r="CB493" s="62">
        <f t="shared" si="299"/>
        <v>82.365277777775191</v>
      </c>
      <c r="CC493" s="42">
        <f t="shared" si="300"/>
        <v>0</v>
      </c>
      <c r="CD493" s="62">
        <f t="shared" si="301"/>
        <v>82.365277777775191</v>
      </c>
      <c r="CE493" s="62">
        <f t="shared" si="302"/>
        <v>2.6461243086977548</v>
      </c>
      <c r="CF493" s="145">
        <f t="shared" si="303"/>
        <v>50</v>
      </c>
      <c r="CG493" s="145"/>
      <c r="CH493" s="443">
        <f t="shared" si="304"/>
        <v>4.2524591503267137</v>
      </c>
      <c r="CI493" s="996">
        <f t="shared" si="305"/>
        <v>4.2524591503267137</v>
      </c>
      <c r="CJ493" s="261">
        <f t="shared" si="306"/>
        <v>0.83333333333333337</v>
      </c>
      <c r="CK493" s="458" t="str">
        <f t="shared" si="307"/>
        <v/>
      </c>
      <c r="CL493" t="str">
        <f t="shared" si="308"/>
        <v>REV</v>
      </c>
      <c r="CM493" t="str">
        <f t="shared" si="309"/>
        <v/>
      </c>
      <c r="CN493" s="635"/>
      <c r="CO493" s="631"/>
      <c r="CP493" s="629" t="str">
        <f t="shared" si="286"/>
        <v>FOR ISSUANCE</v>
      </c>
      <c r="CQ493" s="635"/>
      <c r="CR493" s="697"/>
      <c r="CS493" s="633" t="str">
        <f t="shared" ca="1" si="310"/>
        <v>0</v>
      </c>
      <c r="CT493" s="635"/>
      <c r="CU493" s="631"/>
      <c r="CV493" s="638"/>
      <c r="CW493" s="156" t="s">
        <v>2791</v>
      </c>
      <c r="CX493" s="156" t="str">
        <f>VLOOKUP(E493,'[1]List of Work Orders'!$A:$I,9,FALSE)</f>
        <v>ME185284</v>
      </c>
      <c r="CY493" s="156"/>
      <c r="DA493" s="762">
        <f t="shared" si="313"/>
        <v>7.8055555555547471</v>
      </c>
      <c r="DS493" s="156" t="s">
        <v>397</v>
      </c>
    </row>
    <row r="494" spans="1:123" customFormat="1" ht="15" customHeight="1" x14ac:dyDescent="0.25">
      <c r="A494" s="242"/>
      <c r="B494" s="222">
        <v>45742</v>
      </c>
      <c r="C494" s="223"/>
      <c r="D494" s="66" t="s">
        <v>320</v>
      </c>
      <c r="E494" s="404" t="s">
        <v>2792</v>
      </c>
      <c r="F494" s="155" t="s">
        <v>2793</v>
      </c>
      <c r="G494" s="95" t="s">
        <v>2794</v>
      </c>
      <c r="H494" s="95" t="s">
        <v>253</v>
      </c>
      <c r="I494" s="95" t="s">
        <v>254</v>
      </c>
      <c r="J494" s="163"/>
      <c r="K494" s="101"/>
      <c r="L494" s="101" t="s">
        <v>263</v>
      </c>
      <c r="M494" s="101" t="s">
        <v>272</v>
      </c>
      <c r="N494" s="442" t="s">
        <v>467</v>
      </c>
      <c r="O494" s="165">
        <v>13.4041</v>
      </c>
      <c r="P494" s="933">
        <v>16.68</v>
      </c>
      <c r="Q494" s="157" t="s">
        <v>2021</v>
      </c>
      <c r="R494" s="109" t="s">
        <v>327</v>
      </c>
      <c r="S494" s="110">
        <v>38725.93</v>
      </c>
      <c r="T494" s="93">
        <v>14335.24</v>
      </c>
      <c r="U494" s="141"/>
      <c r="V494" s="158">
        <f t="shared" si="287"/>
        <v>0</v>
      </c>
      <c r="W494" s="159">
        <v>45736.65902777778</v>
      </c>
      <c r="X494" s="159">
        <v>45744.441666666666</v>
      </c>
      <c r="Y494" s="160">
        <v>45742</v>
      </c>
      <c r="Z494" s="470"/>
      <c r="AA494" s="470">
        <v>45799</v>
      </c>
      <c r="AB494" s="470"/>
      <c r="AC494" s="161">
        <f t="shared" si="288"/>
        <v>62.340972222220444</v>
      </c>
      <c r="AD494" s="161">
        <f t="shared" ref="AD494:AD557" si="316">AA494-X494</f>
        <v>54.558333333334303</v>
      </c>
      <c r="AE494" s="446">
        <f t="shared" si="311"/>
        <v>-45799</v>
      </c>
      <c r="AF494" s="160">
        <f t="shared" ref="AF494:AF557" si="317">W494+AO494</f>
        <v>45748.65902777778</v>
      </c>
      <c r="AG494" s="160">
        <f t="shared" si="314"/>
        <v>45755.65902777778</v>
      </c>
      <c r="AH494" s="159">
        <f t="shared" ref="AH494:AH557" si="318">W494+50</f>
        <v>45786.65902777778</v>
      </c>
      <c r="AI494" s="162">
        <f t="shared" si="289"/>
        <v>3.1170486111110218</v>
      </c>
      <c r="AJ494" s="224">
        <f t="shared" ref="AJ494:AJ557" si="319">AE494/AP494</f>
        <v>-763.31666666666672</v>
      </c>
      <c r="AK494" s="225">
        <f t="shared" si="290"/>
        <v>20</v>
      </c>
      <c r="AL494" s="170">
        <f t="shared" si="291"/>
        <v>20</v>
      </c>
      <c r="AM494" s="170">
        <f t="shared" si="292"/>
        <v>15.000000000000002</v>
      </c>
      <c r="AN494" s="170">
        <f t="shared" si="293"/>
        <v>19</v>
      </c>
      <c r="AO494" s="226">
        <f t="shared" si="294"/>
        <v>12.000000000000002</v>
      </c>
      <c r="AP494" s="227">
        <v>60</v>
      </c>
      <c r="AQ494" s="228">
        <f t="shared" si="295"/>
        <v>57</v>
      </c>
      <c r="AR494" s="228">
        <f t="shared" si="315"/>
        <v>52</v>
      </c>
      <c r="AS494" s="229">
        <f t="shared" si="296"/>
        <v>45859</v>
      </c>
      <c r="AT494" s="982">
        <f t="shared" ca="1" si="297"/>
        <v>96</v>
      </c>
      <c r="AU494" s="50"/>
      <c r="AV494" s="51"/>
      <c r="AW494" s="49"/>
      <c r="AX494" s="49"/>
      <c r="AY494" s="49"/>
      <c r="AZ494" s="300"/>
      <c r="BA494" s="52"/>
      <c r="BB494" s="304"/>
      <c r="BC494" s="231" t="s">
        <v>13</v>
      </c>
      <c r="BD494" s="232"/>
      <c r="BE494" s="222">
        <f t="shared" si="312"/>
        <v>45814</v>
      </c>
      <c r="BF494" s="233" t="e">
        <f t="shared" si="285"/>
        <v>#VALUE!</v>
      </c>
      <c r="BG494" s="260"/>
      <c r="BH494" s="235"/>
      <c r="BI494" s="234"/>
      <c r="BJ494" s="236"/>
      <c r="BK494" s="222"/>
      <c r="BL494" s="222"/>
      <c r="BM494" s="238"/>
      <c r="BN494" s="222"/>
      <c r="BO494" s="222"/>
      <c r="BP494" s="243"/>
      <c r="BQ494" s="244"/>
      <c r="BR494" s="238"/>
      <c r="BS494" s="67"/>
      <c r="BT494" s="66"/>
      <c r="BU494" s="66"/>
      <c r="BV494" s="66"/>
      <c r="BW494" s="74"/>
      <c r="BX494" s="81"/>
      <c r="BY494" s="66"/>
      <c r="BZ494" s="944"/>
      <c r="CA494" s="42" t="str">
        <f t="shared" si="298"/>
        <v>0</v>
      </c>
      <c r="CB494" s="62">
        <f t="shared" si="299"/>
        <v>62.340972222220444</v>
      </c>
      <c r="CC494" s="42">
        <f t="shared" si="300"/>
        <v>0</v>
      </c>
      <c r="CD494" s="62">
        <f t="shared" si="301"/>
        <v>62.340972222220444</v>
      </c>
      <c r="CE494" s="62">
        <f t="shared" si="302"/>
        <v>3.1170486111110218</v>
      </c>
      <c r="CF494" s="145">
        <f t="shared" si="303"/>
        <v>70</v>
      </c>
      <c r="CG494" s="145"/>
      <c r="CH494" s="443">
        <f t="shared" si="304"/>
        <v>6.6170486111110209</v>
      </c>
      <c r="CI494" s="996">
        <f t="shared" si="305"/>
        <v>6.6170486111110209</v>
      </c>
      <c r="CJ494" s="261">
        <f t="shared" si="306"/>
        <v>1.1666666666666667</v>
      </c>
      <c r="CK494" s="458" t="str">
        <f t="shared" si="307"/>
        <v/>
      </c>
      <c r="CL494" t="str">
        <f t="shared" si="308"/>
        <v>NON-REV</v>
      </c>
      <c r="CM494" t="str">
        <f t="shared" si="309"/>
        <v/>
      </c>
      <c r="CN494" s="635"/>
      <c r="CO494" s="631"/>
      <c r="CP494" s="629" t="str">
        <f t="shared" si="286"/>
        <v>FOR ISSUANCE</v>
      </c>
      <c r="CQ494" s="635"/>
      <c r="CR494" s="697"/>
      <c r="CS494" s="633" t="str">
        <f t="shared" ca="1" si="310"/>
        <v>0</v>
      </c>
      <c r="CT494" s="635"/>
      <c r="CU494" s="631"/>
      <c r="CV494" s="638"/>
      <c r="CW494" s="156" t="s">
        <v>2795</v>
      </c>
      <c r="CX494" s="156" t="str">
        <f>VLOOKUP(E494,'[1]List of Work Orders'!$A:$I,9,FALSE)</f>
        <v>ME155242</v>
      </c>
      <c r="CY494" s="156"/>
      <c r="DA494" s="762">
        <f t="shared" si="313"/>
        <v>7.7826388888861402</v>
      </c>
      <c r="DS494" s="156" t="s">
        <v>397</v>
      </c>
    </row>
    <row r="495" spans="1:123" customFormat="1" ht="16.5" customHeight="1" x14ac:dyDescent="0.25">
      <c r="A495" s="242">
        <v>45747</v>
      </c>
      <c r="B495" s="222">
        <v>45742</v>
      </c>
      <c r="C495" s="223"/>
      <c r="D495" s="66" t="s">
        <v>320</v>
      </c>
      <c r="E495" s="404" t="s">
        <v>2796</v>
      </c>
      <c r="F495" s="155" t="s">
        <v>2797</v>
      </c>
      <c r="G495" s="95" t="s">
        <v>2798</v>
      </c>
      <c r="H495" s="344" t="s">
        <v>318</v>
      </c>
      <c r="I495" s="95" t="s">
        <v>239</v>
      </c>
      <c r="J495" s="163"/>
      <c r="K495" s="101"/>
      <c r="L495" s="101" t="s">
        <v>5</v>
      </c>
      <c r="M495" s="101" t="s">
        <v>272</v>
      </c>
      <c r="N495" s="442" t="s">
        <v>403</v>
      </c>
      <c r="O495" s="165">
        <v>59.212099999999992</v>
      </c>
      <c r="P495" s="933">
        <v>71.459999999999994</v>
      </c>
      <c r="Q495" s="157">
        <v>80</v>
      </c>
      <c r="R495" s="109" t="s">
        <v>244</v>
      </c>
      <c r="S495" s="110">
        <v>427747.65</v>
      </c>
      <c r="T495" s="93">
        <v>61024.149999999987</v>
      </c>
      <c r="U495" s="141"/>
      <c r="V495" s="158">
        <f t="shared" si="287"/>
        <v>0</v>
      </c>
      <c r="W495" s="159">
        <v>45737.410416666666</v>
      </c>
      <c r="X495" s="159">
        <v>45744.444444444445</v>
      </c>
      <c r="Y495" s="160">
        <v>45742</v>
      </c>
      <c r="Z495" s="470"/>
      <c r="AA495" s="470">
        <v>45792.690972222219</v>
      </c>
      <c r="AB495" s="470"/>
      <c r="AC495" s="161">
        <f t="shared" si="288"/>
        <v>55.280555555553292</v>
      </c>
      <c r="AD495" s="161">
        <f t="shared" si="316"/>
        <v>48.246527777773736</v>
      </c>
      <c r="AE495" s="446">
        <f t="shared" si="311"/>
        <v>-45792.690972222219</v>
      </c>
      <c r="AF495" s="160">
        <f t="shared" si="317"/>
        <v>45756.710796894804</v>
      </c>
      <c r="AG495" s="160">
        <f t="shared" si="314"/>
        <v>45765.65756495564</v>
      </c>
      <c r="AH495" s="159">
        <f t="shared" si="318"/>
        <v>45787.410416666666</v>
      </c>
      <c r="AI495" s="162">
        <f t="shared" si="289"/>
        <v>1.8591798096049252</v>
      </c>
      <c r="AJ495" s="224">
        <f t="shared" si="319"/>
        <v>-763.2115162037037</v>
      </c>
      <c r="AK495" s="225">
        <f t="shared" si="290"/>
        <v>23</v>
      </c>
      <c r="AL495" s="170">
        <f t="shared" si="291"/>
        <v>34</v>
      </c>
      <c r="AM495" s="170">
        <f t="shared" si="292"/>
        <v>22.300380228136884</v>
      </c>
      <c r="AN495" s="170">
        <f t="shared" si="293"/>
        <v>28.247148288973385</v>
      </c>
      <c r="AO495" s="226">
        <f t="shared" si="294"/>
        <v>19.300380228136884</v>
      </c>
      <c r="AP495" s="227">
        <v>60</v>
      </c>
      <c r="AQ495" s="228">
        <f t="shared" si="295"/>
        <v>57</v>
      </c>
      <c r="AR495" s="228">
        <f t="shared" si="315"/>
        <v>52</v>
      </c>
      <c r="AS495" s="229">
        <f t="shared" si="296"/>
        <v>45852.690972222219</v>
      </c>
      <c r="AT495" s="982">
        <f t="shared" ca="1" si="297"/>
        <v>102.30902777778101</v>
      </c>
      <c r="AU495" s="50"/>
      <c r="AV495" s="51"/>
      <c r="AW495" s="49"/>
      <c r="AX495" s="49"/>
      <c r="AY495" s="49"/>
      <c r="AZ495" s="300"/>
      <c r="BA495" s="52"/>
      <c r="BB495" s="304"/>
      <c r="BC495" s="231" t="s">
        <v>12</v>
      </c>
      <c r="BD495" s="232"/>
      <c r="BE495" s="222">
        <f t="shared" si="312"/>
        <v>45807.690972222219</v>
      </c>
      <c r="BF495" s="233">
        <f t="shared" si="285"/>
        <v>10.309027777781012</v>
      </c>
      <c r="BG495" s="91">
        <v>45792</v>
      </c>
      <c r="BH495" s="235">
        <v>45818</v>
      </c>
      <c r="BI495" s="234"/>
      <c r="BJ495" s="236"/>
      <c r="BK495" s="222"/>
      <c r="BL495" s="222"/>
      <c r="BM495" s="238"/>
      <c r="BN495" s="222"/>
      <c r="BO495" s="222"/>
      <c r="BP495" s="243"/>
      <c r="BQ495" s="244" t="s">
        <v>247</v>
      </c>
      <c r="BR495" s="238">
        <v>45791</v>
      </c>
      <c r="BS495" s="67"/>
      <c r="BT495" s="66"/>
      <c r="BU495" s="66"/>
      <c r="BV495" s="66"/>
      <c r="BW495" s="74"/>
      <c r="BX495" s="81"/>
      <c r="BY495" s="66"/>
      <c r="BZ495" s="944"/>
      <c r="CA495" s="42" t="str">
        <f t="shared" si="298"/>
        <v>0</v>
      </c>
      <c r="CB495" s="62">
        <f t="shared" si="299"/>
        <v>55.280555555553292</v>
      </c>
      <c r="CC495" s="42">
        <f t="shared" si="300"/>
        <v>0</v>
      </c>
      <c r="CD495" s="62">
        <f t="shared" si="301"/>
        <v>55.280555555553292</v>
      </c>
      <c r="CE495" s="62">
        <f t="shared" si="302"/>
        <v>1.8591798096049252</v>
      </c>
      <c r="CF495" s="145">
        <f t="shared" si="303"/>
        <v>76.309027777781012</v>
      </c>
      <c r="CG495" s="145"/>
      <c r="CH495" s="443">
        <f t="shared" si="304"/>
        <v>4.4255831734868183</v>
      </c>
      <c r="CI495" s="996">
        <f t="shared" si="305"/>
        <v>4.4255831734868183</v>
      </c>
      <c r="CJ495" s="261">
        <f t="shared" si="306"/>
        <v>1.2718171296296836</v>
      </c>
      <c r="CK495" s="458" t="str">
        <f t="shared" si="307"/>
        <v/>
      </c>
      <c r="CL495" t="str">
        <f t="shared" si="308"/>
        <v>REV</v>
      </c>
      <c r="CM495" t="str">
        <f t="shared" si="309"/>
        <v/>
      </c>
      <c r="CN495" s="635"/>
      <c r="CO495" s="631"/>
      <c r="CP495" s="629" t="str">
        <f t="shared" si="286"/>
        <v>FOR ISSUANCE</v>
      </c>
      <c r="CQ495" s="635"/>
      <c r="CR495" s="697"/>
      <c r="CS495" s="633" t="str">
        <f t="shared" ca="1" si="310"/>
        <v>0</v>
      </c>
      <c r="CT495" s="635"/>
      <c r="CU495" s="631"/>
      <c r="CV495" s="638"/>
      <c r="CW495" s="156" t="s">
        <v>2799</v>
      </c>
      <c r="CX495" s="156" t="str">
        <f>VLOOKUP(E495,'[1]List of Work Orders'!$A:$I,9,FALSE)</f>
        <v>ME166067</v>
      </c>
      <c r="CY495" s="156"/>
      <c r="DA495" s="762">
        <f t="shared" si="313"/>
        <v>7.0340277777795563</v>
      </c>
      <c r="DS495" s="156" t="s">
        <v>397</v>
      </c>
    </row>
    <row r="496" spans="1:123" customFormat="1" ht="15" customHeight="1" x14ac:dyDescent="0.25">
      <c r="A496" s="242">
        <v>45755</v>
      </c>
      <c r="B496" s="222">
        <v>45742</v>
      </c>
      <c r="C496" s="223"/>
      <c r="D496" s="66" t="s">
        <v>320</v>
      </c>
      <c r="E496" s="404" t="s">
        <v>2800</v>
      </c>
      <c r="F496" s="155" t="s">
        <v>1245</v>
      </c>
      <c r="G496" s="95" t="s">
        <v>1246</v>
      </c>
      <c r="H496" s="95" t="s">
        <v>253</v>
      </c>
      <c r="I496" s="95" t="s">
        <v>254</v>
      </c>
      <c r="J496" s="163"/>
      <c r="K496" s="101"/>
      <c r="L496" s="101" t="s">
        <v>263</v>
      </c>
      <c r="M496" s="101" t="s">
        <v>272</v>
      </c>
      <c r="N496" s="442" t="s">
        <v>467</v>
      </c>
      <c r="O496" s="165">
        <v>8.370000000000001</v>
      </c>
      <c r="P496" s="933">
        <v>13.64</v>
      </c>
      <c r="Q496" s="157">
        <v>1.5</v>
      </c>
      <c r="R496" s="109" t="s">
        <v>244</v>
      </c>
      <c r="S496" s="110">
        <v>27968.07</v>
      </c>
      <c r="T496" s="93">
        <v>11720.04</v>
      </c>
      <c r="U496" s="141"/>
      <c r="V496" s="158">
        <f t="shared" si="287"/>
        <v>0</v>
      </c>
      <c r="W496" s="159">
        <v>45737.518750000003</v>
      </c>
      <c r="X496" s="159">
        <v>45744.447222222225</v>
      </c>
      <c r="Y496" s="160">
        <v>45742</v>
      </c>
      <c r="Z496" s="470"/>
      <c r="AA496" s="470">
        <v>45801</v>
      </c>
      <c r="AB496" s="470"/>
      <c r="AC496" s="161">
        <f t="shared" si="288"/>
        <v>63.48124999999709</v>
      </c>
      <c r="AD496" s="161">
        <f t="shared" si="316"/>
        <v>56.552777777775191</v>
      </c>
      <c r="AE496" s="446">
        <f t="shared" si="311"/>
        <v>-45801</v>
      </c>
      <c r="AF496" s="160">
        <f t="shared" si="317"/>
        <v>45756.292943548389</v>
      </c>
      <c r="AG496" s="160">
        <f t="shared" si="314"/>
        <v>45765.099395161291</v>
      </c>
      <c r="AH496" s="159">
        <f t="shared" si="318"/>
        <v>45787.518750000003</v>
      </c>
      <c r="AI496" s="162">
        <f t="shared" si="289"/>
        <v>2.1865763888887884</v>
      </c>
      <c r="AJ496" s="224">
        <f t="shared" si="319"/>
        <v>-763.35</v>
      </c>
      <c r="AK496" s="225">
        <f t="shared" si="290"/>
        <v>20</v>
      </c>
      <c r="AL496" s="170">
        <f t="shared" si="291"/>
        <v>36</v>
      </c>
      <c r="AM496" s="170">
        <f t="shared" si="292"/>
        <v>21.774193548387096</v>
      </c>
      <c r="AN496" s="170">
        <f t="shared" si="293"/>
        <v>27.58064516129032</v>
      </c>
      <c r="AO496" s="226">
        <f t="shared" si="294"/>
        <v>18.774193548387096</v>
      </c>
      <c r="AP496" s="227">
        <v>60</v>
      </c>
      <c r="AQ496" s="228">
        <f t="shared" si="295"/>
        <v>57</v>
      </c>
      <c r="AR496" s="228">
        <f t="shared" si="315"/>
        <v>52</v>
      </c>
      <c r="AS496" s="229">
        <f t="shared" si="296"/>
        <v>45861</v>
      </c>
      <c r="AT496" s="982">
        <f t="shared" ca="1" si="297"/>
        <v>94</v>
      </c>
      <c r="AU496" s="50"/>
      <c r="AV496" s="51"/>
      <c r="AW496" s="49"/>
      <c r="AX496" s="49"/>
      <c r="AY496" s="49"/>
      <c r="AZ496" s="300"/>
      <c r="BA496" s="52"/>
      <c r="BB496" s="304"/>
      <c r="BC496" s="231" t="s">
        <v>13</v>
      </c>
      <c r="BD496" s="232"/>
      <c r="BE496" s="222">
        <f t="shared" si="312"/>
        <v>45816</v>
      </c>
      <c r="BF496" s="233" t="e">
        <f t="shared" si="285"/>
        <v>#VALUE!</v>
      </c>
      <c r="BG496" s="91"/>
      <c r="BH496" s="235"/>
      <c r="BI496" s="234"/>
      <c r="BJ496" s="236"/>
      <c r="BK496" s="222"/>
      <c r="BL496" s="222"/>
      <c r="BM496" s="238"/>
      <c r="BN496" s="222"/>
      <c r="BO496" s="222"/>
      <c r="BP496" s="243"/>
      <c r="BQ496" s="244" t="s">
        <v>247</v>
      </c>
      <c r="BR496" s="238">
        <v>45801</v>
      </c>
      <c r="BS496" s="68"/>
      <c r="BT496" s="69"/>
      <c r="BU496" s="69"/>
      <c r="BV496" s="69"/>
      <c r="BW496" s="75"/>
      <c r="BX496" s="81"/>
      <c r="BY496" s="66" t="s">
        <v>308</v>
      </c>
      <c r="BZ496" s="944"/>
      <c r="CA496" s="42" t="str">
        <f t="shared" si="298"/>
        <v>0</v>
      </c>
      <c r="CB496" s="62">
        <f t="shared" si="299"/>
        <v>63.48124999999709</v>
      </c>
      <c r="CC496" s="42">
        <f t="shared" si="300"/>
        <v>0</v>
      </c>
      <c r="CD496" s="62">
        <f t="shared" si="301"/>
        <v>63.48124999999709</v>
      </c>
      <c r="CE496" s="62">
        <f t="shared" si="302"/>
        <v>2.1865763888887884</v>
      </c>
      <c r="CF496" s="145">
        <f t="shared" si="303"/>
        <v>68</v>
      </c>
      <c r="CG496" s="145"/>
      <c r="CH496" s="443">
        <f t="shared" si="304"/>
        <v>4.5287986111110108</v>
      </c>
      <c r="CI496" s="996">
        <f t="shared" si="305"/>
        <v>4.5287986111110108</v>
      </c>
      <c r="CJ496" s="261">
        <f t="shared" si="306"/>
        <v>1.1333333333333333</v>
      </c>
      <c r="CK496" s="458" t="str">
        <f t="shared" si="307"/>
        <v/>
      </c>
      <c r="CL496" t="str">
        <f t="shared" si="308"/>
        <v>REV</v>
      </c>
      <c r="CM496" t="str">
        <f t="shared" si="309"/>
        <v/>
      </c>
      <c r="CN496" s="635"/>
      <c r="CO496" s="631"/>
      <c r="CP496" s="629" t="str">
        <f t="shared" si="286"/>
        <v>FOR ISSUANCE</v>
      </c>
      <c r="CQ496" s="635"/>
      <c r="CR496" s="697"/>
      <c r="CS496" s="633" t="str">
        <f t="shared" ca="1" si="310"/>
        <v>0</v>
      </c>
      <c r="CT496" s="635"/>
      <c r="CU496" s="631"/>
      <c r="CV496" s="638"/>
      <c r="CW496" s="156" t="s">
        <v>2801</v>
      </c>
      <c r="CX496" s="156" t="str">
        <f>VLOOKUP(E496,'[1]List of Work Orders'!$A:$I,9,FALSE)</f>
        <v>ME155242</v>
      </c>
      <c r="CY496" s="156"/>
      <c r="DA496" s="762">
        <f t="shared" si="313"/>
        <v>6.9284722222218988</v>
      </c>
      <c r="DS496" s="442" t="s">
        <v>403</v>
      </c>
    </row>
    <row r="497" spans="1:123" customFormat="1" ht="15" customHeight="1" x14ac:dyDescent="0.25">
      <c r="A497" s="242">
        <v>45744</v>
      </c>
      <c r="B497" s="222">
        <v>45742</v>
      </c>
      <c r="C497" s="223"/>
      <c r="D497" s="66" t="s">
        <v>234</v>
      </c>
      <c r="E497" s="404" t="s">
        <v>2802</v>
      </c>
      <c r="F497" s="155" t="s">
        <v>2803</v>
      </c>
      <c r="G497" s="95" t="s">
        <v>2026</v>
      </c>
      <c r="H497" s="95" t="s">
        <v>238</v>
      </c>
      <c r="I497" s="95" t="s">
        <v>239</v>
      </c>
      <c r="J497" s="163"/>
      <c r="K497" s="101"/>
      <c r="L497" s="101" t="s">
        <v>242</v>
      </c>
      <c r="M497" s="101" t="s">
        <v>272</v>
      </c>
      <c r="N497" s="442" t="s">
        <v>467</v>
      </c>
      <c r="O497" s="165">
        <v>88.070700000000016</v>
      </c>
      <c r="P497" s="933">
        <v>96.03</v>
      </c>
      <c r="Q497" s="157" t="s">
        <v>2021</v>
      </c>
      <c r="R497" s="109" t="s">
        <v>319</v>
      </c>
      <c r="S497" s="110">
        <v>81510.350000000006</v>
      </c>
      <c r="T497" s="93">
        <v>82512.060000000012</v>
      </c>
      <c r="U497" s="141"/>
      <c r="V497" s="158">
        <f t="shared" si="287"/>
        <v>0</v>
      </c>
      <c r="W497" s="159">
        <v>45740.587500000001</v>
      </c>
      <c r="X497" s="159">
        <v>45744.447916666664</v>
      </c>
      <c r="Y497" s="160">
        <v>45742</v>
      </c>
      <c r="Z497" s="470"/>
      <c r="AA497" s="470">
        <v>45769</v>
      </c>
      <c r="AB497" s="470"/>
      <c r="AC497" s="161">
        <f t="shared" si="288"/>
        <v>28.412499999998545</v>
      </c>
      <c r="AD497" s="161">
        <f t="shared" si="316"/>
        <v>24.552083333335759</v>
      </c>
      <c r="AE497" s="446">
        <f t="shared" si="311"/>
        <v>-45769</v>
      </c>
      <c r="AF497" s="160">
        <f t="shared" si="317"/>
        <v>45753.198359728507</v>
      </c>
      <c r="AG497" s="160">
        <f t="shared" si="314"/>
        <v>45760.361255656113</v>
      </c>
      <c r="AH497" s="159">
        <f t="shared" si="318"/>
        <v>45790.587500000001</v>
      </c>
      <c r="AI497" s="162">
        <f t="shared" si="289"/>
        <v>1.3650353260868866</v>
      </c>
      <c r="AJ497" s="224">
        <f t="shared" si="319"/>
        <v>-762.81666666666672</v>
      </c>
      <c r="AK497" s="225">
        <f t="shared" si="290"/>
        <v>23</v>
      </c>
      <c r="AL497" s="170">
        <f t="shared" si="291"/>
        <v>20</v>
      </c>
      <c r="AM497" s="170">
        <f t="shared" si="292"/>
        <v>15.610859728506789</v>
      </c>
      <c r="AN497" s="170">
        <f t="shared" si="293"/>
        <v>19.773755656108598</v>
      </c>
      <c r="AO497" s="226">
        <f t="shared" si="294"/>
        <v>12.610859728506789</v>
      </c>
      <c r="AP497" s="227">
        <v>60</v>
      </c>
      <c r="AQ497" s="228">
        <f t="shared" si="295"/>
        <v>57</v>
      </c>
      <c r="AR497" s="228">
        <f t="shared" si="315"/>
        <v>52</v>
      </c>
      <c r="AS497" s="229">
        <f t="shared" si="296"/>
        <v>45829</v>
      </c>
      <c r="AT497" s="982">
        <f t="shared" ca="1" si="297"/>
        <v>126</v>
      </c>
      <c r="AU497" s="50"/>
      <c r="AV497" s="51"/>
      <c r="AW497" s="49"/>
      <c r="AX497" s="49"/>
      <c r="AY497" s="49"/>
      <c r="AZ497" s="300"/>
      <c r="BA497" s="52"/>
      <c r="BB497" s="304"/>
      <c r="BC497" s="231" t="s">
        <v>13</v>
      </c>
      <c r="BD497" s="232"/>
      <c r="BE497" s="222">
        <f t="shared" si="312"/>
        <v>45784</v>
      </c>
      <c r="BF497" s="233" t="e">
        <f t="shared" si="285"/>
        <v>#VALUE!</v>
      </c>
      <c r="BG497" s="234"/>
      <c r="BH497" s="235"/>
      <c r="BI497" s="234"/>
      <c r="BJ497" s="236"/>
      <c r="BK497" s="222"/>
      <c r="BL497" s="222"/>
      <c r="BM497" s="238"/>
      <c r="BN497" s="222"/>
      <c r="BO497" s="222"/>
      <c r="BP497" s="243"/>
      <c r="BQ497" s="244"/>
      <c r="BR497" s="238"/>
      <c r="BS497" s="67"/>
      <c r="BT497" s="66"/>
      <c r="BU497" s="66"/>
      <c r="BV497" s="66"/>
      <c r="BW497" s="74"/>
      <c r="BX497" s="81"/>
      <c r="BY497" s="66"/>
      <c r="BZ497" s="944"/>
      <c r="CA497" s="42" t="str">
        <f t="shared" si="298"/>
        <v>0</v>
      </c>
      <c r="CB497" s="62">
        <f t="shared" si="299"/>
        <v>28.412499999998545</v>
      </c>
      <c r="CC497" s="42">
        <f t="shared" si="300"/>
        <v>0</v>
      </c>
      <c r="CD497" s="62">
        <f t="shared" si="301"/>
        <v>28.412499999998545</v>
      </c>
      <c r="CE497" s="62">
        <f t="shared" si="302"/>
        <v>1.3650353260868866</v>
      </c>
      <c r="CF497" s="145">
        <f t="shared" si="303"/>
        <v>100</v>
      </c>
      <c r="CG497" s="145"/>
      <c r="CH497" s="443">
        <f t="shared" si="304"/>
        <v>6.1693831521738423</v>
      </c>
      <c r="CI497" s="996">
        <f t="shared" si="305"/>
        <v>6.1693831521738423</v>
      </c>
      <c r="CJ497" s="261">
        <f t="shared" si="306"/>
        <v>1.6666666666666667</v>
      </c>
      <c r="CK497" s="458" t="str">
        <f t="shared" si="307"/>
        <v/>
      </c>
      <c r="CL497" t="str">
        <f t="shared" si="308"/>
        <v>NON-REV</v>
      </c>
      <c r="CM497" t="str">
        <f t="shared" si="309"/>
        <v/>
      </c>
      <c r="CN497" s="635"/>
      <c r="CO497" s="631"/>
      <c r="CP497" s="629" t="str">
        <f t="shared" si="286"/>
        <v>FOR ISSUANCE</v>
      </c>
      <c r="CQ497" s="635"/>
      <c r="CR497" s="697"/>
      <c r="CS497" s="633" t="str">
        <f t="shared" ca="1" si="310"/>
        <v>0</v>
      </c>
      <c r="CT497" s="635"/>
      <c r="CU497" s="631"/>
      <c r="CV497" s="638"/>
      <c r="CW497" s="156" t="s">
        <v>2804</v>
      </c>
      <c r="CX497" s="156" t="str">
        <f>VLOOKUP(E497,'[1]List of Work Orders'!$A:$I,9,FALSE)</f>
        <v>ME155242</v>
      </c>
      <c r="CY497" s="156"/>
      <c r="CZ497" s="63"/>
      <c r="DA497" s="762">
        <f t="shared" si="313"/>
        <v>3.8604166666627862</v>
      </c>
      <c r="DS497" s="442" t="s">
        <v>403</v>
      </c>
    </row>
    <row r="498" spans="1:123" customFormat="1" ht="15" customHeight="1" x14ac:dyDescent="0.25">
      <c r="A498" s="242">
        <v>45762</v>
      </c>
      <c r="B498" s="66">
        <v>45742</v>
      </c>
      <c r="C498" s="223" t="s">
        <v>247</v>
      </c>
      <c r="D498" s="66" t="s">
        <v>320</v>
      </c>
      <c r="E498" s="404" t="s">
        <v>2805</v>
      </c>
      <c r="F498" s="95" t="s">
        <v>2806</v>
      </c>
      <c r="G498" s="95" t="s">
        <v>2807</v>
      </c>
      <c r="H498" s="344" t="s">
        <v>318</v>
      </c>
      <c r="I498" s="95" t="s">
        <v>239</v>
      </c>
      <c r="J498" s="163" t="s">
        <v>2808</v>
      </c>
      <c r="K498" s="101"/>
      <c r="L498" s="101" t="s">
        <v>5</v>
      </c>
      <c r="M498" s="101" t="s">
        <v>272</v>
      </c>
      <c r="N498" s="442" t="s">
        <v>403</v>
      </c>
      <c r="O498" s="165">
        <v>13.1828</v>
      </c>
      <c r="P498" s="933">
        <v>29.57</v>
      </c>
      <c r="Q498" s="157">
        <v>46</v>
      </c>
      <c r="R498" s="109" t="s">
        <v>548</v>
      </c>
      <c r="S498" s="110">
        <v>222665.25</v>
      </c>
      <c r="T498" s="93">
        <v>25003.23</v>
      </c>
      <c r="U498" s="141"/>
      <c r="V498" s="158">
        <f t="shared" si="287"/>
        <v>0</v>
      </c>
      <c r="W498" s="159">
        <v>45741.462500000001</v>
      </c>
      <c r="X498" s="159">
        <v>45741.522222222222</v>
      </c>
      <c r="Y498" s="160">
        <v>45742</v>
      </c>
      <c r="Z498" s="470"/>
      <c r="AA498" s="470">
        <v>45751</v>
      </c>
      <c r="AB498" s="470"/>
      <c r="AC498" s="161">
        <f t="shared" si="288"/>
        <v>9.5374999999985448</v>
      </c>
      <c r="AD498" s="161">
        <f t="shared" si="316"/>
        <v>9.4777777777781012</v>
      </c>
      <c r="AE498" s="446">
        <f t="shared" si="311"/>
        <v>-45751</v>
      </c>
      <c r="AF498" s="160">
        <f t="shared" si="317"/>
        <v>45760.236693548388</v>
      </c>
      <c r="AG498" s="160">
        <f t="shared" si="314"/>
        <v>45769.043145161289</v>
      </c>
      <c r="AH498" s="159">
        <f t="shared" si="318"/>
        <v>45791.462500000001</v>
      </c>
      <c r="AI498" s="162">
        <f t="shared" si="289"/>
        <v>0.32851388888883876</v>
      </c>
      <c r="AJ498" s="224">
        <f t="shared" si="319"/>
        <v>-762.51666666666665</v>
      </c>
      <c r="AK498" s="225">
        <f t="shared" si="290"/>
        <v>20</v>
      </c>
      <c r="AL498" s="170">
        <f t="shared" si="291"/>
        <v>36</v>
      </c>
      <c r="AM498" s="170">
        <f t="shared" si="292"/>
        <v>21.774193548387096</v>
      </c>
      <c r="AN498" s="170">
        <f t="shared" si="293"/>
        <v>27.58064516129032</v>
      </c>
      <c r="AO498" s="226">
        <f t="shared" si="294"/>
        <v>18.774193548387096</v>
      </c>
      <c r="AP498" s="227">
        <v>60</v>
      </c>
      <c r="AQ498" s="228">
        <f t="shared" si="295"/>
        <v>57</v>
      </c>
      <c r="AR498" s="228">
        <f t="shared" si="315"/>
        <v>52</v>
      </c>
      <c r="AS498" s="229">
        <f t="shared" si="296"/>
        <v>45811</v>
      </c>
      <c r="AT498" s="982">
        <f t="shared" ca="1" si="297"/>
        <v>144</v>
      </c>
      <c r="AU498" s="50"/>
      <c r="AV498" s="51"/>
      <c r="AW498" s="49"/>
      <c r="AX498" s="49"/>
      <c r="AY498" s="49"/>
      <c r="AZ498" s="300"/>
      <c r="BA498" s="52"/>
      <c r="BB498" s="304"/>
      <c r="BC498" s="231" t="s">
        <v>12</v>
      </c>
      <c r="BD498" s="641"/>
      <c r="BE498" s="222">
        <f t="shared" si="312"/>
        <v>45766</v>
      </c>
      <c r="BF498" s="233">
        <f t="shared" si="285"/>
        <v>-5</v>
      </c>
      <c r="BG498" s="234">
        <v>45751</v>
      </c>
      <c r="BH498" s="235">
        <v>45761</v>
      </c>
      <c r="BI498" s="234"/>
      <c r="BJ498" s="236"/>
      <c r="BK498" s="222"/>
      <c r="BL498" s="222"/>
      <c r="BM498" s="238"/>
      <c r="BN498" s="222"/>
      <c r="BO498" s="222"/>
      <c r="BP498" s="243"/>
      <c r="BQ498" s="244" t="s">
        <v>247</v>
      </c>
      <c r="BR498" s="238">
        <v>45741</v>
      </c>
      <c r="BS498" s="67"/>
      <c r="BT498" s="66"/>
      <c r="BU498" s="66"/>
      <c r="BV498" s="66"/>
      <c r="BW498" s="74"/>
      <c r="BX498" s="81"/>
      <c r="BY498" s="66">
        <v>45762</v>
      </c>
      <c r="BZ498" s="944" t="s">
        <v>2809</v>
      </c>
      <c r="CA498" s="42" t="str">
        <f t="shared" si="298"/>
        <v>0</v>
      </c>
      <c r="CB498" s="62">
        <f t="shared" si="299"/>
        <v>9.5374999999985448</v>
      </c>
      <c r="CC498" s="42">
        <f t="shared" si="300"/>
        <v>0</v>
      </c>
      <c r="CD498" s="62">
        <f t="shared" si="301"/>
        <v>9.5374999999985448</v>
      </c>
      <c r="CE498" s="62">
        <f t="shared" si="302"/>
        <v>0.32851388888883876</v>
      </c>
      <c r="CF498" s="145">
        <f t="shared" si="303"/>
        <v>118</v>
      </c>
      <c r="CG498" s="145"/>
      <c r="CH498" s="443">
        <f t="shared" si="304"/>
        <v>4.3929583333332829</v>
      </c>
      <c r="CI498" s="996">
        <f t="shared" si="305"/>
        <v>4.3929583333332829</v>
      </c>
      <c r="CJ498" s="261">
        <f t="shared" si="306"/>
        <v>1.9666666666666666</v>
      </c>
      <c r="CK498" s="458" t="str">
        <f t="shared" si="307"/>
        <v/>
      </c>
      <c r="CL498" t="str">
        <f t="shared" si="308"/>
        <v>NON-REV</v>
      </c>
      <c r="CM498" t="str">
        <f t="shared" si="309"/>
        <v/>
      </c>
      <c r="CN498" s="635"/>
      <c r="CO498" s="631"/>
      <c r="CP498" s="629" t="str">
        <f t="shared" si="286"/>
        <v>FOR ISSUANCE</v>
      </c>
      <c r="CQ498" s="635"/>
      <c r="CR498" s="697"/>
      <c r="CS498" s="633" t="str">
        <f t="shared" ca="1" si="310"/>
        <v>0</v>
      </c>
      <c r="CT498" s="635"/>
      <c r="CU498" s="631"/>
      <c r="CV498" s="638"/>
      <c r="CW498" s="156" t="s">
        <v>2810</v>
      </c>
      <c r="CX498" s="156" t="str">
        <f>VLOOKUP(E498,'[1]List of Work Orders'!$A:$I,9,FALSE)</f>
        <v>ME166067</v>
      </c>
      <c r="CY498" s="156"/>
      <c r="DA498" s="762">
        <f t="shared" si="313"/>
        <v>5.9722222220443655E-2</v>
      </c>
      <c r="DS498" s="442" t="s">
        <v>403</v>
      </c>
    </row>
    <row r="499" spans="1:123" ht="15" customHeight="1" x14ac:dyDescent="0.2">
      <c r="A499" s="242">
        <v>45744</v>
      </c>
      <c r="B499" s="1003">
        <v>45747</v>
      </c>
      <c r="C499" s="223"/>
      <c r="D499" s="66" t="s">
        <v>284</v>
      </c>
      <c r="E499" s="404" t="s">
        <v>2811</v>
      </c>
      <c r="F499" s="155" t="s">
        <v>2812</v>
      </c>
      <c r="G499" s="95" t="s">
        <v>2813</v>
      </c>
      <c r="H499" s="95" t="s">
        <v>238</v>
      </c>
      <c r="I499" s="95" t="s">
        <v>239</v>
      </c>
      <c r="J499" s="163"/>
      <c r="K499" s="101"/>
      <c r="L499" s="101" t="s">
        <v>255</v>
      </c>
      <c r="M499" s="101" t="s">
        <v>272</v>
      </c>
      <c r="N499" s="442" t="s">
        <v>381</v>
      </c>
      <c r="O499" s="165">
        <v>1.73</v>
      </c>
      <c r="P499" s="933">
        <v>5.08</v>
      </c>
      <c r="Q499" s="157">
        <v>19</v>
      </c>
      <c r="R499" s="109" t="s">
        <v>244</v>
      </c>
      <c r="S499" s="110">
        <v>23015.62</v>
      </c>
      <c r="T499" s="93">
        <v>4364.9699999999993</v>
      </c>
      <c r="U499" s="141"/>
      <c r="V499" s="158">
        <f t="shared" si="287"/>
        <v>0</v>
      </c>
      <c r="W499" s="159">
        <v>45741.654861111114</v>
      </c>
      <c r="X499" s="159">
        <v>45747.519444444442</v>
      </c>
      <c r="Y499" s="160">
        <v>45744</v>
      </c>
      <c r="Z499" s="470"/>
      <c r="AA499" s="470">
        <v>45812</v>
      </c>
      <c r="AB499" s="470"/>
      <c r="AC499" s="161">
        <f t="shared" si="288"/>
        <v>70.34513888888614</v>
      </c>
      <c r="AD499" s="161">
        <f t="shared" si="316"/>
        <v>64.480555555557657</v>
      </c>
      <c r="AE499" s="446">
        <f t="shared" si="311"/>
        <v>-45812</v>
      </c>
      <c r="AF499" s="160">
        <f t="shared" si="317"/>
        <v>45760.4290546595</v>
      </c>
      <c r="AG499" s="160">
        <f t="shared" si="314"/>
        <v>45769.235506272402</v>
      </c>
      <c r="AH499" s="159">
        <f t="shared" si="318"/>
        <v>45791.654861111114</v>
      </c>
      <c r="AI499" s="162">
        <f t="shared" si="289"/>
        <v>2.4229992283949668</v>
      </c>
      <c r="AJ499" s="224">
        <f t="shared" si="319"/>
        <v>-763.5333333333333</v>
      </c>
      <c r="AK499" s="225">
        <f t="shared" si="290"/>
        <v>20</v>
      </c>
      <c r="AL499" s="170">
        <f t="shared" si="291"/>
        <v>36</v>
      </c>
      <c r="AM499" s="170">
        <f t="shared" si="292"/>
        <v>21.774193548387096</v>
      </c>
      <c r="AN499" s="170">
        <f t="shared" si="293"/>
        <v>27.58064516129032</v>
      </c>
      <c r="AO499" s="226">
        <f t="shared" si="294"/>
        <v>18.774193548387096</v>
      </c>
      <c r="AP499" s="227">
        <v>60</v>
      </c>
      <c r="AQ499" s="228">
        <f t="shared" si="295"/>
        <v>57</v>
      </c>
      <c r="AR499" s="228">
        <f t="shared" si="315"/>
        <v>52</v>
      </c>
      <c r="AS499" s="229">
        <f t="shared" si="296"/>
        <v>45872</v>
      </c>
      <c r="AT499" s="982">
        <f t="shared" ca="1" si="297"/>
        <v>83</v>
      </c>
      <c r="AU499" s="1077"/>
      <c r="AV499" s="1092"/>
      <c r="AW499" s="1079"/>
      <c r="AX499" s="1079"/>
      <c r="AY499" s="1079"/>
      <c r="AZ499" s="1080"/>
      <c r="BA499" s="1101"/>
      <c r="BB499" s="1091"/>
      <c r="BC499" s="231" t="s">
        <v>13</v>
      </c>
      <c r="BD499" s="232"/>
      <c r="BE499" s="222">
        <f t="shared" si="312"/>
        <v>45827</v>
      </c>
      <c r="BF499" s="233" t="e">
        <f t="shared" si="285"/>
        <v>#VALUE!</v>
      </c>
      <c r="BG499" s="234"/>
      <c r="BH499" s="235"/>
      <c r="BI499" s="234"/>
      <c r="BJ499" s="236"/>
      <c r="BK499" s="222"/>
      <c r="BL499" s="222"/>
      <c r="BM499" s="238"/>
      <c r="BN499" s="222"/>
      <c r="BO499" s="222"/>
      <c r="BP499" s="243"/>
      <c r="BQ499" s="244" t="s">
        <v>247</v>
      </c>
      <c r="BR499" s="238">
        <v>45806</v>
      </c>
      <c r="BS499" s="68"/>
      <c r="BT499" s="69"/>
      <c r="BU499" s="69"/>
      <c r="BV499" s="69"/>
      <c r="BW499" s="75"/>
      <c r="BX499" s="81"/>
      <c r="BY499" s="66"/>
      <c r="BZ499" s="944"/>
      <c r="CA499" s="42" t="str">
        <f t="shared" si="298"/>
        <v>0</v>
      </c>
      <c r="CB499" s="62">
        <f t="shared" si="299"/>
        <v>70.34513888888614</v>
      </c>
      <c r="CC499" s="42">
        <f t="shared" si="300"/>
        <v>0</v>
      </c>
      <c r="CD499" s="62">
        <f t="shared" si="301"/>
        <v>70.34513888888614</v>
      </c>
      <c r="CE499" s="62">
        <f t="shared" si="302"/>
        <v>2.4229992283949668</v>
      </c>
      <c r="CF499" s="1059">
        <f t="shared" si="303"/>
        <v>57</v>
      </c>
      <c r="CH499" s="1082">
        <f t="shared" si="304"/>
        <v>4.3863325617282998</v>
      </c>
      <c r="CI499" s="1083">
        <f t="shared" si="305"/>
        <v>4.3863325617282998</v>
      </c>
      <c r="CJ499" s="1084">
        <f t="shared" si="306"/>
        <v>0.95</v>
      </c>
      <c r="CK499" s="1085" t="str">
        <f t="shared" si="307"/>
        <v/>
      </c>
      <c r="CL499" s="1057" t="str">
        <f t="shared" si="308"/>
        <v>REV</v>
      </c>
      <c r="CM499" s="1057" t="str">
        <f t="shared" si="309"/>
        <v/>
      </c>
      <c r="CN499" s="1086"/>
      <c r="CO499" s="1087"/>
      <c r="CP499" s="629" t="str">
        <f t="shared" si="286"/>
        <v>FOR ISSUANCE</v>
      </c>
      <c r="CQ499" s="1086"/>
      <c r="CR499" s="1088"/>
      <c r="CS499" s="1089" t="str">
        <f t="shared" ca="1" si="310"/>
        <v>0</v>
      </c>
      <c r="CT499" s="1086"/>
      <c r="CU499" s="1087"/>
      <c r="CV499" s="1090"/>
      <c r="CW499" s="156" t="s">
        <v>2814</v>
      </c>
      <c r="CX499" s="156" t="str">
        <f>VLOOKUP(E499,'[1]List of Work Orders'!$A:$I,9,FALSE)</f>
        <v>ME185284</v>
      </c>
      <c r="CY499" s="156"/>
      <c r="DA499" s="1100">
        <f t="shared" si="313"/>
        <v>5.8645833333284827</v>
      </c>
      <c r="DS499" s="442" t="s">
        <v>381</v>
      </c>
    </row>
    <row r="500" spans="1:123" customFormat="1" ht="15" customHeight="1" x14ac:dyDescent="0.25">
      <c r="A500" s="242">
        <v>45750</v>
      </c>
      <c r="B500" s="1003">
        <v>45747</v>
      </c>
      <c r="C500" s="223"/>
      <c r="D500" s="66" t="s">
        <v>320</v>
      </c>
      <c r="E500" s="404" t="s">
        <v>2815</v>
      </c>
      <c r="F500" s="155" t="s">
        <v>2816</v>
      </c>
      <c r="G500" s="95" t="s">
        <v>2817</v>
      </c>
      <c r="H500" s="95" t="s">
        <v>238</v>
      </c>
      <c r="I500" s="95" t="s">
        <v>239</v>
      </c>
      <c r="J500" s="163"/>
      <c r="K500" s="101"/>
      <c r="L500" s="101" t="s">
        <v>288</v>
      </c>
      <c r="M500" s="101" t="s">
        <v>272</v>
      </c>
      <c r="N500" s="442" t="s">
        <v>381</v>
      </c>
      <c r="O500" s="165">
        <v>190.69139999999999</v>
      </c>
      <c r="P500" s="933">
        <v>554.97</v>
      </c>
      <c r="Q500" s="157">
        <v>120</v>
      </c>
      <c r="R500" s="468" t="s">
        <v>244</v>
      </c>
      <c r="S500" s="110">
        <v>1004604.96</v>
      </c>
      <c r="T500" s="93">
        <v>207420.67000000007</v>
      </c>
      <c r="U500" s="141"/>
      <c r="V500" s="158">
        <f t="shared" si="287"/>
        <v>0</v>
      </c>
      <c r="W500" s="159">
        <v>45741.959722222222</v>
      </c>
      <c r="X500" s="159">
        <v>45747.520833333336</v>
      </c>
      <c r="Y500" s="160">
        <v>45744</v>
      </c>
      <c r="Z500" s="470"/>
      <c r="AA500" s="470">
        <v>45775.451388888891</v>
      </c>
      <c r="AB500" s="470"/>
      <c r="AC500" s="161">
        <f t="shared" si="288"/>
        <v>33.491666666668607</v>
      </c>
      <c r="AD500" s="161">
        <f t="shared" si="316"/>
        <v>27.930555555554747</v>
      </c>
      <c r="AE500" s="446">
        <f t="shared" si="311"/>
        <v>-45775.451388888891</v>
      </c>
      <c r="AF500" s="160">
        <f t="shared" si="317"/>
        <v>45764.49163711584</v>
      </c>
      <c r="AG500" s="160">
        <f t="shared" si="314"/>
        <v>45774.30014775414</v>
      </c>
      <c r="AH500" s="159">
        <f t="shared" si="318"/>
        <v>45791.959722222222</v>
      </c>
      <c r="AI500" s="162">
        <f t="shared" si="289"/>
        <v>0.98381770833339033</v>
      </c>
      <c r="AJ500" s="224">
        <f t="shared" si="319"/>
        <v>-762.92418981481489</v>
      </c>
      <c r="AK500" s="225">
        <f t="shared" si="290"/>
        <v>40</v>
      </c>
      <c r="AL500" s="170">
        <f t="shared" si="291"/>
        <v>32</v>
      </c>
      <c r="AM500" s="170">
        <f t="shared" si="292"/>
        <v>25.531914893617024</v>
      </c>
      <c r="AN500" s="170">
        <f t="shared" si="293"/>
        <v>32.340425531914896</v>
      </c>
      <c r="AO500" s="226">
        <f t="shared" si="294"/>
        <v>22.531914893617024</v>
      </c>
      <c r="AP500" s="227">
        <v>60</v>
      </c>
      <c r="AQ500" s="228">
        <f t="shared" si="295"/>
        <v>57</v>
      </c>
      <c r="AR500" s="228">
        <f t="shared" si="315"/>
        <v>52</v>
      </c>
      <c r="AS500" s="229">
        <f t="shared" si="296"/>
        <v>45835.451388888891</v>
      </c>
      <c r="AT500" s="982">
        <f t="shared" ca="1" si="297"/>
        <v>119.54861111110949</v>
      </c>
      <c r="AU500" s="50"/>
      <c r="AV500" s="51"/>
      <c r="AW500" s="49"/>
      <c r="AX500" s="49"/>
      <c r="AY500" s="49"/>
      <c r="AZ500" s="300"/>
      <c r="BA500" s="52"/>
      <c r="BB500" s="304"/>
      <c r="BC500" s="231" t="s">
        <v>13</v>
      </c>
      <c r="BD500" s="232"/>
      <c r="BE500" s="222">
        <f t="shared" si="312"/>
        <v>45790.451388888891</v>
      </c>
      <c r="BF500" s="233" t="e">
        <f t="shared" ref="BF500:BF563" si="320">IF(ISBLANK(AA500),0,IF(ISBLANK(BH500),(BE500-$L$1),(BH500-BE500)))</f>
        <v>#VALUE!</v>
      </c>
      <c r="BG500" s="234"/>
      <c r="BH500" s="235"/>
      <c r="BI500" s="234"/>
      <c r="BJ500" s="236"/>
      <c r="BK500" s="222"/>
      <c r="BL500" s="222"/>
      <c r="BM500" s="238"/>
      <c r="BN500" s="222"/>
      <c r="BO500" s="222"/>
      <c r="BP500" s="243"/>
      <c r="BQ500" s="244" t="s">
        <v>247</v>
      </c>
      <c r="BR500" s="238">
        <v>45771</v>
      </c>
      <c r="BS500" s="68"/>
      <c r="BT500" s="69"/>
      <c r="BU500" s="69"/>
      <c r="BV500" s="69"/>
      <c r="BW500" s="75"/>
      <c r="BX500" s="81"/>
      <c r="BY500" s="66"/>
      <c r="BZ500" s="944"/>
      <c r="CA500" s="42" t="str">
        <f t="shared" si="298"/>
        <v>0</v>
      </c>
      <c r="CB500" s="62">
        <f t="shared" si="299"/>
        <v>33.491666666668607</v>
      </c>
      <c r="CC500" s="42">
        <f t="shared" si="300"/>
        <v>0</v>
      </c>
      <c r="CD500" s="62">
        <f t="shared" si="301"/>
        <v>33.491666666668607</v>
      </c>
      <c r="CE500" s="62">
        <f t="shared" si="302"/>
        <v>0.98381770833339033</v>
      </c>
      <c r="CF500" s="145">
        <f t="shared" si="303"/>
        <v>93.548611111109494</v>
      </c>
      <c r="CG500" s="145"/>
      <c r="CH500" s="443">
        <f t="shared" si="304"/>
        <v>3.7318081597222319</v>
      </c>
      <c r="CI500" s="996">
        <f t="shared" si="305"/>
        <v>3.7318081597222319</v>
      </c>
      <c r="CJ500" s="261">
        <f t="shared" si="306"/>
        <v>1.5591435185184916</v>
      </c>
      <c r="CK500" s="458" t="str">
        <f t="shared" si="307"/>
        <v/>
      </c>
      <c r="CL500" t="str">
        <f t="shared" si="308"/>
        <v>REV</v>
      </c>
      <c r="CM500" t="str">
        <f t="shared" si="309"/>
        <v/>
      </c>
      <c r="CN500" s="635"/>
      <c r="CO500" s="631"/>
      <c r="CP500" s="629" t="str">
        <f t="shared" si="286"/>
        <v>FOR ISSUANCE</v>
      </c>
      <c r="CQ500" s="635"/>
      <c r="CR500" s="697"/>
      <c r="CS500" s="633" t="str">
        <f t="shared" ca="1" si="310"/>
        <v>0</v>
      </c>
      <c r="CT500" s="635"/>
      <c r="CU500" s="631"/>
      <c r="CV500" s="638"/>
      <c r="CW500" s="156" t="s">
        <v>2818</v>
      </c>
      <c r="CX500" s="156" t="str">
        <f>VLOOKUP(E500,'[1]List of Work Orders'!$A:$I,9,FALSE)</f>
        <v>ME185284</v>
      </c>
      <c r="CY500" s="156"/>
      <c r="DA500" s="762">
        <f t="shared" si="313"/>
        <v>5.5611111111138598</v>
      </c>
      <c r="DS500" s="442" t="s">
        <v>381</v>
      </c>
    </row>
    <row r="501" spans="1:123" customFormat="1" ht="15" customHeight="1" x14ac:dyDescent="0.25">
      <c r="A501" s="242">
        <v>45744</v>
      </c>
      <c r="B501" s="1003">
        <v>45747</v>
      </c>
      <c r="C501" s="223" t="s">
        <v>247</v>
      </c>
      <c r="D501" s="66" t="s">
        <v>320</v>
      </c>
      <c r="E501" s="404" t="s">
        <v>2819</v>
      </c>
      <c r="F501" s="155" t="s">
        <v>2820</v>
      </c>
      <c r="G501" s="95" t="s">
        <v>2821</v>
      </c>
      <c r="H501" s="95" t="s">
        <v>238</v>
      </c>
      <c r="I501" s="95" t="s">
        <v>239</v>
      </c>
      <c r="J501" s="163"/>
      <c r="K501" s="101"/>
      <c r="L501" s="101" t="s">
        <v>242</v>
      </c>
      <c r="M501" s="101" t="s">
        <v>272</v>
      </c>
      <c r="N501" s="442" t="s">
        <v>467</v>
      </c>
      <c r="O501" s="165">
        <v>36.029999999999987</v>
      </c>
      <c r="P501" s="933">
        <v>63.43</v>
      </c>
      <c r="Q501" s="157">
        <v>66</v>
      </c>
      <c r="R501" s="109" t="s">
        <v>244</v>
      </c>
      <c r="S501" s="110">
        <v>359972.84</v>
      </c>
      <c r="T501" s="93">
        <v>54526.820000000007</v>
      </c>
      <c r="U501" s="141"/>
      <c r="V501" s="158">
        <f t="shared" si="287"/>
        <v>0</v>
      </c>
      <c r="W501" s="159">
        <v>45741.959722222222</v>
      </c>
      <c r="X501" s="159">
        <v>45744.45208333333</v>
      </c>
      <c r="Y501" s="160">
        <v>45744</v>
      </c>
      <c r="Z501" s="470"/>
      <c r="AA501" s="470">
        <v>45769</v>
      </c>
      <c r="AB501" s="470"/>
      <c r="AC501" s="161">
        <f t="shared" si="288"/>
        <v>27.040277777778101</v>
      </c>
      <c r="AD501" s="161">
        <f t="shared" si="316"/>
        <v>24.547916666670062</v>
      </c>
      <c r="AE501" s="446">
        <f t="shared" si="311"/>
        <v>-45769</v>
      </c>
      <c r="AF501" s="160">
        <f t="shared" si="317"/>
        <v>45761.26010245036</v>
      </c>
      <c r="AG501" s="160">
        <f t="shared" si="314"/>
        <v>45770.206870511196</v>
      </c>
      <c r="AH501" s="159">
        <f t="shared" si="318"/>
        <v>45791.959722222222</v>
      </c>
      <c r="AI501" s="162">
        <f t="shared" si="289"/>
        <v>0.90941087666951914</v>
      </c>
      <c r="AJ501" s="224">
        <f t="shared" si="319"/>
        <v>-762.81666666666672</v>
      </c>
      <c r="AK501" s="225">
        <f t="shared" si="290"/>
        <v>23</v>
      </c>
      <c r="AL501" s="170">
        <f t="shared" si="291"/>
        <v>34</v>
      </c>
      <c r="AM501" s="170">
        <f t="shared" si="292"/>
        <v>22.300380228136884</v>
      </c>
      <c r="AN501" s="170">
        <f t="shared" si="293"/>
        <v>28.247148288973385</v>
      </c>
      <c r="AO501" s="226">
        <f t="shared" si="294"/>
        <v>19.300380228136884</v>
      </c>
      <c r="AP501" s="227">
        <v>60</v>
      </c>
      <c r="AQ501" s="228">
        <f t="shared" si="295"/>
        <v>57</v>
      </c>
      <c r="AR501" s="228">
        <f t="shared" si="315"/>
        <v>52</v>
      </c>
      <c r="AS501" s="229">
        <f t="shared" si="296"/>
        <v>45829</v>
      </c>
      <c r="AT501" s="982">
        <f t="shared" ca="1" si="297"/>
        <v>126</v>
      </c>
      <c r="AU501" s="50"/>
      <c r="AV501" s="51"/>
      <c r="AW501" s="49"/>
      <c r="AX501" s="49"/>
      <c r="AY501" s="49"/>
      <c r="AZ501" s="300"/>
      <c r="BA501" s="52"/>
      <c r="BB501" s="304"/>
      <c r="BC501" s="231" t="s">
        <v>264</v>
      </c>
      <c r="BD501" s="232"/>
      <c r="BE501" s="222">
        <f t="shared" si="312"/>
        <v>45784</v>
      </c>
      <c r="BF501" s="233">
        <f t="shared" si="320"/>
        <v>-16</v>
      </c>
      <c r="BG501" s="234">
        <v>45811</v>
      </c>
      <c r="BH501" s="235">
        <v>45768</v>
      </c>
      <c r="BI501" s="234">
        <v>45820</v>
      </c>
      <c r="BJ501" s="236" t="s">
        <v>245</v>
      </c>
      <c r="BK501" s="222" t="s">
        <v>246</v>
      </c>
      <c r="BL501" s="222"/>
      <c r="BM501" s="238"/>
      <c r="BN501" s="222"/>
      <c r="BO501" s="222">
        <v>45856</v>
      </c>
      <c r="BP501" s="243" t="s">
        <v>1084</v>
      </c>
      <c r="BQ501" s="244" t="s">
        <v>247</v>
      </c>
      <c r="BR501" s="238">
        <v>45763</v>
      </c>
      <c r="BS501" s="68"/>
      <c r="BT501" s="69"/>
      <c r="BU501" s="69"/>
      <c r="BV501" s="69"/>
      <c r="BW501" s="75"/>
      <c r="BX501" s="81"/>
      <c r="BY501" s="66">
        <v>45748</v>
      </c>
      <c r="BZ501" s="944" t="s">
        <v>2822</v>
      </c>
      <c r="CA501" s="42" t="str">
        <f t="shared" si="298"/>
        <v>0</v>
      </c>
      <c r="CB501" s="62">
        <f t="shared" si="299"/>
        <v>27.040277777778101</v>
      </c>
      <c r="CC501" s="42">
        <f t="shared" si="300"/>
        <v>0</v>
      </c>
      <c r="CD501" s="62">
        <f t="shared" si="301"/>
        <v>27.040277777778101</v>
      </c>
      <c r="CE501" s="62">
        <f t="shared" si="302"/>
        <v>0.90941087666951914</v>
      </c>
      <c r="CF501" s="145">
        <f t="shared" si="303"/>
        <v>100</v>
      </c>
      <c r="CG501" s="145"/>
      <c r="CH501" s="443">
        <f t="shared" si="304"/>
        <v>4.2725822321682401</v>
      </c>
      <c r="CI501" s="996">
        <f t="shared" si="305"/>
        <v>4.2725822321682401</v>
      </c>
      <c r="CJ501" s="261">
        <f t="shared" si="306"/>
        <v>1.6666666666666667</v>
      </c>
      <c r="CK501" s="458" t="str">
        <f t="shared" si="307"/>
        <v/>
      </c>
      <c r="CL501" t="str">
        <f t="shared" si="308"/>
        <v>REV</v>
      </c>
      <c r="CM501" t="str">
        <f t="shared" si="309"/>
        <v/>
      </c>
      <c r="CN501" s="635">
        <v>45859</v>
      </c>
      <c r="CO501" s="631">
        <v>3020.83</v>
      </c>
      <c r="CP501" s="629" t="str">
        <f t="shared" si="286"/>
        <v>FOR ISSUANCE</v>
      </c>
      <c r="CQ501" s="635"/>
      <c r="CR501" s="697"/>
      <c r="CS501" s="633" t="str">
        <f t="shared" ca="1" si="310"/>
        <v>0</v>
      </c>
      <c r="CT501" s="635"/>
      <c r="CU501" s="631"/>
      <c r="CV501" s="638"/>
      <c r="CW501" s="156" t="s">
        <v>2823</v>
      </c>
      <c r="CX501" s="156" t="str">
        <f>VLOOKUP(E501,'[1]List of Work Orders'!$A:$I,9,FALSE)</f>
        <v>ME155242</v>
      </c>
      <c r="CY501" s="156"/>
      <c r="CZ501" s="63"/>
      <c r="DA501" s="762">
        <f t="shared" si="313"/>
        <v>2.492361111108039</v>
      </c>
      <c r="DS501" s="442" t="s">
        <v>381</v>
      </c>
    </row>
    <row r="502" spans="1:123" customFormat="1" ht="15" customHeight="1" x14ac:dyDescent="0.25">
      <c r="A502" s="242">
        <v>45744</v>
      </c>
      <c r="B502" s="1003">
        <v>45747</v>
      </c>
      <c r="C502" s="223" t="s">
        <v>247</v>
      </c>
      <c r="D502" s="66" t="s">
        <v>320</v>
      </c>
      <c r="E502" s="404" t="s">
        <v>2824</v>
      </c>
      <c r="F502" s="155" t="s">
        <v>2825</v>
      </c>
      <c r="G502" s="700" t="s">
        <v>2826</v>
      </c>
      <c r="H502" s="348" t="s">
        <v>318</v>
      </c>
      <c r="I502" s="95" t="s">
        <v>239</v>
      </c>
      <c r="J502" s="163"/>
      <c r="K502" s="101"/>
      <c r="L502" s="101" t="s">
        <v>5</v>
      </c>
      <c r="M502" s="101" t="s">
        <v>272</v>
      </c>
      <c r="N502" s="442" t="s">
        <v>403</v>
      </c>
      <c r="O502" s="165">
        <v>56.1126</v>
      </c>
      <c r="P502" s="933">
        <v>69.62</v>
      </c>
      <c r="Q502" s="157">
        <v>110</v>
      </c>
      <c r="R502" s="109" t="s">
        <v>244</v>
      </c>
      <c r="S502" s="110">
        <v>417348.14</v>
      </c>
      <c r="T502" s="93">
        <v>59036.1</v>
      </c>
      <c r="U502" s="141"/>
      <c r="V502" s="158">
        <f t="shared" si="287"/>
        <v>0</v>
      </c>
      <c r="W502" s="159">
        <v>45742.416666666664</v>
      </c>
      <c r="X502" s="159">
        <v>45744.448611111111</v>
      </c>
      <c r="Y502" s="160">
        <v>45743</v>
      </c>
      <c r="Z502" s="470"/>
      <c r="AA502" s="470">
        <v>45762.591666666667</v>
      </c>
      <c r="AB502" s="470"/>
      <c r="AC502" s="161">
        <f t="shared" si="288"/>
        <v>20.17500000000291</v>
      </c>
      <c r="AD502" s="161">
        <f t="shared" si="316"/>
        <v>18.143055555556202</v>
      </c>
      <c r="AE502" s="446">
        <f t="shared" si="311"/>
        <v>-45762.591666666667</v>
      </c>
      <c r="AF502" s="160">
        <f t="shared" si="317"/>
        <v>45760.895265888452</v>
      </c>
      <c r="AG502" s="160">
        <f t="shared" si="314"/>
        <v>45769.622892347601</v>
      </c>
      <c r="AH502" s="159">
        <f t="shared" si="318"/>
        <v>45792.416666666664</v>
      </c>
      <c r="AI502" s="162">
        <f t="shared" si="289"/>
        <v>0.70448029891314512</v>
      </c>
      <c r="AJ502" s="224">
        <f t="shared" si="319"/>
        <v>-762.70986111111108</v>
      </c>
      <c r="AK502" s="225">
        <f t="shared" si="290"/>
        <v>23</v>
      </c>
      <c r="AL502" s="170">
        <f t="shared" si="291"/>
        <v>32</v>
      </c>
      <c r="AM502" s="170">
        <f t="shared" si="292"/>
        <v>21.478599221789885</v>
      </c>
      <c r="AN502" s="170">
        <f t="shared" si="293"/>
        <v>27.206225680933851</v>
      </c>
      <c r="AO502" s="226">
        <f t="shared" si="294"/>
        <v>18.478599221789885</v>
      </c>
      <c r="AP502" s="227">
        <v>60</v>
      </c>
      <c r="AQ502" s="228">
        <f t="shared" si="295"/>
        <v>57</v>
      </c>
      <c r="AR502" s="228">
        <f t="shared" si="315"/>
        <v>52</v>
      </c>
      <c r="AS502" s="229">
        <f t="shared" si="296"/>
        <v>45822.591666666667</v>
      </c>
      <c r="AT502" s="982">
        <f t="shared" ca="1" si="297"/>
        <v>132.40833333333285</v>
      </c>
      <c r="AU502" s="50"/>
      <c r="AV502" s="51"/>
      <c r="AW502" s="49"/>
      <c r="AX502" s="49"/>
      <c r="AY502" s="49"/>
      <c r="AZ502" s="300"/>
      <c r="BA502" s="52"/>
      <c r="BB502" s="304"/>
      <c r="BC502" s="231" t="s">
        <v>146</v>
      </c>
      <c r="BD502" s="232"/>
      <c r="BE502" s="222">
        <f t="shared" si="312"/>
        <v>45777.591666666667</v>
      </c>
      <c r="BF502" s="233">
        <f t="shared" si="320"/>
        <v>-2.5916666666671517</v>
      </c>
      <c r="BG502" s="234">
        <v>45762</v>
      </c>
      <c r="BH502" s="235">
        <v>45775</v>
      </c>
      <c r="BI502" s="234"/>
      <c r="BJ502" s="236"/>
      <c r="BK502" s="222"/>
      <c r="BL502" s="222"/>
      <c r="BM502" s="238"/>
      <c r="BN502" s="222"/>
      <c r="BO502" s="222"/>
      <c r="BP502" s="243"/>
      <c r="BQ502" s="244"/>
      <c r="BR502" s="238"/>
      <c r="BS502" s="68"/>
      <c r="BT502" s="69"/>
      <c r="BU502" s="69"/>
      <c r="BV502" s="69"/>
      <c r="BW502" s="75"/>
      <c r="BX502" s="81"/>
      <c r="BY502" s="66"/>
      <c r="BZ502" s="944"/>
      <c r="CA502" s="42" t="str">
        <f t="shared" si="298"/>
        <v>0</v>
      </c>
      <c r="CB502" s="62">
        <f t="shared" si="299"/>
        <v>20.17500000000291</v>
      </c>
      <c r="CC502" s="42">
        <f t="shared" si="300"/>
        <v>0</v>
      </c>
      <c r="CD502" s="62">
        <f t="shared" si="301"/>
        <v>20.17500000000291</v>
      </c>
      <c r="CE502" s="62">
        <f t="shared" si="302"/>
        <v>0.70448029891314512</v>
      </c>
      <c r="CF502" s="145">
        <f t="shared" si="303"/>
        <v>106.40833333333285</v>
      </c>
      <c r="CG502" s="145"/>
      <c r="CH502" s="443">
        <f t="shared" si="304"/>
        <v>4.4200973731884901</v>
      </c>
      <c r="CI502" s="996">
        <f t="shared" si="305"/>
        <v>4.4200973731884901</v>
      </c>
      <c r="CJ502" s="261">
        <f t="shared" si="306"/>
        <v>1.7734722222222141</v>
      </c>
      <c r="CK502" s="458" t="str">
        <f t="shared" si="307"/>
        <v/>
      </c>
      <c r="CL502" t="str">
        <f t="shared" si="308"/>
        <v>REV</v>
      </c>
      <c r="CM502" t="str">
        <f t="shared" si="309"/>
        <v/>
      </c>
      <c r="CN502" s="635"/>
      <c r="CO502" s="631"/>
      <c r="CP502" s="629" t="str">
        <f t="shared" si="286"/>
        <v>FOR ISSUANCE</v>
      </c>
      <c r="CQ502" s="635"/>
      <c r="CR502" s="697"/>
      <c r="CS502" s="633" t="str">
        <f t="shared" ca="1" si="310"/>
        <v>0</v>
      </c>
      <c r="CT502" s="635"/>
      <c r="CU502" s="631"/>
      <c r="CV502" s="638"/>
      <c r="CW502" s="156" t="s">
        <v>2827</v>
      </c>
      <c r="CX502" s="156" t="str">
        <f>VLOOKUP(E502,'[1]List of Work Orders'!$A:$I,9,FALSE)</f>
        <v>ME166067</v>
      </c>
      <c r="CY502" s="156"/>
      <c r="DA502" s="762">
        <f t="shared" si="313"/>
        <v>2.0319444444467081</v>
      </c>
      <c r="DS502" s="442" t="s">
        <v>381</v>
      </c>
    </row>
    <row r="503" spans="1:123" customFormat="1" ht="15" customHeight="1" x14ac:dyDescent="0.25">
      <c r="A503" s="242">
        <v>45750</v>
      </c>
      <c r="B503" s="1003">
        <v>45747</v>
      </c>
      <c r="C503" s="223" t="s">
        <v>247</v>
      </c>
      <c r="D503" s="66" t="s">
        <v>320</v>
      </c>
      <c r="E503" s="404" t="s">
        <v>2828</v>
      </c>
      <c r="F503" s="155" t="s">
        <v>2829</v>
      </c>
      <c r="G503" s="95" t="s">
        <v>2830</v>
      </c>
      <c r="H503" s="95" t="s">
        <v>238</v>
      </c>
      <c r="I503" s="95" t="s">
        <v>239</v>
      </c>
      <c r="J503" s="163"/>
      <c r="K503" s="101"/>
      <c r="L503" s="101" t="s">
        <v>288</v>
      </c>
      <c r="M503" s="101" t="s">
        <v>243</v>
      </c>
      <c r="N503" s="442" t="s">
        <v>381</v>
      </c>
      <c r="O503" s="165">
        <v>37.968499999999999</v>
      </c>
      <c r="P503" s="933">
        <v>138.31</v>
      </c>
      <c r="Q503" s="157">
        <v>60</v>
      </c>
      <c r="R503" s="109" t="s">
        <v>244</v>
      </c>
      <c r="S503" s="110">
        <v>391146.94</v>
      </c>
      <c r="T503" s="93">
        <v>43717.180000000008</v>
      </c>
      <c r="U503" s="141"/>
      <c r="V503" s="158">
        <f t="shared" si="287"/>
        <v>0</v>
      </c>
      <c r="W503" s="159">
        <v>45742.682638888888</v>
      </c>
      <c r="X503" s="159">
        <v>45747.522222222222</v>
      </c>
      <c r="Y503" s="160">
        <v>45744</v>
      </c>
      <c r="Z503" s="470"/>
      <c r="AA503" s="470">
        <v>45776</v>
      </c>
      <c r="AB503" s="470">
        <v>45890</v>
      </c>
      <c r="AC503" s="161">
        <f t="shared" si="288"/>
        <v>33.317361111112405</v>
      </c>
      <c r="AD503" s="161">
        <f t="shared" si="316"/>
        <v>28.477777777778101</v>
      </c>
      <c r="AE503" s="446">
        <f t="shared" si="311"/>
        <v>114</v>
      </c>
      <c r="AF503" s="160">
        <f t="shared" si="317"/>
        <v>45763.02770931142</v>
      </c>
      <c r="AG503" s="160">
        <f t="shared" si="314"/>
        <v>45772.253061424097</v>
      </c>
      <c r="AH503" s="159">
        <f t="shared" si="318"/>
        <v>45792.682638888888</v>
      </c>
      <c r="AI503" s="162">
        <f t="shared" si="289"/>
        <v>1.0703767596782718</v>
      </c>
      <c r="AJ503" s="224">
        <f t="shared" si="319"/>
        <v>1.9</v>
      </c>
      <c r="AK503" s="225">
        <f t="shared" si="290"/>
        <v>26</v>
      </c>
      <c r="AL503" s="170">
        <f t="shared" si="291"/>
        <v>34</v>
      </c>
      <c r="AM503" s="170">
        <f t="shared" si="292"/>
        <v>23.345070422535212</v>
      </c>
      <c r="AN503" s="170">
        <f t="shared" si="293"/>
        <v>29.570422535211268</v>
      </c>
      <c r="AO503" s="226">
        <f t="shared" si="294"/>
        <v>20.345070422535212</v>
      </c>
      <c r="AP503" s="227">
        <v>60</v>
      </c>
      <c r="AQ503" s="228">
        <f t="shared" si="295"/>
        <v>57</v>
      </c>
      <c r="AR503" s="228">
        <f t="shared" si="315"/>
        <v>52</v>
      </c>
      <c r="AS503" s="229">
        <f t="shared" si="296"/>
        <v>45836</v>
      </c>
      <c r="AT503" s="982">
        <f t="shared" ca="1" si="297"/>
        <v>119</v>
      </c>
      <c r="AU503" s="50"/>
      <c r="AV503" s="51"/>
      <c r="AW503" s="49"/>
      <c r="AX503" s="49"/>
      <c r="AY503" s="49"/>
      <c r="AZ503" s="300"/>
      <c r="BA503" s="52"/>
      <c r="BB503" s="304"/>
      <c r="BC503" s="231" t="s">
        <v>14</v>
      </c>
      <c r="BD503" s="232"/>
      <c r="BE503" s="222">
        <f t="shared" si="312"/>
        <v>45791</v>
      </c>
      <c r="BF503" s="233">
        <f t="shared" si="320"/>
        <v>16</v>
      </c>
      <c r="BG503" s="234">
        <v>45776</v>
      </c>
      <c r="BH503" s="235">
        <v>45807</v>
      </c>
      <c r="BI503" s="234"/>
      <c r="BJ503" s="236"/>
      <c r="BK503" s="222"/>
      <c r="BL503" s="222"/>
      <c r="BM503" s="238"/>
      <c r="BN503" s="222"/>
      <c r="BO503" s="222"/>
      <c r="BP503" s="243"/>
      <c r="BQ503" s="244" t="s">
        <v>247</v>
      </c>
      <c r="BR503" s="238">
        <v>45772</v>
      </c>
      <c r="BS503" s="68"/>
      <c r="BT503" s="69"/>
      <c r="BU503" s="69"/>
      <c r="BV503" s="69"/>
      <c r="BW503" s="75"/>
      <c r="BX503" s="81"/>
      <c r="BY503" s="66"/>
      <c r="BZ503" s="944"/>
      <c r="CA503" s="42" t="str">
        <f t="shared" si="298"/>
        <v>0</v>
      </c>
      <c r="CB503" s="62">
        <f t="shared" si="299"/>
        <v>33.317361111112405</v>
      </c>
      <c r="CC503" s="42">
        <f t="shared" si="300"/>
        <v>0</v>
      </c>
      <c r="CD503" s="62">
        <f t="shared" si="301"/>
        <v>33.317361111112405</v>
      </c>
      <c r="CE503" s="62">
        <f t="shared" si="302"/>
        <v>1.0703767596782718</v>
      </c>
      <c r="CF503" s="145">
        <f t="shared" si="303"/>
        <v>93</v>
      </c>
      <c r="CG503" s="145"/>
      <c r="CH503" s="443">
        <f t="shared" si="304"/>
        <v>4.0581595651081361</v>
      </c>
      <c r="CI503" s="996">
        <f t="shared" si="305"/>
        <v>4.0581595651081361</v>
      </c>
      <c r="CJ503" s="261">
        <f t="shared" si="306"/>
        <v>1.55</v>
      </c>
      <c r="CK503" s="458" t="str">
        <f t="shared" si="307"/>
        <v/>
      </c>
      <c r="CL503" t="str">
        <f t="shared" si="308"/>
        <v>REV</v>
      </c>
      <c r="CM503" t="str">
        <f t="shared" si="309"/>
        <v/>
      </c>
      <c r="CN503" s="635"/>
      <c r="CO503" s="631"/>
      <c r="CP503" s="629" t="str">
        <f t="shared" si="286"/>
        <v>FOR ISSUANCE</v>
      </c>
      <c r="CQ503" s="635"/>
      <c r="CR503" s="697"/>
      <c r="CS503" s="633" t="str">
        <f t="shared" ca="1" si="310"/>
        <v>0</v>
      </c>
      <c r="CT503" s="635"/>
      <c r="CU503" s="631"/>
      <c r="CV503" s="638"/>
      <c r="CW503" s="156" t="s">
        <v>2831</v>
      </c>
      <c r="CX503" s="156" t="str">
        <f>VLOOKUP(E503,'[1]List of Work Orders'!$A:$I,9,FALSE)</f>
        <v>ME155242</v>
      </c>
      <c r="CY503" s="156"/>
      <c r="CZ503" s="63"/>
      <c r="DA503" s="762">
        <f t="shared" si="313"/>
        <v>4.8395833333343035</v>
      </c>
      <c r="DS503" s="442" t="s">
        <v>381</v>
      </c>
    </row>
    <row r="504" spans="1:123" customFormat="1" ht="15" customHeight="1" x14ac:dyDescent="0.25">
      <c r="A504" s="242">
        <v>45751</v>
      </c>
      <c r="B504" s="1003">
        <v>45747</v>
      </c>
      <c r="C504" s="223"/>
      <c r="D504" s="66" t="s">
        <v>320</v>
      </c>
      <c r="E504" s="404" t="s">
        <v>2832</v>
      </c>
      <c r="F504" s="155" t="s">
        <v>1207</v>
      </c>
      <c r="G504" s="95" t="s">
        <v>1208</v>
      </c>
      <c r="H504" s="95" t="s">
        <v>238</v>
      </c>
      <c r="I504" s="95" t="s">
        <v>239</v>
      </c>
      <c r="J504" s="163"/>
      <c r="K504" s="101"/>
      <c r="L504" s="101" t="s">
        <v>263</v>
      </c>
      <c r="M504" s="101" t="s">
        <v>331</v>
      </c>
      <c r="N504" s="442" t="s">
        <v>467</v>
      </c>
      <c r="O504" s="165">
        <v>66.286000000000001</v>
      </c>
      <c r="P504" s="165">
        <v>155.54</v>
      </c>
      <c r="Q504" s="157">
        <v>35</v>
      </c>
      <c r="R504" s="109" t="s">
        <v>548</v>
      </c>
      <c r="S504" s="110">
        <v>381652.72</v>
      </c>
      <c r="T504" s="93">
        <v>66357.209999999992</v>
      </c>
      <c r="U504" s="141"/>
      <c r="V504" s="158">
        <f t="shared" si="287"/>
        <v>0</v>
      </c>
      <c r="W504" s="159">
        <v>45742.682638888888</v>
      </c>
      <c r="X504" s="159">
        <v>45747.522916666669</v>
      </c>
      <c r="Y504" s="160">
        <v>45744</v>
      </c>
      <c r="Z504" s="470"/>
      <c r="AA504" s="470"/>
      <c r="AB504" s="470"/>
      <c r="AC504" s="161">
        <f t="shared" si="288"/>
        <v>-45742.682638888888</v>
      </c>
      <c r="AD504" s="161">
        <f t="shared" si="316"/>
        <v>-45747.522916666669</v>
      </c>
      <c r="AE504" s="446">
        <f t="shared" si="311"/>
        <v>0</v>
      </c>
      <c r="AF504" s="160">
        <f t="shared" si="317"/>
        <v>45763.889535440612</v>
      </c>
      <c r="AG504" s="160">
        <f t="shared" si="314"/>
        <v>45773.344707854405</v>
      </c>
      <c r="AH504" s="159">
        <f t="shared" si="318"/>
        <v>45792.682638888888</v>
      </c>
      <c r="AI504" s="162">
        <f t="shared" si="289"/>
        <v>-1417.2412356066002</v>
      </c>
      <c r="AJ504" s="224">
        <f t="shared" si="319"/>
        <v>0</v>
      </c>
      <c r="AK504" s="225">
        <f t="shared" si="290"/>
        <v>26</v>
      </c>
      <c r="AL504" s="170">
        <f t="shared" si="291"/>
        <v>36</v>
      </c>
      <c r="AM504" s="170">
        <f t="shared" si="292"/>
        <v>24.206896551724139</v>
      </c>
      <c r="AN504" s="170">
        <f t="shared" si="293"/>
        <v>30.662068965517239</v>
      </c>
      <c r="AO504" s="226">
        <f t="shared" si="294"/>
        <v>21.206896551724139</v>
      </c>
      <c r="AP504" s="227">
        <v>60</v>
      </c>
      <c r="AQ504" s="228">
        <f t="shared" si="295"/>
        <v>57</v>
      </c>
      <c r="AR504" s="228">
        <f t="shared" si="315"/>
        <v>52</v>
      </c>
      <c r="AS504" s="229">
        <f t="shared" si="296"/>
        <v>60</v>
      </c>
      <c r="AT504" s="982">
        <f t="shared" ca="1" si="297"/>
        <v>45895</v>
      </c>
      <c r="AU504" s="50"/>
      <c r="AV504" s="51"/>
      <c r="AW504" s="49"/>
      <c r="AX504" s="49"/>
      <c r="AY504" s="49"/>
      <c r="AZ504" s="300"/>
      <c r="BA504" s="52"/>
      <c r="BB504" s="304"/>
      <c r="BC504" s="231"/>
      <c r="BD504" s="232"/>
      <c r="BE504" s="222">
        <f t="shared" si="312"/>
        <v>15</v>
      </c>
      <c r="BF504" s="233">
        <f t="shared" si="320"/>
        <v>0</v>
      </c>
      <c r="BG504" s="234"/>
      <c r="BH504" s="235"/>
      <c r="BI504" s="234"/>
      <c r="BJ504" s="236"/>
      <c r="BK504" s="222"/>
      <c r="BL504" s="222"/>
      <c r="BM504" s="238"/>
      <c r="BN504" s="222"/>
      <c r="BO504" s="222"/>
      <c r="BP504" s="243"/>
      <c r="BQ504" s="244"/>
      <c r="BR504" s="238"/>
      <c r="BS504" s="68"/>
      <c r="BT504" s="69"/>
      <c r="BU504" s="69"/>
      <c r="BV504" s="69"/>
      <c r="BW504" s="75"/>
      <c r="BX504" s="81"/>
      <c r="BY504" s="66">
        <v>45754</v>
      </c>
      <c r="BZ504" s="944" t="s">
        <v>2833</v>
      </c>
      <c r="CA504" s="42" t="str">
        <f t="shared" si="298"/>
        <v>0</v>
      </c>
      <c r="CB504" s="62">
        <f t="shared" si="299"/>
        <v>-45742.682638888888</v>
      </c>
      <c r="CC504" s="42">
        <f t="shared" si="300"/>
        <v>0</v>
      </c>
      <c r="CD504" s="62">
        <f t="shared" si="301"/>
        <v>-45742.682638888888</v>
      </c>
      <c r="CE504" s="62">
        <f t="shared" si="302"/>
        <v>-1417.2412356066002</v>
      </c>
      <c r="CF504" s="145" t="str">
        <f t="shared" si="303"/>
        <v>0</v>
      </c>
      <c r="CG504" s="145"/>
      <c r="CH504" s="443">
        <f t="shared" si="304"/>
        <v>3.9136789233143796</v>
      </c>
      <c r="CI504" s="996">
        <f t="shared" si="305"/>
        <v>3.9136789233143796</v>
      </c>
      <c r="CJ504" s="261">
        <f t="shared" si="306"/>
        <v>0</v>
      </c>
      <c r="CK504" s="458">
        <f t="shared" si="307"/>
        <v>113.3173611111124</v>
      </c>
      <c r="CL504" t="str">
        <f t="shared" si="308"/>
        <v>NON-REV</v>
      </c>
      <c r="CM504" t="str">
        <f t="shared" si="309"/>
        <v>4-6 MONTHS</v>
      </c>
      <c r="CN504" s="635"/>
      <c r="CO504" s="631"/>
      <c r="CP504" s="629" t="str">
        <f t="shared" si="286"/>
        <v>FOR ISSUANCE</v>
      </c>
      <c r="CQ504" s="635"/>
      <c r="CR504" s="697"/>
      <c r="CS504" s="633" t="str">
        <f t="shared" ca="1" si="310"/>
        <v>0</v>
      </c>
      <c r="CT504" s="635"/>
      <c r="CU504" s="631"/>
      <c r="CV504" s="638"/>
      <c r="CW504" s="156" t="s">
        <v>2834</v>
      </c>
      <c r="CX504" s="156" t="str">
        <f>VLOOKUP(E504,'[1]List of Work Orders'!$A:$I,9,FALSE)</f>
        <v>ME155242</v>
      </c>
      <c r="CY504" s="156"/>
      <c r="DA504" s="762">
        <f t="shared" si="313"/>
        <v>4.8402777777810115</v>
      </c>
      <c r="DS504" s="156" t="s">
        <v>397</v>
      </c>
    </row>
    <row r="505" spans="1:123" customFormat="1" ht="15" customHeight="1" x14ac:dyDescent="0.25">
      <c r="A505" s="242">
        <v>45744</v>
      </c>
      <c r="B505" s="1003">
        <v>45747</v>
      </c>
      <c r="C505" s="223"/>
      <c r="D505" s="66" t="s">
        <v>320</v>
      </c>
      <c r="E505" s="404" t="s">
        <v>2835</v>
      </c>
      <c r="F505" s="155" t="s">
        <v>2836</v>
      </c>
      <c r="G505" s="95" t="s">
        <v>2837</v>
      </c>
      <c r="H505" s="348" t="s">
        <v>318</v>
      </c>
      <c r="I505" s="95" t="s">
        <v>239</v>
      </c>
      <c r="J505" s="163"/>
      <c r="K505" s="101"/>
      <c r="L505" s="101" t="s">
        <v>5</v>
      </c>
      <c r="M505" s="101" t="s">
        <v>272</v>
      </c>
      <c r="N505" s="442" t="s">
        <v>403</v>
      </c>
      <c r="O505" s="165">
        <v>63.102600000000002</v>
      </c>
      <c r="P505" s="933">
        <v>92.81</v>
      </c>
      <c r="Q505" s="157">
        <v>90</v>
      </c>
      <c r="R505" s="109" t="s">
        <v>244</v>
      </c>
      <c r="S505" s="110">
        <v>474663.13</v>
      </c>
      <c r="T505" s="93">
        <v>78962.679999999978</v>
      </c>
      <c r="U505" s="141"/>
      <c r="V505" s="158">
        <f t="shared" si="287"/>
        <v>0</v>
      </c>
      <c r="W505" s="159">
        <v>45742.682638888888</v>
      </c>
      <c r="X505" s="159">
        <v>45744.453472222223</v>
      </c>
      <c r="Y505" s="160">
        <v>45744</v>
      </c>
      <c r="Z505" s="470"/>
      <c r="AA505" s="470">
        <v>45783.353472222225</v>
      </c>
      <c r="AB505" s="470"/>
      <c r="AC505" s="161">
        <f t="shared" si="288"/>
        <v>40.670833333337214</v>
      </c>
      <c r="AD505" s="161">
        <f t="shared" si="316"/>
        <v>38.900000000001455</v>
      </c>
      <c r="AE505" s="446">
        <f t="shared" si="311"/>
        <v>-45783.353472222225</v>
      </c>
      <c r="AF505" s="160">
        <f t="shared" si="317"/>
        <v>45761.983019117026</v>
      </c>
      <c r="AG505" s="160">
        <f t="shared" si="314"/>
        <v>45770.929787177862</v>
      </c>
      <c r="AH505" s="159">
        <f t="shared" si="318"/>
        <v>45792.682638888888</v>
      </c>
      <c r="AI505" s="162">
        <f t="shared" si="289"/>
        <v>1.3678298167094229</v>
      </c>
      <c r="AJ505" s="224">
        <f t="shared" si="319"/>
        <v>-763.05589120370371</v>
      </c>
      <c r="AK505" s="225">
        <f t="shared" si="290"/>
        <v>23</v>
      </c>
      <c r="AL505" s="170">
        <f t="shared" si="291"/>
        <v>34</v>
      </c>
      <c r="AM505" s="170">
        <f t="shared" si="292"/>
        <v>22.300380228136884</v>
      </c>
      <c r="AN505" s="170">
        <f t="shared" si="293"/>
        <v>28.247148288973385</v>
      </c>
      <c r="AO505" s="226">
        <f t="shared" si="294"/>
        <v>19.300380228136884</v>
      </c>
      <c r="AP505" s="227">
        <v>60</v>
      </c>
      <c r="AQ505" s="228">
        <f t="shared" si="295"/>
        <v>57</v>
      </c>
      <c r="AR505" s="228">
        <f t="shared" si="315"/>
        <v>52</v>
      </c>
      <c r="AS505" s="229">
        <f t="shared" si="296"/>
        <v>45843.353472222225</v>
      </c>
      <c r="AT505" s="982">
        <f t="shared" ca="1" si="297"/>
        <v>111.64652777777519</v>
      </c>
      <c r="AU505" s="50"/>
      <c r="AV505" s="51"/>
      <c r="AW505" s="49"/>
      <c r="AX505" s="49"/>
      <c r="AY505" s="49"/>
      <c r="AZ505" s="300"/>
      <c r="BA505" s="52"/>
      <c r="BB505" s="304"/>
      <c r="BC505" s="231" t="s">
        <v>12</v>
      </c>
      <c r="BD505" s="232"/>
      <c r="BE505" s="222">
        <f t="shared" si="312"/>
        <v>45798.353472222225</v>
      </c>
      <c r="BF505" s="233">
        <f t="shared" si="320"/>
        <v>19.646527777775191</v>
      </c>
      <c r="BG505" s="234">
        <v>45783</v>
      </c>
      <c r="BH505" s="235">
        <v>45818</v>
      </c>
      <c r="BI505" s="234"/>
      <c r="BJ505" s="236"/>
      <c r="BK505" s="222"/>
      <c r="BL505" s="222"/>
      <c r="BM505" s="238"/>
      <c r="BN505" s="222"/>
      <c r="BO505" s="222"/>
      <c r="BP505" s="243"/>
      <c r="BQ505" s="244" t="s">
        <v>247</v>
      </c>
      <c r="BR505" s="238">
        <v>45783</v>
      </c>
      <c r="BS505" s="68"/>
      <c r="BT505" s="69"/>
      <c r="BU505" s="69"/>
      <c r="BV505" s="69"/>
      <c r="BW505" s="75"/>
      <c r="BX505" s="81"/>
      <c r="BY505" s="66"/>
      <c r="BZ505" s="944"/>
      <c r="CA505" s="42" t="str">
        <f t="shared" si="298"/>
        <v>0</v>
      </c>
      <c r="CB505" s="62">
        <f t="shared" si="299"/>
        <v>40.670833333337214</v>
      </c>
      <c r="CC505" s="42">
        <f t="shared" si="300"/>
        <v>0</v>
      </c>
      <c r="CD505" s="62">
        <f t="shared" si="301"/>
        <v>40.670833333337214</v>
      </c>
      <c r="CE505" s="62">
        <f t="shared" si="302"/>
        <v>1.3678298167094229</v>
      </c>
      <c r="CF505" s="145">
        <f t="shared" si="303"/>
        <v>85.646527777775191</v>
      </c>
      <c r="CG505" s="145"/>
      <c r="CH505" s="443">
        <f t="shared" si="304"/>
        <v>4.2482693059108136</v>
      </c>
      <c r="CI505" s="996">
        <f t="shared" si="305"/>
        <v>4.2482693059108136</v>
      </c>
      <c r="CJ505" s="261">
        <f t="shared" si="306"/>
        <v>1.4274421296295865</v>
      </c>
      <c r="CK505" s="458" t="str">
        <f t="shared" si="307"/>
        <v/>
      </c>
      <c r="CL505" t="str">
        <f t="shared" si="308"/>
        <v>REV</v>
      </c>
      <c r="CM505" t="str">
        <f t="shared" si="309"/>
        <v/>
      </c>
      <c r="CN505" s="635"/>
      <c r="CO505" s="631"/>
      <c r="CP505" s="629" t="str">
        <f t="shared" si="286"/>
        <v>FOR ISSUANCE</v>
      </c>
      <c r="CQ505" s="635"/>
      <c r="CR505" s="697"/>
      <c r="CS505" s="633" t="str">
        <f t="shared" ca="1" si="310"/>
        <v>0</v>
      </c>
      <c r="CT505" s="635"/>
      <c r="CU505" s="631"/>
      <c r="CV505" s="638"/>
      <c r="CW505" s="156" t="s">
        <v>2838</v>
      </c>
      <c r="CX505" s="156" t="str">
        <f>VLOOKUP(E505,'[1]List of Work Orders'!$A:$I,9,FALSE)</f>
        <v>ME166067</v>
      </c>
      <c r="CY505" s="156"/>
      <c r="DA505" s="762">
        <f t="shared" si="313"/>
        <v>1.7708333333357587</v>
      </c>
      <c r="DS505" s="156" t="s">
        <v>397</v>
      </c>
    </row>
    <row r="506" spans="1:123" customFormat="1" ht="15" customHeight="1" x14ac:dyDescent="0.25">
      <c r="A506" s="242">
        <v>45750</v>
      </c>
      <c r="B506" s="1003">
        <v>45747</v>
      </c>
      <c r="C506" s="223"/>
      <c r="D506" s="66" t="s">
        <v>320</v>
      </c>
      <c r="E506" s="404" t="s">
        <v>2839</v>
      </c>
      <c r="F506" s="155" t="s">
        <v>2840</v>
      </c>
      <c r="G506" s="95" t="s">
        <v>2841</v>
      </c>
      <c r="H506" s="95" t="s">
        <v>238</v>
      </c>
      <c r="I506" s="95" t="s">
        <v>239</v>
      </c>
      <c r="J506" s="163"/>
      <c r="K506" s="101"/>
      <c r="L506" s="101" t="s">
        <v>288</v>
      </c>
      <c r="M506" s="101" t="s">
        <v>272</v>
      </c>
      <c r="N506" s="442" t="s">
        <v>381</v>
      </c>
      <c r="O506" s="165">
        <v>91.472899999999981</v>
      </c>
      <c r="P506" s="165">
        <v>269.13</v>
      </c>
      <c r="Q506" s="157">
        <v>66.62</v>
      </c>
      <c r="R506" s="109" t="s">
        <v>548</v>
      </c>
      <c r="S506" s="110">
        <v>561135.26</v>
      </c>
      <c r="T506" s="93">
        <v>95917.15</v>
      </c>
      <c r="U506" s="141"/>
      <c r="V506" s="158">
        <f t="shared" si="287"/>
        <v>0</v>
      </c>
      <c r="W506" s="159">
        <v>45742.686111111114</v>
      </c>
      <c r="X506" s="159">
        <v>45747.521527777775</v>
      </c>
      <c r="Y506" s="160">
        <v>45744</v>
      </c>
      <c r="Z506" s="470"/>
      <c r="AA506" s="470">
        <v>45878.375</v>
      </c>
      <c r="AB506" s="470"/>
      <c r="AC506" s="161">
        <f t="shared" si="288"/>
        <v>135.68888888888614</v>
      </c>
      <c r="AD506" s="161">
        <f t="shared" si="316"/>
        <v>130.85347222222481</v>
      </c>
      <c r="AE506" s="446">
        <f t="shared" si="311"/>
        <v>-45878.375</v>
      </c>
      <c r="AF506" s="160">
        <f t="shared" si="317"/>
        <v>45763.64584265474</v>
      </c>
      <c r="AG506" s="160">
        <f t="shared" si="314"/>
        <v>45773.035104399707</v>
      </c>
      <c r="AH506" s="159">
        <f t="shared" si="318"/>
        <v>45792.686111111114</v>
      </c>
      <c r="AI506" s="162">
        <f t="shared" si="289"/>
        <v>4.2474042950512674</v>
      </c>
      <c r="AJ506" s="224">
        <f t="shared" si="319"/>
        <v>-764.63958333333335</v>
      </c>
      <c r="AK506" s="225">
        <f t="shared" si="290"/>
        <v>28</v>
      </c>
      <c r="AL506" s="170">
        <f t="shared" si="291"/>
        <v>34</v>
      </c>
      <c r="AM506" s="170">
        <f t="shared" si="292"/>
        <v>23.959731543624162</v>
      </c>
      <c r="AN506" s="170">
        <f t="shared" si="293"/>
        <v>30.348993288590602</v>
      </c>
      <c r="AO506" s="226">
        <f t="shared" si="294"/>
        <v>20.959731543624162</v>
      </c>
      <c r="AP506" s="227">
        <v>60</v>
      </c>
      <c r="AQ506" s="228">
        <f t="shared" si="295"/>
        <v>57</v>
      </c>
      <c r="AR506" s="228">
        <f t="shared" si="315"/>
        <v>52</v>
      </c>
      <c r="AS506" s="229">
        <f t="shared" si="296"/>
        <v>45938.375</v>
      </c>
      <c r="AT506" s="982">
        <f t="shared" ca="1" si="297"/>
        <v>16.625</v>
      </c>
      <c r="AU506" s="50" t="s">
        <v>54</v>
      </c>
      <c r="AV506" s="51" t="s">
        <v>247</v>
      </c>
      <c r="AW506" s="49" t="s">
        <v>247</v>
      </c>
      <c r="AX506" s="49"/>
      <c r="AY506" s="49"/>
      <c r="AZ506" s="300">
        <v>45754</v>
      </c>
      <c r="BA506" s="52">
        <f>BB506-AZ506</f>
        <v>67</v>
      </c>
      <c r="BB506" s="304">
        <v>45821</v>
      </c>
      <c r="BC506" s="231" t="s">
        <v>13</v>
      </c>
      <c r="BD506" s="232"/>
      <c r="BE506" s="222">
        <f t="shared" si="312"/>
        <v>45893.375</v>
      </c>
      <c r="BF506" s="233" t="e">
        <f t="shared" si="320"/>
        <v>#VALUE!</v>
      </c>
      <c r="BG506" s="234"/>
      <c r="BH506" s="235"/>
      <c r="BI506" s="234"/>
      <c r="BJ506" s="236"/>
      <c r="BK506" s="222"/>
      <c r="BL506" s="222"/>
      <c r="BM506" s="238"/>
      <c r="BN506" s="222"/>
      <c r="BO506" s="222"/>
      <c r="BP506" s="243"/>
      <c r="BQ506" s="244"/>
      <c r="BR506" s="238"/>
      <c r="BS506" s="68"/>
      <c r="BT506" s="69"/>
      <c r="BU506" s="69"/>
      <c r="BV506" s="69"/>
      <c r="BW506" s="75"/>
      <c r="BX506" s="81"/>
      <c r="BY506" s="66"/>
      <c r="BZ506" s="944"/>
      <c r="CA506" s="42" t="str">
        <f t="shared" si="298"/>
        <v>0</v>
      </c>
      <c r="CB506" s="62">
        <f t="shared" si="299"/>
        <v>135.68888888888614</v>
      </c>
      <c r="CC506" s="42">
        <f t="shared" si="300"/>
        <v>67</v>
      </c>
      <c r="CD506" s="62">
        <f t="shared" si="301"/>
        <v>68.68888888888614</v>
      </c>
      <c r="CE506" s="62">
        <f t="shared" si="302"/>
        <v>2.1501353874882425</v>
      </c>
      <c r="CF506" s="145">
        <f t="shared" si="303"/>
        <v>-9.375</v>
      </c>
      <c r="CG506" s="145"/>
      <c r="CH506" s="443">
        <f t="shared" si="304"/>
        <v>3.9539431605974862</v>
      </c>
      <c r="CI506" s="996">
        <f t="shared" si="305"/>
        <v>3.9539431605974862</v>
      </c>
      <c r="CJ506" s="261">
        <f t="shared" si="306"/>
        <v>-0.15625</v>
      </c>
      <c r="CK506" s="458" t="str">
        <f t="shared" si="307"/>
        <v/>
      </c>
      <c r="CL506" t="str">
        <f t="shared" si="308"/>
        <v>NON-REV</v>
      </c>
      <c r="CM506" t="str">
        <f t="shared" si="309"/>
        <v/>
      </c>
      <c r="CN506" s="635"/>
      <c r="CO506" s="631"/>
      <c r="CP506" s="629" t="str">
        <f t="shared" si="286"/>
        <v>FOR ISSUANCE</v>
      </c>
      <c r="CQ506" s="635"/>
      <c r="CR506" s="697"/>
      <c r="CS506" s="633" t="str">
        <f t="shared" ca="1" si="310"/>
        <v>0</v>
      </c>
      <c r="CT506" s="635"/>
      <c r="CU506" s="631"/>
      <c r="CV506" s="638"/>
      <c r="CW506" s="156" t="s">
        <v>2842</v>
      </c>
      <c r="CX506" s="156" t="str">
        <f>VLOOKUP(E506,'[1]List of Work Orders'!$A:$I,9,FALSE)</f>
        <v>ME185284</v>
      </c>
      <c r="CY506" s="156"/>
      <c r="DA506" s="762">
        <f t="shared" si="313"/>
        <v>4.835416666661331</v>
      </c>
      <c r="DS506" s="156" t="s">
        <v>397</v>
      </c>
    </row>
    <row r="507" spans="1:123" ht="15" customHeight="1" x14ac:dyDescent="0.2">
      <c r="A507" s="242">
        <v>45744</v>
      </c>
      <c r="B507" s="1003">
        <v>45747</v>
      </c>
      <c r="C507" s="223"/>
      <c r="D507" s="66" t="s">
        <v>320</v>
      </c>
      <c r="E507" s="404" t="s">
        <v>2843</v>
      </c>
      <c r="F507" s="155" t="s">
        <v>2844</v>
      </c>
      <c r="G507" s="95" t="s">
        <v>2845</v>
      </c>
      <c r="H507" s="344" t="s">
        <v>318</v>
      </c>
      <c r="I507" s="95" t="s">
        <v>239</v>
      </c>
      <c r="J507" s="163"/>
      <c r="K507" s="101"/>
      <c r="L507" s="101" t="s">
        <v>255</v>
      </c>
      <c r="M507" s="101" t="s">
        <v>272</v>
      </c>
      <c r="N507" s="442" t="s">
        <v>403</v>
      </c>
      <c r="O507" s="165">
        <v>41.139499999999998</v>
      </c>
      <c r="P507" s="165">
        <v>127.4</v>
      </c>
      <c r="Q507" s="157">
        <v>80</v>
      </c>
      <c r="R507" s="468" t="s">
        <v>548</v>
      </c>
      <c r="S507" s="110">
        <v>383978.78</v>
      </c>
      <c r="T507" s="93">
        <v>41823.950000000004</v>
      </c>
      <c r="U507" s="141"/>
      <c r="V507" s="158">
        <f t="shared" si="287"/>
        <v>0</v>
      </c>
      <c r="W507" s="159">
        <v>45742.717361111114</v>
      </c>
      <c r="X507" s="159">
        <v>45744.451388888891</v>
      </c>
      <c r="Y507" s="160">
        <v>45744</v>
      </c>
      <c r="Z507" s="470">
        <v>45826</v>
      </c>
      <c r="AA507" s="470">
        <v>45860</v>
      </c>
      <c r="AB507" s="470"/>
      <c r="AC507" s="161">
        <f t="shared" si="288"/>
        <v>117.28263888888614</v>
      </c>
      <c r="AD507" s="161">
        <f t="shared" si="316"/>
        <v>115.54861111110949</v>
      </c>
      <c r="AE507" s="446">
        <f t="shared" si="311"/>
        <v>-45860</v>
      </c>
      <c r="AF507" s="160">
        <f t="shared" si="317"/>
        <v>45763.062431533646</v>
      </c>
      <c r="AG507" s="160">
        <f t="shared" si="314"/>
        <v>45772.287783646323</v>
      </c>
      <c r="AH507" s="159">
        <f t="shared" si="318"/>
        <v>45792.717361111114</v>
      </c>
      <c r="AI507" s="162">
        <f t="shared" si="289"/>
        <v>3.7679037833081068</v>
      </c>
      <c r="AJ507" s="224">
        <f t="shared" si="319"/>
        <v>-764.33333333333337</v>
      </c>
      <c r="AK507" s="225">
        <f t="shared" si="290"/>
        <v>26</v>
      </c>
      <c r="AL507" s="170">
        <f t="shared" si="291"/>
        <v>34</v>
      </c>
      <c r="AM507" s="170">
        <f t="shared" si="292"/>
        <v>23.345070422535212</v>
      </c>
      <c r="AN507" s="170">
        <f t="shared" si="293"/>
        <v>29.570422535211268</v>
      </c>
      <c r="AO507" s="226">
        <f t="shared" si="294"/>
        <v>20.345070422535212</v>
      </c>
      <c r="AP507" s="227">
        <v>60</v>
      </c>
      <c r="AQ507" s="228">
        <f t="shared" si="295"/>
        <v>57</v>
      </c>
      <c r="AR507" s="228">
        <f t="shared" si="315"/>
        <v>52</v>
      </c>
      <c r="AS507" s="229">
        <f t="shared" si="296"/>
        <v>45920</v>
      </c>
      <c r="AT507" s="982">
        <f t="shared" ca="1" si="297"/>
        <v>35</v>
      </c>
      <c r="AU507" s="1077" t="s">
        <v>50</v>
      </c>
      <c r="AV507" s="1092" t="s">
        <v>247</v>
      </c>
      <c r="AW507" s="1079" t="s">
        <v>247</v>
      </c>
      <c r="AX507" s="1079"/>
      <c r="AY507" s="1079"/>
      <c r="AZ507" s="1080">
        <v>45832</v>
      </c>
      <c r="BA507" s="1101">
        <v>34</v>
      </c>
      <c r="BB507" s="1091">
        <v>45866</v>
      </c>
      <c r="BC507" s="231" t="s">
        <v>12</v>
      </c>
      <c r="BD507" s="232"/>
      <c r="BE507" s="222">
        <f t="shared" si="312"/>
        <v>45875</v>
      </c>
      <c r="BF507" s="233">
        <f t="shared" si="320"/>
        <v>2</v>
      </c>
      <c r="BG507" s="234">
        <v>45826</v>
      </c>
      <c r="BH507" s="235">
        <v>45877</v>
      </c>
      <c r="BI507" s="234"/>
      <c r="BJ507" s="236"/>
      <c r="BK507" s="222"/>
      <c r="BL507" s="222"/>
      <c r="BM507" s="238"/>
      <c r="BN507" s="222"/>
      <c r="BO507" s="222"/>
      <c r="BP507" s="243"/>
      <c r="BQ507" s="244"/>
      <c r="BR507" s="238"/>
      <c r="BS507" s="68"/>
      <c r="BT507" s="69"/>
      <c r="BU507" s="69"/>
      <c r="BV507" s="69"/>
      <c r="BW507" s="75"/>
      <c r="BX507" s="81"/>
      <c r="BY507" s="66"/>
      <c r="BZ507" s="944"/>
      <c r="CA507" s="42" t="str">
        <f t="shared" si="298"/>
        <v>0</v>
      </c>
      <c r="CB507" s="62">
        <f t="shared" si="299"/>
        <v>117.28263888888614</v>
      </c>
      <c r="CC507" s="42">
        <f t="shared" si="300"/>
        <v>34</v>
      </c>
      <c r="CD507" s="62">
        <f t="shared" si="301"/>
        <v>83.28263888888614</v>
      </c>
      <c r="CE507" s="62">
        <f t="shared" si="302"/>
        <v>2.6755960910004144</v>
      </c>
      <c r="CF507" s="1059">
        <f t="shared" si="303"/>
        <v>9</v>
      </c>
      <c r="CH507" s="1082">
        <f t="shared" si="304"/>
        <v>4.0570440548013185</v>
      </c>
      <c r="CI507" s="1083">
        <f t="shared" si="305"/>
        <v>4.0570440548013185</v>
      </c>
      <c r="CJ507" s="1084">
        <f t="shared" si="306"/>
        <v>0.15</v>
      </c>
      <c r="CK507" s="1085" t="str">
        <f t="shared" si="307"/>
        <v/>
      </c>
      <c r="CL507" s="1057" t="str">
        <f t="shared" si="308"/>
        <v>NON-REV</v>
      </c>
      <c r="CM507" s="1057" t="str">
        <f t="shared" si="309"/>
        <v/>
      </c>
      <c r="CN507" s="1086"/>
      <c r="CO507" s="1087"/>
      <c r="CP507" s="629" t="str">
        <f t="shared" si="286"/>
        <v>FOR ISSUANCE</v>
      </c>
      <c r="CQ507" s="1086"/>
      <c r="CR507" s="1088"/>
      <c r="CS507" s="1089" t="str">
        <f t="shared" ca="1" si="310"/>
        <v>0</v>
      </c>
      <c r="CT507" s="1086"/>
      <c r="CU507" s="1087"/>
      <c r="CV507" s="1090"/>
      <c r="CW507" s="156" t="s">
        <v>2846</v>
      </c>
      <c r="CX507" s="156" t="str">
        <f>VLOOKUP(E507,'[1]List of Work Orders'!$A:$I,9,FALSE)</f>
        <v>ME185284</v>
      </c>
      <c r="CY507" s="156"/>
      <c r="DA507" s="1100">
        <f t="shared" si="313"/>
        <v>1.734027777776646</v>
      </c>
      <c r="DS507" s="442" t="s">
        <v>403</v>
      </c>
    </row>
    <row r="508" spans="1:123" ht="15" customHeight="1" x14ac:dyDescent="0.2">
      <c r="A508" s="242">
        <v>45754</v>
      </c>
      <c r="B508" s="1003">
        <v>45749</v>
      </c>
      <c r="C508" s="223"/>
      <c r="D508" s="350" t="s">
        <v>320</v>
      </c>
      <c r="E508" s="349" t="s">
        <v>2847</v>
      </c>
      <c r="F508" s="348" t="s">
        <v>2848</v>
      </c>
      <c r="G508" s="95" t="s">
        <v>2849</v>
      </c>
      <c r="H508" s="95" t="s">
        <v>318</v>
      </c>
      <c r="I508" s="95" t="s">
        <v>239</v>
      </c>
      <c r="J508" s="1134" t="s">
        <v>2405</v>
      </c>
      <c r="K508" s="101"/>
      <c r="L508" s="101" t="s">
        <v>255</v>
      </c>
      <c r="M508" s="101" t="s">
        <v>331</v>
      </c>
      <c r="N508" s="442" t="s">
        <v>403</v>
      </c>
      <c r="O508" s="165">
        <v>127.88</v>
      </c>
      <c r="P508" s="165">
        <v>317.23</v>
      </c>
      <c r="Q508" s="157">
        <v>80</v>
      </c>
      <c r="R508" s="468" t="s">
        <v>244</v>
      </c>
      <c r="S508" s="110">
        <v>663984</v>
      </c>
      <c r="T508" s="93">
        <v>136862.39999999999</v>
      </c>
      <c r="U508" s="141"/>
      <c r="V508" s="158">
        <f t="shared" si="287"/>
        <v>0</v>
      </c>
      <c r="W508" s="159">
        <v>45743</v>
      </c>
      <c r="X508" s="159">
        <v>45750.624305555553</v>
      </c>
      <c r="Y508" s="160">
        <v>45748</v>
      </c>
      <c r="Z508" s="470"/>
      <c r="AA508" s="470"/>
      <c r="AB508" s="470"/>
      <c r="AC508" s="161">
        <f t="shared" si="288"/>
        <v>-45743</v>
      </c>
      <c r="AD508" s="161">
        <f t="shared" si="316"/>
        <v>-45750.624305555553</v>
      </c>
      <c r="AE508" s="446">
        <f t="shared" si="311"/>
        <v>0</v>
      </c>
      <c r="AF508" s="160">
        <f t="shared" si="317"/>
        <v>45764.519230769234</v>
      </c>
      <c r="AG508" s="160">
        <f t="shared" si="314"/>
        <v>45774.057692307695</v>
      </c>
      <c r="AH508" s="159">
        <f t="shared" si="318"/>
        <v>45793</v>
      </c>
      <c r="AI508" s="162">
        <f t="shared" si="289"/>
        <v>-1399.1976470588236</v>
      </c>
      <c r="AJ508" s="224">
        <f t="shared" si="319"/>
        <v>0</v>
      </c>
      <c r="AK508" s="225">
        <f t="shared" si="290"/>
        <v>30</v>
      </c>
      <c r="AL508" s="170">
        <f t="shared" si="291"/>
        <v>34</v>
      </c>
      <c r="AM508" s="170">
        <f t="shared" si="292"/>
        <v>24.51923076923077</v>
      </c>
      <c r="AN508" s="170">
        <f t="shared" si="293"/>
        <v>31.057692307692307</v>
      </c>
      <c r="AO508" s="226">
        <f t="shared" si="294"/>
        <v>21.51923076923077</v>
      </c>
      <c r="AP508" s="227">
        <v>60</v>
      </c>
      <c r="AQ508" s="228">
        <f t="shared" si="295"/>
        <v>57</v>
      </c>
      <c r="AR508" s="228">
        <f t="shared" si="315"/>
        <v>52</v>
      </c>
      <c r="AS508" s="229">
        <f t="shared" si="296"/>
        <v>60</v>
      </c>
      <c r="AT508" s="982">
        <f t="shared" ca="1" si="297"/>
        <v>45895</v>
      </c>
      <c r="AU508" s="1077"/>
      <c r="AV508" s="1092"/>
      <c r="AW508" s="1079"/>
      <c r="AX508" s="1079"/>
      <c r="AY508" s="1079"/>
      <c r="AZ508" s="1080"/>
      <c r="BA508" s="1101"/>
      <c r="BB508" s="1091"/>
      <c r="BC508" s="231"/>
      <c r="BD508" s="232"/>
      <c r="BE508" s="222">
        <f t="shared" si="312"/>
        <v>15</v>
      </c>
      <c r="BF508" s="233">
        <f t="shared" si="320"/>
        <v>0</v>
      </c>
      <c r="BG508" s="234"/>
      <c r="BH508" s="235"/>
      <c r="BI508" s="234"/>
      <c r="BJ508" s="236"/>
      <c r="BK508" s="222"/>
      <c r="BL508" s="222"/>
      <c r="BM508" s="238"/>
      <c r="BN508" s="222"/>
      <c r="BO508" s="222"/>
      <c r="BP508" s="243"/>
      <c r="BQ508" s="244"/>
      <c r="BR508" s="238"/>
      <c r="BS508" s="68"/>
      <c r="BT508" s="69"/>
      <c r="BU508" s="69"/>
      <c r="BV508" s="69"/>
      <c r="BW508" s="75"/>
      <c r="BX508" s="81"/>
      <c r="BY508" s="66">
        <v>45754</v>
      </c>
      <c r="BZ508" s="944" t="s">
        <v>2850</v>
      </c>
      <c r="CA508" s="42" t="str">
        <f t="shared" si="298"/>
        <v>0</v>
      </c>
      <c r="CB508" s="62">
        <f t="shared" si="299"/>
        <v>-45743</v>
      </c>
      <c r="CC508" s="42">
        <f t="shared" si="300"/>
        <v>0</v>
      </c>
      <c r="CD508" s="62">
        <f t="shared" si="301"/>
        <v>-45743</v>
      </c>
      <c r="CE508" s="62">
        <f t="shared" si="302"/>
        <v>-1399.1976470588236</v>
      </c>
      <c r="CF508" s="1059" t="str">
        <f t="shared" si="303"/>
        <v>0</v>
      </c>
      <c r="CH508" s="1082">
        <f t="shared" si="304"/>
        <v>3.8541176470588239</v>
      </c>
      <c r="CI508" s="1083">
        <f t="shared" si="305"/>
        <v>3.8541176470588239</v>
      </c>
      <c r="CJ508" s="1084">
        <f t="shared" si="306"/>
        <v>0</v>
      </c>
      <c r="CK508" s="1085">
        <f t="shared" si="307"/>
        <v>113</v>
      </c>
      <c r="CL508" s="1057" t="str">
        <f t="shared" si="308"/>
        <v>REV</v>
      </c>
      <c r="CM508" s="1057" t="str">
        <f t="shared" si="309"/>
        <v>4-6 MONTHS</v>
      </c>
      <c r="CN508" s="1086"/>
      <c r="CO508" s="1087"/>
      <c r="CP508" s="629" t="str">
        <f t="shared" si="286"/>
        <v>FOR ISSUANCE</v>
      </c>
      <c r="CQ508" s="1086"/>
      <c r="CR508" s="1088"/>
      <c r="CS508" s="1089" t="str">
        <f t="shared" ca="1" si="310"/>
        <v>0</v>
      </c>
      <c r="CT508" s="1086"/>
      <c r="CU508" s="1087"/>
      <c r="CV508" s="1090"/>
      <c r="CW508" s="156" t="s">
        <v>2851</v>
      </c>
      <c r="CX508" s="156"/>
      <c r="CY508" s="156"/>
      <c r="DA508" s="1100">
        <f t="shared" si="313"/>
        <v>7.6243055555532919</v>
      </c>
      <c r="DS508" s="156" t="s">
        <v>381</v>
      </c>
    </row>
    <row r="509" spans="1:123" customFormat="1" ht="15" customHeight="1" x14ac:dyDescent="0.25">
      <c r="A509" s="242">
        <v>45751</v>
      </c>
      <c r="B509" s="1003">
        <v>45749</v>
      </c>
      <c r="C509" s="223"/>
      <c r="D509" s="345" t="s">
        <v>284</v>
      </c>
      <c r="E509" s="344" t="s">
        <v>2852</v>
      </c>
      <c r="F509" s="343" t="s">
        <v>2853</v>
      </c>
      <c r="G509" s="95" t="s">
        <v>2854</v>
      </c>
      <c r="H509" s="95" t="s">
        <v>378</v>
      </c>
      <c r="I509" s="95" t="s">
        <v>239</v>
      </c>
      <c r="J509" s="163"/>
      <c r="K509" s="101"/>
      <c r="L509" s="101" t="s">
        <v>288</v>
      </c>
      <c r="M509" s="101" t="s">
        <v>272</v>
      </c>
      <c r="N509" s="442" t="s">
        <v>381</v>
      </c>
      <c r="O509" s="165">
        <v>10.58</v>
      </c>
      <c r="P509" s="933">
        <v>14.23</v>
      </c>
      <c r="Q509" s="157">
        <v>16</v>
      </c>
      <c r="R509" s="468" t="s">
        <v>244</v>
      </c>
      <c r="S509" s="110">
        <v>146020.44</v>
      </c>
      <c r="T509" s="93">
        <v>12224.56</v>
      </c>
      <c r="U509" s="141"/>
      <c r="V509" s="158">
        <f t="shared" si="287"/>
        <v>0</v>
      </c>
      <c r="W509" s="159">
        <v>45743</v>
      </c>
      <c r="X509" s="159">
        <v>45750.62222222222</v>
      </c>
      <c r="Y509" s="160">
        <v>45748</v>
      </c>
      <c r="Z509" s="470"/>
      <c r="AA509" s="470">
        <v>45757.394444444442</v>
      </c>
      <c r="AB509" s="470"/>
      <c r="AC509" s="161">
        <f t="shared" si="288"/>
        <v>14.394444444442343</v>
      </c>
      <c r="AD509" s="161">
        <f t="shared" si="316"/>
        <v>6.7722222222218988</v>
      </c>
      <c r="AE509" s="446">
        <f t="shared" si="311"/>
        <v>-45757.394444444442</v>
      </c>
      <c r="AF509" s="160">
        <f t="shared" si="317"/>
        <v>45761.774193548386</v>
      </c>
      <c r="AG509" s="160">
        <f t="shared" si="314"/>
        <v>45770.580645161288</v>
      </c>
      <c r="AH509" s="159">
        <f t="shared" si="318"/>
        <v>45793</v>
      </c>
      <c r="AI509" s="162">
        <f t="shared" si="289"/>
        <v>0.49580864197523622</v>
      </c>
      <c r="AJ509" s="224">
        <f t="shared" si="319"/>
        <v>-762.6232407407407</v>
      </c>
      <c r="AK509" s="225">
        <f t="shared" si="290"/>
        <v>20</v>
      </c>
      <c r="AL509" s="170">
        <f t="shared" si="291"/>
        <v>36</v>
      </c>
      <c r="AM509" s="170">
        <f t="shared" si="292"/>
        <v>21.774193548387096</v>
      </c>
      <c r="AN509" s="170">
        <f t="shared" si="293"/>
        <v>27.58064516129032</v>
      </c>
      <c r="AO509" s="226">
        <f t="shared" si="294"/>
        <v>18.774193548387096</v>
      </c>
      <c r="AP509" s="227">
        <v>60</v>
      </c>
      <c r="AQ509" s="228">
        <f t="shared" si="295"/>
        <v>57</v>
      </c>
      <c r="AR509" s="228">
        <f t="shared" si="315"/>
        <v>52</v>
      </c>
      <c r="AS509" s="229">
        <f t="shared" si="296"/>
        <v>45817.394444444442</v>
      </c>
      <c r="AT509" s="982">
        <f t="shared" ca="1" si="297"/>
        <v>137.60555555555766</v>
      </c>
      <c r="AU509" s="50"/>
      <c r="AV509" s="51"/>
      <c r="AW509" s="49"/>
      <c r="AX509" s="49"/>
      <c r="AY509" s="49"/>
      <c r="AZ509" s="300"/>
      <c r="BA509" s="52"/>
      <c r="BB509" s="304"/>
      <c r="BC509" s="231" t="s">
        <v>12</v>
      </c>
      <c r="BD509" s="232"/>
      <c r="BE509" s="222">
        <f t="shared" si="312"/>
        <v>45772.394444444442</v>
      </c>
      <c r="BF509" s="233">
        <f t="shared" si="320"/>
        <v>65.605555555557657</v>
      </c>
      <c r="BG509" s="234">
        <v>45757</v>
      </c>
      <c r="BH509" s="235">
        <v>45838</v>
      </c>
      <c r="BI509" s="234"/>
      <c r="BJ509" s="236"/>
      <c r="BK509" s="222"/>
      <c r="BL509" s="222"/>
      <c r="BM509" s="238"/>
      <c r="BN509" s="222"/>
      <c r="BO509" s="222"/>
      <c r="BP509" s="243"/>
      <c r="BQ509" s="244" t="s">
        <v>247</v>
      </c>
      <c r="BR509" s="238">
        <v>45754</v>
      </c>
      <c r="BS509" s="68"/>
      <c r="BT509" s="69"/>
      <c r="BU509" s="69"/>
      <c r="BV509" s="69"/>
      <c r="BW509" s="75"/>
      <c r="BX509" s="81"/>
      <c r="BY509" s="66">
        <v>45754</v>
      </c>
      <c r="BZ509" s="944" t="s">
        <v>2855</v>
      </c>
      <c r="CA509" s="42" t="str">
        <f t="shared" si="298"/>
        <v>0</v>
      </c>
      <c r="CB509" s="62">
        <f t="shared" si="299"/>
        <v>14.394444444442343</v>
      </c>
      <c r="CC509" s="42">
        <f t="shared" si="300"/>
        <v>0</v>
      </c>
      <c r="CD509" s="62">
        <f t="shared" si="301"/>
        <v>14.394444444442343</v>
      </c>
      <c r="CE509" s="62">
        <f t="shared" si="302"/>
        <v>0.49580864197523622</v>
      </c>
      <c r="CF509" s="145">
        <f t="shared" si="303"/>
        <v>111.60555555555766</v>
      </c>
      <c r="CG509" s="145"/>
      <c r="CH509" s="443">
        <f t="shared" si="304"/>
        <v>4.34</v>
      </c>
      <c r="CI509" s="996">
        <f t="shared" si="305"/>
        <v>4.34</v>
      </c>
      <c r="CJ509" s="261">
        <f t="shared" si="306"/>
        <v>1.8600925925926277</v>
      </c>
      <c r="CK509" s="458" t="str">
        <f t="shared" si="307"/>
        <v/>
      </c>
      <c r="CL509" t="str">
        <f t="shared" si="308"/>
        <v>REV</v>
      </c>
      <c r="CM509" t="str">
        <f t="shared" si="309"/>
        <v/>
      </c>
      <c r="CN509" s="635"/>
      <c r="CO509" s="631"/>
      <c r="CP509" s="629" t="str">
        <f t="shared" si="286"/>
        <v>FOR ISSUANCE</v>
      </c>
      <c r="CQ509" s="635"/>
      <c r="CR509" s="697"/>
      <c r="CS509" s="633" t="str">
        <f t="shared" ca="1" si="310"/>
        <v>0</v>
      </c>
      <c r="CT509" s="635"/>
      <c r="CU509" s="631"/>
      <c r="CV509" s="638"/>
      <c r="CW509" s="156" t="s">
        <v>2856</v>
      </c>
      <c r="CX509" s="156"/>
      <c r="CY509" s="156"/>
      <c r="DA509" s="762">
        <f t="shared" si="313"/>
        <v>7.6222222222204437</v>
      </c>
      <c r="DS509" s="156" t="s">
        <v>381</v>
      </c>
    </row>
    <row r="510" spans="1:123" customFormat="1" ht="15" customHeight="1" x14ac:dyDescent="0.25">
      <c r="A510" s="242">
        <v>45755</v>
      </c>
      <c r="B510" s="1003">
        <v>45749</v>
      </c>
      <c r="C510" s="223"/>
      <c r="D510" s="345" t="s">
        <v>284</v>
      </c>
      <c r="E510" s="344" t="s">
        <v>2857</v>
      </c>
      <c r="F510" s="343" t="s">
        <v>2858</v>
      </c>
      <c r="G510" s="95" t="s">
        <v>2702</v>
      </c>
      <c r="H510" s="95" t="s">
        <v>253</v>
      </c>
      <c r="I510" s="95" t="s">
        <v>254</v>
      </c>
      <c r="J510" s="163"/>
      <c r="K510" s="101"/>
      <c r="L510" s="101" t="s">
        <v>263</v>
      </c>
      <c r="M510" s="101" t="s">
        <v>272</v>
      </c>
      <c r="N510" s="442" t="s">
        <v>467</v>
      </c>
      <c r="O510" s="165">
        <v>10.93</v>
      </c>
      <c r="P510" s="933">
        <v>20.11</v>
      </c>
      <c r="Q510" s="157">
        <v>26</v>
      </c>
      <c r="R510" s="468" t="s">
        <v>244</v>
      </c>
      <c r="S510" s="110">
        <v>163905.51999999999</v>
      </c>
      <c r="T510" s="93">
        <v>17280.28</v>
      </c>
      <c r="U510" s="141"/>
      <c r="V510" s="158">
        <f t="shared" si="287"/>
        <v>0</v>
      </c>
      <c r="W510" s="159">
        <v>45743</v>
      </c>
      <c r="X510" s="159">
        <v>45750.623611111114</v>
      </c>
      <c r="Y510" s="160">
        <v>45748</v>
      </c>
      <c r="Z510" s="470"/>
      <c r="AA510" s="470">
        <v>45777</v>
      </c>
      <c r="AB510" s="470"/>
      <c r="AC510" s="161">
        <f t="shared" si="288"/>
        <v>34</v>
      </c>
      <c r="AD510" s="161">
        <f t="shared" si="316"/>
        <v>26.37638888888614</v>
      </c>
      <c r="AE510" s="446">
        <f t="shared" si="311"/>
        <v>-45777</v>
      </c>
      <c r="AF510" s="160">
        <f t="shared" si="317"/>
        <v>45761.774193548386</v>
      </c>
      <c r="AG510" s="160">
        <f t="shared" si="314"/>
        <v>45770.580645161288</v>
      </c>
      <c r="AH510" s="159">
        <f t="shared" si="318"/>
        <v>45793</v>
      </c>
      <c r="AI510" s="162">
        <f t="shared" si="289"/>
        <v>1.1711111111111112</v>
      </c>
      <c r="AJ510" s="224">
        <f t="shared" si="319"/>
        <v>-762.95</v>
      </c>
      <c r="AK510" s="225">
        <f t="shared" si="290"/>
        <v>20</v>
      </c>
      <c r="AL510" s="170">
        <f t="shared" si="291"/>
        <v>36</v>
      </c>
      <c r="AM510" s="170">
        <f t="shared" si="292"/>
        <v>21.774193548387096</v>
      </c>
      <c r="AN510" s="170">
        <f t="shared" si="293"/>
        <v>27.58064516129032</v>
      </c>
      <c r="AO510" s="226">
        <f t="shared" si="294"/>
        <v>18.774193548387096</v>
      </c>
      <c r="AP510" s="227">
        <v>60</v>
      </c>
      <c r="AQ510" s="228">
        <f t="shared" si="295"/>
        <v>57</v>
      </c>
      <c r="AR510" s="228">
        <f t="shared" si="315"/>
        <v>52</v>
      </c>
      <c r="AS510" s="229">
        <f t="shared" si="296"/>
        <v>45837</v>
      </c>
      <c r="AT510" s="982">
        <f t="shared" ca="1" si="297"/>
        <v>118</v>
      </c>
      <c r="AU510" s="50"/>
      <c r="AV510" s="51"/>
      <c r="AW510" s="49"/>
      <c r="AX510" s="49"/>
      <c r="AY510" s="49"/>
      <c r="AZ510" s="300"/>
      <c r="BA510" s="52"/>
      <c r="BB510" s="304"/>
      <c r="BC510" s="231" t="s">
        <v>13</v>
      </c>
      <c r="BD510" s="232"/>
      <c r="BE510" s="222">
        <f t="shared" si="312"/>
        <v>45792</v>
      </c>
      <c r="BF510" s="233" t="e">
        <f t="shared" si="320"/>
        <v>#VALUE!</v>
      </c>
      <c r="BG510" s="234"/>
      <c r="BH510" s="235"/>
      <c r="BI510" s="234"/>
      <c r="BJ510" s="236"/>
      <c r="BK510" s="222"/>
      <c r="BL510" s="222"/>
      <c r="BM510" s="238"/>
      <c r="BN510" s="222"/>
      <c r="BO510" s="222"/>
      <c r="BP510" s="243"/>
      <c r="BQ510" s="244" t="s">
        <v>247</v>
      </c>
      <c r="BR510" s="238">
        <v>45779</v>
      </c>
      <c r="BS510" s="68"/>
      <c r="BT510" s="69"/>
      <c r="BU510" s="69"/>
      <c r="BV510" s="69"/>
      <c r="BW510" s="75"/>
      <c r="BX510" s="81"/>
      <c r="BY510" s="66">
        <v>45755</v>
      </c>
      <c r="BZ510" s="944" t="s">
        <v>2859</v>
      </c>
      <c r="CA510" s="42" t="str">
        <f t="shared" si="298"/>
        <v>0</v>
      </c>
      <c r="CB510" s="62">
        <f t="shared" si="299"/>
        <v>34</v>
      </c>
      <c r="CC510" s="42">
        <f t="shared" si="300"/>
        <v>0</v>
      </c>
      <c r="CD510" s="62">
        <f t="shared" si="301"/>
        <v>34</v>
      </c>
      <c r="CE510" s="62">
        <f t="shared" si="302"/>
        <v>1.1711111111111112</v>
      </c>
      <c r="CF510" s="145">
        <f t="shared" si="303"/>
        <v>92</v>
      </c>
      <c r="CG510" s="145"/>
      <c r="CH510" s="443">
        <f t="shared" si="304"/>
        <v>4.34</v>
      </c>
      <c r="CI510" s="996">
        <f t="shared" si="305"/>
        <v>4.34</v>
      </c>
      <c r="CJ510" s="261">
        <f t="shared" si="306"/>
        <v>1.5333333333333334</v>
      </c>
      <c r="CK510" s="458" t="str">
        <f t="shared" si="307"/>
        <v/>
      </c>
      <c r="CL510" t="str">
        <f t="shared" si="308"/>
        <v>REV</v>
      </c>
      <c r="CM510" t="str">
        <f t="shared" si="309"/>
        <v/>
      </c>
      <c r="CN510" s="635"/>
      <c r="CO510" s="631"/>
      <c r="CP510" s="629" t="str">
        <f t="shared" si="286"/>
        <v>FOR ISSUANCE</v>
      </c>
      <c r="CQ510" s="635"/>
      <c r="CR510" s="697"/>
      <c r="CS510" s="633" t="str">
        <f t="shared" ca="1" si="310"/>
        <v>0</v>
      </c>
      <c r="CT510" s="635"/>
      <c r="CU510" s="631"/>
      <c r="CV510" s="638"/>
      <c r="CW510" s="156" t="s">
        <v>2860</v>
      </c>
      <c r="CX510" s="156"/>
      <c r="CY510" s="156"/>
      <c r="DA510" s="762">
        <f t="shared" si="313"/>
        <v>7.6236111111138598</v>
      </c>
      <c r="DS510" s="156" t="s">
        <v>381</v>
      </c>
    </row>
    <row r="511" spans="1:123" customFormat="1" ht="15" customHeight="1" x14ac:dyDescent="0.25">
      <c r="A511" s="242">
        <v>45755</v>
      </c>
      <c r="B511" s="1003">
        <v>45747</v>
      </c>
      <c r="C511" s="223" t="s">
        <v>247</v>
      </c>
      <c r="D511" s="900" t="s">
        <v>284</v>
      </c>
      <c r="E511" s="901" t="s">
        <v>2861</v>
      </c>
      <c r="F511" s="902" t="s">
        <v>1985</v>
      </c>
      <c r="G511" s="95" t="s">
        <v>883</v>
      </c>
      <c r="H511" s="95" t="s">
        <v>253</v>
      </c>
      <c r="I511" s="95" t="s">
        <v>254</v>
      </c>
      <c r="J511" s="163"/>
      <c r="K511" s="101"/>
      <c r="L511" s="101" t="s">
        <v>263</v>
      </c>
      <c r="M511" s="101" t="s">
        <v>272</v>
      </c>
      <c r="N511" s="442" t="s">
        <v>467</v>
      </c>
      <c r="O511" s="165">
        <v>10.9328</v>
      </c>
      <c r="P511" s="933">
        <v>34.700000000000003</v>
      </c>
      <c r="Q511" s="157">
        <v>28</v>
      </c>
      <c r="R511" s="109" t="s">
        <v>244</v>
      </c>
      <c r="S511" s="110">
        <v>229386.46</v>
      </c>
      <c r="T511" s="93">
        <v>29815.7</v>
      </c>
      <c r="U511" s="141"/>
      <c r="V511" s="158">
        <f t="shared" si="287"/>
        <v>0</v>
      </c>
      <c r="W511" s="159">
        <v>45743.529166666667</v>
      </c>
      <c r="X511" s="159">
        <v>45750.619444444441</v>
      </c>
      <c r="Y511" s="160">
        <v>45744</v>
      </c>
      <c r="Z511" s="470">
        <v>45776</v>
      </c>
      <c r="AA511" s="470">
        <v>45777</v>
      </c>
      <c r="AB511" s="470"/>
      <c r="AC511" s="161">
        <f t="shared" si="288"/>
        <v>33.470833333332848</v>
      </c>
      <c r="AD511" s="161">
        <f t="shared" si="316"/>
        <v>26.380555555559113</v>
      </c>
      <c r="AE511" s="446">
        <f t="shared" si="311"/>
        <v>-45777</v>
      </c>
      <c r="AF511" s="160">
        <f t="shared" si="317"/>
        <v>45762.303360215054</v>
      </c>
      <c r="AG511" s="160">
        <f t="shared" si="314"/>
        <v>45771.109811827955</v>
      </c>
      <c r="AH511" s="159">
        <f t="shared" si="318"/>
        <v>45793.529166666667</v>
      </c>
      <c r="AI511" s="162">
        <f t="shared" si="289"/>
        <v>1.1528842592592425</v>
      </c>
      <c r="AJ511" s="224">
        <f t="shared" si="319"/>
        <v>-762.95</v>
      </c>
      <c r="AK511" s="225">
        <f t="shared" si="290"/>
        <v>20</v>
      </c>
      <c r="AL511" s="170">
        <f t="shared" si="291"/>
        <v>36</v>
      </c>
      <c r="AM511" s="170">
        <f t="shared" si="292"/>
        <v>21.774193548387096</v>
      </c>
      <c r="AN511" s="170">
        <f t="shared" si="293"/>
        <v>27.58064516129032</v>
      </c>
      <c r="AO511" s="226">
        <f t="shared" si="294"/>
        <v>18.774193548387096</v>
      </c>
      <c r="AP511" s="227">
        <v>60</v>
      </c>
      <c r="AQ511" s="228">
        <f t="shared" si="295"/>
        <v>57</v>
      </c>
      <c r="AR511" s="228">
        <f t="shared" si="315"/>
        <v>52</v>
      </c>
      <c r="AS511" s="229">
        <f t="shared" si="296"/>
        <v>45837</v>
      </c>
      <c r="AT511" s="982">
        <f t="shared" ca="1" si="297"/>
        <v>118</v>
      </c>
      <c r="AU511" s="50"/>
      <c r="AV511" s="51"/>
      <c r="AW511" s="49"/>
      <c r="AX511" s="49"/>
      <c r="AY511" s="49"/>
      <c r="AZ511" s="300"/>
      <c r="BA511" s="52"/>
      <c r="BB511" s="304"/>
      <c r="BC511" s="231" t="s">
        <v>13</v>
      </c>
      <c r="BD511" s="232"/>
      <c r="BE511" s="222">
        <f t="shared" si="312"/>
        <v>45792</v>
      </c>
      <c r="BF511" s="233" t="e">
        <f t="shared" si="320"/>
        <v>#VALUE!</v>
      </c>
      <c r="BG511" s="234"/>
      <c r="BH511" s="235"/>
      <c r="BI511" s="234"/>
      <c r="BJ511" s="236"/>
      <c r="BK511" s="222"/>
      <c r="BL511" s="222"/>
      <c r="BM511" s="238"/>
      <c r="BN511" s="222"/>
      <c r="BO511" s="222"/>
      <c r="BP511" s="243"/>
      <c r="BQ511" s="244" t="s">
        <v>247</v>
      </c>
      <c r="BR511" s="238">
        <v>45775</v>
      </c>
      <c r="BS511" s="68"/>
      <c r="BT511" s="69"/>
      <c r="BU511" s="69"/>
      <c r="BV511" s="69"/>
      <c r="BW511" s="75"/>
      <c r="BX511" s="81"/>
      <c r="BY511" s="66">
        <v>45755</v>
      </c>
      <c r="BZ511" s="944" t="s">
        <v>2862</v>
      </c>
      <c r="CA511" s="42" t="str">
        <f t="shared" si="298"/>
        <v>0</v>
      </c>
      <c r="CB511" s="62">
        <f t="shared" si="299"/>
        <v>33.470833333332848</v>
      </c>
      <c r="CC511" s="42">
        <f t="shared" si="300"/>
        <v>0</v>
      </c>
      <c r="CD511" s="62">
        <f t="shared" si="301"/>
        <v>33.470833333332848</v>
      </c>
      <c r="CE511" s="62">
        <f t="shared" si="302"/>
        <v>1.1528842592592425</v>
      </c>
      <c r="CF511" s="145">
        <f t="shared" si="303"/>
        <v>92</v>
      </c>
      <c r="CG511" s="145"/>
      <c r="CH511" s="443">
        <f t="shared" si="304"/>
        <v>4.3217731481481314</v>
      </c>
      <c r="CI511" s="996">
        <f t="shared" si="305"/>
        <v>4.3217731481481314</v>
      </c>
      <c r="CJ511" s="261">
        <f t="shared" si="306"/>
        <v>1.5333333333333334</v>
      </c>
      <c r="CK511" s="458" t="str">
        <f t="shared" si="307"/>
        <v/>
      </c>
      <c r="CL511" t="str">
        <f t="shared" si="308"/>
        <v>REV</v>
      </c>
      <c r="CM511" t="str">
        <f t="shared" si="309"/>
        <v/>
      </c>
      <c r="CN511" s="635"/>
      <c r="CO511" s="631"/>
      <c r="CP511" s="629" t="str">
        <f t="shared" si="286"/>
        <v>FOR ISSUANCE</v>
      </c>
      <c r="CQ511" s="635"/>
      <c r="CR511" s="697"/>
      <c r="CS511" s="633" t="str">
        <f t="shared" ca="1" si="310"/>
        <v>0</v>
      </c>
      <c r="CT511" s="635"/>
      <c r="CU511" s="631"/>
      <c r="CV511" s="638"/>
      <c r="CW511" s="156" t="s">
        <v>2863</v>
      </c>
      <c r="CX511" s="156" t="str">
        <f>VLOOKUP(E511,'[1]List of Work Orders'!$A:$I,9,FALSE)</f>
        <v>ME155242</v>
      </c>
      <c r="CY511" s="156"/>
      <c r="DA511" s="762">
        <f t="shared" si="313"/>
        <v>7.0902777777737356</v>
      </c>
      <c r="DS511" s="156" t="s">
        <v>403</v>
      </c>
    </row>
    <row r="512" spans="1:123" ht="15" customHeight="1" x14ac:dyDescent="0.2">
      <c r="A512" s="242">
        <v>45755</v>
      </c>
      <c r="B512" s="1003">
        <v>45749</v>
      </c>
      <c r="C512" s="223"/>
      <c r="D512" s="345" t="s">
        <v>284</v>
      </c>
      <c r="E512" s="344" t="s">
        <v>2864</v>
      </c>
      <c r="F512" s="343" t="s">
        <v>2865</v>
      </c>
      <c r="G512" s="95" t="s">
        <v>2866</v>
      </c>
      <c r="H512" s="95" t="s">
        <v>269</v>
      </c>
      <c r="I512" s="95" t="s">
        <v>239</v>
      </c>
      <c r="J512" s="1134" t="s">
        <v>2867</v>
      </c>
      <c r="K512" s="101"/>
      <c r="L512" s="101" t="s">
        <v>255</v>
      </c>
      <c r="M512" s="101" t="s">
        <v>331</v>
      </c>
      <c r="N512" s="442" t="s">
        <v>403</v>
      </c>
      <c r="O512" s="165">
        <v>89.25</v>
      </c>
      <c r="P512" s="165">
        <v>123.28</v>
      </c>
      <c r="Q512" s="157" t="s">
        <v>2021</v>
      </c>
      <c r="R512" s="468" t="s">
        <v>319</v>
      </c>
      <c r="S512" s="110">
        <v>101812.28</v>
      </c>
      <c r="T512" s="93">
        <v>105926</v>
      </c>
      <c r="U512" s="141"/>
      <c r="V512" s="158">
        <f t="shared" si="287"/>
        <v>0</v>
      </c>
      <c r="W512" s="159">
        <v>45744</v>
      </c>
      <c r="X512" s="159">
        <v>45750.629166666666</v>
      </c>
      <c r="Y512" s="160">
        <v>45748</v>
      </c>
      <c r="Z512" s="470"/>
      <c r="AA512" s="470"/>
      <c r="AB512" s="470"/>
      <c r="AC512" s="161">
        <f t="shared" si="288"/>
        <v>-45744</v>
      </c>
      <c r="AD512" s="161">
        <f t="shared" si="316"/>
        <v>-45750.629166666666</v>
      </c>
      <c r="AE512" s="446">
        <f t="shared" si="311"/>
        <v>0</v>
      </c>
      <c r="AF512" s="160">
        <f t="shared" si="317"/>
        <v>45757.115702479336</v>
      </c>
      <c r="AG512" s="160">
        <f t="shared" si="314"/>
        <v>45764.413223140495</v>
      </c>
      <c r="AH512" s="159">
        <f t="shared" si="318"/>
        <v>45794</v>
      </c>
      <c r="AI512" s="162">
        <f t="shared" si="289"/>
        <v>-2128.8553846153845</v>
      </c>
      <c r="AJ512" s="224">
        <f t="shared" si="319"/>
        <v>0</v>
      </c>
      <c r="AK512" s="225">
        <f t="shared" si="290"/>
        <v>26</v>
      </c>
      <c r="AL512" s="170">
        <f t="shared" si="291"/>
        <v>20</v>
      </c>
      <c r="AM512" s="170">
        <f t="shared" si="292"/>
        <v>16.115702479338843</v>
      </c>
      <c r="AN512" s="170">
        <f t="shared" si="293"/>
        <v>20.41322314049587</v>
      </c>
      <c r="AO512" s="226">
        <f t="shared" si="294"/>
        <v>13.115702479338843</v>
      </c>
      <c r="AP512" s="227">
        <v>60</v>
      </c>
      <c r="AQ512" s="228">
        <f t="shared" si="295"/>
        <v>57</v>
      </c>
      <c r="AR512" s="228">
        <f t="shared" si="315"/>
        <v>52</v>
      </c>
      <c r="AS512" s="229">
        <f t="shared" si="296"/>
        <v>60</v>
      </c>
      <c r="AT512" s="982">
        <f t="shared" ca="1" si="297"/>
        <v>45895</v>
      </c>
      <c r="AU512" s="1077"/>
      <c r="AV512" s="1092"/>
      <c r="AW512" s="1079"/>
      <c r="AX512" s="1079"/>
      <c r="AY512" s="1079"/>
      <c r="AZ512" s="1080"/>
      <c r="BA512" s="1101"/>
      <c r="BB512" s="1091"/>
      <c r="BC512" s="231"/>
      <c r="BD512" s="232"/>
      <c r="BE512" s="222">
        <f t="shared" si="312"/>
        <v>15</v>
      </c>
      <c r="BF512" s="233">
        <f t="shared" si="320"/>
        <v>0</v>
      </c>
      <c r="BG512" s="234"/>
      <c r="BH512" s="235"/>
      <c r="BI512" s="234"/>
      <c r="BJ512" s="236"/>
      <c r="BK512" s="222"/>
      <c r="BL512" s="222"/>
      <c r="BM512" s="238"/>
      <c r="BN512" s="222"/>
      <c r="BO512" s="222"/>
      <c r="BP512" s="243"/>
      <c r="BQ512" s="244"/>
      <c r="BR512" s="238"/>
      <c r="BS512" s="68"/>
      <c r="BT512" s="69"/>
      <c r="BU512" s="69"/>
      <c r="BV512" s="69"/>
      <c r="BW512" s="75"/>
      <c r="BX512" s="81"/>
      <c r="BY512" s="66" t="s">
        <v>308</v>
      </c>
      <c r="BZ512" s="944"/>
      <c r="CA512" s="42" t="str">
        <f t="shared" si="298"/>
        <v>0</v>
      </c>
      <c r="CB512" s="62">
        <f t="shared" si="299"/>
        <v>-45744</v>
      </c>
      <c r="CC512" s="42">
        <f t="shared" si="300"/>
        <v>0</v>
      </c>
      <c r="CD512" s="62">
        <f t="shared" si="301"/>
        <v>-45744</v>
      </c>
      <c r="CE512" s="62">
        <f t="shared" si="302"/>
        <v>-2128.8553846153845</v>
      </c>
      <c r="CF512" s="1059" t="str">
        <f t="shared" si="303"/>
        <v>0</v>
      </c>
      <c r="CH512" s="1082">
        <f t="shared" si="304"/>
        <v>5.8173076923076925</v>
      </c>
      <c r="CI512" s="1083">
        <f t="shared" si="305"/>
        <v>5.8173076923076925</v>
      </c>
      <c r="CJ512" s="1084">
        <f t="shared" si="306"/>
        <v>0</v>
      </c>
      <c r="CK512" s="1085">
        <f t="shared" si="307"/>
        <v>112</v>
      </c>
      <c r="CL512" s="1057" t="str">
        <f t="shared" si="308"/>
        <v>NON-REV</v>
      </c>
      <c r="CM512" s="1057" t="str">
        <f t="shared" si="309"/>
        <v>4-6 MONTHS</v>
      </c>
      <c r="CN512" s="1086"/>
      <c r="CO512" s="1087"/>
      <c r="CP512" s="629" t="str">
        <f t="shared" si="286"/>
        <v>FOR ISSUANCE</v>
      </c>
      <c r="CQ512" s="1086"/>
      <c r="CR512" s="1088"/>
      <c r="CS512" s="1089" t="str">
        <f t="shared" ca="1" si="310"/>
        <v>0</v>
      </c>
      <c r="CT512" s="1086"/>
      <c r="CU512" s="1087"/>
      <c r="CV512" s="1090"/>
      <c r="CW512" s="156" t="s">
        <v>2868</v>
      </c>
      <c r="CX512" s="156"/>
      <c r="CY512" s="156"/>
      <c r="DA512" s="1100">
        <f t="shared" si="313"/>
        <v>6.6291666666656965</v>
      </c>
      <c r="DS512" s="156" t="s">
        <v>403</v>
      </c>
    </row>
    <row r="513" spans="1:123" customFormat="1" ht="15" customHeight="1" x14ac:dyDescent="0.25">
      <c r="A513" s="242">
        <v>45754</v>
      </c>
      <c r="B513" s="1003">
        <v>45749</v>
      </c>
      <c r="C513" s="223"/>
      <c r="D513" s="345" t="s">
        <v>320</v>
      </c>
      <c r="E513" s="344" t="s">
        <v>2869</v>
      </c>
      <c r="F513" s="343" t="s">
        <v>2870</v>
      </c>
      <c r="G513" s="95" t="s">
        <v>2871</v>
      </c>
      <c r="H513" s="95" t="s">
        <v>318</v>
      </c>
      <c r="I513" s="95" t="s">
        <v>239</v>
      </c>
      <c r="J513" s="163"/>
      <c r="K513" s="101"/>
      <c r="L513" s="101" t="s">
        <v>5</v>
      </c>
      <c r="M513" s="101" t="s">
        <v>272</v>
      </c>
      <c r="N513" s="442" t="s">
        <v>403</v>
      </c>
      <c r="O513" s="165">
        <v>104.55</v>
      </c>
      <c r="P513" s="933">
        <v>131.86000000000001</v>
      </c>
      <c r="Q513" s="157">
        <v>150</v>
      </c>
      <c r="R513" s="468" t="s">
        <v>548</v>
      </c>
      <c r="S513" s="110">
        <v>686686.21</v>
      </c>
      <c r="T513" s="93">
        <v>113331.9</v>
      </c>
      <c r="U513" s="141"/>
      <c r="V513" s="158">
        <f t="shared" si="287"/>
        <v>0</v>
      </c>
      <c r="W513" s="159">
        <v>45744</v>
      </c>
      <c r="X513" s="159">
        <v>45750.629861111112</v>
      </c>
      <c r="Y513" s="160">
        <v>45748</v>
      </c>
      <c r="Z513" s="470">
        <v>45808</v>
      </c>
      <c r="AA513" s="470">
        <v>45808</v>
      </c>
      <c r="AB513" s="470"/>
      <c r="AC513" s="161">
        <f t="shared" si="288"/>
        <v>64</v>
      </c>
      <c r="AD513" s="161">
        <f t="shared" si="316"/>
        <v>57.370138888887595</v>
      </c>
      <c r="AE513" s="446">
        <f t="shared" si="311"/>
        <v>-45808</v>
      </c>
      <c r="AF513" s="160">
        <f t="shared" si="317"/>
        <v>45763.446043165466</v>
      </c>
      <c r="AG513" s="160">
        <f t="shared" si="314"/>
        <v>45772.431654676257</v>
      </c>
      <c r="AH513" s="159">
        <f t="shared" si="318"/>
        <v>45794</v>
      </c>
      <c r="AI513" s="162">
        <f t="shared" si="289"/>
        <v>2.1384615384615384</v>
      </c>
      <c r="AJ513" s="224">
        <f t="shared" si="319"/>
        <v>-763.4666666666667</v>
      </c>
      <c r="AK513" s="225">
        <f t="shared" si="290"/>
        <v>26</v>
      </c>
      <c r="AL513" s="170">
        <f t="shared" si="291"/>
        <v>32</v>
      </c>
      <c r="AM513" s="170">
        <f t="shared" si="292"/>
        <v>22.446043165467625</v>
      </c>
      <c r="AN513" s="170">
        <f t="shared" si="293"/>
        <v>28.431654676258994</v>
      </c>
      <c r="AO513" s="226">
        <f t="shared" si="294"/>
        <v>19.446043165467625</v>
      </c>
      <c r="AP513" s="227">
        <v>60</v>
      </c>
      <c r="AQ513" s="228">
        <f t="shared" si="295"/>
        <v>57</v>
      </c>
      <c r="AR513" s="228">
        <f t="shared" si="315"/>
        <v>52</v>
      </c>
      <c r="AS513" s="229">
        <f t="shared" si="296"/>
        <v>45868</v>
      </c>
      <c r="AT513" s="982">
        <f t="shared" ca="1" si="297"/>
        <v>87</v>
      </c>
      <c r="AU513" s="50"/>
      <c r="AV513" s="51"/>
      <c r="AW513" s="49"/>
      <c r="AX513" s="49"/>
      <c r="AY513" s="49"/>
      <c r="AZ513" s="300"/>
      <c r="BA513" s="52"/>
      <c r="BB513" s="304"/>
      <c r="BC513" s="231" t="s">
        <v>12</v>
      </c>
      <c r="BD513" s="232"/>
      <c r="BE513" s="222">
        <f t="shared" si="312"/>
        <v>45823</v>
      </c>
      <c r="BF513" s="233">
        <f t="shared" si="320"/>
        <v>24</v>
      </c>
      <c r="BG513" s="234">
        <v>45808</v>
      </c>
      <c r="BH513" s="235">
        <v>45847</v>
      </c>
      <c r="BI513" s="234"/>
      <c r="BJ513" s="236"/>
      <c r="BK513" s="222"/>
      <c r="BL513" s="222"/>
      <c r="BM513" s="238"/>
      <c r="BN513" s="222"/>
      <c r="BO513" s="222"/>
      <c r="BP513" s="243"/>
      <c r="BQ513" s="244" t="s">
        <v>247</v>
      </c>
      <c r="BR513" s="238">
        <v>45806</v>
      </c>
      <c r="BS513" s="68"/>
      <c r="BT513" s="69"/>
      <c r="BU513" s="69"/>
      <c r="BV513" s="69"/>
      <c r="BW513" s="75"/>
      <c r="BX513" s="81"/>
      <c r="BY513" s="66">
        <v>45754</v>
      </c>
      <c r="BZ513" s="944" t="s">
        <v>2872</v>
      </c>
      <c r="CA513" s="42" t="str">
        <f t="shared" si="298"/>
        <v>0</v>
      </c>
      <c r="CB513" s="62">
        <f t="shared" si="299"/>
        <v>64</v>
      </c>
      <c r="CC513" s="42">
        <f t="shared" si="300"/>
        <v>0</v>
      </c>
      <c r="CD513" s="62">
        <f t="shared" si="301"/>
        <v>64</v>
      </c>
      <c r="CE513" s="62">
        <f t="shared" si="302"/>
        <v>2.1384615384615384</v>
      </c>
      <c r="CF513" s="145">
        <f t="shared" si="303"/>
        <v>61</v>
      </c>
      <c r="CG513" s="145"/>
      <c r="CH513" s="443">
        <f t="shared" si="304"/>
        <v>4.1766826923076925</v>
      </c>
      <c r="CI513" s="996">
        <f t="shared" si="305"/>
        <v>4.1766826923076925</v>
      </c>
      <c r="CJ513" s="261">
        <f t="shared" si="306"/>
        <v>1.0166666666666666</v>
      </c>
      <c r="CK513" s="458" t="str">
        <f t="shared" si="307"/>
        <v/>
      </c>
      <c r="CL513" t="str">
        <f t="shared" si="308"/>
        <v>NON-REV</v>
      </c>
      <c r="CM513" t="str">
        <f t="shared" si="309"/>
        <v/>
      </c>
      <c r="CN513" s="635"/>
      <c r="CO513" s="631"/>
      <c r="CP513" s="629" t="str">
        <f t="shared" ref="CP513:CP576" si="321">IF(CQ513,"NTC ISSUED","FOR ISSUANCE")</f>
        <v>FOR ISSUANCE</v>
      </c>
      <c r="CQ513" s="635"/>
      <c r="CR513" s="697"/>
      <c r="CS513" s="633" t="str">
        <f t="shared" ca="1" si="310"/>
        <v>0</v>
      </c>
      <c r="CT513" s="635"/>
      <c r="CU513" s="631"/>
      <c r="CV513" s="638"/>
      <c r="CW513" s="156" t="s">
        <v>2873</v>
      </c>
      <c r="CX513" s="156"/>
      <c r="CY513" s="156"/>
      <c r="DA513" s="762">
        <f t="shared" si="313"/>
        <v>6.6298611111124046</v>
      </c>
      <c r="DS513" s="156" t="s">
        <v>403</v>
      </c>
    </row>
    <row r="514" spans="1:123" customFormat="1" ht="15" customHeight="1" x14ac:dyDescent="0.25">
      <c r="A514" s="242">
        <v>45754</v>
      </c>
      <c r="B514" s="1003">
        <v>45749</v>
      </c>
      <c r="C514" s="223"/>
      <c r="D514" s="345" t="s">
        <v>320</v>
      </c>
      <c r="E514" s="344" t="s">
        <v>2874</v>
      </c>
      <c r="F514" s="343" t="s">
        <v>2875</v>
      </c>
      <c r="G514" s="95" t="s">
        <v>2876</v>
      </c>
      <c r="H514" s="95" t="s">
        <v>318</v>
      </c>
      <c r="I514" s="95" t="s">
        <v>239</v>
      </c>
      <c r="J514" s="163"/>
      <c r="K514" s="101"/>
      <c r="L514" s="101" t="s">
        <v>5</v>
      </c>
      <c r="M514" s="101" t="s">
        <v>272</v>
      </c>
      <c r="N514" s="442" t="s">
        <v>403</v>
      </c>
      <c r="O514" s="165">
        <v>74.989999999999995</v>
      </c>
      <c r="P514" s="933">
        <v>122.97</v>
      </c>
      <c r="Q514" s="157">
        <v>80</v>
      </c>
      <c r="R514" s="468" t="s">
        <v>548</v>
      </c>
      <c r="S514" s="110">
        <v>535624.28</v>
      </c>
      <c r="T514" s="93">
        <v>105279.94</v>
      </c>
      <c r="U514" s="141"/>
      <c r="V514" s="158">
        <f t="shared" si="287"/>
        <v>0</v>
      </c>
      <c r="W514" s="159">
        <v>45744</v>
      </c>
      <c r="X514" s="159">
        <v>45750.629861111112</v>
      </c>
      <c r="Y514" s="160">
        <v>45748</v>
      </c>
      <c r="Z514" s="470">
        <v>45819</v>
      </c>
      <c r="AA514" s="470">
        <v>45819</v>
      </c>
      <c r="AB514" s="470"/>
      <c r="AC514" s="161">
        <f t="shared" si="288"/>
        <v>75</v>
      </c>
      <c r="AD514" s="161">
        <f t="shared" si="316"/>
        <v>68.370138888887595</v>
      </c>
      <c r="AE514" s="446">
        <f t="shared" si="311"/>
        <v>-45819</v>
      </c>
      <c r="AF514" s="160">
        <f t="shared" si="317"/>
        <v>45764.345070422532</v>
      </c>
      <c r="AG514" s="160">
        <f t="shared" si="314"/>
        <v>45773.570422535209</v>
      </c>
      <c r="AH514" s="159">
        <f t="shared" si="318"/>
        <v>45794</v>
      </c>
      <c r="AI514" s="162">
        <f t="shared" si="289"/>
        <v>2.4095022624434388</v>
      </c>
      <c r="AJ514" s="224">
        <f t="shared" si="319"/>
        <v>-763.65</v>
      </c>
      <c r="AK514" s="225">
        <f t="shared" si="290"/>
        <v>26</v>
      </c>
      <c r="AL514" s="170">
        <f t="shared" si="291"/>
        <v>34</v>
      </c>
      <c r="AM514" s="170">
        <f t="shared" si="292"/>
        <v>23.345070422535212</v>
      </c>
      <c r="AN514" s="170">
        <f t="shared" si="293"/>
        <v>29.570422535211268</v>
      </c>
      <c r="AO514" s="226">
        <f t="shared" si="294"/>
        <v>20.345070422535212</v>
      </c>
      <c r="AP514" s="227">
        <v>60</v>
      </c>
      <c r="AQ514" s="228">
        <f t="shared" si="295"/>
        <v>57</v>
      </c>
      <c r="AR514" s="228">
        <f t="shared" si="315"/>
        <v>52</v>
      </c>
      <c r="AS514" s="229">
        <f t="shared" si="296"/>
        <v>45879</v>
      </c>
      <c r="AT514" s="982">
        <f t="shared" ca="1" si="297"/>
        <v>76</v>
      </c>
      <c r="AU514" s="50"/>
      <c r="AV514" s="51"/>
      <c r="AW514" s="49"/>
      <c r="AX514" s="49"/>
      <c r="AY514" s="49"/>
      <c r="AZ514" s="300"/>
      <c r="BA514" s="52"/>
      <c r="BB514" s="304"/>
      <c r="BC514" s="231" t="s">
        <v>12</v>
      </c>
      <c r="BD514" s="232"/>
      <c r="BE514" s="222">
        <f t="shared" si="312"/>
        <v>45834</v>
      </c>
      <c r="BF514" s="233">
        <f t="shared" si="320"/>
        <v>11</v>
      </c>
      <c r="BG514" s="234">
        <v>45819</v>
      </c>
      <c r="BH514" s="235">
        <v>45845</v>
      </c>
      <c r="BI514" s="234"/>
      <c r="BJ514" s="236"/>
      <c r="BK514" s="222"/>
      <c r="BL514" s="222"/>
      <c r="BM514" s="238"/>
      <c r="BN514" s="222"/>
      <c r="BO514" s="222"/>
      <c r="BP514" s="243"/>
      <c r="BQ514" s="244" t="s">
        <v>247</v>
      </c>
      <c r="BR514" s="238">
        <v>45812</v>
      </c>
      <c r="BS514" s="68"/>
      <c r="BT514" s="69"/>
      <c r="BU514" s="69"/>
      <c r="BV514" s="69"/>
      <c r="BW514" s="75"/>
      <c r="BX514" s="81"/>
      <c r="BY514" s="66">
        <v>45754</v>
      </c>
      <c r="BZ514" s="944" t="s">
        <v>2877</v>
      </c>
      <c r="CA514" s="42" t="str">
        <f t="shared" si="298"/>
        <v>0</v>
      </c>
      <c r="CB514" s="62">
        <f t="shared" si="299"/>
        <v>75</v>
      </c>
      <c r="CC514" s="42">
        <f t="shared" si="300"/>
        <v>0</v>
      </c>
      <c r="CD514" s="62">
        <f t="shared" si="301"/>
        <v>75</v>
      </c>
      <c r="CE514" s="62">
        <f t="shared" si="302"/>
        <v>2.4095022624434388</v>
      </c>
      <c r="CF514" s="145">
        <f t="shared" si="303"/>
        <v>50</v>
      </c>
      <c r="CG514" s="145"/>
      <c r="CH514" s="443">
        <f t="shared" si="304"/>
        <v>4.0158371040723981</v>
      </c>
      <c r="CI514" s="996">
        <f t="shared" si="305"/>
        <v>4.0158371040723981</v>
      </c>
      <c r="CJ514" s="261">
        <f t="shared" si="306"/>
        <v>0.83333333333333337</v>
      </c>
      <c r="CK514" s="458" t="str">
        <f t="shared" si="307"/>
        <v/>
      </c>
      <c r="CL514" t="str">
        <f t="shared" si="308"/>
        <v>NON-REV</v>
      </c>
      <c r="CM514" t="str">
        <f t="shared" si="309"/>
        <v/>
      </c>
      <c r="CN514" s="635"/>
      <c r="CO514" s="631"/>
      <c r="CP514" s="629" t="str">
        <f t="shared" si="321"/>
        <v>FOR ISSUANCE</v>
      </c>
      <c r="CQ514" s="635"/>
      <c r="CR514" s="697"/>
      <c r="CS514" s="633" t="str">
        <f t="shared" ca="1" si="310"/>
        <v>0</v>
      </c>
      <c r="CT514" s="635"/>
      <c r="CU514" s="631"/>
      <c r="CV514" s="638"/>
      <c r="CW514" s="156" t="s">
        <v>2878</v>
      </c>
      <c r="CX514" s="156"/>
      <c r="CY514" s="156"/>
      <c r="DA514" s="762">
        <f t="shared" si="313"/>
        <v>6.6298611111124046</v>
      </c>
      <c r="DS514" s="156" t="s">
        <v>381</v>
      </c>
    </row>
    <row r="515" spans="1:123" customFormat="1" ht="15" customHeight="1" x14ac:dyDescent="0.25">
      <c r="A515" s="242">
        <v>45750</v>
      </c>
      <c r="B515" s="1003">
        <v>45749</v>
      </c>
      <c r="C515" s="223" t="s">
        <v>247</v>
      </c>
      <c r="D515" s="345" t="s">
        <v>284</v>
      </c>
      <c r="E515" s="344" t="s">
        <v>2879</v>
      </c>
      <c r="F515" s="343" t="s">
        <v>2880</v>
      </c>
      <c r="G515" s="95" t="s">
        <v>2881</v>
      </c>
      <c r="H515" s="95" t="s">
        <v>238</v>
      </c>
      <c r="I515" s="95" t="s">
        <v>239</v>
      </c>
      <c r="J515" s="163"/>
      <c r="K515" s="101"/>
      <c r="L515" s="101" t="s">
        <v>5</v>
      </c>
      <c r="M515" s="101" t="s">
        <v>272</v>
      </c>
      <c r="N515" s="442" t="s">
        <v>403</v>
      </c>
      <c r="O515" s="165">
        <v>120.88</v>
      </c>
      <c r="P515" s="933">
        <v>225.66</v>
      </c>
      <c r="Q515" s="157">
        <v>456</v>
      </c>
      <c r="R515" s="468" t="s">
        <v>548</v>
      </c>
      <c r="S515" s="110">
        <v>1392661.74</v>
      </c>
      <c r="T515" s="93">
        <v>194181.44</v>
      </c>
      <c r="U515" s="141"/>
      <c r="V515" s="158">
        <f t="shared" ref="V515:V578" si="322">U515/T515</f>
        <v>0</v>
      </c>
      <c r="W515" s="159">
        <v>45744</v>
      </c>
      <c r="X515" s="159">
        <v>45749.431250000001</v>
      </c>
      <c r="Y515" s="160">
        <v>45748</v>
      </c>
      <c r="Z515" s="470"/>
      <c r="AA515" s="470">
        <v>45763.40625</v>
      </c>
      <c r="AB515" s="470"/>
      <c r="AC515" s="161">
        <f t="shared" ref="AC515:AC578" si="323">AA515-W515</f>
        <v>19.40625</v>
      </c>
      <c r="AD515" s="161">
        <f t="shared" si="316"/>
        <v>13.974999999998545</v>
      </c>
      <c r="AE515" s="446">
        <f t="shared" si="311"/>
        <v>-45763.40625</v>
      </c>
      <c r="AF515" s="160">
        <f t="shared" si="317"/>
        <v>45760.927007299273</v>
      </c>
      <c r="AG515" s="160">
        <f t="shared" si="314"/>
        <v>45769.240875912408</v>
      </c>
      <c r="AH515" s="159">
        <f t="shared" si="318"/>
        <v>45794</v>
      </c>
      <c r="AI515" s="162">
        <f t="shared" ref="AI515:AI578" si="324" xml:space="preserve"> (0.3)*(AC515/AK515)+(0.7)*(AC515/AL515)</f>
        <v>0.73040006868131857</v>
      </c>
      <c r="AJ515" s="224">
        <f t="shared" si="319"/>
        <v>-762.72343750000005</v>
      </c>
      <c r="AK515" s="225">
        <f t="shared" ref="AK515:AK578" si="325">IF(P515&lt;51,20,(IF(P515&lt;101,23,(IF(P515&lt;201,26,IF(P515&lt;301,28,IF(P515&lt;401,30,(IF(P515&lt;501,32,(IF(P515&lt;1001,40,50)))))))))))</f>
        <v>28</v>
      </c>
      <c r="AL515" s="170">
        <f t="shared" ref="AL515:AL578" si="326">IF(Q515&lt;51,36,(IF(Q515&lt;101,34,(IF(Q515&lt;201,32,IF(Q515&lt;301,30,IF(Q515&lt;401,28,(IF(Q515&lt;501,26,(IF(Q515&lt;1001,23,20)))))))))))</f>
        <v>26</v>
      </c>
      <c r="AM515" s="170">
        <f t="shared" ref="AM515:AM578" si="327">(0.75)/((0.3/AK515)+(0.7/AL515))</f>
        <v>19.927007299270073</v>
      </c>
      <c r="AN515" s="170">
        <f t="shared" ref="AN515:AN578" si="328">(0.95)/((0.3/AK515)+(0.7/AL515))</f>
        <v>25.240875912408761</v>
      </c>
      <c r="AO515" s="226">
        <f t="shared" ref="AO515:AO578" si="329">AM515-3</f>
        <v>16.927007299270073</v>
      </c>
      <c r="AP515" s="227">
        <v>60</v>
      </c>
      <c r="AQ515" s="228">
        <f t="shared" ref="AQ515:AQ578" si="330">0.95*AP515</f>
        <v>57</v>
      </c>
      <c r="AR515" s="228">
        <f t="shared" si="315"/>
        <v>52</v>
      </c>
      <c r="AS515" s="229">
        <f t="shared" ref="AS515:AS578" si="331">AA515+AP515</f>
        <v>45823.40625</v>
      </c>
      <c r="AT515" s="982">
        <f t="shared" ref="AT515:AT578" ca="1" si="332">IFERROR(TODAY()-AA515,"")</f>
        <v>131.59375</v>
      </c>
      <c r="AU515" s="50"/>
      <c r="AV515" s="51"/>
      <c r="AW515" s="49"/>
      <c r="AX515" s="49"/>
      <c r="AY515" s="49"/>
      <c r="AZ515" s="300"/>
      <c r="BA515" s="52"/>
      <c r="BB515" s="304"/>
      <c r="BC515" s="231" t="s">
        <v>12</v>
      </c>
      <c r="BD515" s="232"/>
      <c r="BE515" s="222">
        <f t="shared" si="312"/>
        <v>45778.40625</v>
      </c>
      <c r="BF515" s="233">
        <f t="shared" si="320"/>
        <v>-3.40625</v>
      </c>
      <c r="BG515" s="234">
        <v>45763</v>
      </c>
      <c r="BH515" s="235">
        <v>45775</v>
      </c>
      <c r="BI515" s="234"/>
      <c r="BJ515" s="236"/>
      <c r="BK515" s="222"/>
      <c r="BL515" s="222"/>
      <c r="BM515" s="238"/>
      <c r="BN515" s="222"/>
      <c r="BO515" s="222"/>
      <c r="BP515" s="243"/>
      <c r="BQ515" s="244" t="s">
        <v>247</v>
      </c>
      <c r="BR515" s="238">
        <v>45763</v>
      </c>
      <c r="BS515" s="68"/>
      <c r="BT515" s="69"/>
      <c r="BU515" s="69"/>
      <c r="BV515" s="69"/>
      <c r="BW515" s="75"/>
      <c r="BX515" s="81"/>
      <c r="BY515" s="66"/>
      <c r="BZ515" s="944"/>
      <c r="CA515" s="42" t="str">
        <f t="shared" ref="CA515:CA578" si="333">IF(AY515="Y",BA515,"0")</f>
        <v>0</v>
      </c>
      <c r="CB515" s="62">
        <f t="shared" ref="CB515:CB578" si="334">AC515-CA515</f>
        <v>19.40625</v>
      </c>
      <c r="CC515" s="42">
        <f t="shared" ref="CC515:CC578" si="335">BA515</f>
        <v>0</v>
      </c>
      <c r="CD515" s="62">
        <f t="shared" ref="CD515:CD578" si="336">AC515-BA515</f>
        <v>19.40625</v>
      </c>
      <c r="CE515" s="62">
        <f t="shared" ref="CE515:CE578" si="337" xml:space="preserve"> (0.3)*(CD515/AK515)+(0.7)*(CD515/AL515)</f>
        <v>0.73040006868131857</v>
      </c>
      <c r="CF515" s="145">
        <f t="shared" ref="CF515:CF578" si="338">IF(AA515="","0",$CF$1-AA515)</f>
        <v>105.59375</v>
      </c>
      <c r="CG515" s="145"/>
      <c r="CH515" s="443">
        <f t="shared" ref="CH515:CH578" si="339" xml:space="preserve"> (0.3)*(($CF$1-W515)/AK515)+(0.7)*(($CF$1-W515)/AL515)</f>
        <v>4.7046703296703294</v>
      </c>
      <c r="CI515" s="996">
        <f t="shared" ref="CI515:CI578" si="340">CH515-CG515</f>
        <v>4.7046703296703294</v>
      </c>
      <c r="CJ515" s="261">
        <f t="shared" ref="CJ515:CJ578" si="341">CF515/AP515</f>
        <v>1.7598958333333334</v>
      </c>
      <c r="CK515" s="458" t="str">
        <f t="shared" ref="CK515:CK578" si="342">IF(AA515&gt;0,"",$CK$1-W515)</f>
        <v/>
      </c>
      <c r="CL515" t="str">
        <f t="shared" ref="CL515:CL578" si="343">IF(R515="NEW","REV","NON-REV")</f>
        <v>NON-REV</v>
      </c>
      <c r="CM515" t="str">
        <f t="shared" ref="CM515:CM578" si="344">IF(CK515="","",IF(CK515&lt;91,"0-3 MONTHS",(IF(CK515&lt;181,"4-6 MONTHS",(IF(CK515&lt;271,"7-9 MONTHS",IF(CK515&gt;270,"10 MONTHS AND ABOVE",)))))))</f>
        <v/>
      </c>
      <c r="CN515" s="635"/>
      <c r="CO515" s="631"/>
      <c r="CP515" s="629" t="str">
        <f t="shared" si="321"/>
        <v>FOR ISSUANCE</v>
      </c>
      <c r="CQ515" s="635"/>
      <c r="CR515" s="697"/>
      <c r="CS515" s="633" t="str">
        <f t="shared" ref="CS515:CS578" ca="1" si="345">IF(AND(CQ515=0,CR515=0), "0",IF(CR515,(CR515-CQ515),TODAY()-CQ515))</f>
        <v>0</v>
      </c>
      <c r="CT515" s="635"/>
      <c r="CU515" s="631"/>
      <c r="CV515" s="638"/>
      <c r="CW515" s="156" t="s">
        <v>2882</v>
      </c>
      <c r="CX515" s="156"/>
      <c r="CY515" s="156"/>
      <c r="DA515" s="762">
        <f t="shared" si="313"/>
        <v>5.4312500000014552</v>
      </c>
      <c r="DS515" s="156" t="s">
        <v>397</v>
      </c>
    </row>
    <row r="516" spans="1:123" customFormat="1" ht="15" customHeight="1" x14ac:dyDescent="0.25">
      <c r="A516" s="242">
        <v>45755</v>
      </c>
      <c r="B516" s="1003">
        <v>45749</v>
      </c>
      <c r="C516" s="223"/>
      <c r="D516" s="345" t="s">
        <v>284</v>
      </c>
      <c r="E516" s="344" t="s">
        <v>2883</v>
      </c>
      <c r="F516" s="343" t="s">
        <v>2496</v>
      </c>
      <c r="G516" s="95" t="s">
        <v>282</v>
      </c>
      <c r="H516" s="95" t="s">
        <v>238</v>
      </c>
      <c r="I516" s="95" t="s">
        <v>239</v>
      </c>
      <c r="J516" s="163"/>
      <c r="K516" s="101"/>
      <c r="L516" s="101" t="s">
        <v>288</v>
      </c>
      <c r="M516" s="101" t="s">
        <v>272</v>
      </c>
      <c r="N516" s="442" t="s">
        <v>381</v>
      </c>
      <c r="O516" s="165">
        <v>36.78</v>
      </c>
      <c r="P516" s="933">
        <v>120.71</v>
      </c>
      <c r="Q516" s="157">
        <v>97</v>
      </c>
      <c r="R516" s="468" t="s">
        <v>244</v>
      </c>
      <c r="S516" s="110">
        <v>492628.15</v>
      </c>
      <c r="T516" s="93">
        <v>103760.22</v>
      </c>
      <c r="U516" s="141">
        <v>8686.77</v>
      </c>
      <c r="V516" s="158">
        <f t="shared" si="322"/>
        <v>8.3719656723935248E-2</v>
      </c>
      <c r="W516" s="159">
        <v>45744</v>
      </c>
      <c r="X516" s="159">
        <v>45750.627083333333</v>
      </c>
      <c r="Y516" s="160">
        <v>45748</v>
      </c>
      <c r="Z516" s="470">
        <v>45836</v>
      </c>
      <c r="AA516" s="470">
        <v>45836</v>
      </c>
      <c r="AB516" s="470"/>
      <c r="AC516" s="161">
        <f t="shared" si="323"/>
        <v>92</v>
      </c>
      <c r="AD516" s="161">
        <f t="shared" si="316"/>
        <v>85.372916666667152</v>
      </c>
      <c r="AE516" s="446">
        <f t="shared" si="311"/>
        <v>-45836</v>
      </c>
      <c r="AF516" s="160">
        <f t="shared" si="317"/>
        <v>45764.345070422532</v>
      </c>
      <c r="AG516" s="160">
        <f t="shared" si="314"/>
        <v>45773.570422535209</v>
      </c>
      <c r="AH516" s="159">
        <f t="shared" si="318"/>
        <v>45794</v>
      </c>
      <c r="AI516" s="162">
        <f t="shared" si="324"/>
        <v>2.9556561085972852</v>
      </c>
      <c r="AJ516" s="224">
        <f t="shared" si="319"/>
        <v>-763.93333333333328</v>
      </c>
      <c r="AK516" s="225">
        <f t="shared" si="325"/>
        <v>26</v>
      </c>
      <c r="AL516" s="170">
        <f t="shared" si="326"/>
        <v>34</v>
      </c>
      <c r="AM516" s="170">
        <f t="shared" si="327"/>
        <v>23.345070422535212</v>
      </c>
      <c r="AN516" s="170">
        <f t="shared" si="328"/>
        <v>29.570422535211268</v>
      </c>
      <c r="AO516" s="226">
        <f t="shared" si="329"/>
        <v>20.345070422535212</v>
      </c>
      <c r="AP516" s="227">
        <v>60</v>
      </c>
      <c r="AQ516" s="228">
        <f t="shared" si="330"/>
        <v>57</v>
      </c>
      <c r="AR516" s="228">
        <f t="shared" si="315"/>
        <v>52</v>
      </c>
      <c r="AS516" s="229">
        <f t="shared" si="331"/>
        <v>45896</v>
      </c>
      <c r="AT516" s="982">
        <f t="shared" ca="1" si="332"/>
        <v>59</v>
      </c>
      <c r="AU516" s="50"/>
      <c r="AV516" s="51"/>
      <c r="AW516" s="49"/>
      <c r="AX516" s="49"/>
      <c r="AY516" s="49"/>
      <c r="AZ516" s="300"/>
      <c r="BA516" s="52"/>
      <c r="BB516" s="304"/>
      <c r="BC516" s="231" t="s">
        <v>12</v>
      </c>
      <c r="BD516" s="232"/>
      <c r="BE516" s="222">
        <f t="shared" si="312"/>
        <v>45851</v>
      </c>
      <c r="BF516" s="233">
        <f t="shared" si="320"/>
        <v>15</v>
      </c>
      <c r="BG516" s="234">
        <v>45836</v>
      </c>
      <c r="BH516" s="235">
        <v>45866</v>
      </c>
      <c r="BI516" s="234"/>
      <c r="BJ516" s="236"/>
      <c r="BK516" s="222"/>
      <c r="BL516" s="222"/>
      <c r="BM516" s="238"/>
      <c r="BN516" s="222"/>
      <c r="BO516" s="222"/>
      <c r="BP516" s="243"/>
      <c r="BQ516" s="244" t="s">
        <v>247</v>
      </c>
      <c r="BR516" s="238">
        <v>45835</v>
      </c>
      <c r="BS516" s="68"/>
      <c r="BT516" s="69"/>
      <c r="BU516" s="69"/>
      <c r="BV516" s="69"/>
      <c r="BW516" s="75"/>
      <c r="BX516" s="81"/>
      <c r="BY516" s="66" t="s">
        <v>308</v>
      </c>
      <c r="BZ516" s="944"/>
      <c r="CA516" s="42" t="str">
        <f t="shared" si="333"/>
        <v>0</v>
      </c>
      <c r="CB516" s="62">
        <f t="shared" si="334"/>
        <v>92</v>
      </c>
      <c r="CC516" s="42">
        <f t="shared" si="335"/>
        <v>0</v>
      </c>
      <c r="CD516" s="62">
        <f t="shared" si="336"/>
        <v>92</v>
      </c>
      <c r="CE516" s="62">
        <f t="shared" si="337"/>
        <v>2.9556561085972852</v>
      </c>
      <c r="CF516" s="145">
        <f t="shared" si="338"/>
        <v>33</v>
      </c>
      <c r="CG516" s="145"/>
      <c r="CH516" s="443">
        <f t="shared" si="339"/>
        <v>4.0158371040723981</v>
      </c>
      <c r="CI516" s="996">
        <f t="shared" si="340"/>
        <v>4.0158371040723981</v>
      </c>
      <c r="CJ516" s="261">
        <f t="shared" si="341"/>
        <v>0.55000000000000004</v>
      </c>
      <c r="CK516" s="458" t="str">
        <f t="shared" si="342"/>
        <v/>
      </c>
      <c r="CL516" t="str">
        <f t="shared" si="343"/>
        <v>REV</v>
      </c>
      <c r="CM516" t="str">
        <f t="shared" si="344"/>
        <v/>
      </c>
      <c r="CN516" s="635"/>
      <c r="CO516" s="631"/>
      <c r="CP516" s="629" t="str">
        <f t="shared" si="321"/>
        <v>FOR ISSUANCE</v>
      </c>
      <c r="CQ516" s="635"/>
      <c r="CR516" s="697"/>
      <c r="CS516" s="633" t="str">
        <f t="shared" ca="1" si="345"/>
        <v>0</v>
      </c>
      <c r="CT516" s="635"/>
      <c r="CU516" s="631"/>
      <c r="CV516" s="638"/>
      <c r="CW516" s="156" t="s">
        <v>2884</v>
      </c>
      <c r="CX516" s="156"/>
      <c r="CY516" s="156"/>
      <c r="CZ516" s="63"/>
      <c r="DA516" s="762">
        <f t="shared" si="313"/>
        <v>6.6270833333328483</v>
      </c>
      <c r="DS516" s="156" t="s">
        <v>397</v>
      </c>
    </row>
    <row r="517" spans="1:123" customFormat="1" ht="15" customHeight="1" x14ac:dyDescent="0.25">
      <c r="A517" s="242">
        <v>45762</v>
      </c>
      <c r="B517" s="1003">
        <v>45749</v>
      </c>
      <c r="C517" s="223"/>
      <c r="D517" s="345" t="s">
        <v>284</v>
      </c>
      <c r="E517" s="344" t="s">
        <v>2885</v>
      </c>
      <c r="F517" s="343" t="s">
        <v>2886</v>
      </c>
      <c r="G517" s="95" t="s">
        <v>2887</v>
      </c>
      <c r="H517" s="95" t="s">
        <v>269</v>
      </c>
      <c r="I517" s="95" t="s">
        <v>239</v>
      </c>
      <c r="J517" s="163"/>
      <c r="K517" s="101"/>
      <c r="L517" s="101" t="s">
        <v>242</v>
      </c>
      <c r="M517" s="101" t="s">
        <v>331</v>
      </c>
      <c r="N517" s="442" t="s">
        <v>467</v>
      </c>
      <c r="O517" s="165">
        <v>18.52</v>
      </c>
      <c r="P517" s="165">
        <v>62</v>
      </c>
      <c r="Q517" s="157" t="s">
        <v>2021</v>
      </c>
      <c r="R517" s="468" t="s">
        <v>319</v>
      </c>
      <c r="S517" s="110">
        <v>62981.53</v>
      </c>
      <c r="T517" s="93">
        <v>53438.1</v>
      </c>
      <c r="U517" s="141"/>
      <c r="V517" s="158">
        <f t="shared" si="322"/>
        <v>0</v>
      </c>
      <c r="W517" s="159">
        <v>45744</v>
      </c>
      <c r="X517" s="159">
        <v>45750.62777777778</v>
      </c>
      <c r="Y517" s="160">
        <v>45748</v>
      </c>
      <c r="Z517" s="470"/>
      <c r="AA517" s="470"/>
      <c r="AB517" s="470"/>
      <c r="AC517" s="161">
        <f t="shared" si="323"/>
        <v>-45744</v>
      </c>
      <c r="AD517" s="161">
        <f t="shared" si="316"/>
        <v>-45750.62777777778</v>
      </c>
      <c r="AE517" s="446">
        <f t="shared" si="311"/>
        <v>0</v>
      </c>
      <c r="AF517" s="160">
        <f t="shared" si="317"/>
        <v>45756.610859728506</v>
      </c>
      <c r="AG517" s="160">
        <f t="shared" si="314"/>
        <v>45763.773755656111</v>
      </c>
      <c r="AH517" s="159">
        <f t="shared" si="318"/>
        <v>45794</v>
      </c>
      <c r="AI517" s="162">
        <f t="shared" si="324"/>
        <v>-2197.7008695652171</v>
      </c>
      <c r="AJ517" s="224">
        <f t="shared" si="319"/>
        <v>0</v>
      </c>
      <c r="AK517" s="225">
        <f t="shared" si="325"/>
        <v>23</v>
      </c>
      <c r="AL517" s="170">
        <f t="shared" si="326"/>
        <v>20</v>
      </c>
      <c r="AM517" s="170">
        <f t="shared" si="327"/>
        <v>15.610859728506789</v>
      </c>
      <c r="AN517" s="170">
        <f t="shared" si="328"/>
        <v>19.773755656108598</v>
      </c>
      <c r="AO517" s="226">
        <f t="shared" si="329"/>
        <v>12.610859728506789</v>
      </c>
      <c r="AP517" s="227">
        <v>60</v>
      </c>
      <c r="AQ517" s="228">
        <f t="shared" si="330"/>
        <v>57</v>
      </c>
      <c r="AR517" s="228">
        <f t="shared" si="315"/>
        <v>52</v>
      </c>
      <c r="AS517" s="229">
        <f t="shared" si="331"/>
        <v>60</v>
      </c>
      <c r="AT517" s="982">
        <f t="shared" ca="1" si="332"/>
        <v>45895</v>
      </c>
      <c r="AU517" s="50"/>
      <c r="AV517" s="51"/>
      <c r="AW517" s="49"/>
      <c r="AX517" s="49"/>
      <c r="AY517" s="49"/>
      <c r="AZ517" s="300"/>
      <c r="BA517" s="52"/>
      <c r="BB517" s="304"/>
      <c r="BC517" s="231"/>
      <c r="BD517" s="232"/>
      <c r="BE517" s="222">
        <f t="shared" si="312"/>
        <v>15</v>
      </c>
      <c r="BF517" s="233">
        <f t="shared" si="320"/>
        <v>0</v>
      </c>
      <c r="BG517" s="234"/>
      <c r="BH517" s="235"/>
      <c r="BI517" s="234"/>
      <c r="BJ517" s="236"/>
      <c r="BK517" s="222"/>
      <c r="BL517" s="222"/>
      <c r="BM517" s="238"/>
      <c r="BN517" s="222"/>
      <c r="BO517" s="222"/>
      <c r="BP517" s="243"/>
      <c r="BQ517" s="244"/>
      <c r="BR517" s="238"/>
      <c r="BS517" s="68"/>
      <c r="BT517" s="69"/>
      <c r="BU517" s="69"/>
      <c r="BV517" s="69"/>
      <c r="BW517" s="75"/>
      <c r="BX517" s="81"/>
      <c r="BY517" s="66" t="s">
        <v>308</v>
      </c>
      <c r="BZ517" s="944"/>
      <c r="CA517" s="42" t="str">
        <f t="shared" si="333"/>
        <v>0</v>
      </c>
      <c r="CB517" s="62">
        <f t="shared" si="334"/>
        <v>-45744</v>
      </c>
      <c r="CC517" s="42">
        <f t="shared" si="335"/>
        <v>0</v>
      </c>
      <c r="CD517" s="62">
        <f t="shared" si="336"/>
        <v>-45744</v>
      </c>
      <c r="CE517" s="62">
        <f t="shared" si="337"/>
        <v>-2197.7008695652171</v>
      </c>
      <c r="CF517" s="145" t="str">
        <f t="shared" si="338"/>
        <v>0</v>
      </c>
      <c r="CG517" s="145"/>
      <c r="CH517" s="443">
        <f t="shared" si="339"/>
        <v>6.0054347826086953</v>
      </c>
      <c r="CI517" s="996">
        <f t="shared" si="340"/>
        <v>6.0054347826086953</v>
      </c>
      <c r="CJ517" s="261">
        <f t="shared" si="341"/>
        <v>0</v>
      </c>
      <c r="CK517" s="458">
        <f t="shared" si="342"/>
        <v>112</v>
      </c>
      <c r="CL517" t="str">
        <f t="shared" si="343"/>
        <v>NON-REV</v>
      </c>
      <c r="CM517" t="str">
        <f t="shared" si="344"/>
        <v>4-6 MONTHS</v>
      </c>
      <c r="CN517" s="635"/>
      <c r="CO517" s="631"/>
      <c r="CP517" s="629" t="str">
        <f t="shared" si="321"/>
        <v>FOR ISSUANCE</v>
      </c>
      <c r="CQ517" s="635"/>
      <c r="CR517" s="697"/>
      <c r="CS517" s="633" t="str">
        <f t="shared" ca="1" si="345"/>
        <v>0</v>
      </c>
      <c r="CT517" s="635"/>
      <c r="CU517" s="631"/>
      <c r="CV517" s="638"/>
      <c r="CW517" s="156" t="s">
        <v>2888</v>
      </c>
      <c r="CX517" s="156"/>
      <c r="CY517" s="156"/>
      <c r="CZ517" s="63"/>
      <c r="DA517" s="762">
        <f t="shared" si="313"/>
        <v>6.6277777777795563</v>
      </c>
      <c r="DS517" s="156" t="s">
        <v>397</v>
      </c>
    </row>
    <row r="518" spans="1:123" customFormat="1" ht="15" customHeight="1" x14ac:dyDescent="0.25">
      <c r="A518" s="242">
        <v>45761</v>
      </c>
      <c r="B518" s="1007">
        <v>45749</v>
      </c>
      <c r="C518" s="223"/>
      <c r="D518" s="345" t="s">
        <v>284</v>
      </c>
      <c r="E518" s="349" t="s">
        <v>2889</v>
      </c>
      <c r="F518" s="348" t="s">
        <v>2890</v>
      </c>
      <c r="G518" s="95" t="s">
        <v>1051</v>
      </c>
      <c r="H518" s="95" t="s">
        <v>269</v>
      </c>
      <c r="I518" s="95" t="s">
        <v>239</v>
      </c>
      <c r="J518" s="163"/>
      <c r="K518" s="101"/>
      <c r="L518" s="101" t="s">
        <v>263</v>
      </c>
      <c r="M518" s="101" t="s">
        <v>272</v>
      </c>
      <c r="N518" s="442" t="s">
        <v>467</v>
      </c>
      <c r="O518" s="165">
        <v>75.790000000000006</v>
      </c>
      <c r="P518" s="933">
        <v>149.59</v>
      </c>
      <c r="Q518" s="157">
        <v>153</v>
      </c>
      <c r="R518" s="468" t="s">
        <v>244</v>
      </c>
      <c r="S518" s="110">
        <v>799778.14</v>
      </c>
      <c r="T518" s="93">
        <v>111130.79</v>
      </c>
      <c r="U518" s="141"/>
      <c r="V518" s="158">
        <f t="shared" si="322"/>
        <v>0</v>
      </c>
      <c r="W518" s="159">
        <v>45744</v>
      </c>
      <c r="X518" s="159">
        <v>45750.626388888886</v>
      </c>
      <c r="Y518" s="160">
        <v>45748</v>
      </c>
      <c r="Z518" s="470"/>
      <c r="AA518" s="470">
        <v>45799</v>
      </c>
      <c r="AB518" s="470"/>
      <c r="AC518" s="161">
        <f t="shared" si="323"/>
        <v>55</v>
      </c>
      <c r="AD518" s="161">
        <f t="shared" si="316"/>
        <v>48.37361111111386</v>
      </c>
      <c r="AE518" s="446">
        <f t="shared" si="311"/>
        <v>-45799</v>
      </c>
      <c r="AF518" s="160">
        <f t="shared" si="317"/>
        <v>45763.446043165466</v>
      </c>
      <c r="AG518" s="160">
        <f t="shared" si="314"/>
        <v>45772.431654676257</v>
      </c>
      <c r="AH518" s="159">
        <f t="shared" si="318"/>
        <v>45794</v>
      </c>
      <c r="AI518" s="162">
        <f t="shared" si="324"/>
        <v>1.8377403846153846</v>
      </c>
      <c r="AJ518" s="224">
        <f t="shared" si="319"/>
        <v>-763.31666666666672</v>
      </c>
      <c r="AK518" s="225">
        <f t="shared" si="325"/>
        <v>26</v>
      </c>
      <c r="AL518" s="170">
        <f t="shared" si="326"/>
        <v>32</v>
      </c>
      <c r="AM518" s="170">
        <f t="shared" si="327"/>
        <v>22.446043165467625</v>
      </c>
      <c r="AN518" s="170">
        <f t="shared" si="328"/>
        <v>28.431654676258994</v>
      </c>
      <c r="AO518" s="226">
        <f t="shared" si="329"/>
        <v>19.446043165467625</v>
      </c>
      <c r="AP518" s="227">
        <v>60</v>
      </c>
      <c r="AQ518" s="228">
        <f t="shared" si="330"/>
        <v>57</v>
      </c>
      <c r="AR518" s="228">
        <f t="shared" si="315"/>
        <v>52</v>
      </c>
      <c r="AS518" s="229">
        <f t="shared" si="331"/>
        <v>45859</v>
      </c>
      <c r="AT518" s="982">
        <f t="shared" ca="1" si="332"/>
        <v>96</v>
      </c>
      <c r="AU518" s="50"/>
      <c r="AV518" s="51"/>
      <c r="AW518" s="49"/>
      <c r="AX518" s="49"/>
      <c r="AY518" s="49"/>
      <c r="AZ518" s="300"/>
      <c r="BA518" s="52"/>
      <c r="BB518" s="304"/>
      <c r="BC518" s="231" t="s">
        <v>13</v>
      </c>
      <c r="BD518" s="232"/>
      <c r="BE518" s="222">
        <f t="shared" si="312"/>
        <v>45814</v>
      </c>
      <c r="BF518" s="233" t="e">
        <f t="shared" si="320"/>
        <v>#VALUE!</v>
      </c>
      <c r="BG518" s="234"/>
      <c r="BH518" s="235"/>
      <c r="BI518" s="234"/>
      <c r="BJ518" s="236"/>
      <c r="BK518" s="222"/>
      <c r="BL518" s="222"/>
      <c r="BM518" s="238"/>
      <c r="BN518" s="222"/>
      <c r="BO518" s="222"/>
      <c r="BP518" s="243"/>
      <c r="BQ518" s="244" t="s">
        <v>247</v>
      </c>
      <c r="BR518" s="238">
        <v>45799</v>
      </c>
      <c r="BS518" s="68"/>
      <c r="BT518" s="69"/>
      <c r="BU518" s="69"/>
      <c r="BV518" s="69"/>
      <c r="BW518" s="75"/>
      <c r="BX518" s="81"/>
      <c r="BY518" s="66">
        <v>45761</v>
      </c>
      <c r="BZ518" s="944" t="s">
        <v>2891</v>
      </c>
      <c r="CA518" s="42" t="str">
        <f t="shared" si="333"/>
        <v>0</v>
      </c>
      <c r="CB518" s="62">
        <f t="shared" si="334"/>
        <v>55</v>
      </c>
      <c r="CC518" s="42">
        <f t="shared" si="335"/>
        <v>0</v>
      </c>
      <c r="CD518" s="62">
        <f t="shared" si="336"/>
        <v>55</v>
      </c>
      <c r="CE518" s="62">
        <f t="shared" si="337"/>
        <v>1.8377403846153846</v>
      </c>
      <c r="CF518" s="145">
        <f t="shared" si="338"/>
        <v>70</v>
      </c>
      <c r="CG518" s="145"/>
      <c r="CH518" s="443">
        <f t="shared" si="339"/>
        <v>4.1766826923076925</v>
      </c>
      <c r="CI518" s="996">
        <f t="shared" si="340"/>
        <v>4.1766826923076925</v>
      </c>
      <c r="CJ518" s="261">
        <f t="shared" si="341"/>
        <v>1.1666666666666667</v>
      </c>
      <c r="CK518" s="458" t="str">
        <f t="shared" si="342"/>
        <v/>
      </c>
      <c r="CL518" t="str">
        <f t="shared" si="343"/>
        <v>REV</v>
      </c>
      <c r="CM518" t="str">
        <f t="shared" si="344"/>
        <v/>
      </c>
      <c r="CN518" s="635"/>
      <c r="CO518" s="631"/>
      <c r="CP518" s="629" t="str">
        <f t="shared" si="321"/>
        <v>FOR ISSUANCE</v>
      </c>
      <c r="CQ518" s="635"/>
      <c r="CR518" s="697"/>
      <c r="CS518" s="633" t="str">
        <f t="shared" ca="1" si="345"/>
        <v>0</v>
      </c>
      <c r="CT518" s="635"/>
      <c r="CU518" s="631"/>
      <c r="CV518" s="638"/>
      <c r="CW518" s="156" t="s">
        <v>2892</v>
      </c>
      <c r="CX518" s="156"/>
      <c r="CY518" s="156"/>
      <c r="DA518" s="762">
        <f t="shared" si="313"/>
        <v>6.6263888888861402</v>
      </c>
      <c r="DS518" s="442" t="s">
        <v>403</v>
      </c>
    </row>
    <row r="519" spans="1:123" customFormat="1" ht="15" customHeight="1" x14ac:dyDescent="0.25">
      <c r="A519" s="242">
        <v>45757</v>
      </c>
      <c r="B519" s="222">
        <v>45755</v>
      </c>
      <c r="C519" s="223"/>
      <c r="D519" s="900" t="s">
        <v>320</v>
      </c>
      <c r="E519" s="404" t="s">
        <v>2893</v>
      </c>
      <c r="F519" s="95" t="s">
        <v>2894</v>
      </c>
      <c r="G519" s="95" t="s">
        <v>2895</v>
      </c>
      <c r="H519" s="95" t="s">
        <v>318</v>
      </c>
      <c r="I519" s="95" t="s">
        <v>239</v>
      </c>
      <c r="J519" s="163" t="s">
        <v>2896</v>
      </c>
      <c r="K519" s="101"/>
      <c r="L519" s="101" t="s">
        <v>263</v>
      </c>
      <c r="M519" s="101" t="s">
        <v>331</v>
      </c>
      <c r="N519" s="442" t="s">
        <v>467</v>
      </c>
      <c r="O519" s="165">
        <v>80.705699999999993</v>
      </c>
      <c r="P519" s="165">
        <v>222.71</v>
      </c>
      <c r="Q519" s="157">
        <v>84.4</v>
      </c>
      <c r="R519" s="468" t="s">
        <v>548</v>
      </c>
      <c r="S519" s="110">
        <v>706651.19</v>
      </c>
      <c r="T519" s="93">
        <v>123699.74000000003</v>
      </c>
      <c r="U519" s="141"/>
      <c r="V519" s="158">
        <f t="shared" si="322"/>
        <v>0</v>
      </c>
      <c r="W519" s="159">
        <v>45747.61041666667</v>
      </c>
      <c r="X519" s="159">
        <v>45757.279861111114</v>
      </c>
      <c r="Y519" s="160">
        <v>45751</v>
      </c>
      <c r="Z519" s="470"/>
      <c r="AA519" s="470"/>
      <c r="AB519" s="470"/>
      <c r="AC519" s="161">
        <f t="shared" si="323"/>
        <v>-45747.61041666667</v>
      </c>
      <c r="AD519" s="161">
        <f t="shared" si="316"/>
        <v>-45757.279861111114</v>
      </c>
      <c r="AE519" s="446">
        <f t="shared" si="311"/>
        <v>0</v>
      </c>
      <c r="AF519" s="160">
        <f t="shared" si="317"/>
        <v>45768.570148210296</v>
      </c>
      <c r="AG519" s="160">
        <f t="shared" si="314"/>
        <v>45777.959409955263</v>
      </c>
      <c r="AH519" s="159">
        <f t="shared" si="318"/>
        <v>45797.61041666667</v>
      </c>
      <c r="AI519" s="162">
        <f t="shared" si="324"/>
        <v>-1432.015536151961</v>
      </c>
      <c r="AJ519" s="224">
        <f t="shared" si="319"/>
        <v>0</v>
      </c>
      <c r="AK519" s="225">
        <f t="shared" si="325"/>
        <v>28</v>
      </c>
      <c r="AL519" s="170">
        <f t="shared" si="326"/>
        <v>34</v>
      </c>
      <c r="AM519" s="170">
        <f t="shared" si="327"/>
        <v>23.959731543624162</v>
      </c>
      <c r="AN519" s="170">
        <f t="shared" si="328"/>
        <v>30.348993288590602</v>
      </c>
      <c r="AO519" s="226">
        <f t="shared" si="329"/>
        <v>20.959731543624162</v>
      </c>
      <c r="AP519" s="227">
        <v>60</v>
      </c>
      <c r="AQ519" s="228">
        <f t="shared" si="330"/>
        <v>57</v>
      </c>
      <c r="AR519" s="228">
        <f t="shared" si="315"/>
        <v>52</v>
      </c>
      <c r="AS519" s="229">
        <f t="shared" si="331"/>
        <v>60</v>
      </c>
      <c r="AT519" s="982">
        <f t="shared" ca="1" si="332"/>
        <v>45895</v>
      </c>
      <c r="AU519" s="50"/>
      <c r="AV519" s="51"/>
      <c r="AW519" s="49"/>
      <c r="AX519" s="49"/>
      <c r="AY519" s="49"/>
      <c r="AZ519" s="300"/>
      <c r="BA519" s="52"/>
      <c r="BB519" s="304"/>
      <c r="BC519" s="231"/>
      <c r="BD519" s="232"/>
      <c r="BE519" s="222">
        <f t="shared" si="312"/>
        <v>15</v>
      </c>
      <c r="BF519" s="233">
        <f t="shared" si="320"/>
        <v>0</v>
      </c>
      <c r="BG519" s="234"/>
      <c r="BH519" s="235"/>
      <c r="BI519" s="234"/>
      <c r="BJ519" s="236"/>
      <c r="BK519" s="222"/>
      <c r="BL519" s="222"/>
      <c r="BM519" s="238"/>
      <c r="BN519" s="222"/>
      <c r="BO519" s="222"/>
      <c r="BP519" s="243"/>
      <c r="BQ519" s="244"/>
      <c r="BR519" s="238"/>
      <c r="BS519" s="68"/>
      <c r="BT519" s="69"/>
      <c r="BU519" s="69"/>
      <c r="BV519" s="69"/>
      <c r="BW519" s="75"/>
      <c r="BX519" s="81"/>
      <c r="BY519" s="66">
        <v>45757</v>
      </c>
      <c r="BZ519" s="944" t="s">
        <v>2897</v>
      </c>
      <c r="CA519" s="42" t="str">
        <f t="shared" si="333"/>
        <v>0</v>
      </c>
      <c r="CB519" s="62">
        <f t="shared" si="334"/>
        <v>-45747.61041666667</v>
      </c>
      <c r="CC519" s="42">
        <f t="shared" si="335"/>
        <v>0</v>
      </c>
      <c r="CD519" s="62">
        <f t="shared" si="336"/>
        <v>-45747.61041666667</v>
      </c>
      <c r="CE519" s="62">
        <f t="shared" si="337"/>
        <v>-1432.015536151961</v>
      </c>
      <c r="CF519" s="145" t="str">
        <f t="shared" si="338"/>
        <v>0</v>
      </c>
      <c r="CG519" s="145"/>
      <c r="CH519" s="443">
        <f t="shared" si="339"/>
        <v>3.7997999824928907</v>
      </c>
      <c r="CI519" s="996">
        <f t="shared" si="340"/>
        <v>3.7997999824928907</v>
      </c>
      <c r="CJ519" s="261">
        <f t="shared" si="341"/>
        <v>0</v>
      </c>
      <c r="CK519" s="458">
        <f t="shared" si="342"/>
        <v>108.38958333332994</v>
      </c>
      <c r="CL519" t="str">
        <f t="shared" si="343"/>
        <v>NON-REV</v>
      </c>
      <c r="CM519" t="str">
        <f t="shared" si="344"/>
        <v>4-6 MONTHS</v>
      </c>
      <c r="CN519" s="635"/>
      <c r="CO519" s="631"/>
      <c r="CP519" s="629" t="str">
        <f t="shared" si="321"/>
        <v>FOR ISSUANCE</v>
      </c>
      <c r="CQ519" s="635"/>
      <c r="CR519" s="697"/>
      <c r="CS519" s="633" t="str">
        <f t="shared" ca="1" si="345"/>
        <v>0</v>
      </c>
      <c r="CT519" s="635"/>
      <c r="CU519" s="631"/>
      <c r="CV519" s="638"/>
      <c r="CW519" s="156" t="s">
        <v>2898</v>
      </c>
      <c r="CX519" s="156"/>
      <c r="CY519" s="156"/>
      <c r="CZ519" s="63"/>
      <c r="DA519" s="762">
        <f t="shared" si="313"/>
        <v>9.6694444444437977</v>
      </c>
      <c r="DS519" s="442" t="s">
        <v>403</v>
      </c>
    </row>
    <row r="520" spans="1:123" customFormat="1" ht="15" customHeight="1" x14ac:dyDescent="0.25">
      <c r="A520" s="242">
        <v>45768</v>
      </c>
      <c r="B520" s="222">
        <v>45755</v>
      </c>
      <c r="C520" s="223" t="s">
        <v>247</v>
      </c>
      <c r="D520" s="345" t="s">
        <v>284</v>
      </c>
      <c r="E520" s="404" t="s">
        <v>2899</v>
      </c>
      <c r="F520" s="95" t="s">
        <v>1567</v>
      </c>
      <c r="G520" s="95" t="s">
        <v>2900</v>
      </c>
      <c r="H520" s="95" t="s">
        <v>318</v>
      </c>
      <c r="I520" s="95" t="s">
        <v>239</v>
      </c>
      <c r="J520" s="163"/>
      <c r="K520" s="101"/>
      <c r="L520" s="101" t="s">
        <v>5</v>
      </c>
      <c r="M520" s="101" t="s">
        <v>272</v>
      </c>
      <c r="N520" s="442" t="s">
        <v>403</v>
      </c>
      <c r="O520" s="165">
        <v>11.642799999999999</v>
      </c>
      <c r="P520" s="933">
        <v>24.54</v>
      </c>
      <c r="Q520" s="157">
        <v>38</v>
      </c>
      <c r="R520" s="109" t="s">
        <v>244</v>
      </c>
      <c r="S520" s="110">
        <v>216246.34</v>
      </c>
      <c r="T520" s="93">
        <v>21087.550000000003</v>
      </c>
      <c r="U520" s="141"/>
      <c r="V520" s="158">
        <f t="shared" si="322"/>
        <v>0</v>
      </c>
      <c r="W520" s="159">
        <v>45747.614583333336</v>
      </c>
      <c r="X520" s="159">
        <v>45757.27847222222</v>
      </c>
      <c r="Y520" s="160">
        <v>45751</v>
      </c>
      <c r="Z520" s="470"/>
      <c r="AA520" s="470">
        <v>45761</v>
      </c>
      <c r="AB520" s="470"/>
      <c r="AC520" s="161">
        <f t="shared" si="323"/>
        <v>13.385416666664241</v>
      </c>
      <c r="AD520" s="161">
        <f t="shared" si="316"/>
        <v>3.7215277777795563</v>
      </c>
      <c r="AE520" s="446">
        <f t="shared" si="311"/>
        <v>-45761</v>
      </c>
      <c r="AF520" s="160">
        <f t="shared" si="317"/>
        <v>45766.388776881722</v>
      </c>
      <c r="AG520" s="160">
        <f t="shared" si="314"/>
        <v>45775.195228494624</v>
      </c>
      <c r="AH520" s="159">
        <f t="shared" si="318"/>
        <v>45797.614583333336</v>
      </c>
      <c r="AI520" s="162">
        <f t="shared" si="324"/>
        <v>0.46105324074065718</v>
      </c>
      <c r="AJ520" s="224">
        <f t="shared" si="319"/>
        <v>-762.68333333333328</v>
      </c>
      <c r="AK520" s="225">
        <f t="shared" si="325"/>
        <v>20</v>
      </c>
      <c r="AL520" s="170">
        <f t="shared" si="326"/>
        <v>36</v>
      </c>
      <c r="AM520" s="170">
        <f t="shared" si="327"/>
        <v>21.774193548387096</v>
      </c>
      <c r="AN520" s="170">
        <f t="shared" si="328"/>
        <v>27.58064516129032</v>
      </c>
      <c r="AO520" s="226">
        <f t="shared" si="329"/>
        <v>18.774193548387096</v>
      </c>
      <c r="AP520" s="227">
        <v>60</v>
      </c>
      <c r="AQ520" s="228">
        <f t="shared" si="330"/>
        <v>57</v>
      </c>
      <c r="AR520" s="228">
        <f t="shared" si="315"/>
        <v>52</v>
      </c>
      <c r="AS520" s="229">
        <f t="shared" si="331"/>
        <v>45821</v>
      </c>
      <c r="AT520" s="982">
        <f t="shared" ca="1" si="332"/>
        <v>134</v>
      </c>
      <c r="AU520" s="50"/>
      <c r="AV520" s="51"/>
      <c r="AW520" s="49"/>
      <c r="AX520" s="49"/>
      <c r="AY520" s="49"/>
      <c r="AZ520" s="300"/>
      <c r="BA520" s="52"/>
      <c r="BB520" s="304"/>
      <c r="BC520" s="231" t="s">
        <v>264</v>
      </c>
      <c r="BD520" s="232"/>
      <c r="BE520" s="222">
        <f t="shared" si="312"/>
        <v>45776</v>
      </c>
      <c r="BF520" s="233">
        <f t="shared" si="320"/>
        <v>10</v>
      </c>
      <c r="BG520" s="234">
        <v>45751</v>
      </c>
      <c r="BH520" s="235">
        <v>45786</v>
      </c>
      <c r="BI520" s="234"/>
      <c r="BJ520" s="236"/>
      <c r="BK520" s="222"/>
      <c r="BL520" s="222"/>
      <c r="BM520" s="238"/>
      <c r="BN520" s="222"/>
      <c r="BO520" s="222">
        <v>45883</v>
      </c>
      <c r="BP520" s="243" t="s">
        <v>1084</v>
      </c>
      <c r="BQ520" s="244"/>
      <c r="BR520" s="238"/>
      <c r="BS520" s="68"/>
      <c r="BT520" s="69"/>
      <c r="BU520" s="69"/>
      <c r="BV520" s="69"/>
      <c r="BW520" s="75"/>
      <c r="BX520" s="81"/>
      <c r="BY520" s="66">
        <v>45768</v>
      </c>
      <c r="BZ520" s="944" t="s">
        <v>2901</v>
      </c>
      <c r="CA520" s="42" t="str">
        <f t="shared" si="333"/>
        <v>0</v>
      </c>
      <c r="CB520" s="62">
        <f t="shared" si="334"/>
        <v>13.385416666664241</v>
      </c>
      <c r="CC520" s="42">
        <f t="shared" si="335"/>
        <v>0</v>
      </c>
      <c r="CD520" s="62">
        <f t="shared" si="336"/>
        <v>13.385416666664241</v>
      </c>
      <c r="CE520" s="62">
        <f t="shared" si="337"/>
        <v>0.46105324074065718</v>
      </c>
      <c r="CF520" s="145">
        <f t="shared" si="338"/>
        <v>108</v>
      </c>
      <c r="CG520" s="145"/>
      <c r="CH520" s="443">
        <f t="shared" si="339"/>
        <v>4.1810532407406571</v>
      </c>
      <c r="CI520" s="996">
        <f t="shared" si="340"/>
        <v>4.1810532407406571</v>
      </c>
      <c r="CJ520" s="261">
        <f t="shared" si="341"/>
        <v>1.8</v>
      </c>
      <c r="CK520" s="458" t="str">
        <f t="shared" si="342"/>
        <v/>
      </c>
      <c r="CL520" t="str">
        <f t="shared" si="343"/>
        <v>REV</v>
      </c>
      <c r="CM520" t="str">
        <f t="shared" si="344"/>
        <v/>
      </c>
      <c r="CN520" s="635">
        <v>45883</v>
      </c>
      <c r="CO520" s="631">
        <v>2037.72</v>
      </c>
      <c r="CP520" s="629" t="str">
        <f t="shared" si="321"/>
        <v>NTC ISSUED</v>
      </c>
      <c r="CQ520" s="635">
        <v>45884</v>
      </c>
      <c r="CR520" s="697"/>
      <c r="CS520" s="633">
        <f t="shared" ca="1" si="345"/>
        <v>11</v>
      </c>
      <c r="CT520" s="635"/>
      <c r="CU520" s="631"/>
      <c r="CV520" s="638"/>
      <c r="CW520" s="156" t="s">
        <v>2902</v>
      </c>
      <c r="CX520" s="156"/>
      <c r="CY520" s="156"/>
      <c r="CZ520" s="63"/>
      <c r="DA520" s="762">
        <f t="shared" si="313"/>
        <v>9.663888888884685</v>
      </c>
      <c r="DS520" s="442" t="s">
        <v>403</v>
      </c>
    </row>
    <row r="521" spans="1:123" customFormat="1" ht="15" customHeight="1" x14ac:dyDescent="0.25">
      <c r="A521" s="242">
        <v>45768</v>
      </c>
      <c r="B521" s="222">
        <v>45755</v>
      </c>
      <c r="C521" s="223"/>
      <c r="D521" s="345" t="s">
        <v>284</v>
      </c>
      <c r="E521" s="404" t="s">
        <v>2903</v>
      </c>
      <c r="F521" s="95" t="s">
        <v>2904</v>
      </c>
      <c r="G521" s="95" t="s">
        <v>2905</v>
      </c>
      <c r="H521" s="95" t="s">
        <v>318</v>
      </c>
      <c r="I521" s="95" t="s">
        <v>239</v>
      </c>
      <c r="J521" s="163"/>
      <c r="K521" s="101"/>
      <c r="L521" s="101" t="s">
        <v>5</v>
      </c>
      <c r="M521" s="101" t="s">
        <v>272</v>
      </c>
      <c r="N521" s="442" t="s">
        <v>403</v>
      </c>
      <c r="O521" s="165">
        <v>15.183300000000001</v>
      </c>
      <c r="P521" s="933">
        <v>20.75</v>
      </c>
      <c r="Q521" s="157">
        <v>8</v>
      </c>
      <c r="R521" s="109" t="s">
        <v>244</v>
      </c>
      <c r="S521" s="110">
        <v>165644.54999999999</v>
      </c>
      <c r="T521" s="93">
        <v>17825.95</v>
      </c>
      <c r="U521" s="141"/>
      <c r="V521" s="158">
        <f t="shared" si="322"/>
        <v>0</v>
      </c>
      <c r="W521" s="159">
        <v>45747.617361111108</v>
      </c>
      <c r="X521" s="159">
        <v>45757.280555555553</v>
      </c>
      <c r="Y521" s="160">
        <v>45751</v>
      </c>
      <c r="Z521" s="470"/>
      <c r="AA521" s="470">
        <v>45783.35</v>
      </c>
      <c r="AB521" s="470"/>
      <c r="AC521" s="161">
        <f t="shared" si="323"/>
        <v>35.732638888890506</v>
      </c>
      <c r="AD521" s="161">
        <f t="shared" si="316"/>
        <v>26.069444444445253</v>
      </c>
      <c r="AE521" s="446">
        <f t="shared" ref="AE521:AE584" si="346">AB521-AA521</f>
        <v>-45783.35</v>
      </c>
      <c r="AF521" s="160">
        <f t="shared" si="317"/>
        <v>45766.391554659494</v>
      </c>
      <c r="AG521" s="160">
        <f t="shared" si="314"/>
        <v>45775.198006272396</v>
      </c>
      <c r="AH521" s="159">
        <f t="shared" si="318"/>
        <v>45797.617361111108</v>
      </c>
      <c r="AI521" s="162">
        <f t="shared" si="324"/>
        <v>1.2307908950617841</v>
      </c>
      <c r="AJ521" s="224">
        <f t="shared" si="319"/>
        <v>-763.05583333333334</v>
      </c>
      <c r="AK521" s="225">
        <f t="shared" si="325"/>
        <v>20</v>
      </c>
      <c r="AL521" s="170">
        <f t="shared" si="326"/>
        <v>36</v>
      </c>
      <c r="AM521" s="170">
        <f t="shared" si="327"/>
        <v>21.774193548387096</v>
      </c>
      <c r="AN521" s="170">
        <f t="shared" si="328"/>
        <v>27.58064516129032</v>
      </c>
      <c r="AO521" s="226">
        <f t="shared" si="329"/>
        <v>18.774193548387096</v>
      </c>
      <c r="AP521" s="227">
        <v>60</v>
      </c>
      <c r="AQ521" s="228">
        <f t="shared" si="330"/>
        <v>57</v>
      </c>
      <c r="AR521" s="228">
        <f t="shared" si="315"/>
        <v>52</v>
      </c>
      <c r="AS521" s="229">
        <f t="shared" si="331"/>
        <v>45843.35</v>
      </c>
      <c r="AT521" s="982">
        <f t="shared" ca="1" si="332"/>
        <v>111.65000000000146</v>
      </c>
      <c r="AU521" s="50"/>
      <c r="AV521" s="51"/>
      <c r="AW521" s="49"/>
      <c r="AX521" s="49"/>
      <c r="AY521" s="49"/>
      <c r="AZ521" s="300"/>
      <c r="BA521" s="52"/>
      <c r="BB521" s="304"/>
      <c r="BC521" s="231" t="s">
        <v>13</v>
      </c>
      <c r="BD521" s="232"/>
      <c r="BE521" s="222">
        <f t="shared" si="312"/>
        <v>45798.35</v>
      </c>
      <c r="BF521" s="233" t="e">
        <f t="shared" si="320"/>
        <v>#VALUE!</v>
      </c>
      <c r="BG521" s="234"/>
      <c r="BH521" s="235"/>
      <c r="BI521" s="234"/>
      <c r="BJ521" s="236"/>
      <c r="BK521" s="222"/>
      <c r="BL521" s="222"/>
      <c r="BM521" s="238"/>
      <c r="BN521" s="222"/>
      <c r="BO521" s="222"/>
      <c r="BP521" s="243"/>
      <c r="BQ521" s="244"/>
      <c r="BR521" s="238"/>
      <c r="BS521" s="68"/>
      <c r="BT521" s="69"/>
      <c r="BU521" s="69"/>
      <c r="BV521" s="69"/>
      <c r="BW521" s="75"/>
      <c r="BX521" s="81"/>
      <c r="BY521" s="66">
        <v>45768</v>
      </c>
      <c r="BZ521" s="944" t="s">
        <v>2906</v>
      </c>
      <c r="CA521" s="42" t="str">
        <f t="shared" si="333"/>
        <v>0</v>
      </c>
      <c r="CB521" s="62">
        <f t="shared" si="334"/>
        <v>35.732638888890506</v>
      </c>
      <c r="CC521" s="42">
        <f t="shared" si="335"/>
        <v>0</v>
      </c>
      <c r="CD521" s="62">
        <f t="shared" si="336"/>
        <v>35.732638888890506</v>
      </c>
      <c r="CE521" s="62">
        <f t="shared" si="337"/>
        <v>1.2307908950617841</v>
      </c>
      <c r="CF521" s="145">
        <f t="shared" si="338"/>
        <v>85.650000000001455</v>
      </c>
      <c r="CG521" s="145"/>
      <c r="CH521" s="443">
        <f t="shared" si="339"/>
        <v>4.1809575617285004</v>
      </c>
      <c r="CI521" s="996">
        <f t="shared" si="340"/>
        <v>4.1809575617285004</v>
      </c>
      <c r="CJ521" s="261">
        <f t="shared" si="341"/>
        <v>1.4275000000000242</v>
      </c>
      <c r="CK521" s="458" t="str">
        <f t="shared" si="342"/>
        <v/>
      </c>
      <c r="CL521" t="str">
        <f t="shared" si="343"/>
        <v>REV</v>
      </c>
      <c r="CM521" t="str">
        <f t="shared" si="344"/>
        <v/>
      </c>
      <c r="CN521" s="635"/>
      <c r="CO521" s="631"/>
      <c r="CP521" s="629" t="str">
        <f t="shared" si="321"/>
        <v>FOR ISSUANCE</v>
      </c>
      <c r="CQ521" s="635"/>
      <c r="CR521" s="697"/>
      <c r="CS521" s="633" t="str">
        <f t="shared" ca="1" si="345"/>
        <v>0</v>
      </c>
      <c r="CT521" s="635"/>
      <c r="CU521" s="631"/>
      <c r="CV521" s="638"/>
      <c r="CW521" s="156" t="s">
        <v>2907</v>
      </c>
      <c r="CX521" s="156"/>
      <c r="CY521" s="156"/>
      <c r="CZ521" s="63"/>
      <c r="DA521" s="762">
        <f t="shared" si="313"/>
        <v>9.6631944444452529</v>
      </c>
      <c r="DS521" s="442" t="s">
        <v>403</v>
      </c>
    </row>
    <row r="522" spans="1:123" customFormat="1" ht="15" customHeight="1" x14ac:dyDescent="0.25">
      <c r="A522" s="242">
        <v>45768</v>
      </c>
      <c r="B522" s="222">
        <v>45755</v>
      </c>
      <c r="C522" s="223"/>
      <c r="D522" s="345" t="s">
        <v>284</v>
      </c>
      <c r="E522" s="404" t="s">
        <v>2908</v>
      </c>
      <c r="F522" s="95" t="s">
        <v>2909</v>
      </c>
      <c r="G522" s="95" t="s">
        <v>2905</v>
      </c>
      <c r="H522" s="95" t="s">
        <v>318</v>
      </c>
      <c r="I522" s="95" t="s">
        <v>239</v>
      </c>
      <c r="J522" s="163"/>
      <c r="K522" s="101"/>
      <c r="L522" s="101" t="s">
        <v>5</v>
      </c>
      <c r="M522" s="101" t="s">
        <v>272</v>
      </c>
      <c r="N522" s="442" t="s">
        <v>403</v>
      </c>
      <c r="O522" s="165">
        <v>123.13660000000002</v>
      </c>
      <c r="P522" s="933">
        <v>255.47</v>
      </c>
      <c r="Q522" s="157">
        <v>695</v>
      </c>
      <c r="R522" s="468" t="s">
        <v>548</v>
      </c>
      <c r="S522" s="110">
        <v>2063465.67</v>
      </c>
      <c r="T522" s="93">
        <v>219675.44000000006</v>
      </c>
      <c r="U522" s="141"/>
      <c r="V522" s="158">
        <f t="shared" si="322"/>
        <v>0</v>
      </c>
      <c r="W522" s="159">
        <v>45747.619444444441</v>
      </c>
      <c r="X522" s="159">
        <v>45757.28125</v>
      </c>
      <c r="Y522" s="160">
        <v>45751</v>
      </c>
      <c r="Z522" s="470">
        <v>45784</v>
      </c>
      <c r="AA522" s="470">
        <v>45784.384027777778</v>
      </c>
      <c r="AB522" s="470"/>
      <c r="AC522" s="161">
        <f t="shared" si="323"/>
        <v>36.764583333337214</v>
      </c>
      <c r="AD522" s="161">
        <f t="shared" si="316"/>
        <v>27.102777777778101</v>
      </c>
      <c r="AE522" s="446">
        <f t="shared" si="346"/>
        <v>-45784.384027777778</v>
      </c>
      <c r="AF522" s="160">
        <f t="shared" si="317"/>
        <v>45762.845859538778</v>
      </c>
      <c r="AG522" s="160">
        <f t="shared" si="314"/>
        <v>45770.706236897269</v>
      </c>
      <c r="AH522" s="159">
        <f t="shared" si="318"/>
        <v>45797.619444444441</v>
      </c>
      <c r="AI522" s="162">
        <f t="shared" si="324"/>
        <v>1.5128283514494347</v>
      </c>
      <c r="AJ522" s="224">
        <f t="shared" si="319"/>
        <v>-763.07306712962964</v>
      </c>
      <c r="AK522" s="225">
        <f t="shared" si="325"/>
        <v>28</v>
      </c>
      <c r="AL522" s="170">
        <f t="shared" si="326"/>
        <v>23</v>
      </c>
      <c r="AM522" s="170">
        <f t="shared" si="327"/>
        <v>18.226415094339625</v>
      </c>
      <c r="AN522" s="170">
        <f t="shared" si="328"/>
        <v>23.086792452830192</v>
      </c>
      <c r="AO522" s="226">
        <f t="shared" si="329"/>
        <v>15.226415094339625</v>
      </c>
      <c r="AP522" s="227">
        <v>60</v>
      </c>
      <c r="AQ522" s="228">
        <f t="shared" si="330"/>
        <v>57</v>
      </c>
      <c r="AR522" s="228">
        <f t="shared" si="315"/>
        <v>52</v>
      </c>
      <c r="AS522" s="229">
        <f t="shared" si="331"/>
        <v>45844.384027777778</v>
      </c>
      <c r="AT522" s="982">
        <f t="shared" ca="1" si="332"/>
        <v>110.6159722222219</v>
      </c>
      <c r="AU522" s="50" t="s">
        <v>61</v>
      </c>
      <c r="AV522" s="51" t="s">
        <v>247</v>
      </c>
      <c r="AW522" s="49"/>
      <c r="AX522" s="49"/>
      <c r="AY522" s="49"/>
      <c r="AZ522" s="300">
        <v>45779</v>
      </c>
      <c r="BA522" s="52">
        <f>BB522-AZ522</f>
        <v>28</v>
      </c>
      <c r="BB522" s="304">
        <v>45807</v>
      </c>
      <c r="BC522" s="231" t="s">
        <v>12</v>
      </c>
      <c r="BD522" s="232"/>
      <c r="BE522" s="222">
        <f t="shared" si="312"/>
        <v>45799.384027777778</v>
      </c>
      <c r="BF522" s="233">
        <f t="shared" si="320"/>
        <v>45.615972222221899</v>
      </c>
      <c r="BG522" s="234">
        <v>45784</v>
      </c>
      <c r="BH522" s="235">
        <v>45845</v>
      </c>
      <c r="BI522" s="234"/>
      <c r="BJ522" s="236"/>
      <c r="BK522" s="222"/>
      <c r="BL522" s="222"/>
      <c r="BM522" s="238"/>
      <c r="BN522" s="222"/>
      <c r="BO522" s="222"/>
      <c r="BP522" s="243"/>
      <c r="BQ522" s="244" t="s">
        <v>247</v>
      </c>
      <c r="BR522" s="238">
        <v>45805</v>
      </c>
      <c r="BS522" s="68"/>
      <c r="BT522" s="69"/>
      <c r="BU522" s="69"/>
      <c r="BV522" s="69"/>
      <c r="BW522" s="75"/>
      <c r="BX522" s="81"/>
      <c r="BY522" s="66" t="s">
        <v>308</v>
      </c>
      <c r="BZ522" s="944"/>
      <c r="CA522" s="42" t="str">
        <f t="shared" si="333"/>
        <v>0</v>
      </c>
      <c r="CB522" s="62">
        <f t="shared" si="334"/>
        <v>36.764583333337214</v>
      </c>
      <c r="CC522" s="42">
        <f t="shared" si="335"/>
        <v>28</v>
      </c>
      <c r="CD522" s="62">
        <f t="shared" si="336"/>
        <v>8.7645833333372138</v>
      </c>
      <c r="CE522" s="62">
        <f t="shared" si="337"/>
        <v>0.36065443840595679</v>
      </c>
      <c r="CF522" s="145">
        <f t="shared" si="338"/>
        <v>84.615972222221899</v>
      </c>
      <c r="CG522" s="145"/>
      <c r="CH522" s="443">
        <f t="shared" si="339"/>
        <v>4.9946967736371368</v>
      </c>
      <c r="CI522" s="996">
        <f t="shared" si="340"/>
        <v>4.9946967736371368</v>
      </c>
      <c r="CJ522" s="261">
        <f t="shared" si="341"/>
        <v>1.4102662037036984</v>
      </c>
      <c r="CK522" s="458" t="str">
        <f t="shared" si="342"/>
        <v/>
      </c>
      <c r="CL522" t="str">
        <f t="shared" si="343"/>
        <v>NON-REV</v>
      </c>
      <c r="CM522" t="str">
        <f t="shared" si="344"/>
        <v/>
      </c>
      <c r="CN522" s="635"/>
      <c r="CO522" s="631"/>
      <c r="CP522" s="629" t="str">
        <f t="shared" si="321"/>
        <v>FOR ISSUANCE</v>
      </c>
      <c r="CQ522" s="635"/>
      <c r="CR522" s="697"/>
      <c r="CS522" s="633" t="str">
        <f t="shared" ca="1" si="345"/>
        <v>0</v>
      </c>
      <c r="CT522" s="635"/>
      <c r="CU522" s="631"/>
      <c r="CV522" s="638"/>
      <c r="CW522" s="156" t="s">
        <v>2910</v>
      </c>
      <c r="CX522" s="156"/>
      <c r="CY522" s="156"/>
      <c r="CZ522" s="63"/>
      <c r="DA522" s="762">
        <f t="shared" si="313"/>
        <v>9.6618055555591127</v>
      </c>
      <c r="DS522" s="156" t="s">
        <v>397</v>
      </c>
    </row>
    <row r="523" spans="1:123" customFormat="1" ht="15" customHeight="1" x14ac:dyDescent="0.25">
      <c r="A523" s="242">
        <v>45761</v>
      </c>
      <c r="B523" s="222">
        <v>45755</v>
      </c>
      <c r="C523" s="223"/>
      <c r="D523" s="66" t="s">
        <v>234</v>
      </c>
      <c r="E523" s="404" t="s">
        <v>2911</v>
      </c>
      <c r="F523" s="95" t="s">
        <v>267</v>
      </c>
      <c r="G523" s="95" t="s">
        <v>2912</v>
      </c>
      <c r="H523" s="95" t="s">
        <v>318</v>
      </c>
      <c r="I523" s="95" t="s">
        <v>239</v>
      </c>
      <c r="J523" s="163"/>
      <c r="K523" s="101"/>
      <c r="L523" s="101" t="s">
        <v>5</v>
      </c>
      <c r="M523" s="101" t="s">
        <v>272</v>
      </c>
      <c r="N523" s="442" t="s">
        <v>403</v>
      </c>
      <c r="O523" s="165">
        <v>85.413899999999998</v>
      </c>
      <c r="P523" s="933">
        <v>85.41</v>
      </c>
      <c r="Q523" s="157">
        <v>51</v>
      </c>
      <c r="R523" s="109" t="s">
        <v>244</v>
      </c>
      <c r="S523" s="110">
        <v>465236.61</v>
      </c>
      <c r="T523" s="93">
        <v>73415.59</v>
      </c>
      <c r="U523" s="141"/>
      <c r="V523" s="158">
        <f t="shared" si="322"/>
        <v>0</v>
      </c>
      <c r="W523" s="159">
        <v>45747.626388888886</v>
      </c>
      <c r="X523" s="159">
        <v>45757.281944444447</v>
      </c>
      <c r="Y523" s="160">
        <v>45751</v>
      </c>
      <c r="Z523" s="470">
        <v>45793</v>
      </c>
      <c r="AA523" s="470">
        <v>45797</v>
      </c>
      <c r="AB523" s="470"/>
      <c r="AC523" s="161">
        <f t="shared" si="323"/>
        <v>49.37361111111386</v>
      </c>
      <c r="AD523" s="161">
        <f t="shared" si="316"/>
        <v>39.718055555553292</v>
      </c>
      <c r="AE523" s="446">
        <f t="shared" si="346"/>
        <v>-45797</v>
      </c>
      <c r="AF523" s="160">
        <f t="shared" si="317"/>
        <v>45766.926769117024</v>
      </c>
      <c r="AG523" s="160">
        <f t="shared" si="314"/>
        <v>45775.87353717786</v>
      </c>
      <c r="AH523" s="159">
        <f t="shared" si="318"/>
        <v>45797.626388888886</v>
      </c>
      <c r="AI523" s="162">
        <f t="shared" si="324"/>
        <v>1.6605191460643152</v>
      </c>
      <c r="AJ523" s="224">
        <f t="shared" si="319"/>
        <v>-763.2833333333333</v>
      </c>
      <c r="AK523" s="225">
        <f t="shared" si="325"/>
        <v>23</v>
      </c>
      <c r="AL523" s="170">
        <f t="shared" si="326"/>
        <v>34</v>
      </c>
      <c r="AM523" s="170">
        <f t="shared" si="327"/>
        <v>22.300380228136884</v>
      </c>
      <c r="AN523" s="170">
        <f t="shared" si="328"/>
        <v>28.247148288973385</v>
      </c>
      <c r="AO523" s="226">
        <f t="shared" si="329"/>
        <v>19.300380228136884</v>
      </c>
      <c r="AP523" s="227">
        <v>60</v>
      </c>
      <c r="AQ523" s="228">
        <f t="shared" si="330"/>
        <v>57</v>
      </c>
      <c r="AR523" s="228">
        <f t="shared" si="315"/>
        <v>52</v>
      </c>
      <c r="AS523" s="229">
        <f t="shared" si="331"/>
        <v>45857</v>
      </c>
      <c r="AT523" s="982">
        <f t="shared" ca="1" si="332"/>
        <v>98</v>
      </c>
      <c r="AU523" s="50"/>
      <c r="AV523" s="51"/>
      <c r="AW523" s="49"/>
      <c r="AX523" s="49"/>
      <c r="AY523" s="49"/>
      <c r="AZ523" s="300"/>
      <c r="BA523" s="52"/>
      <c r="BB523" s="304"/>
      <c r="BC523" s="231" t="s">
        <v>12</v>
      </c>
      <c r="BD523" s="232"/>
      <c r="BE523" s="222">
        <f t="shared" si="312"/>
        <v>45812</v>
      </c>
      <c r="BF523" s="233">
        <f t="shared" si="320"/>
        <v>33</v>
      </c>
      <c r="BG523" s="234">
        <v>45793</v>
      </c>
      <c r="BH523" s="235">
        <v>45845</v>
      </c>
      <c r="BI523" s="234"/>
      <c r="BJ523" s="236"/>
      <c r="BK523" s="222"/>
      <c r="BL523" s="222"/>
      <c r="BM523" s="238"/>
      <c r="BN523" s="222"/>
      <c r="BO523" s="222"/>
      <c r="BP523" s="243"/>
      <c r="BQ523" s="244" t="s">
        <v>247</v>
      </c>
      <c r="BR523" s="238">
        <v>45793</v>
      </c>
      <c r="BS523" s="68"/>
      <c r="BT523" s="69"/>
      <c r="BU523" s="69"/>
      <c r="BV523" s="69"/>
      <c r="BW523" s="75"/>
      <c r="BX523" s="81"/>
      <c r="BY523" s="66" t="e">
        <f>VLOOKUP([4]C1!$BY:$BY,[4]C1!$BY$531:$BY$625,1,FALSE)</f>
        <v>#N/A</v>
      </c>
      <c r="BZ523" s="944" t="e">
        <f>VLOOKUP([4]C1!$BZ:$BZ,[4]C1!$BZ$531:$BZ$625,1,FALSE)</f>
        <v>#N/A</v>
      </c>
      <c r="CA523" s="42" t="str">
        <f t="shared" si="333"/>
        <v>0</v>
      </c>
      <c r="CB523" s="62">
        <f t="shared" si="334"/>
        <v>49.37361111111386</v>
      </c>
      <c r="CC523" s="42">
        <f t="shared" si="335"/>
        <v>0</v>
      </c>
      <c r="CD523" s="62">
        <f t="shared" si="336"/>
        <v>49.37361111111386</v>
      </c>
      <c r="CE523" s="62">
        <f t="shared" si="337"/>
        <v>1.6605191460643152</v>
      </c>
      <c r="CF523" s="145">
        <f t="shared" si="338"/>
        <v>72</v>
      </c>
      <c r="CG523" s="145"/>
      <c r="CH523" s="443">
        <f t="shared" si="339"/>
        <v>4.0820025220233944</v>
      </c>
      <c r="CI523" s="996">
        <f t="shared" si="340"/>
        <v>4.0820025220233944</v>
      </c>
      <c r="CJ523" s="261">
        <f t="shared" si="341"/>
        <v>1.2</v>
      </c>
      <c r="CK523" s="458" t="str">
        <f t="shared" si="342"/>
        <v/>
      </c>
      <c r="CL523" t="str">
        <f t="shared" si="343"/>
        <v>REV</v>
      </c>
      <c r="CM523" t="str">
        <f t="shared" si="344"/>
        <v/>
      </c>
      <c r="CN523" s="635"/>
      <c r="CO523" s="631"/>
      <c r="CP523" s="629" t="str">
        <f t="shared" si="321"/>
        <v>FOR ISSUANCE</v>
      </c>
      <c r="CQ523" s="635"/>
      <c r="CR523" s="697"/>
      <c r="CS523" s="633" t="str">
        <f t="shared" ca="1" si="345"/>
        <v>0</v>
      </c>
      <c r="CT523" s="635"/>
      <c r="CU523" s="631"/>
      <c r="CV523" s="638"/>
      <c r="CW523" s="764" t="s">
        <v>2913</v>
      </c>
      <c r="CX523" s="156"/>
      <c r="CY523" s="156"/>
      <c r="CZ523" s="63"/>
      <c r="DA523" s="762">
        <f t="shared" si="313"/>
        <v>9.6555555555605679</v>
      </c>
      <c r="DS523" s="156" t="s">
        <v>397</v>
      </c>
    </row>
    <row r="524" spans="1:123" customFormat="1" ht="15" customHeight="1" x14ac:dyDescent="0.25">
      <c r="A524" s="242">
        <v>45757</v>
      </c>
      <c r="B524" s="222">
        <v>45755</v>
      </c>
      <c r="C524" s="223"/>
      <c r="D524" s="66" t="s">
        <v>320</v>
      </c>
      <c r="E524" s="404" t="s">
        <v>2914</v>
      </c>
      <c r="F524" s="95" t="s">
        <v>2915</v>
      </c>
      <c r="G524" s="95" t="s">
        <v>2916</v>
      </c>
      <c r="H524" s="95" t="s">
        <v>318</v>
      </c>
      <c r="I524" s="95" t="s">
        <v>239</v>
      </c>
      <c r="J524" s="163"/>
      <c r="K524" s="101"/>
      <c r="L524" s="101" t="s">
        <v>263</v>
      </c>
      <c r="M524" s="101" t="s">
        <v>331</v>
      </c>
      <c r="N524" s="442" t="s">
        <v>467</v>
      </c>
      <c r="O524" s="165">
        <v>119.17990000000003</v>
      </c>
      <c r="P524" s="165">
        <v>287.3</v>
      </c>
      <c r="Q524" s="157" t="s">
        <v>2021</v>
      </c>
      <c r="R524" s="109" t="s">
        <v>327</v>
      </c>
      <c r="S524" s="110">
        <v>411270.88</v>
      </c>
      <c r="T524" s="93">
        <v>112337.44000000005</v>
      </c>
      <c r="U524" s="141"/>
      <c r="V524" s="158">
        <f t="shared" si="322"/>
        <v>0</v>
      </c>
      <c r="W524" s="159">
        <v>45747.681944444441</v>
      </c>
      <c r="X524" s="159">
        <v>45755.663194444445</v>
      </c>
      <c r="Y524" s="160">
        <v>45751</v>
      </c>
      <c r="Z524" s="470"/>
      <c r="AA524" s="470"/>
      <c r="AB524" s="470"/>
      <c r="AC524" s="161">
        <f t="shared" si="323"/>
        <v>-45747.681944444441</v>
      </c>
      <c r="AD524" s="161">
        <f t="shared" si="316"/>
        <v>-45755.663194444445</v>
      </c>
      <c r="AE524" s="446">
        <f t="shared" si="346"/>
        <v>0</v>
      </c>
      <c r="AF524" s="160">
        <f t="shared" si="317"/>
        <v>45761.088194444441</v>
      </c>
      <c r="AG524" s="160">
        <f t="shared" si="314"/>
        <v>45768.463194444441</v>
      </c>
      <c r="AH524" s="159">
        <f t="shared" si="318"/>
        <v>45797.681944444441</v>
      </c>
      <c r="AI524" s="162">
        <f t="shared" si="324"/>
        <v>-2091.322603174603</v>
      </c>
      <c r="AJ524" s="224">
        <f t="shared" si="319"/>
        <v>0</v>
      </c>
      <c r="AK524" s="225">
        <f t="shared" si="325"/>
        <v>28</v>
      </c>
      <c r="AL524" s="170">
        <f t="shared" si="326"/>
        <v>20</v>
      </c>
      <c r="AM524" s="170">
        <f t="shared" si="327"/>
        <v>16.406250000000004</v>
      </c>
      <c r="AN524" s="170">
        <f t="shared" si="328"/>
        <v>20.781250000000004</v>
      </c>
      <c r="AO524" s="226">
        <f t="shared" si="329"/>
        <v>13.406250000000004</v>
      </c>
      <c r="AP524" s="227">
        <v>60</v>
      </c>
      <c r="AQ524" s="228">
        <f t="shared" si="330"/>
        <v>57</v>
      </c>
      <c r="AR524" s="228">
        <f t="shared" si="315"/>
        <v>52</v>
      </c>
      <c r="AS524" s="229">
        <f t="shared" si="331"/>
        <v>60</v>
      </c>
      <c r="AT524" s="982">
        <f t="shared" ca="1" si="332"/>
        <v>45895</v>
      </c>
      <c r="AU524" s="50"/>
      <c r="AV524" s="51"/>
      <c r="AW524" s="49"/>
      <c r="AX524" s="49"/>
      <c r="AY524" s="49"/>
      <c r="AZ524" s="300"/>
      <c r="BA524" s="52"/>
      <c r="BB524" s="304"/>
      <c r="BC524" s="231"/>
      <c r="BD524" s="232"/>
      <c r="BE524" s="222">
        <f t="shared" si="312"/>
        <v>15</v>
      </c>
      <c r="BF524" s="233">
        <f t="shared" si="320"/>
        <v>0</v>
      </c>
      <c r="BG524" s="234"/>
      <c r="BH524" s="235"/>
      <c r="BI524" s="234"/>
      <c r="BJ524" s="236"/>
      <c r="BK524" s="222"/>
      <c r="BL524" s="222"/>
      <c r="BM524" s="238"/>
      <c r="BN524" s="222"/>
      <c r="BO524" s="222"/>
      <c r="BP524" s="243"/>
      <c r="BQ524" s="244"/>
      <c r="BR524" s="238"/>
      <c r="BS524" s="68"/>
      <c r="BT524" s="69"/>
      <c r="BU524" s="69"/>
      <c r="BV524" s="69"/>
      <c r="BW524" s="75"/>
      <c r="BX524" s="81"/>
      <c r="BY524" s="66">
        <v>45757</v>
      </c>
      <c r="BZ524" s="944" t="s">
        <v>2917</v>
      </c>
      <c r="CA524" s="42" t="str">
        <f t="shared" si="333"/>
        <v>0</v>
      </c>
      <c r="CB524" s="62">
        <f t="shared" si="334"/>
        <v>-45747.681944444441</v>
      </c>
      <c r="CC524" s="42">
        <f t="shared" si="335"/>
        <v>0</v>
      </c>
      <c r="CD524" s="62">
        <f t="shared" si="336"/>
        <v>-45747.681944444441</v>
      </c>
      <c r="CE524" s="62">
        <f t="shared" si="337"/>
        <v>-2091.322603174603</v>
      </c>
      <c r="CF524" s="145" t="str">
        <f t="shared" si="338"/>
        <v>0</v>
      </c>
      <c r="CG524" s="145"/>
      <c r="CH524" s="443">
        <f t="shared" si="339"/>
        <v>5.5459682539684154</v>
      </c>
      <c r="CI524" s="996">
        <f t="shared" si="340"/>
        <v>5.5459682539684154</v>
      </c>
      <c r="CJ524" s="261">
        <f t="shared" si="341"/>
        <v>0</v>
      </c>
      <c r="CK524" s="458">
        <f t="shared" si="342"/>
        <v>108.31805555555911</v>
      </c>
      <c r="CL524" t="str">
        <f t="shared" si="343"/>
        <v>NON-REV</v>
      </c>
      <c r="CM524" t="str">
        <f t="shared" si="344"/>
        <v>4-6 MONTHS</v>
      </c>
      <c r="CN524" s="635"/>
      <c r="CO524" s="631"/>
      <c r="CP524" s="629" t="str">
        <f t="shared" si="321"/>
        <v>FOR ISSUANCE</v>
      </c>
      <c r="CQ524" s="635"/>
      <c r="CR524" s="697"/>
      <c r="CS524" s="633" t="str">
        <f t="shared" ca="1" si="345"/>
        <v>0</v>
      </c>
      <c r="CT524" s="635"/>
      <c r="CU524" s="631"/>
      <c r="CV524" s="638"/>
      <c r="CW524" s="156" t="s">
        <v>2918</v>
      </c>
      <c r="CX524" s="156"/>
      <c r="CY524" s="156"/>
      <c r="CZ524" s="63"/>
      <c r="DA524" s="762">
        <f t="shared" si="313"/>
        <v>7.9812500000043656</v>
      </c>
      <c r="DS524" s="156" t="s">
        <v>397</v>
      </c>
    </row>
    <row r="525" spans="1:123" customFormat="1" ht="15" customHeight="1" x14ac:dyDescent="0.25">
      <c r="A525" s="242">
        <v>45757</v>
      </c>
      <c r="B525" s="222">
        <v>45755</v>
      </c>
      <c r="C525" s="223"/>
      <c r="D525" s="66" t="s">
        <v>320</v>
      </c>
      <c r="E525" s="404" t="s">
        <v>2919</v>
      </c>
      <c r="F525" s="95" t="s">
        <v>2920</v>
      </c>
      <c r="G525" s="95" t="s">
        <v>877</v>
      </c>
      <c r="H525" s="95" t="s">
        <v>238</v>
      </c>
      <c r="I525" s="95" t="s">
        <v>239</v>
      </c>
      <c r="J525" s="163"/>
      <c r="K525" s="101"/>
      <c r="L525" s="101" t="s">
        <v>288</v>
      </c>
      <c r="M525" s="101" t="s">
        <v>272</v>
      </c>
      <c r="N525" s="442" t="s">
        <v>381</v>
      </c>
      <c r="O525" s="165">
        <v>55.882599999999996</v>
      </c>
      <c r="P525" s="933">
        <v>146.94</v>
      </c>
      <c r="Q525" s="157">
        <v>91</v>
      </c>
      <c r="R525" s="109" t="s">
        <v>244</v>
      </c>
      <c r="S525" s="110">
        <v>634279.82999999996</v>
      </c>
      <c r="T525" s="93">
        <v>72144.73</v>
      </c>
      <c r="U525" s="141"/>
      <c r="V525" s="158">
        <f t="shared" si="322"/>
        <v>0</v>
      </c>
      <c r="W525" s="159">
        <v>45748.053472222222</v>
      </c>
      <c r="X525" s="159">
        <v>45755.662499999999</v>
      </c>
      <c r="Y525" s="160">
        <v>45751</v>
      </c>
      <c r="Z525" s="470"/>
      <c r="AA525" s="470">
        <v>45786</v>
      </c>
      <c r="AB525" s="470"/>
      <c r="AC525" s="161">
        <f t="shared" si="323"/>
        <v>37.946527777778101</v>
      </c>
      <c r="AD525" s="161">
        <f t="shared" si="316"/>
        <v>30.337500000001455</v>
      </c>
      <c r="AE525" s="446">
        <f t="shared" si="346"/>
        <v>-45786</v>
      </c>
      <c r="AF525" s="160">
        <f t="shared" si="317"/>
        <v>45768.398542644754</v>
      </c>
      <c r="AG525" s="160">
        <f t="shared" si="314"/>
        <v>45777.623894757431</v>
      </c>
      <c r="AH525" s="159">
        <f t="shared" si="318"/>
        <v>45798.053472222222</v>
      </c>
      <c r="AI525" s="162">
        <f t="shared" si="324"/>
        <v>1.2190965937657219</v>
      </c>
      <c r="AJ525" s="224">
        <f t="shared" si="319"/>
        <v>-763.1</v>
      </c>
      <c r="AK525" s="225">
        <f t="shared" si="325"/>
        <v>26</v>
      </c>
      <c r="AL525" s="170">
        <f t="shared" si="326"/>
        <v>34</v>
      </c>
      <c r="AM525" s="170">
        <f t="shared" si="327"/>
        <v>23.345070422535212</v>
      </c>
      <c r="AN525" s="170">
        <f t="shared" si="328"/>
        <v>29.570422535211268</v>
      </c>
      <c r="AO525" s="226">
        <f t="shared" si="329"/>
        <v>20.345070422535212</v>
      </c>
      <c r="AP525" s="227">
        <v>60</v>
      </c>
      <c r="AQ525" s="228">
        <f t="shared" si="330"/>
        <v>57</v>
      </c>
      <c r="AR525" s="228">
        <f t="shared" si="315"/>
        <v>52</v>
      </c>
      <c r="AS525" s="229">
        <f t="shared" si="331"/>
        <v>45846</v>
      </c>
      <c r="AT525" s="982">
        <f t="shared" ca="1" si="332"/>
        <v>109</v>
      </c>
      <c r="AU525" s="50" t="s">
        <v>61</v>
      </c>
      <c r="AV525" s="51" t="s">
        <v>247</v>
      </c>
      <c r="AW525" s="49" t="s">
        <v>247</v>
      </c>
      <c r="AX525" s="49"/>
      <c r="AY525" s="49"/>
      <c r="AZ525" s="300">
        <v>45773</v>
      </c>
      <c r="BA525" s="52">
        <f>BB525-AZ525</f>
        <v>10</v>
      </c>
      <c r="BB525" s="304">
        <v>45783</v>
      </c>
      <c r="BC525" s="231" t="s">
        <v>13</v>
      </c>
      <c r="BD525" s="232"/>
      <c r="BE525" s="222">
        <f t="shared" si="312"/>
        <v>45801</v>
      </c>
      <c r="BF525" s="233" t="e">
        <f t="shared" si="320"/>
        <v>#VALUE!</v>
      </c>
      <c r="BG525" s="234"/>
      <c r="BH525" s="235"/>
      <c r="BI525" s="234"/>
      <c r="BJ525" s="236"/>
      <c r="BK525" s="222"/>
      <c r="BL525" s="222"/>
      <c r="BM525" s="238"/>
      <c r="BN525" s="222"/>
      <c r="BO525" s="222"/>
      <c r="BP525" s="243"/>
      <c r="BQ525" s="244" t="s">
        <v>247</v>
      </c>
      <c r="BR525" s="238">
        <v>45784</v>
      </c>
      <c r="BS525" s="68"/>
      <c r="BT525" s="69"/>
      <c r="BU525" s="69"/>
      <c r="BV525" s="69"/>
      <c r="BW525" s="75"/>
      <c r="BX525" s="81"/>
      <c r="BY525" s="910"/>
      <c r="BZ525" s="948" t="s">
        <v>2921</v>
      </c>
      <c r="CA525" s="42" t="str">
        <f t="shared" si="333"/>
        <v>0</v>
      </c>
      <c r="CB525" s="62">
        <f t="shared" si="334"/>
        <v>37.946527777778101</v>
      </c>
      <c r="CC525" s="42">
        <f t="shared" si="335"/>
        <v>10</v>
      </c>
      <c r="CD525" s="62">
        <f t="shared" si="336"/>
        <v>27.946527777778101</v>
      </c>
      <c r="CE525" s="62">
        <f t="shared" si="337"/>
        <v>0.89782962543992983</v>
      </c>
      <c r="CF525" s="145">
        <f t="shared" si="338"/>
        <v>83</v>
      </c>
      <c r="CG525" s="145">
        <f xml:space="preserve"> (0.3)*(($CF$1-W525-CF525)/AK525)+(0.7)*(($CF$1-W525-CF525)/AL525)</f>
        <v>1.2190965937657219</v>
      </c>
      <c r="CH525" s="443">
        <f t="shared" si="339"/>
        <v>3.8856124308697941</v>
      </c>
      <c r="CI525" s="996">
        <f t="shared" si="340"/>
        <v>2.6665158371040723</v>
      </c>
      <c r="CJ525" s="261">
        <f t="shared" si="341"/>
        <v>1.3833333333333333</v>
      </c>
      <c r="CK525" s="458" t="str">
        <f t="shared" si="342"/>
        <v/>
      </c>
      <c r="CL525" t="str">
        <f t="shared" si="343"/>
        <v>REV</v>
      </c>
      <c r="CM525" t="str">
        <f t="shared" si="344"/>
        <v/>
      </c>
      <c r="CN525" s="635"/>
      <c r="CO525" s="631"/>
      <c r="CP525" s="629" t="str">
        <f t="shared" si="321"/>
        <v>FOR ISSUANCE</v>
      </c>
      <c r="CQ525" s="635"/>
      <c r="CR525" s="697"/>
      <c r="CS525" s="633" t="str">
        <f t="shared" ca="1" si="345"/>
        <v>0</v>
      </c>
      <c r="CT525" s="635"/>
      <c r="CU525" s="631"/>
      <c r="CV525" s="638"/>
      <c r="CW525" s="156" t="s">
        <v>2922</v>
      </c>
      <c r="CX525" s="156"/>
      <c r="CY525" s="156"/>
      <c r="CZ525" s="63"/>
      <c r="DA525" s="762">
        <f t="shared" si="313"/>
        <v>7.609027777776646</v>
      </c>
      <c r="DS525" s="156" t="s">
        <v>397</v>
      </c>
    </row>
    <row r="526" spans="1:123" customFormat="1" ht="15" customHeight="1" x14ac:dyDescent="0.25">
      <c r="A526" s="242">
        <v>45768</v>
      </c>
      <c r="B526" s="222">
        <v>45755</v>
      </c>
      <c r="C526" s="223"/>
      <c r="D526" s="350" t="s">
        <v>284</v>
      </c>
      <c r="E526" s="404" t="s">
        <v>2923</v>
      </c>
      <c r="F526" s="95" t="s">
        <v>2924</v>
      </c>
      <c r="G526" s="95" t="s">
        <v>2905</v>
      </c>
      <c r="H526" s="95" t="s">
        <v>318</v>
      </c>
      <c r="I526" s="95" t="s">
        <v>239</v>
      </c>
      <c r="J526" s="163"/>
      <c r="K526" s="101"/>
      <c r="L526" s="101" t="s">
        <v>5</v>
      </c>
      <c r="M526" s="101" t="s">
        <v>272</v>
      </c>
      <c r="N526" s="442" t="s">
        <v>403</v>
      </c>
      <c r="O526" s="165">
        <v>90.73</v>
      </c>
      <c r="P526" s="933">
        <v>92.27</v>
      </c>
      <c r="Q526" s="157" t="s">
        <v>2021</v>
      </c>
      <c r="R526" s="468" t="s">
        <v>319</v>
      </c>
      <c r="S526" s="110">
        <v>79917.759999999995</v>
      </c>
      <c r="T526" s="93">
        <v>79289.360000000015</v>
      </c>
      <c r="U526" s="141"/>
      <c r="V526" s="158">
        <f t="shared" si="322"/>
        <v>0</v>
      </c>
      <c r="W526" s="159">
        <v>45748.573611111111</v>
      </c>
      <c r="X526" s="159">
        <v>45757.339583333334</v>
      </c>
      <c r="Y526" s="160">
        <v>45751</v>
      </c>
      <c r="Z526" s="470"/>
      <c r="AA526" s="470">
        <v>45783.349305555559</v>
      </c>
      <c r="AB526" s="470"/>
      <c r="AC526" s="161">
        <f t="shared" si="323"/>
        <v>34.775694444448163</v>
      </c>
      <c r="AD526" s="161">
        <f t="shared" si="316"/>
        <v>26.009722222224809</v>
      </c>
      <c r="AE526" s="446">
        <f t="shared" si="346"/>
        <v>-45783.349305555559</v>
      </c>
      <c r="AF526" s="160">
        <f t="shared" si="317"/>
        <v>45761.184470839617</v>
      </c>
      <c r="AG526" s="160">
        <f t="shared" si="314"/>
        <v>45768.347366767222</v>
      </c>
      <c r="AH526" s="159">
        <f t="shared" si="318"/>
        <v>45798.573611111111</v>
      </c>
      <c r="AI526" s="162">
        <f t="shared" si="324"/>
        <v>1.6707453200484879</v>
      </c>
      <c r="AJ526" s="224">
        <f t="shared" si="319"/>
        <v>-763.05582175925929</v>
      </c>
      <c r="AK526" s="225">
        <f t="shared" si="325"/>
        <v>23</v>
      </c>
      <c r="AL526" s="170">
        <f t="shared" si="326"/>
        <v>20</v>
      </c>
      <c r="AM526" s="170">
        <f t="shared" si="327"/>
        <v>15.610859728506789</v>
      </c>
      <c r="AN526" s="170">
        <f t="shared" si="328"/>
        <v>19.773755656108598</v>
      </c>
      <c r="AO526" s="226">
        <f t="shared" si="329"/>
        <v>12.610859728506789</v>
      </c>
      <c r="AP526" s="227">
        <v>60</v>
      </c>
      <c r="AQ526" s="228">
        <f t="shared" si="330"/>
        <v>57</v>
      </c>
      <c r="AR526" s="228">
        <f t="shared" si="315"/>
        <v>52</v>
      </c>
      <c r="AS526" s="229">
        <f t="shared" si="331"/>
        <v>45843.349305555559</v>
      </c>
      <c r="AT526" s="982">
        <f t="shared" ca="1" si="332"/>
        <v>111.65069444444089</v>
      </c>
      <c r="AU526" s="50"/>
      <c r="AV526" s="51"/>
      <c r="AW526" s="49"/>
      <c r="AX526" s="49"/>
      <c r="AY526" s="49"/>
      <c r="AZ526" s="300"/>
      <c r="BA526" s="52"/>
      <c r="BB526" s="304"/>
      <c r="BC526" s="231" t="s">
        <v>13</v>
      </c>
      <c r="BD526" s="232" t="s">
        <v>2925</v>
      </c>
      <c r="BE526" s="222">
        <f t="shared" si="312"/>
        <v>45798.349305555559</v>
      </c>
      <c r="BF526" s="233" t="e">
        <f t="shared" si="320"/>
        <v>#VALUE!</v>
      </c>
      <c r="BG526" s="234"/>
      <c r="BH526" s="235"/>
      <c r="BI526" s="234"/>
      <c r="BJ526" s="236"/>
      <c r="BK526" s="222"/>
      <c r="BL526" s="222"/>
      <c r="BM526" s="238"/>
      <c r="BN526" s="222"/>
      <c r="BO526" s="222"/>
      <c r="BP526" s="243"/>
      <c r="BQ526" s="244" t="s">
        <v>247</v>
      </c>
      <c r="BR526" s="238">
        <v>45779</v>
      </c>
      <c r="BS526" s="68"/>
      <c r="BT526" s="69"/>
      <c r="BU526" s="69"/>
      <c r="BV526" s="69"/>
      <c r="BW526" s="75"/>
      <c r="BX526" s="81"/>
      <c r="BY526" s="66" t="s">
        <v>308</v>
      </c>
      <c r="BZ526" s="944"/>
      <c r="CA526" s="42" t="str">
        <f t="shared" si="333"/>
        <v>0</v>
      </c>
      <c r="CB526" s="62">
        <f t="shared" si="334"/>
        <v>34.775694444448163</v>
      </c>
      <c r="CC526" s="42">
        <f t="shared" si="335"/>
        <v>0</v>
      </c>
      <c r="CD526" s="62">
        <f t="shared" si="336"/>
        <v>34.775694444448163</v>
      </c>
      <c r="CE526" s="62">
        <f t="shared" si="337"/>
        <v>1.6707453200484879</v>
      </c>
      <c r="CF526" s="145">
        <f t="shared" si="338"/>
        <v>85.650694444440887</v>
      </c>
      <c r="CG526" s="145"/>
      <c r="CH526" s="443">
        <f t="shared" si="339"/>
        <v>5.7857025966183651</v>
      </c>
      <c r="CI526" s="996">
        <f t="shared" si="340"/>
        <v>5.7857025966183651</v>
      </c>
      <c r="CJ526" s="261">
        <f t="shared" si="341"/>
        <v>1.4275115740740147</v>
      </c>
      <c r="CK526" s="458" t="str">
        <f t="shared" si="342"/>
        <v/>
      </c>
      <c r="CL526" t="str">
        <f t="shared" si="343"/>
        <v>NON-REV</v>
      </c>
      <c r="CM526" t="str">
        <f t="shared" si="344"/>
        <v/>
      </c>
      <c r="CN526" s="635"/>
      <c r="CO526" s="631"/>
      <c r="CP526" s="629" t="str">
        <f t="shared" si="321"/>
        <v>FOR ISSUANCE</v>
      </c>
      <c r="CQ526" s="635"/>
      <c r="CR526" s="697"/>
      <c r="CS526" s="633" t="str">
        <f t="shared" ca="1" si="345"/>
        <v>0</v>
      </c>
      <c r="CT526" s="635"/>
      <c r="CU526" s="631"/>
      <c r="CV526" s="638"/>
      <c r="CW526" s="156" t="s">
        <v>2926</v>
      </c>
      <c r="CX526" s="156"/>
      <c r="CY526" s="156"/>
      <c r="DA526" s="762">
        <f t="shared" si="313"/>
        <v>8.765972222223354</v>
      </c>
      <c r="DS526" s="442" t="s">
        <v>381</v>
      </c>
    </row>
    <row r="527" spans="1:123" customFormat="1" ht="15" customHeight="1" x14ac:dyDescent="0.25">
      <c r="A527" s="242">
        <v>45768</v>
      </c>
      <c r="B527" s="222">
        <v>45755</v>
      </c>
      <c r="C527" s="223"/>
      <c r="D527" s="900" t="s">
        <v>320</v>
      </c>
      <c r="E527" s="404" t="s">
        <v>2927</v>
      </c>
      <c r="F527" s="95" t="s">
        <v>2928</v>
      </c>
      <c r="G527" s="95" t="s">
        <v>2929</v>
      </c>
      <c r="H527" s="95" t="s">
        <v>238</v>
      </c>
      <c r="I527" s="95" t="s">
        <v>239</v>
      </c>
      <c r="J527" s="163"/>
      <c r="K527" s="101"/>
      <c r="L527" s="101" t="s">
        <v>288</v>
      </c>
      <c r="M527" s="101" t="s">
        <v>272</v>
      </c>
      <c r="N527" s="442" t="s">
        <v>381</v>
      </c>
      <c r="O527" s="165">
        <v>39.728499999999997</v>
      </c>
      <c r="P527" s="933">
        <v>114.07</v>
      </c>
      <c r="Q527" s="157">
        <v>80</v>
      </c>
      <c r="R527" s="109" t="s">
        <v>244</v>
      </c>
      <c r="S527" s="110">
        <v>391425.78</v>
      </c>
      <c r="T527" s="93">
        <v>44523.530000000006</v>
      </c>
      <c r="U527" s="141"/>
      <c r="V527" s="158">
        <f t="shared" si="322"/>
        <v>0</v>
      </c>
      <c r="W527" s="159">
        <v>45749.438888888886</v>
      </c>
      <c r="X527" s="159">
        <v>45757.345138888886</v>
      </c>
      <c r="Y527" s="160">
        <v>45751</v>
      </c>
      <c r="Z527" s="470"/>
      <c r="AA527" s="470">
        <v>45794.419444444444</v>
      </c>
      <c r="AB527" s="470"/>
      <c r="AC527" s="161">
        <f t="shared" si="323"/>
        <v>44.980555555557657</v>
      </c>
      <c r="AD527" s="161">
        <f t="shared" si="316"/>
        <v>37.074305555557657</v>
      </c>
      <c r="AE527" s="446">
        <f t="shared" si="346"/>
        <v>-45794.419444444444</v>
      </c>
      <c r="AF527" s="160">
        <f t="shared" si="317"/>
        <v>45769.783959311419</v>
      </c>
      <c r="AG527" s="160">
        <f t="shared" si="314"/>
        <v>45779.009311424095</v>
      </c>
      <c r="AH527" s="159">
        <f t="shared" si="318"/>
        <v>45799.438888888886</v>
      </c>
      <c r="AI527" s="162">
        <f t="shared" si="324"/>
        <v>1.4450766716943861</v>
      </c>
      <c r="AJ527" s="224">
        <f t="shared" si="319"/>
        <v>-763.24032407407401</v>
      </c>
      <c r="AK527" s="225">
        <f t="shared" si="325"/>
        <v>26</v>
      </c>
      <c r="AL527" s="170">
        <f t="shared" si="326"/>
        <v>34</v>
      </c>
      <c r="AM527" s="170">
        <f t="shared" si="327"/>
        <v>23.345070422535212</v>
      </c>
      <c r="AN527" s="170">
        <f t="shared" si="328"/>
        <v>29.570422535211268</v>
      </c>
      <c r="AO527" s="226">
        <f t="shared" si="329"/>
        <v>20.345070422535212</v>
      </c>
      <c r="AP527" s="227">
        <v>60</v>
      </c>
      <c r="AQ527" s="228">
        <f t="shared" si="330"/>
        <v>57</v>
      </c>
      <c r="AR527" s="228">
        <f t="shared" si="315"/>
        <v>52</v>
      </c>
      <c r="AS527" s="229">
        <f t="shared" si="331"/>
        <v>45854.419444444444</v>
      </c>
      <c r="AT527" s="982">
        <f t="shared" ca="1" si="332"/>
        <v>100.5805555555562</v>
      </c>
      <c r="AU527" s="50" t="s">
        <v>61</v>
      </c>
      <c r="AV527" s="51" t="s">
        <v>247</v>
      </c>
      <c r="AW527" s="49" t="s">
        <v>247</v>
      </c>
      <c r="AX527" s="49"/>
      <c r="AY527" s="49"/>
      <c r="AZ527" s="300">
        <v>45785</v>
      </c>
      <c r="BA527" s="52">
        <f>BB527-AZ527</f>
        <v>7</v>
      </c>
      <c r="BB527" s="304">
        <v>45792</v>
      </c>
      <c r="BC527" s="231" t="s">
        <v>13</v>
      </c>
      <c r="BD527" s="232"/>
      <c r="BE527" s="222">
        <f t="shared" si="312"/>
        <v>45809.419444444444</v>
      </c>
      <c r="BF527" s="233" t="e">
        <f t="shared" si="320"/>
        <v>#VALUE!</v>
      </c>
      <c r="BG527" s="234"/>
      <c r="BH527" s="235"/>
      <c r="BI527" s="234"/>
      <c r="BJ527" s="236"/>
      <c r="BK527" s="222"/>
      <c r="BL527" s="222"/>
      <c r="BM527" s="238"/>
      <c r="BN527" s="222"/>
      <c r="BO527" s="222"/>
      <c r="BP527" s="243"/>
      <c r="BQ527" s="244" t="s">
        <v>247</v>
      </c>
      <c r="BR527" s="238">
        <v>45791</v>
      </c>
      <c r="BS527" s="68"/>
      <c r="BT527" s="69"/>
      <c r="BU527" s="69"/>
      <c r="BV527" s="69"/>
      <c r="BW527" s="75"/>
      <c r="BX527" s="81"/>
      <c r="BY527" s="66">
        <v>45768</v>
      </c>
      <c r="BZ527" s="944" t="s">
        <v>2930</v>
      </c>
      <c r="CA527" s="42" t="str">
        <f t="shared" si="333"/>
        <v>0</v>
      </c>
      <c r="CB527" s="62">
        <f t="shared" si="334"/>
        <v>44.980555555557657</v>
      </c>
      <c r="CC527" s="42">
        <f t="shared" si="335"/>
        <v>7</v>
      </c>
      <c r="CD527" s="62">
        <f t="shared" si="336"/>
        <v>37.980555555557657</v>
      </c>
      <c r="CE527" s="62">
        <f t="shared" si="337"/>
        <v>1.2201897938663318</v>
      </c>
      <c r="CF527" s="145">
        <f t="shared" si="338"/>
        <v>74.580555555556202</v>
      </c>
      <c r="CG527" s="145">
        <f xml:space="preserve"> (0.3)*(($CF$1-W527-CF527)/AK527)+(0.7)*(($CF$1-W527-CF527)/AL527)</f>
        <v>1.4450766716943861</v>
      </c>
      <c r="CH527" s="443">
        <f t="shared" si="339"/>
        <v>3.84110356963307</v>
      </c>
      <c r="CI527" s="996">
        <f t="shared" si="340"/>
        <v>2.3960268979386838</v>
      </c>
      <c r="CJ527" s="261">
        <f t="shared" si="341"/>
        <v>1.2430092592592701</v>
      </c>
      <c r="CK527" s="458" t="str">
        <f t="shared" si="342"/>
        <v/>
      </c>
      <c r="CL527" t="str">
        <f t="shared" si="343"/>
        <v>REV</v>
      </c>
      <c r="CM527" t="str">
        <f t="shared" si="344"/>
        <v/>
      </c>
      <c r="CN527" s="635"/>
      <c r="CO527" s="631"/>
      <c r="CP527" s="629" t="str">
        <f t="shared" si="321"/>
        <v>FOR ISSUANCE</v>
      </c>
      <c r="CQ527" s="635"/>
      <c r="CR527" s="697"/>
      <c r="CS527" s="633" t="str">
        <f t="shared" ca="1" si="345"/>
        <v>0</v>
      </c>
      <c r="CT527" s="635"/>
      <c r="CU527" s="631"/>
      <c r="CV527" s="638"/>
      <c r="CW527" s="156" t="s">
        <v>2931</v>
      </c>
      <c r="CX527" s="156"/>
      <c r="CY527" s="156"/>
      <c r="CZ527" s="63"/>
      <c r="DA527" s="762">
        <f t="shared" si="313"/>
        <v>7.90625</v>
      </c>
      <c r="DS527" s="442" t="s">
        <v>381</v>
      </c>
    </row>
    <row r="528" spans="1:123" ht="15" customHeight="1" x14ac:dyDescent="0.2">
      <c r="A528" s="242">
        <v>45757</v>
      </c>
      <c r="B528" s="222">
        <v>45755</v>
      </c>
      <c r="C528" s="223" t="s">
        <v>247</v>
      </c>
      <c r="D528" s="345" t="s">
        <v>284</v>
      </c>
      <c r="E528" s="404" t="s">
        <v>2932</v>
      </c>
      <c r="F528" s="95" t="s">
        <v>2933</v>
      </c>
      <c r="G528" s="95" t="s">
        <v>2721</v>
      </c>
      <c r="H528" s="95" t="s">
        <v>238</v>
      </c>
      <c r="I528" s="95" t="s">
        <v>239</v>
      </c>
      <c r="J528" s="163"/>
      <c r="K528" s="101"/>
      <c r="L528" s="101" t="s">
        <v>255</v>
      </c>
      <c r="M528" s="101" t="s">
        <v>272</v>
      </c>
      <c r="N528" s="442" t="s">
        <v>381</v>
      </c>
      <c r="O528" s="165">
        <v>14.322799999999999</v>
      </c>
      <c r="P528" s="933">
        <v>32.799999999999997</v>
      </c>
      <c r="Q528" s="157">
        <v>42</v>
      </c>
      <c r="R528" s="468" t="s">
        <v>244</v>
      </c>
      <c r="S528" s="110">
        <v>364286.5</v>
      </c>
      <c r="T528" s="93">
        <v>28180.259999999995</v>
      </c>
      <c r="U528" s="141"/>
      <c r="V528" s="158">
        <f t="shared" si="322"/>
        <v>0</v>
      </c>
      <c r="W528" s="159">
        <v>45749.540972222225</v>
      </c>
      <c r="X528" s="159">
        <v>45755.659722222219</v>
      </c>
      <c r="Y528" s="160">
        <v>45751</v>
      </c>
      <c r="Z528" s="470"/>
      <c r="AA528" s="470">
        <v>45789.377083333333</v>
      </c>
      <c r="AB528" s="470"/>
      <c r="AC528" s="161">
        <f t="shared" si="323"/>
        <v>39.836111111108039</v>
      </c>
      <c r="AD528" s="161">
        <f t="shared" si="316"/>
        <v>33.71736111111386</v>
      </c>
      <c r="AE528" s="446">
        <f t="shared" si="346"/>
        <v>-45789.377083333333</v>
      </c>
      <c r="AF528" s="160">
        <f t="shared" si="317"/>
        <v>45768.315165770611</v>
      </c>
      <c r="AG528" s="160">
        <f t="shared" si="314"/>
        <v>45777.121617383513</v>
      </c>
      <c r="AH528" s="159">
        <f t="shared" si="318"/>
        <v>45799.540972222225</v>
      </c>
      <c r="AI528" s="162">
        <f t="shared" si="324"/>
        <v>1.3721327160492769</v>
      </c>
      <c r="AJ528" s="224">
        <f t="shared" si="319"/>
        <v>-763.15628472222227</v>
      </c>
      <c r="AK528" s="225">
        <f t="shared" si="325"/>
        <v>20</v>
      </c>
      <c r="AL528" s="170">
        <f t="shared" si="326"/>
        <v>36</v>
      </c>
      <c r="AM528" s="170">
        <f t="shared" si="327"/>
        <v>21.774193548387096</v>
      </c>
      <c r="AN528" s="170">
        <f t="shared" si="328"/>
        <v>27.58064516129032</v>
      </c>
      <c r="AO528" s="226">
        <f t="shared" si="329"/>
        <v>18.774193548387096</v>
      </c>
      <c r="AP528" s="227">
        <v>60</v>
      </c>
      <c r="AQ528" s="228">
        <f t="shared" si="330"/>
        <v>57</v>
      </c>
      <c r="AR528" s="228">
        <f t="shared" si="315"/>
        <v>52</v>
      </c>
      <c r="AS528" s="229">
        <f t="shared" si="331"/>
        <v>45849.377083333333</v>
      </c>
      <c r="AT528" s="982">
        <f t="shared" ca="1" si="332"/>
        <v>105.62291666666715</v>
      </c>
      <c r="AU528" s="1077"/>
      <c r="AV528" s="1092"/>
      <c r="AW528" s="1079"/>
      <c r="AX528" s="1079"/>
      <c r="AY528" s="1079"/>
      <c r="AZ528" s="1080"/>
      <c r="BA528" s="1101"/>
      <c r="BB528" s="1091"/>
      <c r="BC528" s="231" t="s">
        <v>13</v>
      </c>
      <c r="BD528" s="232"/>
      <c r="BE528" s="222">
        <f t="shared" si="312"/>
        <v>45804.377083333333</v>
      </c>
      <c r="BF528" s="233" t="e">
        <f t="shared" si="320"/>
        <v>#VALUE!</v>
      </c>
      <c r="BG528" s="234"/>
      <c r="BH528" s="235"/>
      <c r="BI528" s="234"/>
      <c r="BJ528" s="236"/>
      <c r="BK528" s="222"/>
      <c r="BL528" s="222"/>
      <c r="BM528" s="238"/>
      <c r="BN528" s="222"/>
      <c r="BO528" s="222"/>
      <c r="BP528" s="243"/>
      <c r="BQ528" s="244" t="s">
        <v>247</v>
      </c>
      <c r="BR528" s="238">
        <v>45786</v>
      </c>
      <c r="BS528" s="68"/>
      <c r="BT528" s="69"/>
      <c r="BU528" s="69"/>
      <c r="BV528" s="69"/>
      <c r="BW528" s="75"/>
      <c r="BX528" s="81"/>
      <c r="BY528" s="66" t="e">
        <f>VLOOKUP([4]C1!$BY:$BY,[4]C1!$BY$531:$BY$625,1,FALSE)</f>
        <v>#N/A</v>
      </c>
      <c r="BZ528" s="944" t="e">
        <f>VLOOKUP([4]C1!$BZ:$BZ,[4]C1!$BZ$531:$BZ$625,1,FALSE)</f>
        <v>#N/A</v>
      </c>
      <c r="CA528" s="42" t="str">
        <f t="shared" si="333"/>
        <v>0</v>
      </c>
      <c r="CB528" s="62">
        <f t="shared" si="334"/>
        <v>39.836111111108039</v>
      </c>
      <c r="CC528" s="42">
        <f t="shared" si="335"/>
        <v>0</v>
      </c>
      <c r="CD528" s="62">
        <f t="shared" si="336"/>
        <v>39.836111111108039</v>
      </c>
      <c r="CE528" s="62">
        <f t="shared" si="337"/>
        <v>1.3721327160492769</v>
      </c>
      <c r="CF528" s="1059">
        <f t="shared" si="338"/>
        <v>79.622916666667152</v>
      </c>
      <c r="CH528" s="1082">
        <f t="shared" si="339"/>
        <v>4.1146998456789232</v>
      </c>
      <c r="CI528" s="1083">
        <f t="shared" si="340"/>
        <v>4.1146998456789232</v>
      </c>
      <c r="CJ528" s="1084">
        <f t="shared" si="341"/>
        <v>1.3270486111111193</v>
      </c>
      <c r="CK528" s="1085" t="str">
        <f t="shared" si="342"/>
        <v/>
      </c>
      <c r="CL528" s="1057" t="str">
        <f t="shared" si="343"/>
        <v>REV</v>
      </c>
      <c r="CM528" s="1057" t="str">
        <f t="shared" si="344"/>
        <v/>
      </c>
      <c r="CN528" s="1086"/>
      <c r="CO528" s="1087"/>
      <c r="CP528" s="629" t="str">
        <f t="shared" si="321"/>
        <v>FOR ISSUANCE</v>
      </c>
      <c r="CQ528" s="1086"/>
      <c r="CR528" s="1088"/>
      <c r="CS528" s="1089" t="str">
        <f t="shared" ca="1" si="345"/>
        <v>0</v>
      </c>
      <c r="CT528" s="1086"/>
      <c r="CU528" s="1087"/>
      <c r="CV528" s="1090"/>
      <c r="CW528" s="156" t="s">
        <v>2934</v>
      </c>
      <c r="CX528" s="156"/>
      <c r="CY528" s="156"/>
      <c r="CZ528" s="1102"/>
      <c r="DA528" s="1100">
        <f t="shared" si="313"/>
        <v>6.1187499999941792</v>
      </c>
      <c r="DS528" s="442" t="s">
        <v>381</v>
      </c>
    </row>
    <row r="529" spans="1:123" customFormat="1" ht="15" customHeight="1" x14ac:dyDescent="0.25">
      <c r="A529" s="242">
        <v>45758</v>
      </c>
      <c r="B529" s="222">
        <v>45755</v>
      </c>
      <c r="C529" s="223"/>
      <c r="D529" s="350" t="s">
        <v>284</v>
      </c>
      <c r="E529" s="404" t="s">
        <v>2935</v>
      </c>
      <c r="F529" s="95" t="s">
        <v>2936</v>
      </c>
      <c r="G529" s="95" t="s">
        <v>2937</v>
      </c>
      <c r="H529" s="95" t="s">
        <v>238</v>
      </c>
      <c r="I529" s="95" t="s">
        <v>239</v>
      </c>
      <c r="J529" s="163"/>
      <c r="K529" s="101"/>
      <c r="L529" s="101" t="s">
        <v>288</v>
      </c>
      <c r="M529" s="101" t="s">
        <v>272</v>
      </c>
      <c r="N529" s="442" t="s">
        <v>381</v>
      </c>
      <c r="O529" s="165">
        <v>82.04000000000002</v>
      </c>
      <c r="P529" s="933">
        <v>133.58000000000001</v>
      </c>
      <c r="Q529" s="157">
        <v>517</v>
      </c>
      <c r="R529" s="109" t="s">
        <v>244</v>
      </c>
      <c r="S529" s="110">
        <v>1246883.75</v>
      </c>
      <c r="T529" s="93">
        <v>114887.14</v>
      </c>
      <c r="U529" s="141"/>
      <c r="V529" s="158">
        <f t="shared" si="322"/>
        <v>0</v>
      </c>
      <c r="W529" s="159">
        <v>45749.542361111111</v>
      </c>
      <c r="X529" s="159">
        <v>45757.342361111114</v>
      </c>
      <c r="Y529" s="160">
        <v>45751</v>
      </c>
      <c r="Z529" s="470"/>
      <c r="AA529" s="470">
        <v>45794.423611111109</v>
      </c>
      <c r="AB529" s="470"/>
      <c r="AC529" s="161">
        <f t="shared" si="323"/>
        <v>44.881249999998545</v>
      </c>
      <c r="AD529" s="161">
        <f t="shared" si="316"/>
        <v>37.081249999995634</v>
      </c>
      <c r="AE529" s="446">
        <f t="shared" si="346"/>
        <v>-45794.423611111109</v>
      </c>
      <c r="AF529" s="160">
        <f t="shared" si="317"/>
        <v>45764.410887007529</v>
      </c>
      <c r="AG529" s="160">
        <f t="shared" si="314"/>
        <v>45772.175827246567</v>
      </c>
      <c r="AH529" s="159">
        <f t="shared" si="318"/>
        <v>45799.542361111111</v>
      </c>
      <c r="AI529" s="162">
        <f t="shared" si="324"/>
        <v>1.8838116638795377</v>
      </c>
      <c r="AJ529" s="224">
        <f t="shared" si="319"/>
        <v>-763.24039351851854</v>
      </c>
      <c r="AK529" s="225">
        <f t="shared" si="325"/>
        <v>26</v>
      </c>
      <c r="AL529" s="170">
        <f t="shared" si="326"/>
        <v>23</v>
      </c>
      <c r="AM529" s="170">
        <f t="shared" si="327"/>
        <v>17.868525896414344</v>
      </c>
      <c r="AN529" s="170">
        <f t="shared" si="328"/>
        <v>22.633466135458168</v>
      </c>
      <c r="AO529" s="226">
        <f t="shared" si="329"/>
        <v>14.868525896414344</v>
      </c>
      <c r="AP529" s="227">
        <v>60</v>
      </c>
      <c r="AQ529" s="228">
        <f t="shared" si="330"/>
        <v>57</v>
      </c>
      <c r="AR529" s="228">
        <f t="shared" si="315"/>
        <v>52</v>
      </c>
      <c r="AS529" s="229">
        <f t="shared" si="331"/>
        <v>45854.423611111109</v>
      </c>
      <c r="AT529" s="982">
        <f t="shared" ca="1" si="332"/>
        <v>100.57638888889051</v>
      </c>
      <c r="AU529" s="50" t="s">
        <v>61</v>
      </c>
      <c r="AV529" s="51" t="s">
        <v>247</v>
      </c>
      <c r="AW529" s="49" t="s">
        <v>247</v>
      </c>
      <c r="AX529" s="49"/>
      <c r="AY529" s="49"/>
      <c r="AZ529" s="300">
        <v>45785</v>
      </c>
      <c r="BA529" s="52">
        <f>BB529-AZ529</f>
        <v>8</v>
      </c>
      <c r="BB529" s="304">
        <v>45793</v>
      </c>
      <c r="BC529" s="231" t="s">
        <v>12</v>
      </c>
      <c r="BD529" s="232"/>
      <c r="BE529" s="222">
        <f t="shared" si="312"/>
        <v>45809.423611111109</v>
      </c>
      <c r="BF529" s="233">
        <f t="shared" si="320"/>
        <v>28.576388888890506</v>
      </c>
      <c r="BG529" s="234">
        <v>45794</v>
      </c>
      <c r="BH529" s="235">
        <v>45838</v>
      </c>
      <c r="BI529" s="234"/>
      <c r="BJ529" s="236"/>
      <c r="BK529" s="222"/>
      <c r="BL529" s="222"/>
      <c r="BM529" s="238"/>
      <c r="BN529" s="222"/>
      <c r="BO529" s="222"/>
      <c r="BP529" s="243"/>
      <c r="BQ529" s="244" t="s">
        <v>247</v>
      </c>
      <c r="BR529" s="238">
        <v>45791</v>
      </c>
      <c r="BS529" s="68"/>
      <c r="BT529" s="69"/>
      <c r="BU529" s="69"/>
      <c r="BV529" s="69"/>
      <c r="BW529" s="75"/>
      <c r="BX529" s="81"/>
      <c r="BY529" s="911">
        <v>45758</v>
      </c>
      <c r="BZ529" s="949" t="s">
        <v>2938</v>
      </c>
      <c r="CA529" s="42" t="str">
        <f t="shared" si="333"/>
        <v>0</v>
      </c>
      <c r="CB529" s="62">
        <f t="shared" si="334"/>
        <v>44.881249999998545</v>
      </c>
      <c r="CC529" s="42">
        <f t="shared" si="335"/>
        <v>8</v>
      </c>
      <c r="CD529" s="62">
        <f t="shared" si="336"/>
        <v>36.881249999998545</v>
      </c>
      <c r="CE529" s="62">
        <f t="shared" si="337"/>
        <v>1.5480257107022799</v>
      </c>
      <c r="CF529" s="145">
        <f t="shared" si="338"/>
        <v>74.576388888890506</v>
      </c>
      <c r="CG529" s="145">
        <f xml:space="preserve"> (0.3)*(($CF$1-W529-CF529)/AK529)+(0.7)*(($CF$1-W529-CF529)/AL529)</f>
        <v>1.8838116638795377</v>
      </c>
      <c r="CH529" s="443">
        <f t="shared" si="339"/>
        <v>5.0140246423262793</v>
      </c>
      <c r="CI529" s="996">
        <f t="shared" si="340"/>
        <v>3.1302129784467416</v>
      </c>
      <c r="CJ529" s="261">
        <f t="shared" si="341"/>
        <v>1.2429398148148418</v>
      </c>
      <c r="CK529" s="458" t="str">
        <f t="shared" si="342"/>
        <v/>
      </c>
      <c r="CL529" t="str">
        <f t="shared" si="343"/>
        <v>REV</v>
      </c>
      <c r="CM529" t="str">
        <f t="shared" si="344"/>
        <v/>
      </c>
      <c r="CN529" s="635"/>
      <c r="CO529" s="631"/>
      <c r="CP529" s="629" t="str">
        <f t="shared" si="321"/>
        <v>FOR ISSUANCE</v>
      </c>
      <c r="CQ529" s="635"/>
      <c r="CR529" s="697"/>
      <c r="CS529" s="633" t="str">
        <f t="shared" ca="1" si="345"/>
        <v>0</v>
      </c>
      <c r="CT529" s="635"/>
      <c r="CU529" s="631"/>
      <c r="CV529" s="638"/>
      <c r="CW529" s="156" t="s">
        <v>2939</v>
      </c>
      <c r="CX529" s="156"/>
      <c r="CY529" s="156"/>
      <c r="CZ529" s="63"/>
      <c r="DA529" s="762">
        <f t="shared" si="313"/>
        <v>7.8000000000029104</v>
      </c>
      <c r="DS529" s="442" t="s">
        <v>381</v>
      </c>
    </row>
    <row r="530" spans="1:123" customFormat="1" ht="15" customHeight="1" x14ac:dyDescent="0.25">
      <c r="A530" s="242">
        <v>45758</v>
      </c>
      <c r="B530" s="222">
        <v>45755</v>
      </c>
      <c r="C530" s="223"/>
      <c r="D530" s="345" t="s">
        <v>284</v>
      </c>
      <c r="E530" s="404" t="s">
        <v>2940</v>
      </c>
      <c r="F530" s="95" t="s">
        <v>2936</v>
      </c>
      <c r="G530" s="95" t="s">
        <v>2937</v>
      </c>
      <c r="H530" s="95" t="s">
        <v>238</v>
      </c>
      <c r="I530" s="95" t="s">
        <v>239</v>
      </c>
      <c r="J530" s="163"/>
      <c r="K530" s="101"/>
      <c r="L530" s="101" t="s">
        <v>288</v>
      </c>
      <c r="M530" s="101" t="s">
        <v>272</v>
      </c>
      <c r="N530" s="442" t="s">
        <v>381</v>
      </c>
      <c r="O530" s="165">
        <v>140.9845</v>
      </c>
      <c r="P530" s="933">
        <v>267.49</v>
      </c>
      <c r="Q530" s="157">
        <v>517</v>
      </c>
      <c r="R530" s="109" t="s">
        <v>244</v>
      </c>
      <c r="S530" s="110">
        <v>603710.93999999994</v>
      </c>
      <c r="T530" s="93">
        <v>195261.37000000005</v>
      </c>
      <c r="U530" s="141"/>
      <c r="V530" s="158">
        <f t="shared" si="322"/>
        <v>0</v>
      </c>
      <c r="W530" s="159">
        <v>45749.55</v>
      </c>
      <c r="X530" s="159">
        <v>45757.34097222222</v>
      </c>
      <c r="Y530" s="160">
        <v>45751</v>
      </c>
      <c r="Z530" s="470"/>
      <c r="AA530" s="470">
        <v>45794.422222222223</v>
      </c>
      <c r="AB530" s="470"/>
      <c r="AC530" s="161">
        <f t="shared" si="323"/>
        <v>44.872222222220444</v>
      </c>
      <c r="AD530" s="161">
        <f t="shared" si="316"/>
        <v>37.08125000000291</v>
      </c>
      <c r="AE530" s="446">
        <f t="shared" si="346"/>
        <v>-45794.422222222223</v>
      </c>
      <c r="AF530" s="160">
        <f t="shared" si="317"/>
        <v>45764.77641509434</v>
      </c>
      <c r="AG530" s="160">
        <f t="shared" si="314"/>
        <v>45772.636792452831</v>
      </c>
      <c r="AH530" s="159">
        <f t="shared" si="318"/>
        <v>45799.55</v>
      </c>
      <c r="AI530" s="162">
        <f t="shared" si="324"/>
        <v>1.8464501380261518</v>
      </c>
      <c r="AJ530" s="224">
        <f t="shared" si="319"/>
        <v>-763.24037037037044</v>
      </c>
      <c r="AK530" s="225">
        <f t="shared" si="325"/>
        <v>28</v>
      </c>
      <c r="AL530" s="170">
        <f t="shared" si="326"/>
        <v>23</v>
      </c>
      <c r="AM530" s="170">
        <f t="shared" si="327"/>
        <v>18.226415094339625</v>
      </c>
      <c r="AN530" s="170">
        <f t="shared" si="328"/>
        <v>23.086792452830192</v>
      </c>
      <c r="AO530" s="226">
        <f t="shared" si="329"/>
        <v>15.226415094339625</v>
      </c>
      <c r="AP530" s="227">
        <v>60</v>
      </c>
      <c r="AQ530" s="228">
        <f t="shared" si="330"/>
        <v>57</v>
      </c>
      <c r="AR530" s="228">
        <f t="shared" si="315"/>
        <v>52</v>
      </c>
      <c r="AS530" s="229">
        <f t="shared" si="331"/>
        <v>45854.422222222223</v>
      </c>
      <c r="AT530" s="982">
        <f t="shared" ca="1" si="332"/>
        <v>100.57777777777665</v>
      </c>
      <c r="AU530" s="50" t="s">
        <v>61</v>
      </c>
      <c r="AV530" s="51" t="s">
        <v>247</v>
      </c>
      <c r="AW530" s="49" t="s">
        <v>247</v>
      </c>
      <c r="AX530" s="49"/>
      <c r="AY530" s="49"/>
      <c r="AZ530" s="300">
        <v>45785</v>
      </c>
      <c r="BA530" s="52">
        <f>BB530-AZ530</f>
        <v>8</v>
      </c>
      <c r="BB530" s="304">
        <v>45793</v>
      </c>
      <c r="BC530" s="231" t="s">
        <v>13</v>
      </c>
      <c r="BD530" s="232" t="s">
        <v>2941</v>
      </c>
      <c r="BE530" s="222">
        <f t="shared" si="312"/>
        <v>45809.422222222223</v>
      </c>
      <c r="BF530" s="233" t="e">
        <f t="shared" si="320"/>
        <v>#VALUE!</v>
      </c>
      <c r="BG530" s="234"/>
      <c r="BH530" s="235"/>
      <c r="BI530" s="234"/>
      <c r="BJ530" s="236"/>
      <c r="BK530" s="222"/>
      <c r="BL530" s="222"/>
      <c r="BM530" s="238"/>
      <c r="BN530" s="222"/>
      <c r="BO530" s="222"/>
      <c r="BP530" s="243"/>
      <c r="BQ530" s="244" t="s">
        <v>247</v>
      </c>
      <c r="BR530" s="238">
        <v>45791</v>
      </c>
      <c r="BS530" s="68"/>
      <c r="BT530" s="69"/>
      <c r="BU530" s="69"/>
      <c r="BV530" s="69"/>
      <c r="BW530" s="75"/>
      <c r="BX530" s="81"/>
      <c r="BY530" s="66">
        <v>45758</v>
      </c>
      <c r="BZ530" s="947" t="s">
        <v>2942</v>
      </c>
      <c r="CA530" s="42" t="str">
        <f t="shared" si="333"/>
        <v>0</v>
      </c>
      <c r="CB530" s="62">
        <f t="shared" si="334"/>
        <v>44.872222222220444</v>
      </c>
      <c r="CC530" s="42">
        <f t="shared" si="335"/>
        <v>8</v>
      </c>
      <c r="CD530" s="62">
        <f t="shared" si="336"/>
        <v>36.872222222220444</v>
      </c>
      <c r="CE530" s="62">
        <f t="shared" si="337"/>
        <v>1.5172575914423008</v>
      </c>
      <c r="CF530" s="145">
        <f t="shared" si="338"/>
        <v>74.577777777776646</v>
      </c>
      <c r="CG530" s="145">
        <f xml:space="preserve"> (0.3)*(($CF$1-W530-CF530)/AK530)+(0.7)*(($CF$1-W530-CF530)/AL530)</f>
        <v>1.8464501380261518</v>
      </c>
      <c r="CH530" s="443">
        <f t="shared" si="339"/>
        <v>4.9152562111800044</v>
      </c>
      <c r="CI530" s="996">
        <f t="shared" si="340"/>
        <v>3.0688060731538527</v>
      </c>
      <c r="CJ530" s="261">
        <f t="shared" si="341"/>
        <v>1.2429629629629442</v>
      </c>
      <c r="CK530" s="458" t="str">
        <f t="shared" si="342"/>
        <v/>
      </c>
      <c r="CL530" t="str">
        <f t="shared" si="343"/>
        <v>REV</v>
      </c>
      <c r="CM530" t="str">
        <f t="shared" si="344"/>
        <v/>
      </c>
      <c r="CN530" s="635"/>
      <c r="CO530" s="631"/>
      <c r="CP530" s="629" t="str">
        <f t="shared" si="321"/>
        <v>FOR ISSUANCE</v>
      </c>
      <c r="CQ530" s="635"/>
      <c r="CR530" s="697"/>
      <c r="CS530" s="633" t="str">
        <f t="shared" ca="1" si="345"/>
        <v>0</v>
      </c>
      <c r="CT530" s="635"/>
      <c r="CU530" s="631"/>
      <c r="CV530" s="638"/>
      <c r="CW530" s="156" t="s">
        <v>2943</v>
      </c>
      <c r="CX530" s="156"/>
      <c r="CY530" s="156"/>
      <c r="CZ530" s="63"/>
      <c r="DA530" s="762">
        <f t="shared" si="313"/>
        <v>7.7909722222175333</v>
      </c>
      <c r="DS530" s="442" t="s">
        <v>381</v>
      </c>
    </row>
    <row r="531" spans="1:123" ht="15" customHeight="1" x14ac:dyDescent="0.2">
      <c r="A531" s="242">
        <v>45768</v>
      </c>
      <c r="B531" s="222">
        <v>45755</v>
      </c>
      <c r="C531" s="223"/>
      <c r="D531" s="345" t="s">
        <v>284</v>
      </c>
      <c r="E531" s="404" t="s">
        <v>2944</v>
      </c>
      <c r="F531" s="95" t="s">
        <v>2945</v>
      </c>
      <c r="G531" s="95" t="s">
        <v>2946</v>
      </c>
      <c r="H531" s="95" t="s">
        <v>318</v>
      </c>
      <c r="I531" s="95" t="s">
        <v>239</v>
      </c>
      <c r="J531" s="163"/>
      <c r="K531" s="101"/>
      <c r="L531" s="101" t="s">
        <v>255</v>
      </c>
      <c r="M531" s="101" t="s">
        <v>272</v>
      </c>
      <c r="N531" s="442" t="s">
        <v>381</v>
      </c>
      <c r="O531" s="165">
        <v>43.490200000000002</v>
      </c>
      <c r="P531" s="933">
        <v>71.34</v>
      </c>
      <c r="Q531" s="157">
        <v>32</v>
      </c>
      <c r="R531" s="109" t="s">
        <v>244</v>
      </c>
      <c r="S531" s="110">
        <v>320989.74</v>
      </c>
      <c r="T531" s="93">
        <v>61295.490000000005</v>
      </c>
      <c r="U531" s="141"/>
      <c r="V531" s="158">
        <f t="shared" si="322"/>
        <v>0</v>
      </c>
      <c r="W531" s="159">
        <v>45749.597916666666</v>
      </c>
      <c r="X531" s="159">
        <v>45757.34375</v>
      </c>
      <c r="Y531" s="160">
        <v>45751</v>
      </c>
      <c r="Z531" s="470"/>
      <c r="AA531" s="470">
        <v>45822.443749999999</v>
      </c>
      <c r="AB531" s="470"/>
      <c r="AC531" s="161">
        <f t="shared" si="323"/>
        <v>72.845833333332848</v>
      </c>
      <c r="AD531" s="161">
        <f t="shared" si="316"/>
        <v>65.099999999998545</v>
      </c>
      <c r="AE531" s="446">
        <f t="shared" si="346"/>
        <v>-45822.443749999999</v>
      </c>
      <c r="AF531" s="160">
        <f t="shared" si="317"/>
        <v>45769.683418525405</v>
      </c>
      <c r="AG531" s="160">
        <f t="shared" si="314"/>
        <v>45778.839552354395</v>
      </c>
      <c r="AH531" s="159">
        <f t="shared" si="318"/>
        <v>45799.597916666666</v>
      </c>
      <c r="AI531" s="162">
        <f t="shared" si="324"/>
        <v>2.3666098027375044</v>
      </c>
      <c r="AJ531" s="224">
        <f t="shared" si="319"/>
        <v>-763.70739583333329</v>
      </c>
      <c r="AK531" s="225">
        <f t="shared" si="325"/>
        <v>23</v>
      </c>
      <c r="AL531" s="170">
        <f t="shared" si="326"/>
        <v>36</v>
      </c>
      <c r="AM531" s="170">
        <f t="shared" si="327"/>
        <v>23.085501858736059</v>
      </c>
      <c r="AN531" s="170">
        <f t="shared" si="328"/>
        <v>29.241635687732341</v>
      </c>
      <c r="AO531" s="226">
        <f t="shared" si="329"/>
        <v>20.085501858736059</v>
      </c>
      <c r="AP531" s="227">
        <v>60</v>
      </c>
      <c r="AQ531" s="228">
        <f t="shared" si="330"/>
        <v>57</v>
      </c>
      <c r="AR531" s="228">
        <f t="shared" si="315"/>
        <v>52</v>
      </c>
      <c r="AS531" s="229">
        <f t="shared" si="331"/>
        <v>45882.443749999999</v>
      </c>
      <c r="AT531" s="982">
        <f t="shared" ca="1" si="332"/>
        <v>72.556250000001455</v>
      </c>
      <c r="AU531" s="1077"/>
      <c r="AV531" s="1092"/>
      <c r="AW531" s="1079"/>
      <c r="AX531" s="1079"/>
      <c r="AY531" s="1079"/>
      <c r="AZ531" s="1080"/>
      <c r="BA531" s="1101"/>
      <c r="BB531" s="1091"/>
      <c r="BC531" s="231" t="s">
        <v>13</v>
      </c>
      <c r="BD531" s="232"/>
      <c r="BE531" s="222">
        <f t="shared" si="312"/>
        <v>45837.443749999999</v>
      </c>
      <c r="BF531" s="233" t="e">
        <f t="shared" si="320"/>
        <v>#VALUE!</v>
      </c>
      <c r="BG531" s="234"/>
      <c r="BH531" s="235"/>
      <c r="BI531" s="234"/>
      <c r="BJ531" s="236"/>
      <c r="BK531" s="222"/>
      <c r="BL531" s="222"/>
      <c r="BM531" s="238"/>
      <c r="BN531" s="222"/>
      <c r="BO531" s="222"/>
      <c r="BP531" s="243"/>
      <c r="BQ531" s="244" t="s">
        <v>247</v>
      </c>
      <c r="BR531" s="238">
        <v>45821</v>
      </c>
      <c r="BS531" s="68"/>
      <c r="BT531" s="69"/>
      <c r="BU531" s="69"/>
      <c r="BV531" s="69"/>
      <c r="BW531" s="75"/>
      <c r="BX531" s="81"/>
      <c r="BY531" s="66">
        <v>45768</v>
      </c>
      <c r="BZ531" s="944" t="s">
        <v>2947</v>
      </c>
      <c r="CA531" s="42" t="str">
        <f t="shared" si="333"/>
        <v>0</v>
      </c>
      <c r="CB531" s="62">
        <f t="shared" si="334"/>
        <v>72.845833333332848</v>
      </c>
      <c r="CC531" s="42">
        <f t="shared" si="335"/>
        <v>0</v>
      </c>
      <c r="CD531" s="62">
        <f t="shared" si="336"/>
        <v>72.845833333332848</v>
      </c>
      <c r="CE531" s="62">
        <f t="shared" si="337"/>
        <v>2.3666098027375044</v>
      </c>
      <c r="CF531" s="1059">
        <f t="shared" si="338"/>
        <v>46.556250000001455</v>
      </c>
      <c r="CH531" s="1082">
        <f t="shared" si="339"/>
        <v>3.8791256541868266</v>
      </c>
      <c r="CI531" s="1083">
        <f t="shared" si="340"/>
        <v>3.8791256541868266</v>
      </c>
      <c r="CJ531" s="1084">
        <f t="shared" si="341"/>
        <v>0.77593750000002426</v>
      </c>
      <c r="CK531" s="1085" t="str">
        <f t="shared" si="342"/>
        <v/>
      </c>
      <c r="CL531" s="1057" t="str">
        <f t="shared" si="343"/>
        <v>REV</v>
      </c>
      <c r="CM531" s="1057" t="str">
        <f t="shared" si="344"/>
        <v/>
      </c>
      <c r="CN531" s="1086"/>
      <c r="CO531" s="1087"/>
      <c r="CP531" s="629" t="str">
        <f t="shared" si="321"/>
        <v>FOR ISSUANCE</v>
      </c>
      <c r="CQ531" s="1086"/>
      <c r="CR531" s="1088"/>
      <c r="CS531" s="1089" t="str">
        <f t="shared" ca="1" si="345"/>
        <v>0</v>
      </c>
      <c r="CT531" s="1086"/>
      <c r="CU531" s="1087"/>
      <c r="CV531" s="1090"/>
      <c r="CW531" s="156" t="s">
        <v>2948</v>
      </c>
      <c r="CX531" s="156"/>
      <c r="CY531" s="156"/>
      <c r="CZ531" s="1102"/>
      <c r="DA531" s="1100">
        <f t="shared" si="313"/>
        <v>7.7458333333343035</v>
      </c>
      <c r="DS531" s="442" t="s">
        <v>381</v>
      </c>
    </row>
    <row r="532" spans="1:123" customFormat="1" ht="15" customHeight="1" x14ac:dyDescent="0.25">
      <c r="A532" s="242">
        <v>45799</v>
      </c>
      <c r="B532" s="222">
        <v>45755</v>
      </c>
      <c r="C532" s="223"/>
      <c r="D532" s="66" t="s">
        <v>234</v>
      </c>
      <c r="E532" s="404" t="s">
        <v>2949</v>
      </c>
      <c r="F532" s="95" t="s">
        <v>926</v>
      </c>
      <c r="G532" s="95" t="s">
        <v>1628</v>
      </c>
      <c r="H532" s="95" t="s">
        <v>318</v>
      </c>
      <c r="I532" s="95" t="s">
        <v>239</v>
      </c>
      <c r="J532" s="163"/>
      <c r="K532" s="101"/>
      <c r="L532" s="101" t="s">
        <v>263</v>
      </c>
      <c r="M532" s="101" t="s">
        <v>272</v>
      </c>
      <c r="N532" s="442" t="s">
        <v>467</v>
      </c>
      <c r="O532" s="165">
        <v>13.0428</v>
      </c>
      <c r="P532" s="933">
        <v>24.19</v>
      </c>
      <c r="Q532" s="157">
        <v>31</v>
      </c>
      <c r="R532" s="109" t="s">
        <v>244</v>
      </c>
      <c r="S532" s="110">
        <v>211117.13</v>
      </c>
      <c r="T532" s="93">
        <v>20380.93</v>
      </c>
      <c r="U532" s="141"/>
      <c r="V532" s="158">
        <f t="shared" si="322"/>
        <v>0</v>
      </c>
      <c r="W532" s="159">
        <v>45749.683333333334</v>
      </c>
      <c r="X532" s="159">
        <v>45757.343055555553</v>
      </c>
      <c r="Y532" s="160">
        <v>45751</v>
      </c>
      <c r="Z532" s="470"/>
      <c r="AA532" s="470">
        <v>45777</v>
      </c>
      <c r="AB532" s="470"/>
      <c r="AC532" s="161">
        <f t="shared" si="323"/>
        <v>27.316666666665697</v>
      </c>
      <c r="AD532" s="161">
        <f t="shared" si="316"/>
        <v>19.656944444446708</v>
      </c>
      <c r="AE532" s="446">
        <f t="shared" si="346"/>
        <v>-45777</v>
      </c>
      <c r="AF532" s="160">
        <f t="shared" si="317"/>
        <v>45768.457526881721</v>
      </c>
      <c r="AG532" s="160">
        <f t="shared" si="314"/>
        <v>45777.263978494622</v>
      </c>
      <c r="AH532" s="159">
        <f t="shared" si="318"/>
        <v>45799.683333333334</v>
      </c>
      <c r="AI532" s="162">
        <f t="shared" si="324"/>
        <v>0.940907407407374</v>
      </c>
      <c r="AJ532" s="224">
        <f t="shared" si="319"/>
        <v>-762.95</v>
      </c>
      <c r="AK532" s="225">
        <f t="shared" si="325"/>
        <v>20</v>
      </c>
      <c r="AL532" s="170">
        <f t="shared" si="326"/>
        <v>36</v>
      </c>
      <c r="AM532" s="170">
        <f t="shared" si="327"/>
        <v>21.774193548387096</v>
      </c>
      <c r="AN532" s="170">
        <f t="shared" si="328"/>
        <v>27.58064516129032</v>
      </c>
      <c r="AO532" s="226">
        <f t="shared" si="329"/>
        <v>18.774193548387096</v>
      </c>
      <c r="AP532" s="227">
        <v>60</v>
      </c>
      <c r="AQ532" s="228">
        <f t="shared" si="330"/>
        <v>57</v>
      </c>
      <c r="AR532" s="228">
        <f t="shared" si="315"/>
        <v>52</v>
      </c>
      <c r="AS532" s="229">
        <f t="shared" si="331"/>
        <v>45837</v>
      </c>
      <c r="AT532" s="982">
        <f t="shared" ca="1" si="332"/>
        <v>118</v>
      </c>
      <c r="AU532" s="50"/>
      <c r="AV532" s="51"/>
      <c r="AW532" s="49"/>
      <c r="AX532" s="49"/>
      <c r="AY532" s="49"/>
      <c r="AZ532" s="300"/>
      <c r="BA532" s="52"/>
      <c r="BB532" s="304"/>
      <c r="BC532" s="231" t="s">
        <v>13</v>
      </c>
      <c r="BD532" s="232"/>
      <c r="BE532" s="222">
        <f t="shared" si="312"/>
        <v>45792</v>
      </c>
      <c r="BF532" s="233" t="e">
        <f t="shared" si="320"/>
        <v>#VALUE!</v>
      </c>
      <c r="BG532" s="234"/>
      <c r="BH532" s="235"/>
      <c r="BI532" s="234"/>
      <c r="BJ532" s="236"/>
      <c r="BK532" s="222"/>
      <c r="BL532" s="222"/>
      <c r="BM532" s="238"/>
      <c r="BN532" s="222"/>
      <c r="BO532" s="222"/>
      <c r="BP532" s="243"/>
      <c r="BQ532" s="244" t="s">
        <v>247</v>
      </c>
      <c r="BR532" s="238">
        <v>45779</v>
      </c>
      <c r="BS532" s="68"/>
      <c r="BT532" s="69"/>
      <c r="BU532" s="69"/>
      <c r="BV532" s="69"/>
      <c r="BW532" s="75"/>
      <c r="BX532" s="81"/>
      <c r="BY532" s="66" t="s">
        <v>308</v>
      </c>
      <c r="BZ532" s="944" t="s">
        <v>308</v>
      </c>
      <c r="CA532" s="42" t="str">
        <f t="shared" si="333"/>
        <v>0</v>
      </c>
      <c r="CB532" s="62">
        <f t="shared" si="334"/>
        <v>27.316666666665697</v>
      </c>
      <c r="CC532" s="42">
        <f t="shared" si="335"/>
        <v>0</v>
      </c>
      <c r="CD532" s="62">
        <f t="shared" si="336"/>
        <v>27.316666666665697</v>
      </c>
      <c r="CE532" s="62">
        <f t="shared" si="337"/>
        <v>0.940907407407374</v>
      </c>
      <c r="CF532" s="145">
        <f t="shared" si="338"/>
        <v>92</v>
      </c>
      <c r="CG532" s="145"/>
      <c r="CH532" s="443">
        <f t="shared" si="339"/>
        <v>4.1097962962962624</v>
      </c>
      <c r="CI532" s="996">
        <f t="shared" si="340"/>
        <v>4.1097962962962624</v>
      </c>
      <c r="CJ532" s="261">
        <f t="shared" si="341"/>
        <v>1.5333333333333334</v>
      </c>
      <c r="CK532" s="458" t="str">
        <f t="shared" si="342"/>
        <v/>
      </c>
      <c r="CL532" t="str">
        <f t="shared" si="343"/>
        <v>REV</v>
      </c>
      <c r="CM532" t="str">
        <f t="shared" si="344"/>
        <v/>
      </c>
      <c r="CN532" s="635"/>
      <c r="CO532" s="631"/>
      <c r="CP532" s="629" t="str">
        <f t="shared" si="321"/>
        <v>FOR ISSUANCE</v>
      </c>
      <c r="CQ532" s="635"/>
      <c r="CR532" s="697"/>
      <c r="CS532" s="633" t="str">
        <f t="shared" ca="1" si="345"/>
        <v>0</v>
      </c>
      <c r="CT532" s="635"/>
      <c r="CU532" s="631"/>
      <c r="CV532" s="638"/>
      <c r="CW532" s="156" t="s">
        <v>2950</v>
      </c>
      <c r="CX532" s="156"/>
      <c r="CY532" s="156"/>
      <c r="CZ532" s="63"/>
      <c r="DA532" s="762">
        <f t="shared" si="313"/>
        <v>7.6597222222189885</v>
      </c>
      <c r="DS532" s="442" t="s">
        <v>403</v>
      </c>
    </row>
    <row r="533" spans="1:123" customFormat="1" ht="15" customHeight="1" x14ac:dyDescent="0.25">
      <c r="A533" s="242">
        <v>45799</v>
      </c>
      <c r="B533" s="222">
        <v>45755</v>
      </c>
      <c r="C533" s="223"/>
      <c r="D533" s="350" t="s">
        <v>284</v>
      </c>
      <c r="E533" s="404" t="s">
        <v>2951</v>
      </c>
      <c r="F533" s="95" t="s">
        <v>2952</v>
      </c>
      <c r="G533" s="95" t="s">
        <v>2953</v>
      </c>
      <c r="H533" s="95" t="s">
        <v>253</v>
      </c>
      <c r="I533" s="95" t="s">
        <v>254</v>
      </c>
      <c r="J533" s="163"/>
      <c r="K533" s="101"/>
      <c r="L533" s="101" t="s">
        <v>263</v>
      </c>
      <c r="M533" s="101" t="s">
        <v>272</v>
      </c>
      <c r="N533" s="442" t="s">
        <v>467</v>
      </c>
      <c r="O533" s="165">
        <v>15.92</v>
      </c>
      <c r="P533" s="933">
        <v>18.3</v>
      </c>
      <c r="Q533" s="157" t="s">
        <v>2021</v>
      </c>
      <c r="R533" s="468" t="s">
        <v>319</v>
      </c>
      <c r="S533" s="110">
        <v>22049.65</v>
      </c>
      <c r="T533" s="93">
        <v>15732.429999999997</v>
      </c>
      <c r="U533" s="141"/>
      <c r="V533" s="158">
        <f t="shared" si="322"/>
        <v>0</v>
      </c>
      <c r="W533" s="159">
        <v>45749.74722222222</v>
      </c>
      <c r="X533" s="159">
        <v>45757.344444444447</v>
      </c>
      <c r="Y533" s="160">
        <v>45751</v>
      </c>
      <c r="Z533" s="470"/>
      <c r="AA533" s="470">
        <v>45779</v>
      </c>
      <c r="AB533" s="470"/>
      <c r="AC533" s="161">
        <f t="shared" si="323"/>
        <v>29.252777777779556</v>
      </c>
      <c r="AD533" s="161">
        <f t="shared" si="316"/>
        <v>21.655555555553292</v>
      </c>
      <c r="AE533" s="446">
        <f t="shared" si="346"/>
        <v>-45779</v>
      </c>
      <c r="AF533" s="160">
        <f t="shared" si="317"/>
        <v>45761.74722222222</v>
      </c>
      <c r="AG533" s="160">
        <f t="shared" si="314"/>
        <v>45768.74722222222</v>
      </c>
      <c r="AH533" s="159">
        <f t="shared" si="318"/>
        <v>45799.74722222222</v>
      </c>
      <c r="AI533" s="162">
        <f t="shared" si="324"/>
        <v>1.4626388888889779</v>
      </c>
      <c r="AJ533" s="224">
        <f t="shared" si="319"/>
        <v>-762.98333333333335</v>
      </c>
      <c r="AK533" s="225">
        <f t="shared" si="325"/>
        <v>20</v>
      </c>
      <c r="AL533" s="170">
        <f t="shared" si="326"/>
        <v>20</v>
      </c>
      <c r="AM533" s="170">
        <f t="shared" si="327"/>
        <v>15.000000000000002</v>
      </c>
      <c r="AN533" s="170">
        <f t="shared" si="328"/>
        <v>19</v>
      </c>
      <c r="AO533" s="226">
        <f t="shared" si="329"/>
        <v>12.000000000000002</v>
      </c>
      <c r="AP533" s="227">
        <v>60</v>
      </c>
      <c r="AQ533" s="228">
        <f t="shared" si="330"/>
        <v>57</v>
      </c>
      <c r="AR533" s="228">
        <f t="shared" si="315"/>
        <v>52</v>
      </c>
      <c r="AS533" s="229">
        <f t="shared" si="331"/>
        <v>45839</v>
      </c>
      <c r="AT533" s="982">
        <f t="shared" ca="1" si="332"/>
        <v>116</v>
      </c>
      <c r="AU533" s="50"/>
      <c r="AV533" s="51"/>
      <c r="AW533" s="49"/>
      <c r="AX533" s="49"/>
      <c r="AY533" s="49"/>
      <c r="AZ533" s="300"/>
      <c r="BA533" s="52"/>
      <c r="BB533" s="304"/>
      <c r="BC533" s="231" t="s">
        <v>13</v>
      </c>
      <c r="BD533" s="232"/>
      <c r="BE533" s="222">
        <f t="shared" ref="BE533:BE596" si="347">AA533+15</f>
        <v>45794</v>
      </c>
      <c r="BF533" s="233" t="e">
        <f t="shared" si="320"/>
        <v>#VALUE!</v>
      </c>
      <c r="BG533" s="234"/>
      <c r="BH533" s="235"/>
      <c r="BI533" s="234"/>
      <c r="BJ533" s="236"/>
      <c r="BK533" s="222"/>
      <c r="BL533" s="222"/>
      <c r="BM533" s="238"/>
      <c r="BN533" s="222"/>
      <c r="BO533" s="222"/>
      <c r="BP533" s="243"/>
      <c r="BQ533" s="244"/>
      <c r="BR533" s="238"/>
      <c r="BS533" s="68"/>
      <c r="BT533" s="69"/>
      <c r="BU533" s="69"/>
      <c r="BV533" s="69"/>
      <c r="BW533" s="75"/>
      <c r="BX533" s="81"/>
      <c r="BY533" s="66" t="s">
        <v>308</v>
      </c>
      <c r="BZ533" s="944" t="s">
        <v>308</v>
      </c>
      <c r="CA533" s="42" t="str">
        <f t="shared" si="333"/>
        <v>0</v>
      </c>
      <c r="CB533" s="62">
        <f t="shared" si="334"/>
        <v>29.252777777779556</v>
      </c>
      <c r="CC533" s="42">
        <f t="shared" si="335"/>
        <v>0</v>
      </c>
      <c r="CD533" s="62">
        <f t="shared" si="336"/>
        <v>29.252777777779556</v>
      </c>
      <c r="CE533" s="62">
        <f t="shared" si="337"/>
        <v>1.4626388888889779</v>
      </c>
      <c r="CF533" s="145">
        <f t="shared" si="338"/>
        <v>90</v>
      </c>
      <c r="CG533" s="145"/>
      <c r="CH533" s="443">
        <f t="shared" si="339"/>
        <v>5.9626388888889776</v>
      </c>
      <c r="CI533" s="996">
        <f t="shared" si="340"/>
        <v>5.9626388888889776</v>
      </c>
      <c r="CJ533" s="261">
        <f t="shared" si="341"/>
        <v>1.5</v>
      </c>
      <c r="CK533" s="458" t="str">
        <f t="shared" si="342"/>
        <v/>
      </c>
      <c r="CL533" t="str">
        <f t="shared" si="343"/>
        <v>NON-REV</v>
      </c>
      <c r="CM533" t="str">
        <f t="shared" si="344"/>
        <v/>
      </c>
      <c r="CN533" s="635"/>
      <c r="CO533" s="631"/>
      <c r="CP533" s="629" t="str">
        <f t="shared" si="321"/>
        <v>FOR ISSUANCE</v>
      </c>
      <c r="CQ533" s="635"/>
      <c r="CR533" s="697"/>
      <c r="CS533" s="633" t="str">
        <f t="shared" ca="1" si="345"/>
        <v>0</v>
      </c>
      <c r="CT533" s="635"/>
      <c r="CU533" s="631"/>
      <c r="CV533" s="638"/>
      <c r="CW533" s="913" t="s">
        <v>2954</v>
      </c>
      <c r="CX533" s="156"/>
      <c r="CY533" s="156"/>
      <c r="CZ533" s="63"/>
      <c r="DA533" s="762">
        <f t="shared" si="313"/>
        <v>7.5972222222262644</v>
      </c>
      <c r="DS533" s="156" t="s">
        <v>403</v>
      </c>
    </row>
    <row r="534" spans="1:123" customFormat="1" ht="15" customHeight="1" x14ac:dyDescent="0.25">
      <c r="A534" s="242">
        <v>45768</v>
      </c>
      <c r="B534" s="222">
        <v>45757</v>
      </c>
      <c r="C534" s="223"/>
      <c r="D534" s="900" t="s">
        <v>320</v>
      </c>
      <c r="E534" s="404" t="s">
        <v>2955</v>
      </c>
      <c r="F534" s="155" t="s">
        <v>2956</v>
      </c>
      <c r="G534" s="95" t="s">
        <v>2957</v>
      </c>
      <c r="H534" s="95" t="s">
        <v>318</v>
      </c>
      <c r="I534" s="95" t="s">
        <v>239</v>
      </c>
      <c r="J534" s="163"/>
      <c r="K534" s="101"/>
      <c r="L534" s="101" t="s">
        <v>5</v>
      </c>
      <c r="M534" s="101" t="s">
        <v>272</v>
      </c>
      <c r="N534" s="442" t="s">
        <v>403</v>
      </c>
      <c r="O534" s="165">
        <v>15.482799999999999</v>
      </c>
      <c r="P534" s="933">
        <v>35.4</v>
      </c>
      <c r="Q534" s="157">
        <v>84</v>
      </c>
      <c r="R534" s="109" t="s">
        <v>548</v>
      </c>
      <c r="S534" s="110">
        <v>274127.23</v>
      </c>
      <c r="T534" s="93">
        <v>30442.880000000005</v>
      </c>
      <c r="U534" s="141"/>
      <c r="V534" s="158">
        <f t="shared" si="322"/>
        <v>0</v>
      </c>
      <c r="W534" s="159">
        <v>45750.401388888888</v>
      </c>
      <c r="X534" s="159">
        <v>45761.627083333333</v>
      </c>
      <c r="Y534" s="160">
        <v>45757</v>
      </c>
      <c r="Z534" s="470"/>
      <c r="AA534" s="470">
        <v>45761</v>
      </c>
      <c r="AB534" s="470"/>
      <c r="AC534" s="161">
        <f t="shared" si="323"/>
        <v>10.598611111112405</v>
      </c>
      <c r="AD534" s="161">
        <f t="shared" si="316"/>
        <v>-0.62708333333284827</v>
      </c>
      <c r="AE534" s="446">
        <f t="shared" si="346"/>
        <v>-45761</v>
      </c>
      <c r="AF534" s="160">
        <f t="shared" si="317"/>
        <v>45768.475769054174</v>
      </c>
      <c r="AG534" s="160">
        <f t="shared" si="314"/>
        <v>45777.095603764923</v>
      </c>
      <c r="AH534" s="159">
        <f t="shared" si="318"/>
        <v>45800.401388888888</v>
      </c>
      <c r="AI534" s="162">
        <f t="shared" si="324"/>
        <v>0.37718586601311788</v>
      </c>
      <c r="AJ534" s="224">
        <f t="shared" si="319"/>
        <v>-762.68333333333328</v>
      </c>
      <c r="AK534" s="225">
        <f t="shared" si="325"/>
        <v>20</v>
      </c>
      <c r="AL534" s="170">
        <f t="shared" si="326"/>
        <v>34</v>
      </c>
      <c r="AM534" s="170">
        <f t="shared" si="327"/>
        <v>21.074380165289259</v>
      </c>
      <c r="AN534" s="170">
        <f t="shared" si="328"/>
        <v>26.694214876033058</v>
      </c>
      <c r="AO534" s="226">
        <f t="shared" si="329"/>
        <v>18.074380165289259</v>
      </c>
      <c r="AP534" s="227">
        <v>60</v>
      </c>
      <c r="AQ534" s="228">
        <f t="shared" si="330"/>
        <v>57</v>
      </c>
      <c r="AR534" s="228">
        <f t="shared" si="315"/>
        <v>52</v>
      </c>
      <c r="AS534" s="229">
        <f t="shared" si="331"/>
        <v>45821</v>
      </c>
      <c r="AT534" s="982">
        <f t="shared" ca="1" si="332"/>
        <v>134</v>
      </c>
      <c r="AU534" s="50"/>
      <c r="AV534" s="51"/>
      <c r="AW534" s="49"/>
      <c r="AX534" s="49"/>
      <c r="AY534" s="49"/>
      <c r="AZ534" s="300"/>
      <c r="BA534" s="52"/>
      <c r="BB534" s="304"/>
      <c r="BC534" s="231" t="s">
        <v>12</v>
      </c>
      <c r="BD534" s="232"/>
      <c r="BE534" s="222">
        <f t="shared" si="347"/>
        <v>45776</v>
      </c>
      <c r="BF534" s="233">
        <f t="shared" si="320"/>
        <v>7</v>
      </c>
      <c r="BG534" s="234">
        <v>45761</v>
      </c>
      <c r="BH534" s="235">
        <v>45783</v>
      </c>
      <c r="BI534" s="234"/>
      <c r="BJ534" s="236"/>
      <c r="BK534" s="222"/>
      <c r="BL534" s="222"/>
      <c r="BM534" s="238"/>
      <c r="BN534" s="222"/>
      <c r="BO534" s="222"/>
      <c r="BP534" s="243"/>
      <c r="BQ534" s="244"/>
      <c r="BR534" s="238"/>
      <c r="BS534" s="68"/>
      <c r="BT534" s="69"/>
      <c r="BU534" s="69"/>
      <c r="BV534" s="69"/>
      <c r="BW534" s="75"/>
      <c r="BX534" s="81"/>
      <c r="BY534" s="66" t="s">
        <v>308</v>
      </c>
      <c r="BZ534" s="944" t="e">
        <f>VLOOKUP([4]C1!$BZ:$BZ,[4]C1!$BZ$531:$BZ$625,1,FALSE)</f>
        <v>#N/A</v>
      </c>
      <c r="CA534" s="42" t="str">
        <f t="shared" si="333"/>
        <v>0</v>
      </c>
      <c r="CB534" s="62">
        <f t="shared" si="334"/>
        <v>10.598611111112405</v>
      </c>
      <c r="CC534" s="42">
        <f t="shared" si="335"/>
        <v>0</v>
      </c>
      <c r="CD534" s="62">
        <f t="shared" si="336"/>
        <v>10.598611111112405</v>
      </c>
      <c r="CE534" s="62">
        <f t="shared" si="337"/>
        <v>0.37718586601311788</v>
      </c>
      <c r="CF534" s="145">
        <f t="shared" si="338"/>
        <v>108</v>
      </c>
      <c r="CG534" s="145"/>
      <c r="CH534" s="443">
        <f t="shared" si="339"/>
        <v>4.2207152777778241</v>
      </c>
      <c r="CI534" s="996">
        <f t="shared" si="340"/>
        <v>4.2207152777778241</v>
      </c>
      <c r="CJ534" s="261">
        <f t="shared" si="341"/>
        <v>1.8</v>
      </c>
      <c r="CK534" s="458" t="str">
        <f t="shared" si="342"/>
        <v/>
      </c>
      <c r="CL534" t="str">
        <f t="shared" si="343"/>
        <v>NON-REV</v>
      </c>
      <c r="CM534" t="str">
        <f t="shared" si="344"/>
        <v/>
      </c>
      <c r="CN534" s="635"/>
      <c r="CO534" s="631"/>
      <c r="CP534" s="629" t="str">
        <f t="shared" si="321"/>
        <v>FOR ISSUANCE</v>
      </c>
      <c r="CQ534" s="635"/>
      <c r="CR534" s="697"/>
      <c r="CS534" s="633" t="str">
        <f t="shared" ca="1" si="345"/>
        <v>0</v>
      </c>
      <c r="CT534" s="635"/>
      <c r="CU534" s="631"/>
      <c r="CV534" s="638"/>
      <c r="CW534" s="404"/>
      <c r="CX534" s="156"/>
      <c r="CY534" s="156"/>
      <c r="DA534" s="762">
        <f t="shared" si="313"/>
        <v>11.225694444445253</v>
      </c>
      <c r="DS534" s="156" t="s">
        <v>403</v>
      </c>
    </row>
    <row r="535" spans="1:123" customFormat="1" ht="15" customHeight="1" x14ac:dyDescent="0.25">
      <c r="A535" s="242">
        <v>45799</v>
      </c>
      <c r="B535" s="222">
        <v>45758</v>
      </c>
      <c r="C535" s="223"/>
      <c r="D535" s="900" t="s">
        <v>320</v>
      </c>
      <c r="E535" s="404" t="s">
        <v>2958</v>
      </c>
      <c r="F535" s="155" t="s">
        <v>2959</v>
      </c>
      <c r="G535" s="95" t="s">
        <v>2960</v>
      </c>
      <c r="H535" s="95" t="s">
        <v>253</v>
      </c>
      <c r="I535" s="95" t="s">
        <v>254</v>
      </c>
      <c r="J535" s="163"/>
      <c r="K535" s="101"/>
      <c r="L535" s="101" t="s">
        <v>263</v>
      </c>
      <c r="M535" s="101" t="s">
        <v>331</v>
      </c>
      <c r="N535" s="442" t="s">
        <v>467</v>
      </c>
      <c r="O535" s="165">
        <v>40.018699999999988</v>
      </c>
      <c r="P535" s="165">
        <v>200.9</v>
      </c>
      <c r="Q535" s="157">
        <v>5</v>
      </c>
      <c r="R535" s="109" t="s">
        <v>244</v>
      </c>
      <c r="S535" s="110">
        <v>254891.8</v>
      </c>
      <c r="T535" s="93">
        <v>40502.959999999999</v>
      </c>
      <c r="U535" s="141"/>
      <c r="V535" s="158">
        <f t="shared" si="322"/>
        <v>0</v>
      </c>
      <c r="W535" s="159">
        <v>45750.661111111112</v>
      </c>
      <c r="X535" s="159">
        <v>45761.268055555556</v>
      </c>
      <c r="Y535" s="160">
        <v>45757</v>
      </c>
      <c r="Z535" s="470"/>
      <c r="AA535" s="470"/>
      <c r="AB535" s="470"/>
      <c r="AC535" s="161">
        <f t="shared" si="323"/>
        <v>-45750.661111111112</v>
      </c>
      <c r="AD535" s="161">
        <f t="shared" si="316"/>
        <v>-45761.268055555556</v>
      </c>
      <c r="AE535" s="446">
        <f t="shared" si="346"/>
        <v>0</v>
      </c>
      <c r="AF535" s="160">
        <f t="shared" si="317"/>
        <v>45771.868007662837</v>
      </c>
      <c r="AG535" s="160">
        <f t="shared" si="314"/>
        <v>45781.32318007663</v>
      </c>
      <c r="AH535" s="159">
        <f t="shared" si="318"/>
        <v>45800.661111111112</v>
      </c>
      <c r="AI535" s="162">
        <f t="shared" si="324"/>
        <v>-1417.4884318613485</v>
      </c>
      <c r="AJ535" s="224">
        <f t="shared" si="319"/>
        <v>0</v>
      </c>
      <c r="AK535" s="225">
        <f t="shared" si="325"/>
        <v>26</v>
      </c>
      <c r="AL535" s="170">
        <f t="shared" si="326"/>
        <v>36</v>
      </c>
      <c r="AM535" s="170">
        <f t="shared" si="327"/>
        <v>24.206896551724139</v>
      </c>
      <c r="AN535" s="170">
        <f t="shared" si="328"/>
        <v>30.662068965517239</v>
      </c>
      <c r="AO535" s="226">
        <f t="shared" si="329"/>
        <v>21.206896551724139</v>
      </c>
      <c r="AP535" s="227">
        <v>60</v>
      </c>
      <c r="AQ535" s="228">
        <f t="shared" si="330"/>
        <v>57</v>
      </c>
      <c r="AR535" s="228">
        <f t="shared" si="315"/>
        <v>52</v>
      </c>
      <c r="AS535" s="229">
        <f t="shared" si="331"/>
        <v>60</v>
      </c>
      <c r="AT535" s="982">
        <f t="shared" ca="1" si="332"/>
        <v>45895</v>
      </c>
      <c r="AU535" s="50"/>
      <c r="AV535" s="51"/>
      <c r="AW535" s="49"/>
      <c r="AX535" s="49"/>
      <c r="AY535" s="49"/>
      <c r="AZ535" s="300"/>
      <c r="BA535" s="52"/>
      <c r="BB535" s="304"/>
      <c r="BC535" s="231"/>
      <c r="BD535" s="232"/>
      <c r="BE535" s="222">
        <f t="shared" si="347"/>
        <v>15</v>
      </c>
      <c r="BF535" s="233">
        <f t="shared" si="320"/>
        <v>0</v>
      </c>
      <c r="BG535" s="234"/>
      <c r="BH535" s="235"/>
      <c r="BI535" s="234"/>
      <c r="BJ535" s="236"/>
      <c r="BK535" s="222"/>
      <c r="BL535" s="222"/>
      <c r="BM535" s="238"/>
      <c r="BN535" s="222"/>
      <c r="BO535" s="222"/>
      <c r="BP535" s="243"/>
      <c r="BQ535" s="244"/>
      <c r="BR535" s="238"/>
      <c r="BS535" s="68"/>
      <c r="BT535" s="69"/>
      <c r="BU535" s="69"/>
      <c r="BV535" s="69"/>
      <c r="BW535" s="75"/>
      <c r="BX535" s="81"/>
      <c r="BY535" s="66">
        <v>45800</v>
      </c>
      <c r="BZ535" s="944" t="s">
        <v>2961</v>
      </c>
      <c r="CA535" s="42" t="str">
        <f t="shared" si="333"/>
        <v>0</v>
      </c>
      <c r="CB535" s="62">
        <f t="shared" si="334"/>
        <v>-45750.661111111112</v>
      </c>
      <c r="CC535" s="42">
        <f t="shared" si="335"/>
        <v>0</v>
      </c>
      <c r="CD535" s="62">
        <f t="shared" si="336"/>
        <v>-45750.661111111112</v>
      </c>
      <c r="CE535" s="62">
        <f t="shared" si="337"/>
        <v>-1417.4884318613485</v>
      </c>
      <c r="CF535" s="145" t="str">
        <f t="shared" si="338"/>
        <v>0</v>
      </c>
      <c r="CG535" s="145"/>
      <c r="CH535" s="443">
        <f t="shared" si="339"/>
        <v>3.6664826685659619</v>
      </c>
      <c r="CI535" s="996">
        <f t="shared" si="340"/>
        <v>3.6664826685659619</v>
      </c>
      <c r="CJ535" s="261">
        <f t="shared" si="341"/>
        <v>0</v>
      </c>
      <c r="CK535" s="458">
        <f t="shared" si="342"/>
        <v>105.3388888888876</v>
      </c>
      <c r="CL535" t="str">
        <f t="shared" si="343"/>
        <v>REV</v>
      </c>
      <c r="CM535" t="str">
        <f t="shared" si="344"/>
        <v>4-6 MONTHS</v>
      </c>
      <c r="CN535" s="635"/>
      <c r="CO535" s="631"/>
      <c r="CP535" s="629" t="str">
        <f t="shared" si="321"/>
        <v>FOR ISSUANCE</v>
      </c>
      <c r="CQ535" s="635"/>
      <c r="CR535" s="697"/>
      <c r="CS535" s="633" t="str">
        <f t="shared" ca="1" si="345"/>
        <v>0</v>
      </c>
      <c r="CT535" s="635"/>
      <c r="CU535" s="631"/>
      <c r="CV535" s="638"/>
      <c r="CW535" s="404"/>
      <c r="CX535" s="156"/>
      <c r="CY535" s="156"/>
      <c r="DA535" s="762">
        <f t="shared" si="313"/>
        <v>10.606944444443798</v>
      </c>
      <c r="DS535" s="156" t="s">
        <v>403</v>
      </c>
    </row>
    <row r="536" spans="1:123" customFormat="1" ht="15" customHeight="1" x14ac:dyDescent="0.25">
      <c r="A536" s="242">
        <v>45771</v>
      </c>
      <c r="B536" s="222">
        <v>45758</v>
      </c>
      <c r="C536" s="223"/>
      <c r="D536" s="66" t="s">
        <v>320</v>
      </c>
      <c r="E536" s="404" t="s">
        <v>2962</v>
      </c>
      <c r="F536" s="155" t="s">
        <v>2963</v>
      </c>
      <c r="G536" s="95" t="s">
        <v>2964</v>
      </c>
      <c r="H536" s="95" t="s">
        <v>238</v>
      </c>
      <c r="I536" s="95" t="s">
        <v>239</v>
      </c>
      <c r="J536" s="163" t="s">
        <v>2965</v>
      </c>
      <c r="K536" s="101"/>
      <c r="L536" s="101" t="s">
        <v>288</v>
      </c>
      <c r="M536" s="101" t="s">
        <v>331</v>
      </c>
      <c r="N536" s="442" t="s">
        <v>381</v>
      </c>
      <c r="O536" s="165">
        <v>35.189500000000002</v>
      </c>
      <c r="P536" s="165">
        <v>116.03</v>
      </c>
      <c r="Q536" s="157">
        <v>40</v>
      </c>
      <c r="R536" s="109" t="s">
        <v>548</v>
      </c>
      <c r="S536" s="110">
        <v>285332.49</v>
      </c>
      <c r="T536" s="93">
        <v>32433.239999999998</v>
      </c>
      <c r="U536" s="141"/>
      <c r="V536" s="158">
        <f t="shared" si="322"/>
        <v>0</v>
      </c>
      <c r="W536" s="159">
        <v>45750.977083333331</v>
      </c>
      <c r="X536" s="159">
        <v>45761.629861111112</v>
      </c>
      <c r="Y536" s="160">
        <v>45757</v>
      </c>
      <c r="Z536" s="470"/>
      <c r="AA536" s="470"/>
      <c r="AB536" s="470"/>
      <c r="AC536" s="161">
        <f t="shared" si="323"/>
        <v>-45750.977083333331</v>
      </c>
      <c r="AD536" s="161">
        <f t="shared" si="316"/>
        <v>-45761.629861111112</v>
      </c>
      <c r="AE536" s="446">
        <f t="shared" si="346"/>
        <v>0</v>
      </c>
      <c r="AF536" s="160">
        <f t="shared" si="317"/>
        <v>45772.183979885056</v>
      </c>
      <c r="AG536" s="160">
        <f t="shared" si="314"/>
        <v>45781.639152298849</v>
      </c>
      <c r="AH536" s="159">
        <f t="shared" si="318"/>
        <v>45800.977083333331</v>
      </c>
      <c r="AI536" s="162">
        <f t="shared" si="324"/>
        <v>-1417.4982215990026</v>
      </c>
      <c r="AJ536" s="224">
        <f t="shared" si="319"/>
        <v>0</v>
      </c>
      <c r="AK536" s="225">
        <f t="shared" si="325"/>
        <v>26</v>
      </c>
      <c r="AL536" s="170">
        <f t="shared" si="326"/>
        <v>36</v>
      </c>
      <c r="AM536" s="170">
        <f t="shared" si="327"/>
        <v>24.206896551724139</v>
      </c>
      <c r="AN536" s="170">
        <f t="shared" si="328"/>
        <v>30.662068965517239</v>
      </c>
      <c r="AO536" s="226">
        <f t="shared" si="329"/>
        <v>21.206896551724139</v>
      </c>
      <c r="AP536" s="227">
        <v>60</v>
      </c>
      <c r="AQ536" s="228">
        <f t="shared" si="330"/>
        <v>57</v>
      </c>
      <c r="AR536" s="228">
        <f t="shared" si="315"/>
        <v>52</v>
      </c>
      <c r="AS536" s="229">
        <f t="shared" si="331"/>
        <v>60</v>
      </c>
      <c r="AT536" s="982">
        <f t="shared" ca="1" si="332"/>
        <v>45895</v>
      </c>
      <c r="AU536" s="50" t="s">
        <v>55</v>
      </c>
      <c r="AV536" s="51" t="s">
        <v>247</v>
      </c>
      <c r="AW536" s="49" t="s">
        <v>247</v>
      </c>
      <c r="AX536" s="49"/>
      <c r="AY536" s="49"/>
      <c r="AZ536" s="300">
        <v>45817</v>
      </c>
      <c r="BA536" s="52">
        <f>BB536-AZ536</f>
        <v>31</v>
      </c>
      <c r="BB536" s="304">
        <v>45848</v>
      </c>
      <c r="BC536" s="231"/>
      <c r="BD536" s="232"/>
      <c r="BE536" s="222">
        <f t="shared" si="347"/>
        <v>15</v>
      </c>
      <c r="BF536" s="233">
        <f t="shared" si="320"/>
        <v>0</v>
      </c>
      <c r="BG536" s="234"/>
      <c r="BH536" s="235"/>
      <c r="BI536" s="234"/>
      <c r="BJ536" s="236"/>
      <c r="BK536" s="222"/>
      <c r="BL536" s="222"/>
      <c r="BM536" s="238"/>
      <c r="BN536" s="222"/>
      <c r="BO536" s="222"/>
      <c r="BP536" s="243"/>
      <c r="BQ536" s="244"/>
      <c r="BR536" s="238"/>
      <c r="BS536" s="68"/>
      <c r="BT536" s="69"/>
      <c r="BU536" s="69"/>
      <c r="BV536" s="69"/>
      <c r="BW536" s="75"/>
      <c r="BX536" s="81"/>
      <c r="BY536" s="66">
        <f>VLOOKUP([4]C1!$BY:$BY,[4]C1!$BY$531:$BY$625,1,FALSE)</f>
        <v>45768</v>
      </c>
      <c r="BZ536" s="944" t="str">
        <f>VLOOKUP([4]C1!$BZ:$BZ,[4]C1!$BZ$531:$BZ$625,1,FALSE)</f>
        <v>TLN-527934</v>
      </c>
      <c r="CA536" s="42" t="str">
        <f t="shared" si="333"/>
        <v>0</v>
      </c>
      <c r="CB536" s="62">
        <f t="shared" si="334"/>
        <v>-45750.977083333331</v>
      </c>
      <c r="CC536" s="42">
        <f t="shared" si="335"/>
        <v>31</v>
      </c>
      <c r="CD536" s="62">
        <f t="shared" si="336"/>
        <v>-45781.977083333331</v>
      </c>
      <c r="CE536" s="62">
        <f t="shared" si="337"/>
        <v>-1418.4586916844728</v>
      </c>
      <c r="CF536" s="145" t="str">
        <f t="shared" si="338"/>
        <v>0</v>
      </c>
      <c r="CG536" s="145"/>
      <c r="CH536" s="443">
        <f t="shared" si="339"/>
        <v>3.6566929309117406</v>
      </c>
      <c r="CI536" s="996">
        <f t="shared" si="340"/>
        <v>3.6566929309117406</v>
      </c>
      <c r="CJ536" s="261">
        <f t="shared" si="341"/>
        <v>0</v>
      </c>
      <c r="CK536" s="458">
        <f t="shared" si="342"/>
        <v>105.02291666666861</v>
      </c>
      <c r="CL536" t="str">
        <f t="shared" si="343"/>
        <v>NON-REV</v>
      </c>
      <c r="CM536" t="str">
        <f t="shared" si="344"/>
        <v>4-6 MONTHS</v>
      </c>
      <c r="CN536" s="635"/>
      <c r="CO536" s="631"/>
      <c r="CP536" s="629" t="str">
        <f t="shared" si="321"/>
        <v>FOR ISSUANCE</v>
      </c>
      <c r="CQ536" s="635"/>
      <c r="CR536" s="697"/>
      <c r="CS536" s="633" t="str">
        <f t="shared" ca="1" si="345"/>
        <v>0</v>
      </c>
      <c r="CT536" s="635"/>
      <c r="CU536" s="631"/>
      <c r="CV536" s="638"/>
      <c r="CW536" s="404"/>
      <c r="CX536" s="156"/>
      <c r="CY536" s="156"/>
      <c r="DA536" s="762">
        <f t="shared" si="313"/>
        <v>10.652777777781012</v>
      </c>
      <c r="DS536" s="156" t="s">
        <v>403</v>
      </c>
    </row>
    <row r="537" spans="1:123" customFormat="1" ht="15" customHeight="1" x14ac:dyDescent="0.25">
      <c r="A537" s="242">
        <v>45757</v>
      </c>
      <c r="B537" s="222">
        <v>45758</v>
      </c>
      <c r="C537" s="223" t="s">
        <v>247</v>
      </c>
      <c r="D537" s="66" t="s">
        <v>320</v>
      </c>
      <c r="E537" s="404" t="s">
        <v>2966</v>
      </c>
      <c r="F537" s="155" t="s">
        <v>2967</v>
      </c>
      <c r="G537" s="95" t="s">
        <v>2968</v>
      </c>
      <c r="H537" s="95" t="s">
        <v>238</v>
      </c>
      <c r="I537" s="95" t="s">
        <v>239</v>
      </c>
      <c r="J537" s="163"/>
      <c r="K537" s="101"/>
      <c r="L537" s="101" t="s">
        <v>288</v>
      </c>
      <c r="M537" s="101" t="s">
        <v>272</v>
      </c>
      <c r="N537" s="442" t="s">
        <v>381</v>
      </c>
      <c r="O537" s="165">
        <v>160.57790000000003</v>
      </c>
      <c r="P537" s="933">
        <v>440.47</v>
      </c>
      <c r="Q537" s="157">
        <v>85</v>
      </c>
      <c r="R537" s="109" t="s">
        <v>244</v>
      </c>
      <c r="S537" s="110">
        <v>873159.92</v>
      </c>
      <c r="T537" s="93">
        <v>175896.21</v>
      </c>
      <c r="U537" s="141"/>
      <c r="V537" s="158">
        <f t="shared" si="322"/>
        <v>0</v>
      </c>
      <c r="W537" s="159">
        <v>45750.978472222225</v>
      </c>
      <c r="X537" s="159">
        <v>45755.73333333333</v>
      </c>
      <c r="Y537" s="160">
        <v>45757</v>
      </c>
      <c r="Z537" s="470"/>
      <c r="AA537" s="470">
        <v>45777</v>
      </c>
      <c r="AB537" s="470"/>
      <c r="AC537" s="161">
        <f t="shared" si="323"/>
        <v>26.021527777775191</v>
      </c>
      <c r="AD537" s="161">
        <f t="shared" si="316"/>
        <v>21.266666666670062</v>
      </c>
      <c r="AE537" s="446">
        <f t="shared" si="346"/>
        <v>-45777</v>
      </c>
      <c r="AF537" s="160">
        <f t="shared" si="317"/>
        <v>45773.009147068849</v>
      </c>
      <c r="AG537" s="160">
        <f t="shared" si="314"/>
        <v>45782.68399369462</v>
      </c>
      <c r="AH537" s="159">
        <f t="shared" si="318"/>
        <v>45800.978472222225</v>
      </c>
      <c r="AI537" s="162">
        <f t="shared" si="324"/>
        <v>0.7796891595178963</v>
      </c>
      <c r="AJ537" s="224">
        <f t="shared" si="319"/>
        <v>-762.95</v>
      </c>
      <c r="AK537" s="225">
        <f t="shared" si="325"/>
        <v>32</v>
      </c>
      <c r="AL537" s="170">
        <f t="shared" si="326"/>
        <v>34</v>
      </c>
      <c r="AM537" s="170">
        <f t="shared" si="327"/>
        <v>25.030674846625768</v>
      </c>
      <c r="AN537" s="170">
        <f t="shared" si="328"/>
        <v>31.70552147239264</v>
      </c>
      <c r="AO537" s="226">
        <f t="shared" si="329"/>
        <v>22.030674846625768</v>
      </c>
      <c r="AP537" s="227">
        <v>60</v>
      </c>
      <c r="AQ537" s="228">
        <f t="shared" si="330"/>
        <v>57</v>
      </c>
      <c r="AR537" s="228">
        <f t="shared" si="315"/>
        <v>52</v>
      </c>
      <c r="AS537" s="229">
        <f t="shared" si="331"/>
        <v>45837</v>
      </c>
      <c r="AT537" s="982">
        <f t="shared" ca="1" si="332"/>
        <v>118</v>
      </c>
      <c r="AU537" s="50" t="s">
        <v>55</v>
      </c>
      <c r="AV537" s="51" t="s">
        <v>247</v>
      </c>
      <c r="AW537" s="49" t="s">
        <v>247</v>
      </c>
      <c r="AX537" s="49"/>
      <c r="AY537" s="49"/>
      <c r="AZ537" s="300">
        <v>45761</v>
      </c>
      <c r="BA537" s="52">
        <f>BB537-AZ537</f>
        <v>9</v>
      </c>
      <c r="BB537" s="304">
        <v>45770</v>
      </c>
      <c r="BC537" s="231" t="s">
        <v>13</v>
      </c>
      <c r="BD537" s="232"/>
      <c r="BE537" s="222">
        <f t="shared" si="347"/>
        <v>45792</v>
      </c>
      <c r="BF537" s="233" t="e">
        <f t="shared" si="320"/>
        <v>#VALUE!</v>
      </c>
      <c r="BG537" s="234"/>
      <c r="BH537" s="235"/>
      <c r="BI537" s="234"/>
      <c r="BJ537" s="236"/>
      <c r="BK537" s="222"/>
      <c r="BL537" s="222"/>
      <c r="BM537" s="238"/>
      <c r="BN537" s="222"/>
      <c r="BO537" s="222"/>
      <c r="BP537" s="243"/>
      <c r="BQ537" s="244"/>
      <c r="BR537" s="238"/>
      <c r="BS537" s="68"/>
      <c r="BT537" s="69"/>
      <c r="BU537" s="69"/>
      <c r="BV537" s="69"/>
      <c r="BW537" s="75"/>
      <c r="BX537" s="81"/>
      <c r="BY537" s="66">
        <f>VLOOKUP([4]C1!$BY:$BY,[4]C1!$BY$531:$BY$625,1,FALSE)</f>
        <v>45762</v>
      </c>
      <c r="BZ537" s="944" t="str">
        <f>VLOOKUP([4]C1!$BZ:$BZ,[4]C1!$BZ$531:$BZ$625,1,FALSE)</f>
        <v>DX1-8104,DX1-8105,DX1-8106,DX1-8107,TLN-526825</v>
      </c>
      <c r="CA537" s="42" t="str">
        <f t="shared" si="333"/>
        <v>0</v>
      </c>
      <c r="CB537" s="62">
        <f t="shared" si="334"/>
        <v>26.021527777775191</v>
      </c>
      <c r="CC537" s="42">
        <f t="shared" si="335"/>
        <v>9</v>
      </c>
      <c r="CD537" s="62">
        <f t="shared" si="336"/>
        <v>17.021527777775191</v>
      </c>
      <c r="CE537" s="62">
        <f t="shared" si="337"/>
        <v>0.51002004187083749</v>
      </c>
      <c r="CF537" s="145">
        <f t="shared" si="338"/>
        <v>92</v>
      </c>
      <c r="CG537" s="145">
        <f xml:space="preserve"> (0.3)*(($CF$1-W537-CF537)/AK537)+(0.7)*(($CF$1-W537-CF537)/AL537)</f>
        <v>0.7796891595178963</v>
      </c>
      <c r="CH537" s="443">
        <f t="shared" si="339"/>
        <v>3.5363068065767198</v>
      </c>
      <c r="CI537" s="996">
        <f t="shared" si="340"/>
        <v>2.7566176470588237</v>
      </c>
      <c r="CJ537" s="261">
        <f t="shared" si="341"/>
        <v>1.5333333333333334</v>
      </c>
      <c r="CK537" s="458" t="str">
        <f t="shared" si="342"/>
        <v/>
      </c>
      <c r="CL537" t="str">
        <f t="shared" si="343"/>
        <v>REV</v>
      </c>
      <c r="CM537" t="str">
        <f t="shared" si="344"/>
        <v/>
      </c>
      <c r="CN537" s="635"/>
      <c r="CO537" s="631"/>
      <c r="CP537" s="629" t="str">
        <f t="shared" si="321"/>
        <v>FOR ISSUANCE</v>
      </c>
      <c r="CQ537" s="635"/>
      <c r="CR537" s="697"/>
      <c r="CS537" s="633" t="str">
        <f t="shared" ca="1" si="345"/>
        <v>0</v>
      </c>
      <c r="CT537" s="635"/>
      <c r="CU537" s="631"/>
      <c r="CV537" s="638"/>
      <c r="CW537" s="404"/>
      <c r="CX537" s="156"/>
      <c r="CY537" s="156"/>
      <c r="DA537" s="762">
        <f t="shared" si="313"/>
        <v>4.7548611111051287</v>
      </c>
      <c r="DS537" s="156" t="s">
        <v>403</v>
      </c>
    </row>
    <row r="538" spans="1:123" customFormat="1" ht="15" customHeight="1" x14ac:dyDescent="0.25">
      <c r="A538" s="242">
        <v>45771</v>
      </c>
      <c r="B538" s="222">
        <v>45758</v>
      </c>
      <c r="C538" s="223"/>
      <c r="D538" s="900" t="s">
        <v>234</v>
      </c>
      <c r="E538" s="404" t="s">
        <v>2969</v>
      </c>
      <c r="F538" s="155" t="s">
        <v>926</v>
      </c>
      <c r="G538" s="95" t="s">
        <v>927</v>
      </c>
      <c r="H538" s="95" t="s">
        <v>378</v>
      </c>
      <c r="I538" s="95" t="s">
        <v>239</v>
      </c>
      <c r="J538" s="163"/>
      <c r="K538" s="101"/>
      <c r="L538" s="101" t="s">
        <v>242</v>
      </c>
      <c r="M538" s="101" t="s">
        <v>331</v>
      </c>
      <c r="N538" s="442" t="s">
        <v>467</v>
      </c>
      <c r="O538" s="165">
        <v>235.39200000000002</v>
      </c>
      <c r="P538" s="165">
        <v>2034.6</v>
      </c>
      <c r="Q538" s="157">
        <v>31</v>
      </c>
      <c r="R538" s="109" t="s">
        <v>244</v>
      </c>
      <c r="S538" s="110">
        <v>1960706.97</v>
      </c>
      <c r="T538" s="93">
        <v>921156.77999999968</v>
      </c>
      <c r="U538" s="141"/>
      <c r="V538" s="158">
        <f t="shared" si="322"/>
        <v>0</v>
      </c>
      <c r="W538" s="159">
        <v>45751.349305555559</v>
      </c>
      <c r="X538" s="159">
        <v>45761.633333333331</v>
      </c>
      <c r="Y538" s="160">
        <v>45757</v>
      </c>
      <c r="Z538" s="470"/>
      <c r="AA538" s="470"/>
      <c r="AB538" s="470"/>
      <c r="AC538" s="161">
        <f t="shared" si="323"/>
        <v>-45751.349305555559</v>
      </c>
      <c r="AD538" s="161">
        <f t="shared" si="316"/>
        <v>-45761.633333333331</v>
      </c>
      <c r="AE538" s="446">
        <f t="shared" si="346"/>
        <v>0</v>
      </c>
      <c r="AF538" s="160">
        <f t="shared" si="317"/>
        <v>45777.825288088308</v>
      </c>
      <c r="AG538" s="160">
        <f t="shared" si="314"/>
        <v>45788.685550097041</v>
      </c>
      <c r="AH538" s="159">
        <f t="shared" si="318"/>
        <v>45801.349305555559</v>
      </c>
      <c r="AI538" s="162">
        <f t="shared" si="324"/>
        <v>-1164.1176656635803</v>
      </c>
      <c r="AJ538" s="224">
        <f t="shared" si="319"/>
        <v>0</v>
      </c>
      <c r="AK538" s="225">
        <f t="shared" si="325"/>
        <v>50</v>
      </c>
      <c r="AL538" s="170">
        <f t="shared" si="326"/>
        <v>36</v>
      </c>
      <c r="AM538" s="170">
        <f t="shared" si="327"/>
        <v>29.475982532751093</v>
      </c>
      <c r="AN538" s="170">
        <f t="shared" si="328"/>
        <v>37.336244541484717</v>
      </c>
      <c r="AO538" s="226">
        <f t="shared" si="329"/>
        <v>26.475982532751093</v>
      </c>
      <c r="AP538" s="227">
        <v>60</v>
      </c>
      <c r="AQ538" s="228">
        <f t="shared" si="330"/>
        <v>57</v>
      </c>
      <c r="AR538" s="228">
        <f t="shared" si="315"/>
        <v>52</v>
      </c>
      <c r="AS538" s="229">
        <f t="shared" si="331"/>
        <v>60</v>
      </c>
      <c r="AT538" s="982">
        <f t="shared" ca="1" si="332"/>
        <v>45895</v>
      </c>
      <c r="AU538" s="50"/>
      <c r="AV538" s="51"/>
      <c r="AW538" s="49"/>
      <c r="AX538" s="49"/>
      <c r="AY538" s="49"/>
      <c r="AZ538" s="300"/>
      <c r="BA538" s="52"/>
      <c r="BB538" s="304"/>
      <c r="BC538" s="231"/>
      <c r="BD538" s="232"/>
      <c r="BE538" s="222">
        <f t="shared" si="347"/>
        <v>15</v>
      </c>
      <c r="BF538" s="233">
        <f t="shared" si="320"/>
        <v>0</v>
      </c>
      <c r="BG538" s="234"/>
      <c r="BH538" s="235"/>
      <c r="BI538" s="234"/>
      <c r="BJ538" s="236"/>
      <c r="BK538" s="222"/>
      <c r="BL538" s="222"/>
      <c r="BM538" s="238"/>
      <c r="BN538" s="222"/>
      <c r="BO538" s="222"/>
      <c r="BP538" s="243"/>
      <c r="BQ538" s="244"/>
      <c r="BR538" s="238"/>
      <c r="BS538" s="68"/>
      <c r="BT538" s="69"/>
      <c r="BU538" s="69"/>
      <c r="BV538" s="69"/>
      <c r="BW538" s="75"/>
      <c r="BX538" s="81"/>
      <c r="BY538" s="66" t="s">
        <v>308</v>
      </c>
      <c r="BZ538" s="944" t="e">
        <f>VLOOKUP([4]C1!$BZ:$BZ,[4]C1!$BZ$531:$BZ$625,1,FALSE)</f>
        <v>#N/A</v>
      </c>
      <c r="CA538" s="42" t="str">
        <f t="shared" si="333"/>
        <v>0</v>
      </c>
      <c r="CB538" s="62">
        <f t="shared" si="334"/>
        <v>-45751.349305555559</v>
      </c>
      <c r="CC538" s="42">
        <f t="shared" si="335"/>
        <v>0</v>
      </c>
      <c r="CD538" s="62">
        <f t="shared" si="336"/>
        <v>-45751.349305555559</v>
      </c>
      <c r="CE538" s="62">
        <f t="shared" si="337"/>
        <v>-1164.1176656635803</v>
      </c>
      <c r="CF538" s="145" t="str">
        <f t="shared" si="338"/>
        <v>0</v>
      </c>
      <c r="CG538" s="145"/>
      <c r="CH538" s="443">
        <f t="shared" si="339"/>
        <v>2.9935565586418846</v>
      </c>
      <c r="CI538" s="996">
        <f t="shared" si="340"/>
        <v>2.9935565586418846</v>
      </c>
      <c r="CJ538" s="261">
        <f t="shared" si="341"/>
        <v>0</v>
      </c>
      <c r="CK538" s="458">
        <f t="shared" si="342"/>
        <v>104.65069444444089</v>
      </c>
      <c r="CL538" t="str">
        <f t="shared" si="343"/>
        <v>REV</v>
      </c>
      <c r="CM538" t="str">
        <f t="shared" si="344"/>
        <v>4-6 MONTHS</v>
      </c>
      <c r="CN538" s="635"/>
      <c r="CO538" s="631"/>
      <c r="CP538" s="629" t="str">
        <f t="shared" si="321"/>
        <v>FOR ISSUANCE</v>
      </c>
      <c r="CQ538" s="635"/>
      <c r="CR538" s="697"/>
      <c r="CS538" s="633" t="str">
        <f t="shared" ca="1" si="345"/>
        <v>0</v>
      </c>
      <c r="CT538" s="635"/>
      <c r="CU538" s="631"/>
      <c r="CV538" s="638"/>
      <c r="CW538" s="404"/>
      <c r="CX538" s="156"/>
      <c r="CY538" s="156"/>
      <c r="DA538" s="762">
        <f t="shared" si="313"/>
        <v>10.28402777777228</v>
      </c>
      <c r="DS538" s="156" t="s">
        <v>403</v>
      </c>
    </row>
    <row r="539" spans="1:123" customFormat="1" ht="15" customHeight="1" x14ac:dyDescent="0.25">
      <c r="A539" s="242">
        <v>45769</v>
      </c>
      <c r="B539" s="222">
        <v>45755</v>
      </c>
      <c r="C539" s="223" t="s">
        <v>247</v>
      </c>
      <c r="D539" s="900" t="s">
        <v>234</v>
      </c>
      <c r="E539" s="404" t="s">
        <v>2970</v>
      </c>
      <c r="F539" s="155" t="s">
        <v>2971</v>
      </c>
      <c r="G539" s="95" t="s">
        <v>2972</v>
      </c>
      <c r="H539" s="95" t="s">
        <v>238</v>
      </c>
      <c r="I539" s="95" t="s">
        <v>239</v>
      </c>
      <c r="J539" s="163"/>
      <c r="K539" s="101"/>
      <c r="L539" s="101" t="s">
        <v>5</v>
      </c>
      <c r="M539" s="101" t="s">
        <v>272</v>
      </c>
      <c r="N539" s="442" t="s">
        <v>403</v>
      </c>
      <c r="O539" s="165">
        <v>83.763300000000001</v>
      </c>
      <c r="P539" s="933">
        <v>133.31</v>
      </c>
      <c r="Q539" s="157">
        <v>2530</v>
      </c>
      <c r="R539" s="109" t="s">
        <v>548</v>
      </c>
      <c r="S539" s="110">
        <v>1070121.1599999999</v>
      </c>
      <c r="T539" s="93">
        <v>112876.91</v>
      </c>
      <c r="U539" s="141"/>
      <c r="V539" s="158">
        <f t="shared" si="322"/>
        <v>0</v>
      </c>
      <c r="W539" s="159">
        <v>45751.634027777778</v>
      </c>
      <c r="X539" s="159">
        <v>45751.634027777778</v>
      </c>
      <c r="Y539" s="160">
        <v>45755</v>
      </c>
      <c r="Z539" s="470"/>
      <c r="AA539" s="470">
        <v>45758</v>
      </c>
      <c r="AB539" s="470"/>
      <c r="AC539" s="161">
        <f t="shared" si="323"/>
        <v>6.3659722222218988</v>
      </c>
      <c r="AD539" s="161">
        <f t="shared" si="316"/>
        <v>6.3659722222218988</v>
      </c>
      <c r="AE539" s="446">
        <f t="shared" si="346"/>
        <v>-45758</v>
      </c>
      <c r="AF539" s="160">
        <f t="shared" si="317"/>
        <v>45764.749730257114</v>
      </c>
      <c r="AG539" s="160">
        <f t="shared" si="314"/>
        <v>45772.047250918273</v>
      </c>
      <c r="AH539" s="159">
        <f t="shared" si="318"/>
        <v>45801.634027777778</v>
      </c>
      <c r="AI539" s="162">
        <f t="shared" si="324"/>
        <v>0.29626255341878832</v>
      </c>
      <c r="AJ539" s="224">
        <f t="shared" si="319"/>
        <v>-762.63333333333333</v>
      </c>
      <c r="AK539" s="225">
        <f t="shared" si="325"/>
        <v>26</v>
      </c>
      <c r="AL539" s="170">
        <f t="shared" si="326"/>
        <v>20</v>
      </c>
      <c r="AM539" s="170">
        <f t="shared" si="327"/>
        <v>16.115702479338843</v>
      </c>
      <c r="AN539" s="170">
        <f t="shared" si="328"/>
        <v>20.41322314049587</v>
      </c>
      <c r="AO539" s="226">
        <f t="shared" si="329"/>
        <v>13.115702479338843</v>
      </c>
      <c r="AP539" s="227">
        <v>60</v>
      </c>
      <c r="AQ539" s="228">
        <f t="shared" si="330"/>
        <v>57</v>
      </c>
      <c r="AR539" s="228">
        <f t="shared" si="315"/>
        <v>52</v>
      </c>
      <c r="AS539" s="229">
        <f t="shared" si="331"/>
        <v>45818</v>
      </c>
      <c r="AT539" s="982">
        <f t="shared" ca="1" si="332"/>
        <v>137</v>
      </c>
      <c r="AU539" s="50"/>
      <c r="AV539" s="51"/>
      <c r="AW539" s="49"/>
      <c r="AX539" s="49"/>
      <c r="AY539" s="49"/>
      <c r="AZ539" s="300"/>
      <c r="BA539" s="52"/>
      <c r="BB539" s="304"/>
      <c r="BC539" s="231" t="s">
        <v>12</v>
      </c>
      <c r="BD539" s="232"/>
      <c r="BE539" s="222">
        <f t="shared" si="347"/>
        <v>45773</v>
      </c>
      <c r="BF539" s="233">
        <f t="shared" si="320"/>
        <v>19</v>
      </c>
      <c r="BG539" s="234">
        <v>45758</v>
      </c>
      <c r="BH539" s="235">
        <v>45792</v>
      </c>
      <c r="BI539" s="234"/>
      <c r="BJ539" s="236"/>
      <c r="BK539" s="222"/>
      <c r="BL539" s="222"/>
      <c r="BM539" s="238"/>
      <c r="BN539" s="222"/>
      <c r="BO539" s="222"/>
      <c r="BP539" s="243"/>
      <c r="BQ539" s="244"/>
      <c r="BR539" s="238"/>
      <c r="BS539" s="68"/>
      <c r="BT539" s="69"/>
      <c r="BU539" s="69"/>
      <c r="BV539" s="69"/>
      <c r="BW539" s="75"/>
      <c r="BX539" s="81"/>
      <c r="BY539" s="66" t="s">
        <v>308</v>
      </c>
      <c r="BZ539" s="944" t="e">
        <f>VLOOKUP([4]C1!$BZ:$BZ,[4]C1!$BZ$531:$BZ$625,1,FALSE)</f>
        <v>#N/A</v>
      </c>
      <c r="CA539" s="42" t="str">
        <f t="shared" si="333"/>
        <v>0</v>
      </c>
      <c r="CB539" s="62">
        <f t="shared" si="334"/>
        <v>6.3659722222218988</v>
      </c>
      <c r="CC539" s="42">
        <f t="shared" si="335"/>
        <v>0</v>
      </c>
      <c r="CD539" s="62">
        <f t="shared" si="336"/>
        <v>6.3659722222218988</v>
      </c>
      <c r="CE539" s="62">
        <f t="shared" si="337"/>
        <v>0.29626255341878832</v>
      </c>
      <c r="CF539" s="145">
        <f t="shared" si="338"/>
        <v>111</v>
      </c>
      <c r="CG539" s="145"/>
      <c r="CH539" s="443">
        <f t="shared" si="339"/>
        <v>5.462031784188019</v>
      </c>
      <c r="CI539" s="996">
        <f t="shared" si="340"/>
        <v>5.462031784188019</v>
      </c>
      <c r="CJ539" s="261">
        <f t="shared" si="341"/>
        <v>1.85</v>
      </c>
      <c r="CK539" s="458" t="str">
        <f t="shared" si="342"/>
        <v/>
      </c>
      <c r="CL539" t="str">
        <f t="shared" si="343"/>
        <v>NON-REV</v>
      </c>
      <c r="CM539" t="str">
        <f t="shared" si="344"/>
        <v/>
      </c>
      <c r="CN539" s="635"/>
      <c r="CO539" s="631"/>
      <c r="CP539" s="629" t="str">
        <f t="shared" si="321"/>
        <v>FOR ISSUANCE</v>
      </c>
      <c r="CQ539" s="635"/>
      <c r="CR539" s="697"/>
      <c r="CS539" s="633" t="str">
        <f t="shared" ca="1" si="345"/>
        <v>0</v>
      </c>
      <c r="CT539" s="635"/>
      <c r="CU539" s="631"/>
      <c r="CV539" s="638"/>
      <c r="CW539" s="404"/>
      <c r="CX539" s="156"/>
      <c r="CY539" s="156"/>
      <c r="DA539" s="762">
        <f t="shared" si="313"/>
        <v>0</v>
      </c>
      <c r="DS539" s="156" t="s">
        <v>397</v>
      </c>
    </row>
    <row r="540" spans="1:123" ht="15" customHeight="1" x14ac:dyDescent="0.2">
      <c r="A540" s="242">
        <v>45770</v>
      </c>
      <c r="B540" s="222">
        <v>45758</v>
      </c>
      <c r="C540" s="223"/>
      <c r="D540" s="66" t="s">
        <v>320</v>
      </c>
      <c r="E540" s="404" t="s">
        <v>2973</v>
      </c>
      <c r="F540" s="155" t="s">
        <v>2974</v>
      </c>
      <c r="G540" s="95" t="s">
        <v>2975</v>
      </c>
      <c r="H540" s="95" t="s">
        <v>238</v>
      </c>
      <c r="I540" s="95" t="s">
        <v>239</v>
      </c>
      <c r="J540" s="1134" t="s">
        <v>410</v>
      </c>
      <c r="K540" s="101"/>
      <c r="L540" s="101" t="s">
        <v>255</v>
      </c>
      <c r="M540" s="101" t="s">
        <v>331</v>
      </c>
      <c r="N540" s="442" t="s">
        <v>403</v>
      </c>
      <c r="O540" s="165">
        <v>179.07750000000001</v>
      </c>
      <c r="P540" s="165">
        <v>569.92999999999995</v>
      </c>
      <c r="Q540" s="157">
        <v>36</v>
      </c>
      <c r="R540" s="109" t="s">
        <v>548</v>
      </c>
      <c r="S540" s="110">
        <v>961178.65</v>
      </c>
      <c r="T540" s="93">
        <v>221450.98000000004</v>
      </c>
      <c r="U540" s="141"/>
      <c r="V540" s="158">
        <f t="shared" si="322"/>
        <v>0</v>
      </c>
      <c r="W540" s="159">
        <v>45751.743750000001</v>
      </c>
      <c r="X540" s="159">
        <v>45761.631944444445</v>
      </c>
      <c r="Y540" s="160">
        <v>45757</v>
      </c>
      <c r="Z540" s="470"/>
      <c r="AA540" s="470"/>
      <c r="AB540" s="470"/>
      <c r="AC540" s="161">
        <f t="shared" si="323"/>
        <v>-45751.743750000001</v>
      </c>
      <c r="AD540" s="161">
        <f t="shared" si="316"/>
        <v>-45761.631944444445</v>
      </c>
      <c r="AE540" s="446">
        <f t="shared" si="346"/>
        <v>0</v>
      </c>
      <c r="AF540" s="160">
        <f t="shared" si="317"/>
        <v>45776.578801546391</v>
      </c>
      <c r="AG540" s="160">
        <f t="shared" si="314"/>
        <v>45787.001481958767</v>
      </c>
      <c r="AH540" s="159">
        <f t="shared" si="318"/>
        <v>45801.743750000001</v>
      </c>
      <c r="AI540" s="162">
        <f t="shared" si="324"/>
        <v>-1232.7553177083335</v>
      </c>
      <c r="AJ540" s="224">
        <f t="shared" si="319"/>
        <v>0</v>
      </c>
      <c r="AK540" s="225">
        <f t="shared" si="325"/>
        <v>40</v>
      </c>
      <c r="AL540" s="170">
        <f t="shared" si="326"/>
        <v>36</v>
      </c>
      <c r="AM540" s="170">
        <f t="shared" si="327"/>
        <v>27.835051546391753</v>
      </c>
      <c r="AN540" s="170">
        <f t="shared" si="328"/>
        <v>35.257731958762882</v>
      </c>
      <c r="AO540" s="226">
        <f t="shared" si="329"/>
        <v>24.835051546391753</v>
      </c>
      <c r="AP540" s="227">
        <v>60</v>
      </c>
      <c r="AQ540" s="228">
        <f t="shared" si="330"/>
        <v>57</v>
      </c>
      <c r="AR540" s="228">
        <f t="shared" si="315"/>
        <v>52</v>
      </c>
      <c r="AS540" s="229">
        <f t="shared" si="331"/>
        <v>60</v>
      </c>
      <c r="AT540" s="982">
        <f t="shared" ca="1" si="332"/>
        <v>45895</v>
      </c>
      <c r="AU540" s="1077" t="s">
        <v>50</v>
      </c>
      <c r="AV540" s="1092" t="s">
        <v>247</v>
      </c>
      <c r="AW540" s="1079" t="s">
        <v>247</v>
      </c>
      <c r="AX540" s="1079"/>
      <c r="AY540" s="1079"/>
      <c r="AZ540" s="1080">
        <v>45832</v>
      </c>
      <c r="BA540" s="1101">
        <v>34</v>
      </c>
      <c r="BB540" s="1091">
        <v>45866</v>
      </c>
      <c r="BC540" s="231"/>
      <c r="BD540" s="232"/>
      <c r="BE540" s="222">
        <f t="shared" si="347"/>
        <v>15</v>
      </c>
      <c r="BF540" s="233">
        <f t="shared" si="320"/>
        <v>0</v>
      </c>
      <c r="BG540" s="234"/>
      <c r="BH540" s="235"/>
      <c r="BI540" s="234"/>
      <c r="BJ540" s="236"/>
      <c r="BK540" s="222"/>
      <c r="BL540" s="222"/>
      <c r="BM540" s="238"/>
      <c r="BN540" s="222"/>
      <c r="BO540" s="222"/>
      <c r="BP540" s="243"/>
      <c r="BQ540" s="244"/>
      <c r="BR540" s="238"/>
      <c r="BS540" s="68"/>
      <c r="BT540" s="69"/>
      <c r="BU540" s="69"/>
      <c r="BV540" s="69"/>
      <c r="BW540" s="75"/>
      <c r="BX540" s="81"/>
      <c r="BY540" s="66" t="e">
        <f>VLOOKUP([4]C1!$BY:$BY,[4]C1!$BY$531:$BY$625,1,FALSE)</f>
        <v>#N/A</v>
      </c>
      <c r="BZ540" s="944" t="e">
        <f>VLOOKUP([4]C1!$BZ:$BZ,[4]C1!$BZ$531:$BZ$625,1,FALSE)</f>
        <v>#N/A</v>
      </c>
      <c r="CA540" s="42" t="str">
        <f t="shared" si="333"/>
        <v>0</v>
      </c>
      <c r="CB540" s="62">
        <f t="shared" si="334"/>
        <v>-45751.743750000001</v>
      </c>
      <c r="CC540" s="42">
        <f t="shared" si="335"/>
        <v>34</v>
      </c>
      <c r="CD540" s="62">
        <f t="shared" si="336"/>
        <v>-45785.743750000001</v>
      </c>
      <c r="CE540" s="62">
        <f t="shared" si="337"/>
        <v>-1233.6714288194444</v>
      </c>
      <c r="CF540" s="1059" t="str">
        <f t="shared" si="338"/>
        <v>0</v>
      </c>
      <c r="CH540" s="1082">
        <f t="shared" si="339"/>
        <v>3.1594045138888496</v>
      </c>
      <c r="CI540" s="1083">
        <f t="shared" si="340"/>
        <v>3.1594045138888496</v>
      </c>
      <c r="CJ540" s="1084">
        <f t="shared" si="341"/>
        <v>0</v>
      </c>
      <c r="CK540" s="1085">
        <f t="shared" si="342"/>
        <v>104.25624999999854</v>
      </c>
      <c r="CL540" s="1057" t="str">
        <f t="shared" si="343"/>
        <v>NON-REV</v>
      </c>
      <c r="CM540" s="1057" t="str">
        <f t="shared" si="344"/>
        <v>4-6 MONTHS</v>
      </c>
      <c r="CN540" s="1086"/>
      <c r="CO540" s="1087"/>
      <c r="CP540" s="629" t="str">
        <f t="shared" si="321"/>
        <v>FOR ISSUANCE</v>
      </c>
      <c r="CQ540" s="1086"/>
      <c r="CR540" s="1088"/>
      <c r="CS540" s="1089" t="str">
        <f t="shared" ca="1" si="345"/>
        <v>0</v>
      </c>
      <c r="CT540" s="1086"/>
      <c r="CU540" s="1087"/>
      <c r="CV540" s="1090"/>
      <c r="CX540" s="156"/>
      <c r="CY540" s="156"/>
      <c r="DA540" s="1100">
        <f t="shared" si="313"/>
        <v>9.8881944444437977</v>
      </c>
      <c r="DS540" s="156" t="s">
        <v>397</v>
      </c>
    </row>
    <row r="541" spans="1:123" customFormat="1" ht="15" customHeight="1" x14ac:dyDescent="0.25">
      <c r="A541" s="242">
        <v>45762</v>
      </c>
      <c r="B541" s="222">
        <v>45757</v>
      </c>
      <c r="C541" s="223"/>
      <c r="D541" s="900" t="s">
        <v>320</v>
      </c>
      <c r="E541" s="404" t="s">
        <v>2976</v>
      </c>
      <c r="F541" s="155" t="s">
        <v>2977</v>
      </c>
      <c r="G541" s="95" t="s">
        <v>2978</v>
      </c>
      <c r="H541" s="95" t="s">
        <v>238</v>
      </c>
      <c r="I541" s="95" t="s">
        <v>239</v>
      </c>
      <c r="J541" s="163"/>
      <c r="K541" s="101"/>
      <c r="L541" s="101" t="s">
        <v>5</v>
      </c>
      <c r="M541" s="101" t="s">
        <v>272</v>
      </c>
      <c r="N541" s="442" t="s">
        <v>403</v>
      </c>
      <c r="O541" s="165">
        <v>203.79339999999988</v>
      </c>
      <c r="P541" s="933">
        <v>237.06</v>
      </c>
      <c r="Q541" s="157">
        <v>55</v>
      </c>
      <c r="R541" s="109" t="s">
        <v>548</v>
      </c>
      <c r="S541" s="110">
        <v>722190.92</v>
      </c>
      <c r="T541" s="93">
        <v>202879.53999999998</v>
      </c>
      <c r="U541" s="141"/>
      <c r="V541" s="158">
        <f t="shared" si="322"/>
        <v>0</v>
      </c>
      <c r="W541" s="159">
        <v>45751.744444444441</v>
      </c>
      <c r="X541" s="159">
        <v>45761.650694444441</v>
      </c>
      <c r="Y541" s="160">
        <v>45757</v>
      </c>
      <c r="Z541" s="470">
        <v>45805</v>
      </c>
      <c r="AA541" s="470">
        <v>45805.410416666666</v>
      </c>
      <c r="AB541" s="470"/>
      <c r="AC541" s="161">
        <f t="shared" si="323"/>
        <v>53.665972222224809</v>
      </c>
      <c r="AD541" s="161">
        <f t="shared" si="316"/>
        <v>43.759722222224809</v>
      </c>
      <c r="AE541" s="446">
        <f t="shared" si="346"/>
        <v>-45805.410416666666</v>
      </c>
      <c r="AF541" s="160">
        <f t="shared" si="317"/>
        <v>45772.704175988067</v>
      </c>
      <c r="AG541" s="160">
        <f t="shared" si="314"/>
        <v>45782.093437733034</v>
      </c>
      <c r="AH541" s="159">
        <f t="shared" si="318"/>
        <v>45801.744444444441</v>
      </c>
      <c r="AI541" s="162">
        <f t="shared" si="324"/>
        <v>1.6798802229225831</v>
      </c>
      <c r="AJ541" s="224">
        <f t="shared" si="319"/>
        <v>-763.4235069444444</v>
      </c>
      <c r="AK541" s="225">
        <f t="shared" si="325"/>
        <v>28</v>
      </c>
      <c r="AL541" s="170">
        <f t="shared" si="326"/>
        <v>34</v>
      </c>
      <c r="AM541" s="170">
        <f t="shared" si="327"/>
        <v>23.959731543624162</v>
      </c>
      <c r="AN541" s="170">
        <f t="shared" si="328"/>
        <v>30.348993288590602</v>
      </c>
      <c r="AO541" s="226">
        <f t="shared" si="329"/>
        <v>20.959731543624162</v>
      </c>
      <c r="AP541" s="227">
        <v>60</v>
      </c>
      <c r="AQ541" s="228">
        <f t="shared" si="330"/>
        <v>57</v>
      </c>
      <c r="AR541" s="228">
        <f t="shared" si="315"/>
        <v>52</v>
      </c>
      <c r="AS541" s="229">
        <f t="shared" si="331"/>
        <v>45865.410416666666</v>
      </c>
      <c r="AT541" s="982">
        <f t="shared" ca="1" si="332"/>
        <v>89.589583333334303</v>
      </c>
      <c r="AU541" s="50"/>
      <c r="AV541" s="51"/>
      <c r="AW541" s="49"/>
      <c r="AX541" s="49"/>
      <c r="AY541" s="49"/>
      <c r="AZ541" s="300"/>
      <c r="BA541" s="52"/>
      <c r="BB541" s="304"/>
      <c r="BC541" s="231" t="s">
        <v>12</v>
      </c>
      <c r="BD541" s="232"/>
      <c r="BE541" s="222">
        <f t="shared" si="347"/>
        <v>45820.410416666666</v>
      </c>
      <c r="BF541" s="233">
        <f t="shared" si="320"/>
        <v>29.589583333334303</v>
      </c>
      <c r="BG541" s="234">
        <v>45805</v>
      </c>
      <c r="BH541" s="235">
        <v>45850</v>
      </c>
      <c r="BI541" s="234"/>
      <c r="BJ541" s="236"/>
      <c r="BK541" s="222"/>
      <c r="BL541" s="222"/>
      <c r="BM541" s="238"/>
      <c r="BN541" s="222"/>
      <c r="BO541" s="222"/>
      <c r="BP541" s="243"/>
      <c r="BQ541" s="244"/>
      <c r="BR541" s="238"/>
      <c r="BS541" s="68"/>
      <c r="BT541" s="69"/>
      <c r="BU541" s="69"/>
      <c r="BV541" s="69"/>
      <c r="BW541" s="75"/>
      <c r="BX541" s="81"/>
      <c r="BY541" s="66">
        <f>VLOOKUP([4]C1!$BY:$BY,[4]C1!$BY$531:$BY$625,1,FALSE)</f>
        <v>45772</v>
      </c>
      <c r="BZ541" s="944" t="str">
        <f>VLOOKUP([4]C1!$BZ:$BZ,[4]C1!$BZ$531:$BZ$625,1,FALSE)</f>
        <v>CT9-8081,CT9-8082,TLN-52647</v>
      </c>
      <c r="CA541" s="42" t="str">
        <f t="shared" si="333"/>
        <v>0</v>
      </c>
      <c r="CB541" s="62">
        <f t="shared" si="334"/>
        <v>53.665972222224809</v>
      </c>
      <c r="CC541" s="42">
        <f t="shared" si="335"/>
        <v>0</v>
      </c>
      <c r="CD541" s="62">
        <f t="shared" si="336"/>
        <v>53.665972222224809</v>
      </c>
      <c r="CE541" s="62">
        <f t="shared" si="337"/>
        <v>1.6798802229225831</v>
      </c>
      <c r="CF541" s="145">
        <f t="shared" si="338"/>
        <v>63.589583333334303</v>
      </c>
      <c r="CG541" s="145"/>
      <c r="CH541" s="443">
        <f t="shared" si="339"/>
        <v>3.6703944911298962</v>
      </c>
      <c r="CI541" s="996">
        <f t="shared" si="340"/>
        <v>3.6703944911298962</v>
      </c>
      <c r="CJ541" s="261">
        <f t="shared" si="341"/>
        <v>1.059826388888905</v>
      </c>
      <c r="CK541" s="458" t="str">
        <f t="shared" si="342"/>
        <v/>
      </c>
      <c r="CL541" t="str">
        <f t="shared" si="343"/>
        <v>NON-REV</v>
      </c>
      <c r="CM541" t="str">
        <f t="shared" si="344"/>
        <v/>
      </c>
      <c r="CN541" s="635"/>
      <c r="CO541" s="631"/>
      <c r="CP541" s="629" t="str">
        <f t="shared" si="321"/>
        <v>FOR ISSUANCE</v>
      </c>
      <c r="CQ541" s="635"/>
      <c r="CR541" s="697"/>
      <c r="CS541" s="633" t="str">
        <f t="shared" ca="1" si="345"/>
        <v>0</v>
      </c>
      <c r="CT541" s="635"/>
      <c r="CU541" s="631"/>
      <c r="CV541" s="638"/>
      <c r="CW541" s="404"/>
      <c r="CX541" s="156"/>
      <c r="CY541" s="156"/>
      <c r="DA541" s="762">
        <f t="shared" si="313"/>
        <v>9.90625</v>
      </c>
      <c r="DS541" s="156" t="s">
        <v>397</v>
      </c>
    </row>
    <row r="542" spans="1:123" ht="15" customHeight="1" x14ac:dyDescent="0.2">
      <c r="A542" s="242">
        <v>45770</v>
      </c>
      <c r="B542" s="222">
        <v>45758</v>
      </c>
      <c r="C542" s="223"/>
      <c r="D542" s="66" t="s">
        <v>320</v>
      </c>
      <c r="E542" s="404" t="s">
        <v>2979</v>
      </c>
      <c r="F542" s="155" t="s">
        <v>2980</v>
      </c>
      <c r="G542" s="95" t="s">
        <v>2975</v>
      </c>
      <c r="H542" s="95" t="s">
        <v>238</v>
      </c>
      <c r="I542" s="95" t="s">
        <v>239</v>
      </c>
      <c r="J542" s="1134" t="s">
        <v>2981</v>
      </c>
      <c r="K542" s="101"/>
      <c r="L542" s="101" t="s">
        <v>255</v>
      </c>
      <c r="M542" s="101" t="s">
        <v>331</v>
      </c>
      <c r="N542" s="442" t="s">
        <v>403</v>
      </c>
      <c r="O542" s="165">
        <v>114.5162</v>
      </c>
      <c r="P542" s="165">
        <v>307.16000000000003</v>
      </c>
      <c r="Q542" s="157">
        <v>90</v>
      </c>
      <c r="R542" s="109" t="s">
        <v>244</v>
      </c>
      <c r="S542" s="110">
        <v>631365.34</v>
      </c>
      <c r="T542" s="93">
        <v>128587.98000000004</v>
      </c>
      <c r="U542" s="141"/>
      <c r="V542" s="158">
        <f t="shared" si="322"/>
        <v>0</v>
      </c>
      <c r="W542" s="159">
        <v>45751.745138888888</v>
      </c>
      <c r="X542" s="159">
        <v>45761.631249999999</v>
      </c>
      <c r="Y542" s="160">
        <v>45757</v>
      </c>
      <c r="Z542" s="470"/>
      <c r="AA542" s="470"/>
      <c r="AB542" s="470"/>
      <c r="AC542" s="161">
        <f t="shared" si="323"/>
        <v>-45751.745138888888</v>
      </c>
      <c r="AD542" s="161">
        <f t="shared" si="316"/>
        <v>-45761.631249999999</v>
      </c>
      <c r="AE542" s="446">
        <f t="shared" si="346"/>
        <v>0</v>
      </c>
      <c r="AF542" s="160">
        <f t="shared" si="317"/>
        <v>45773.264369658122</v>
      </c>
      <c r="AG542" s="160">
        <f t="shared" si="314"/>
        <v>45782.802831196583</v>
      </c>
      <c r="AH542" s="159">
        <f t="shared" si="318"/>
        <v>45801.745138888888</v>
      </c>
      <c r="AI542" s="162">
        <f t="shared" si="324"/>
        <v>-1399.4651454248365</v>
      </c>
      <c r="AJ542" s="224">
        <f t="shared" si="319"/>
        <v>0</v>
      </c>
      <c r="AK542" s="225">
        <f t="shared" si="325"/>
        <v>30</v>
      </c>
      <c r="AL542" s="170">
        <f t="shared" si="326"/>
        <v>34</v>
      </c>
      <c r="AM542" s="170">
        <f t="shared" si="327"/>
        <v>24.51923076923077</v>
      </c>
      <c r="AN542" s="170">
        <f t="shared" si="328"/>
        <v>31.057692307692307</v>
      </c>
      <c r="AO542" s="226">
        <f t="shared" si="329"/>
        <v>21.51923076923077</v>
      </c>
      <c r="AP542" s="227">
        <v>60</v>
      </c>
      <c r="AQ542" s="228">
        <f t="shared" si="330"/>
        <v>57</v>
      </c>
      <c r="AR542" s="228">
        <f t="shared" si="315"/>
        <v>52</v>
      </c>
      <c r="AS542" s="229">
        <f t="shared" si="331"/>
        <v>60</v>
      </c>
      <c r="AT542" s="982">
        <f t="shared" ca="1" si="332"/>
        <v>45895</v>
      </c>
      <c r="AU542" s="1077" t="s">
        <v>50</v>
      </c>
      <c r="AV542" s="1092" t="s">
        <v>247</v>
      </c>
      <c r="AW542" s="1079" t="s">
        <v>247</v>
      </c>
      <c r="AX542" s="1079"/>
      <c r="AY542" s="1079"/>
      <c r="AZ542" s="1080">
        <v>45832</v>
      </c>
      <c r="BA542" s="1101">
        <v>34</v>
      </c>
      <c r="BB542" s="1091">
        <v>45866</v>
      </c>
      <c r="BC542" s="231"/>
      <c r="BD542" s="232"/>
      <c r="BE542" s="222">
        <f t="shared" si="347"/>
        <v>15</v>
      </c>
      <c r="BF542" s="233">
        <f t="shared" si="320"/>
        <v>0</v>
      </c>
      <c r="BG542" s="234"/>
      <c r="BH542" s="235"/>
      <c r="BI542" s="234"/>
      <c r="BJ542" s="236"/>
      <c r="BK542" s="222"/>
      <c r="BL542" s="222"/>
      <c r="BM542" s="238"/>
      <c r="BN542" s="222"/>
      <c r="BO542" s="222"/>
      <c r="BP542" s="243"/>
      <c r="BQ542" s="244"/>
      <c r="BR542" s="238"/>
      <c r="BS542" s="68"/>
      <c r="BT542" s="69"/>
      <c r="BU542" s="69"/>
      <c r="BV542" s="69"/>
      <c r="BW542" s="75"/>
      <c r="BX542" s="81"/>
      <c r="BY542" s="66">
        <f>VLOOKUP([4]C1!$BY:$BY,[4]C1!$BY$531:$BY$625,1,FALSE)</f>
        <v>45768</v>
      </c>
      <c r="BZ542" s="944" t="str">
        <f>VLOOKUP([4]C1!$BZ:$BZ,[4]C1!$BZ$531:$BZ$625,1,FALSE)</f>
        <v>TLN-530015</v>
      </c>
      <c r="CA542" s="42" t="str">
        <f t="shared" si="333"/>
        <v>0</v>
      </c>
      <c r="CB542" s="62">
        <f t="shared" si="334"/>
        <v>-45751.745138888888</v>
      </c>
      <c r="CC542" s="42">
        <f t="shared" si="335"/>
        <v>34</v>
      </c>
      <c r="CD542" s="62">
        <f t="shared" si="336"/>
        <v>-45785.745138888888</v>
      </c>
      <c r="CE542" s="62">
        <f t="shared" si="337"/>
        <v>-1400.5051454248364</v>
      </c>
      <c r="CF542" s="1059" t="str">
        <f t="shared" si="338"/>
        <v>0</v>
      </c>
      <c r="CH542" s="1082">
        <f t="shared" si="339"/>
        <v>3.5866192810457909</v>
      </c>
      <c r="CI542" s="1083">
        <f t="shared" si="340"/>
        <v>3.5866192810457909</v>
      </c>
      <c r="CJ542" s="1084">
        <f t="shared" si="341"/>
        <v>0</v>
      </c>
      <c r="CK542" s="1085">
        <f t="shared" si="342"/>
        <v>104.2548611111124</v>
      </c>
      <c r="CL542" s="1057" t="str">
        <f t="shared" si="343"/>
        <v>REV</v>
      </c>
      <c r="CM542" s="1057" t="str">
        <f t="shared" si="344"/>
        <v>4-6 MONTHS</v>
      </c>
      <c r="CN542" s="1086"/>
      <c r="CO542" s="1087"/>
      <c r="CP542" s="629" t="str">
        <f t="shared" si="321"/>
        <v>FOR ISSUANCE</v>
      </c>
      <c r="CQ542" s="1086"/>
      <c r="CR542" s="1088"/>
      <c r="CS542" s="1089" t="str">
        <f t="shared" ca="1" si="345"/>
        <v>0</v>
      </c>
      <c r="CT542" s="1086"/>
      <c r="CU542" s="1087"/>
      <c r="CV542" s="1090"/>
      <c r="CX542" s="156"/>
      <c r="CY542" s="156"/>
      <c r="DA542" s="1100">
        <f t="shared" si="313"/>
        <v>9.8861111111109494</v>
      </c>
      <c r="DS542" s="156" t="s">
        <v>397</v>
      </c>
    </row>
    <row r="543" spans="1:123" customFormat="1" ht="15" customHeight="1" x14ac:dyDescent="0.25">
      <c r="A543" s="242">
        <v>45768</v>
      </c>
      <c r="B543" s="222">
        <v>45758</v>
      </c>
      <c r="C543" s="223" t="s">
        <v>247</v>
      </c>
      <c r="D543" s="66" t="s">
        <v>320</v>
      </c>
      <c r="E543" s="404" t="s">
        <v>2982</v>
      </c>
      <c r="F543" s="155" t="s">
        <v>2983</v>
      </c>
      <c r="G543" s="95" t="s">
        <v>2984</v>
      </c>
      <c r="H543" s="95" t="s">
        <v>238</v>
      </c>
      <c r="I543" s="95" t="s">
        <v>239</v>
      </c>
      <c r="J543" s="163"/>
      <c r="K543" s="101"/>
      <c r="L543" s="101" t="s">
        <v>263</v>
      </c>
      <c r="M543" s="101" t="s">
        <v>272</v>
      </c>
      <c r="N543" s="442" t="s">
        <v>467</v>
      </c>
      <c r="O543" s="165">
        <v>14.372799999999998</v>
      </c>
      <c r="P543" s="933">
        <v>50.27</v>
      </c>
      <c r="Q543" s="157">
        <v>133.5</v>
      </c>
      <c r="R543" s="109" t="s">
        <v>244</v>
      </c>
      <c r="S543" s="110">
        <v>395842.01</v>
      </c>
      <c r="T543" s="93">
        <v>43192.67</v>
      </c>
      <c r="U543" s="141"/>
      <c r="V543" s="158">
        <f t="shared" si="322"/>
        <v>0</v>
      </c>
      <c r="W543" s="159">
        <v>45751.745833333334</v>
      </c>
      <c r="X543" s="159">
        <v>45761</v>
      </c>
      <c r="Y543" s="160">
        <v>45757</v>
      </c>
      <c r="Z543" s="470">
        <v>45782</v>
      </c>
      <c r="AA543" s="470">
        <v>45782</v>
      </c>
      <c r="AB543" s="470"/>
      <c r="AC543" s="161">
        <f t="shared" si="323"/>
        <v>30.254166666665697</v>
      </c>
      <c r="AD543" s="161">
        <f t="shared" si="316"/>
        <v>21</v>
      </c>
      <c r="AE543" s="446">
        <f t="shared" si="346"/>
        <v>-45782</v>
      </c>
      <c r="AF543" s="160">
        <f t="shared" si="317"/>
        <v>45769.08481638418</v>
      </c>
      <c r="AG543" s="160">
        <f t="shared" si="314"/>
        <v>45777.508545197743</v>
      </c>
      <c r="AH543" s="159">
        <f t="shared" si="318"/>
        <v>45801.745833333334</v>
      </c>
      <c r="AI543" s="162">
        <f t="shared" si="324"/>
        <v>1.1156223958332976</v>
      </c>
      <c r="AJ543" s="224">
        <f t="shared" si="319"/>
        <v>-763.0333333333333</v>
      </c>
      <c r="AK543" s="225">
        <f t="shared" si="325"/>
        <v>20</v>
      </c>
      <c r="AL543" s="170">
        <f t="shared" si="326"/>
        <v>32</v>
      </c>
      <c r="AM543" s="170">
        <f t="shared" si="327"/>
        <v>20.33898305084746</v>
      </c>
      <c r="AN543" s="170">
        <f t="shared" si="328"/>
        <v>25.762711864406779</v>
      </c>
      <c r="AO543" s="226">
        <f t="shared" si="329"/>
        <v>17.33898305084746</v>
      </c>
      <c r="AP543" s="227">
        <v>60</v>
      </c>
      <c r="AQ543" s="228">
        <f t="shared" si="330"/>
        <v>57</v>
      </c>
      <c r="AR543" s="228">
        <f t="shared" si="315"/>
        <v>52</v>
      </c>
      <c r="AS543" s="229">
        <f t="shared" si="331"/>
        <v>45842</v>
      </c>
      <c r="AT543" s="982">
        <f t="shared" ca="1" si="332"/>
        <v>113</v>
      </c>
      <c r="AU543" s="50"/>
      <c r="AV543" s="51"/>
      <c r="AW543" s="49"/>
      <c r="AX543" s="49"/>
      <c r="AY543" s="49"/>
      <c r="AZ543" s="300"/>
      <c r="BA543" s="52"/>
      <c r="BB543" s="304"/>
      <c r="BC543" s="231" t="s">
        <v>13</v>
      </c>
      <c r="BD543" s="232"/>
      <c r="BE543" s="222">
        <f t="shared" si="347"/>
        <v>45797</v>
      </c>
      <c r="BF543" s="233" t="e">
        <f t="shared" si="320"/>
        <v>#VALUE!</v>
      </c>
      <c r="BG543" s="234"/>
      <c r="BH543" s="235"/>
      <c r="BI543" s="234"/>
      <c r="BJ543" s="236"/>
      <c r="BK543" s="222"/>
      <c r="BL543" s="222"/>
      <c r="BM543" s="238"/>
      <c r="BN543" s="222"/>
      <c r="BO543" s="222"/>
      <c r="BP543" s="243"/>
      <c r="BQ543" s="244"/>
      <c r="BR543" s="238"/>
      <c r="BS543" s="68"/>
      <c r="BT543" s="69"/>
      <c r="BU543" s="69"/>
      <c r="BV543" s="69"/>
      <c r="BW543" s="75"/>
      <c r="BX543" s="81"/>
      <c r="BY543" s="66">
        <f>VLOOKUP([4]C1!$BY:$BY,[4]C1!$BY$531:$BY$625,1,FALSE)</f>
        <v>45772</v>
      </c>
      <c r="BZ543" s="944" t="str">
        <f>VLOOKUP([4]C1!$BZ:$BZ,[4]C1!$BZ$531:$BZ$625,1,FALSE)</f>
        <v>CS7-8169,TLN-527890</v>
      </c>
      <c r="CA543" s="42" t="str">
        <f t="shared" si="333"/>
        <v>0</v>
      </c>
      <c r="CB543" s="62">
        <f t="shared" si="334"/>
        <v>30.254166666665697</v>
      </c>
      <c r="CC543" s="42">
        <f t="shared" si="335"/>
        <v>0</v>
      </c>
      <c r="CD543" s="62">
        <f t="shared" si="336"/>
        <v>30.254166666665697</v>
      </c>
      <c r="CE543" s="62">
        <f t="shared" si="337"/>
        <v>1.1156223958332976</v>
      </c>
      <c r="CF543" s="145">
        <f t="shared" si="338"/>
        <v>87</v>
      </c>
      <c r="CG543" s="145"/>
      <c r="CH543" s="443">
        <f t="shared" si="339"/>
        <v>4.3237473958332977</v>
      </c>
      <c r="CI543" s="996">
        <f t="shared" si="340"/>
        <v>4.3237473958332977</v>
      </c>
      <c r="CJ543" s="261">
        <f t="shared" si="341"/>
        <v>1.45</v>
      </c>
      <c r="CK543" s="458" t="str">
        <f t="shared" si="342"/>
        <v/>
      </c>
      <c r="CL543" t="str">
        <f t="shared" si="343"/>
        <v>REV</v>
      </c>
      <c r="CM543" t="str">
        <f t="shared" si="344"/>
        <v/>
      </c>
      <c r="CN543" s="635"/>
      <c r="CO543" s="631"/>
      <c r="CP543" s="629" t="str">
        <f t="shared" si="321"/>
        <v>FOR ISSUANCE</v>
      </c>
      <c r="CQ543" s="635"/>
      <c r="CR543" s="697"/>
      <c r="CS543" s="633" t="str">
        <f t="shared" ca="1" si="345"/>
        <v>0</v>
      </c>
      <c r="CT543" s="635"/>
      <c r="CU543" s="631"/>
      <c r="CV543" s="638"/>
      <c r="CW543" s="404"/>
      <c r="CX543" s="156"/>
      <c r="CY543" s="156"/>
      <c r="DA543" s="762">
        <f t="shared" si="313"/>
        <v>9.2541666666656965</v>
      </c>
      <c r="DS543" s="156" t="s">
        <v>397</v>
      </c>
    </row>
    <row r="544" spans="1:123" customFormat="1" ht="15" customHeight="1" x14ac:dyDescent="0.25">
      <c r="A544" s="242">
        <v>45772</v>
      </c>
      <c r="B544" s="222">
        <v>45758</v>
      </c>
      <c r="C544" s="223" t="s">
        <v>247</v>
      </c>
      <c r="D544" s="900" t="s">
        <v>320</v>
      </c>
      <c r="E544" s="404" t="s">
        <v>2985</v>
      </c>
      <c r="F544" s="155" t="s">
        <v>2986</v>
      </c>
      <c r="G544" s="95" t="s">
        <v>2987</v>
      </c>
      <c r="H544" s="95" t="s">
        <v>253</v>
      </c>
      <c r="I544" s="95" t="s">
        <v>254</v>
      </c>
      <c r="J544" s="163"/>
      <c r="K544" s="101"/>
      <c r="L544" s="101" t="s">
        <v>263</v>
      </c>
      <c r="M544" s="101" t="s">
        <v>272</v>
      </c>
      <c r="N544" s="442" t="s">
        <v>467</v>
      </c>
      <c r="O544" s="165">
        <v>77.123100000000022</v>
      </c>
      <c r="P544" s="933">
        <v>169.2</v>
      </c>
      <c r="Q544" s="157">
        <v>15</v>
      </c>
      <c r="R544" s="109" t="s">
        <v>244</v>
      </c>
      <c r="S544" s="110">
        <v>375527.67</v>
      </c>
      <c r="T544" s="93">
        <v>77719.679999999993</v>
      </c>
      <c r="U544" s="141"/>
      <c r="V544" s="158">
        <f t="shared" si="322"/>
        <v>0</v>
      </c>
      <c r="W544" s="159">
        <v>45754.387499999997</v>
      </c>
      <c r="X544" s="159">
        <v>45762.541666666664</v>
      </c>
      <c r="Y544" s="160">
        <v>45757</v>
      </c>
      <c r="Z544" s="470"/>
      <c r="AA544" s="470">
        <v>45836</v>
      </c>
      <c r="AB544" s="470"/>
      <c r="AC544" s="161">
        <f t="shared" si="323"/>
        <v>81.61250000000291</v>
      </c>
      <c r="AD544" s="161">
        <f t="shared" si="316"/>
        <v>73.458333333335759</v>
      </c>
      <c r="AE544" s="446">
        <f t="shared" si="346"/>
        <v>-45836</v>
      </c>
      <c r="AF544" s="160">
        <f t="shared" si="317"/>
        <v>45775.594396551722</v>
      </c>
      <c r="AG544" s="160">
        <f t="shared" si="314"/>
        <v>45785.049568965514</v>
      </c>
      <c r="AH544" s="159">
        <f t="shared" si="318"/>
        <v>45804.387499999997</v>
      </c>
      <c r="AI544" s="162">
        <f t="shared" si="324"/>
        <v>2.5285924145300047</v>
      </c>
      <c r="AJ544" s="224">
        <f t="shared" si="319"/>
        <v>-763.93333333333328</v>
      </c>
      <c r="AK544" s="225">
        <f t="shared" si="325"/>
        <v>26</v>
      </c>
      <c r="AL544" s="170">
        <f t="shared" si="326"/>
        <v>36</v>
      </c>
      <c r="AM544" s="170">
        <f t="shared" si="327"/>
        <v>24.206896551724139</v>
      </c>
      <c r="AN544" s="170">
        <f t="shared" si="328"/>
        <v>30.662068965517239</v>
      </c>
      <c r="AO544" s="226">
        <f t="shared" si="329"/>
        <v>21.206896551724139</v>
      </c>
      <c r="AP544" s="227">
        <v>60</v>
      </c>
      <c r="AQ544" s="228">
        <f t="shared" si="330"/>
        <v>57</v>
      </c>
      <c r="AR544" s="228">
        <f t="shared" si="315"/>
        <v>52</v>
      </c>
      <c r="AS544" s="229">
        <f t="shared" si="331"/>
        <v>45896</v>
      </c>
      <c r="AT544" s="982">
        <f t="shared" ca="1" si="332"/>
        <v>59</v>
      </c>
      <c r="AU544" s="50"/>
      <c r="AV544" s="51"/>
      <c r="AW544" s="49"/>
      <c r="AX544" s="49"/>
      <c r="AY544" s="49"/>
      <c r="AZ544" s="300"/>
      <c r="BA544" s="52"/>
      <c r="BB544" s="304"/>
      <c r="BC544" s="231" t="s">
        <v>13</v>
      </c>
      <c r="BD544" s="232"/>
      <c r="BE544" s="222">
        <f t="shared" si="347"/>
        <v>45851</v>
      </c>
      <c r="BF544" s="233" t="e">
        <f t="shared" si="320"/>
        <v>#VALUE!</v>
      </c>
      <c r="BG544" s="234"/>
      <c r="BH544" s="235"/>
      <c r="BI544" s="234"/>
      <c r="BJ544" s="236"/>
      <c r="BK544" s="222"/>
      <c r="BL544" s="222"/>
      <c r="BM544" s="238"/>
      <c r="BN544" s="222"/>
      <c r="BO544" s="222"/>
      <c r="BP544" s="243"/>
      <c r="BQ544" s="244"/>
      <c r="BR544" s="238"/>
      <c r="BS544" s="68"/>
      <c r="BT544" s="69"/>
      <c r="BU544" s="69"/>
      <c r="BV544" s="69"/>
      <c r="BW544" s="75"/>
      <c r="BX544" s="81"/>
      <c r="BY544" s="66" t="s">
        <v>308</v>
      </c>
      <c r="BZ544" s="944" t="e">
        <f>VLOOKUP([4]C1!$BZ:$BZ,[4]C1!$BZ$531:$BZ$625,1,FALSE)</f>
        <v>#N/A</v>
      </c>
      <c r="CA544" s="42" t="str">
        <f t="shared" si="333"/>
        <v>0</v>
      </c>
      <c r="CB544" s="62">
        <f t="shared" si="334"/>
        <v>81.61250000000291</v>
      </c>
      <c r="CC544" s="42">
        <f t="shared" si="335"/>
        <v>0</v>
      </c>
      <c r="CD544" s="62">
        <f t="shared" si="336"/>
        <v>81.61250000000291</v>
      </c>
      <c r="CE544" s="62">
        <f t="shared" si="337"/>
        <v>2.5285924145300047</v>
      </c>
      <c r="CF544" s="145">
        <f t="shared" si="338"/>
        <v>33</v>
      </c>
      <c r="CG544" s="145"/>
      <c r="CH544" s="443">
        <f t="shared" si="339"/>
        <v>3.5510283119659021</v>
      </c>
      <c r="CI544" s="996">
        <f t="shared" si="340"/>
        <v>3.5510283119659021</v>
      </c>
      <c r="CJ544" s="261">
        <f t="shared" si="341"/>
        <v>0.55000000000000004</v>
      </c>
      <c r="CK544" s="458" t="str">
        <f t="shared" si="342"/>
        <v/>
      </c>
      <c r="CL544" t="str">
        <f t="shared" si="343"/>
        <v>REV</v>
      </c>
      <c r="CM544" t="str">
        <f t="shared" si="344"/>
        <v/>
      </c>
      <c r="CN544" s="635"/>
      <c r="CO544" s="631"/>
      <c r="CP544" s="629" t="str">
        <f t="shared" si="321"/>
        <v>FOR ISSUANCE</v>
      </c>
      <c r="CQ544" s="635"/>
      <c r="CR544" s="697"/>
      <c r="CS544" s="633" t="str">
        <f t="shared" ca="1" si="345"/>
        <v>0</v>
      </c>
      <c r="CT544" s="635"/>
      <c r="CU544" s="631"/>
      <c r="CV544" s="638"/>
      <c r="CW544" s="404"/>
      <c r="CX544" s="156"/>
      <c r="CY544" s="156"/>
      <c r="DA544" s="762">
        <f t="shared" si="313"/>
        <v>8.1541666666671517</v>
      </c>
      <c r="DS544" s="442" t="s">
        <v>381</v>
      </c>
    </row>
    <row r="545" spans="1:123" customFormat="1" ht="15" customHeight="1" x14ac:dyDescent="0.25">
      <c r="A545" s="242">
        <v>45771</v>
      </c>
      <c r="B545" s="222">
        <v>45757</v>
      </c>
      <c r="C545" s="223"/>
      <c r="D545" s="345" t="s">
        <v>284</v>
      </c>
      <c r="E545" s="404" t="s">
        <v>2988</v>
      </c>
      <c r="F545" s="155" t="s">
        <v>2989</v>
      </c>
      <c r="G545" s="155" t="s">
        <v>1018</v>
      </c>
      <c r="H545" s="95" t="s">
        <v>238</v>
      </c>
      <c r="I545" s="95" t="s">
        <v>239</v>
      </c>
      <c r="J545" s="163"/>
      <c r="K545" s="101"/>
      <c r="L545" s="101" t="s">
        <v>5</v>
      </c>
      <c r="M545" s="101" t="s">
        <v>272</v>
      </c>
      <c r="N545" s="442" t="s">
        <v>403</v>
      </c>
      <c r="O545" s="165">
        <v>7.67</v>
      </c>
      <c r="P545" s="165">
        <v>8.27</v>
      </c>
      <c r="Q545" s="157" t="s">
        <v>2021</v>
      </c>
      <c r="R545" s="109" t="s">
        <v>319</v>
      </c>
      <c r="S545" s="110">
        <v>18349.78</v>
      </c>
      <c r="T545" s="93">
        <v>7105.76</v>
      </c>
      <c r="U545" s="141"/>
      <c r="V545" s="158">
        <f t="shared" si="322"/>
        <v>0</v>
      </c>
      <c r="W545" s="159">
        <v>45754.558333333334</v>
      </c>
      <c r="X545" s="159">
        <v>45762.540972222225</v>
      </c>
      <c r="Y545" s="160">
        <v>45757</v>
      </c>
      <c r="Z545" s="470"/>
      <c r="AA545" s="470">
        <v>45883</v>
      </c>
      <c r="AB545" s="470"/>
      <c r="AC545" s="161">
        <f t="shared" si="323"/>
        <v>128.4416666666657</v>
      </c>
      <c r="AD545" s="161">
        <f t="shared" si="316"/>
        <v>120.45902777777519</v>
      </c>
      <c r="AE545" s="446">
        <f t="shared" si="346"/>
        <v>-45883</v>
      </c>
      <c r="AF545" s="160">
        <f t="shared" si="317"/>
        <v>45766.558333333334</v>
      </c>
      <c r="AG545" s="160">
        <f t="shared" si="314"/>
        <v>45773.558333333334</v>
      </c>
      <c r="AH545" s="159">
        <f t="shared" si="318"/>
        <v>45804.558333333334</v>
      </c>
      <c r="AI545" s="162">
        <f t="shared" si="324"/>
        <v>6.4220833333332843</v>
      </c>
      <c r="AJ545" s="224">
        <f t="shared" si="319"/>
        <v>-764.7166666666667</v>
      </c>
      <c r="AK545" s="225">
        <f t="shared" si="325"/>
        <v>20</v>
      </c>
      <c r="AL545" s="170">
        <f t="shared" si="326"/>
        <v>20</v>
      </c>
      <c r="AM545" s="170">
        <f t="shared" si="327"/>
        <v>15.000000000000002</v>
      </c>
      <c r="AN545" s="170">
        <f t="shared" si="328"/>
        <v>19</v>
      </c>
      <c r="AO545" s="226">
        <f t="shared" si="329"/>
        <v>12.000000000000002</v>
      </c>
      <c r="AP545" s="227">
        <v>60</v>
      </c>
      <c r="AQ545" s="228">
        <f t="shared" si="330"/>
        <v>57</v>
      </c>
      <c r="AR545" s="228">
        <f t="shared" si="315"/>
        <v>52</v>
      </c>
      <c r="AS545" s="229">
        <f t="shared" si="331"/>
        <v>45943</v>
      </c>
      <c r="AT545" s="982">
        <f t="shared" ca="1" si="332"/>
        <v>12</v>
      </c>
      <c r="AU545" s="50"/>
      <c r="AV545" s="51"/>
      <c r="AW545" s="49"/>
      <c r="AX545" s="49"/>
      <c r="AY545" s="49"/>
      <c r="AZ545" s="300"/>
      <c r="BA545" s="52"/>
      <c r="BB545" s="304"/>
      <c r="BC545" s="231"/>
      <c r="BD545" s="232"/>
      <c r="BE545" s="222">
        <f t="shared" si="347"/>
        <v>45898</v>
      </c>
      <c r="BF545" s="233" t="e">
        <f t="shared" si="320"/>
        <v>#VALUE!</v>
      </c>
      <c r="BG545" s="234"/>
      <c r="BH545" s="235"/>
      <c r="BI545" s="234"/>
      <c r="BJ545" s="236"/>
      <c r="BK545" s="222"/>
      <c r="BL545" s="222"/>
      <c r="BM545" s="238"/>
      <c r="BN545" s="222"/>
      <c r="BO545" s="222"/>
      <c r="BP545" s="243"/>
      <c r="BQ545" s="244"/>
      <c r="BR545" s="238"/>
      <c r="BS545" s="68"/>
      <c r="BT545" s="69"/>
      <c r="BU545" s="69"/>
      <c r="BV545" s="69"/>
      <c r="BW545" s="75"/>
      <c r="BX545" s="81"/>
      <c r="BY545" s="66" t="e">
        <f>VLOOKUP([4]C1!$BY:$BY,[4]C1!$BY$531:$BY$625,1,FALSE)</f>
        <v>#N/A</v>
      </c>
      <c r="BZ545" s="944" t="e">
        <f>VLOOKUP([4]C1!$BZ:$BZ,[4]C1!$BZ$531:$BZ$625,1,FALSE)</f>
        <v>#N/A</v>
      </c>
      <c r="CA545" s="42" t="str">
        <f t="shared" si="333"/>
        <v>0</v>
      </c>
      <c r="CB545" s="62">
        <f t="shared" si="334"/>
        <v>128.4416666666657</v>
      </c>
      <c r="CC545" s="42">
        <f t="shared" si="335"/>
        <v>0</v>
      </c>
      <c r="CD545" s="62">
        <f t="shared" si="336"/>
        <v>128.4416666666657</v>
      </c>
      <c r="CE545" s="62">
        <f t="shared" si="337"/>
        <v>6.4220833333332843</v>
      </c>
      <c r="CF545" s="145">
        <f t="shared" si="338"/>
        <v>-14</v>
      </c>
      <c r="CG545" s="145"/>
      <c r="CH545" s="443">
        <f t="shared" si="339"/>
        <v>5.722083333333285</v>
      </c>
      <c r="CI545" s="996">
        <f t="shared" si="340"/>
        <v>5.722083333333285</v>
      </c>
      <c r="CJ545" s="261">
        <f t="shared" si="341"/>
        <v>-0.23333333333333334</v>
      </c>
      <c r="CK545" s="458" t="str">
        <f t="shared" si="342"/>
        <v/>
      </c>
      <c r="CL545" t="str">
        <f t="shared" si="343"/>
        <v>NON-REV</v>
      </c>
      <c r="CM545" t="str">
        <f t="shared" si="344"/>
        <v/>
      </c>
      <c r="CN545" s="635"/>
      <c r="CO545" s="631"/>
      <c r="CP545" s="629" t="str">
        <f t="shared" si="321"/>
        <v>FOR ISSUANCE</v>
      </c>
      <c r="CQ545" s="635"/>
      <c r="CR545" s="697"/>
      <c r="CS545" s="633" t="str">
        <f t="shared" ca="1" si="345"/>
        <v>0</v>
      </c>
      <c r="CT545" s="635"/>
      <c r="CU545" s="631"/>
      <c r="CV545" s="638"/>
      <c r="CW545" s="404"/>
      <c r="CX545" s="156"/>
      <c r="CY545" s="156"/>
      <c r="DA545" s="762">
        <f t="shared" si="313"/>
        <v>7.9826388888905058</v>
      </c>
      <c r="DS545" s="442" t="s">
        <v>381</v>
      </c>
    </row>
    <row r="546" spans="1:123" customFormat="1" ht="15" customHeight="1" x14ac:dyDescent="0.25">
      <c r="A546" s="242">
        <v>45768</v>
      </c>
      <c r="B546" s="222">
        <v>45758</v>
      </c>
      <c r="C546" s="223"/>
      <c r="D546" s="350" t="s">
        <v>284</v>
      </c>
      <c r="E546" s="404" t="s">
        <v>2990</v>
      </c>
      <c r="F546" s="155" t="s">
        <v>2991</v>
      </c>
      <c r="G546" s="95" t="s">
        <v>2992</v>
      </c>
      <c r="H546" s="95" t="s">
        <v>238</v>
      </c>
      <c r="I546" s="95" t="s">
        <v>239</v>
      </c>
      <c r="J546" s="163"/>
      <c r="K546" s="101"/>
      <c r="L546" s="101" t="s">
        <v>288</v>
      </c>
      <c r="M546" s="101" t="s">
        <v>272</v>
      </c>
      <c r="N546" s="442" t="s">
        <v>381</v>
      </c>
      <c r="O546" s="165">
        <v>105.68070000000002</v>
      </c>
      <c r="P546" s="165">
        <v>187.75</v>
      </c>
      <c r="Q546" s="157" t="s">
        <v>2021</v>
      </c>
      <c r="R546" s="109" t="s">
        <v>319</v>
      </c>
      <c r="S546" s="110">
        <v>141776.26</v>
      </c>
      <c r="T546" s="93">
        <v>161328.84000000003</v>
      </c>
      <c r="U546" s="141"/>
      <c r="V546" s="158">
        <f t="shared" si="322"/>
        <v>0</v>
      </c>
      <c r="W546" s="159">
        <v>45754.560416666667</v>
      </c>
      <c r="X546" s="159">
        <v>45762.538194444445</v>
      </c>
      <c r="Y546" s="160">
        <v>45757</v>
      </c>
      <c r="Z546" s="470">
        <v>45878</v>
      </c>
      <c r="AA546" s="470">
        <v>45878.343055555553</v>
      </c>
      <c r="AB546" s="470"/>
      <c r="AC546" s="161">
        <f t="shared" si="323"/>
        <v>123.78263888888614</v>
      </c>
      <c r="AD546" s="161">
        <f t="shared" si="316"/>
        <v>115.80486111110804</v>
      </c>
      <c r="AE546" s="446">
        <f t="shared" si="346"/>
        <v>-45878.343055555553</v>
      </c>
      <c r="AF546" s="160">
        <f t="shared" si="317"/>
        <v>45767.676119146003</v>
      </c>
      <c r="AG546" s="160">
        <f t="shared" si="314"/>
        <v>45774.973639807162</v>
      </c>
      <c r="AH546" s="159">
        <f t="shared" si="318"/>
        <v>45804.560416666667</v>
      </c>
      <c r="AI546" s="162">
        <f t="shared" si="324"/>
        <v>5.7606535790597011</v>
      </c>
      <c r="AJ546" s="224">
        <f t="shared" si="319"/>
        <v>-764.63905092592586</v>
      </c>
      <c r="AK546" s="225">
        <f t="shared" si="325"/>
        <v>26</v>
      </c>
      <c r="AL546" s="170">
        <f t="shared" si="326"/>
        <v>20</v>
      </c>
      <c r="AM546" s="170">
        <f t="shared" si="327"/>
        <v>16.115702479338843</v>
      </c>
      <c r="AN546" s="170">
        <f t="shared" si="328"/>
        <v>20.41322314049587</v>
      </c>
      <c r="AO546" s="226">
        <f t="shared" si="329"/>
        <v>13.115702479338843</v>
      </c>
      <c r="AP546" s="227">
        <v>60</v>
      </c>
      <c r="AQ546" s="228">
        <f t="shared" si="330"/>
        <v>57</v>
      </c>
      <c r="AR546" s="228">
        <f t="shared" si="315"/>
        <v>52</v>
      </c>
      <c r="AS546" s="229">
        <f t="shared" si="331"/>
        <v>45938.343055555553</v>
      </c>
      <c r="AT546" s="982">
        <f t="shared" ca="1" si="332"/>
        <v>16.656944444446708</v>
      </c>
      <c r="AU546" s="50"/>
      <c r="AV546" s="51"/>
      <c r="AW546" s="49"/>
      <c r="AX546" s="49"/>
      <c r="AY546" s="49"/>
      <c r="AZ546" s="300"/>
      <c r="BA546" s="52"/>
      <c r="BB546" s="304"/>
      <c r="BC546" s="231" t="s">
        <v>12</v>
      </c>
      <c r="BD546" s="232"/>
      <c r="BE546" s="222">
        <f t="shared" si="347"/>
        <v>45893.343055555553</v>
      </c>
      <c r="BF546" s="233">
        <f t="shared" si="320"/>
        <v>-9.3430555555532919</v>
      </c>
      <c r="BG546" s="234">
        <v>45878</v>
      </c>
      <c r="BH546" s="235">
        <v>45884</v>
      </c>
      <c r="BI546" s="234"/>
      <c r="BJ546" s="236"/>
      <c r="BK546" s="222"/>
      <c r="BL546" s="222"/>
      <c r="BM546" s="238"/>
      <c r="BN546" s="222"/>
      <c r="BO546" s="222"/>
      <c r="BP546" s="243"/>
      <c r="BQ546" s="244"/>
      <c r="BR546" s="238"/>
      <c r="BS546" s="68"/>
      <c r="BT546" s="69"/>
      <c r="BU546" s="69"/>
      <c r="BV546" s="69"/>
      <c r="BW546" s="75"/>
      <c r="BX546" s="81"/>
      <c r="BY546" s="66" t="e">
        <f>VLOOKUP([4]C1!$BY:$BY,[4]C1!$BY$531:$BY$625,1,FALSE)</f>
        <v>#N/A</v>
      </c>
      <c r="BZ546" s="944" t="e">
        <f>VLOOKUP([4]C1!$BZ:$BZ,[4]C1!$BZ$531:$BZ$625,1,FALSE)</f>
        <v>#N/A</v>
      </c>
      <c r="CA546" s="42" t="str">
        <f t="shared" si="333"/>
        <v>0</v>
      </c>
      <c r="CB546" s="62">
        <f t="shared" si="334"/>
        <v>123.78263888888614</v>
      </c>
      <c r="CC546" s="42">
        <f t="shared" si="335"/>
        <v>0</v>
      </c>
      <c r="CD546" s="62">
        <f t="shared" si="336"/>
        <v>123.78263888888614</v>
      </c>
      <c r="CE546" s="62">
        <f t="shared" si="337"/>
        <v>5.7606535790597011</v>
      </c>
      <c r="CF546" s="145">
        <f t="shared" si="338"/>
        <v>-9.3430555555532919</v>
      </c>
      <c r="CG546" s="145"/>
      <c r="CH546" s="443">
        <f t="shared" si="339"/>
        <v>5.3258421474358748</v>
      </c>
      <c r="CI546" s="996">
        <f t="shared" si="340"/>
        <v>5.3258421474358748</v>
      </c>
      <c r="CJ546" s="261">
        <f t="shared" si="341"/>
        <v>-0.15571759259255485</v>
      </c>
      <c r="CK546" s="458" t="str">
        <f t="shared" si="342"/>
        <v/>
      </c>
      <c r="CL546" t="str">
        <f t="shared" si="343"/>
        <v>NON-REV</v>
      </c>
      <c r="CM546" t="str">
        <f t="shared" si="344"/>
        <v/>
      </c>
      <c r="CN546" s="635"/>
      <c r="CO546" s="631"/>
      <c r="CP546" s="629" t="str">
        <f t="shared" si="321"/>
        <v>FOR ISSUANCE</v>
      </c>
      <c r="CQ546" s="635"/>
      <c r="CR546" s="697"/>
      <c r="CS546" s="633" t="str">
        <f t="shared" ca="1" si="345"/>
        <v>0</v>
      </c>
      <c r="CT546" s="635"/>
      <c r="CU546" s="631"/>
      <c r="CV546" s="638"/>
      <c r="CW546" s="404"/>
      <c r="CX546" s="156"/>
      <c r="CY546" s="156"/>
      <c r="DA546" s="762">
        <f t="shared" si="313"/>
        <v>7.9777777777781012</v>
      </c>
      <c r="DS546" s="442" t="s">
        <v>381</v>
      </c>
    </row>
    <row r="547" spans="1:123" customFormat="1" ht="15" customHeight="1" x14ac:dyDescent="0.25">
      <c r="A547" s="242">
        <v>45771</v>
      </c>
      <c r="B547" s="222">
        <v>45758</v>
      </c>
      <c r="C547" s="223"/>
      <c r="D547" s="350" t="s">
        <v>284</v>
      </c>
      <c r="E547" s="404" t="s">
        <v>2993</v>
      </c>
      <c r="F547" s="155" t="s">
        <v>2994</v>
      </c>
      <c r="G547" s="95" t="s">
        <v>2995</v>
      </c>
      <c r="H547" s="95" t="s">
        <v>238</v>
      </c>
      <c r="I547" s="95" t="s">
        <v>239</v>
      </c>
      <c r="J547" s="163"/>
      <c r="K547" s="101"/>
      <c r="L547" s="101" t="s">
        <v>288</v>
      </c>
      <c r="M547" s="101" t="s">
        <v>272</v>
      </c>
      <c r="N547" s="442" t="s">
        <v>381</v>
      </c>
      <c r="O547" s="165">
        <v>16.71</v>
      </c>
      <c r="P547" s="933">
        <v>36.840000000000003</v>
      </c>
      <c r="Q547" s="157" t="s">
        <v>2021</v>
      </c>
      <c r="R547" s="109" t="s">
        <v>319</v>
      </c>
      <c r="S547" s="110">
        <v>34903.08</v>
      </c>
      <c r="T547" s="93">
        <v>31748.350000000002</v>
      </c>
      <c r="U547" s="141"/>
      <c r="V547" s="158">
        <f t="shared" si="322"/>
        <v>0</v>
      </c>
      <c r="W547" s="159">
        <v>45754.561805555553</v>
      </c>
      <c r="X547" s="159">
        <v>45761.506944444445</v>
      </c>
      <c r="Y547" s="160">
        <v>45757</v>
      </c>
      <c r="Z547" s="470">
        <v>45769</v>
      </c>
      <c r="AA547" s="470">
        <v>45769</v>
      </c>
      <c r="AB547" s="470"/>
      <c r="AC547" s="161">
        <f t="shared" si="323"/>
        <v>14.438194444446708</v>
      </c>
      <c r="AD547" s="161">
        <f t="shared" si="316"/>
        <v>7.4930555555547471</v>
      </c>
      <c r="AE547" s="446">
        <f t="shared" si="346"/>
        <v>-45769</v>
      </c>
      <c r="AF547" s="160">
        <f t="shared" si="317"/>
        <v>45766.561805555553</v>
      </c>
      <c r="AG547" s="160">
        <f t="shared" si="314"/>
        <v>45773.561805555553</v>
      </c>
      <c r="AH547" s="159">
        <f t="shared" si="318"/>
        <v>45804.561805555553</v>
      </c>
      <c r="AI547" s="162">
        <f t="shared" si="324"/>
        <v>0.7219097222223354</v>
      </c>
      <c r="AJ547" s="224">
        <f t="shared" si="319"/>
        <v>-762.81666666666672</v>
      </c>
      <c r="AK547" s="225">
        <f t="shared" si="325"/>
        <v>20</v>
      </c>
      <c r="AL547" s="170">
        <f t="shared" si="326"/>
        <v>20</v>
      </c>
      <c r="AM547" s="170">
        <f t="shared" si="327"/>
        <v>15.000000000000002</v>
      </c>
      <c r="AN547" s="170">
        <f t="shared" si="328"/>
        <v>19</v>
      </c>
      <c r="AO547" s="226">
        <f t="shared" si="329"/>
        <v>12.000000000000002</v>
      </c>
      <c r="AP547" s="227">
        <v>60</v>
      </c>
      <c r="AQ547" s="228">
        <f t="shared" si="330"/>
        <v>57</v>
      </c>
      <c r="AR547" s="228">
        <f t="shared" si="315"/>
        <v>52</v>
      </c>
      <c r="AS547" s="229">
        <f t="shared" si="331"/>
        <v>45829</v>
      </c>
      <c r="AT547" s="982">
        <f t="shared" ca="1" si="332"/>
        <v>126</v>
      </c>
      <c r="AU547" s="50"/>
      <c r="AV547" s="51"/>
      <c r="AW547" s="49"/>
      <c r="AX547" s="49"/>
      <c r="AY547" s="49"/>
      <c r="AZ547" s="300"/>
      <c r="BA547" s="52"/>
      <c r="BB547" s="304"/>
      <c r="BC547" s="231" t="s">
        <v>12</v>
      </c>
      <c r="BD547" s="232"/>
      <c r="BE547" s="222">
        <f t="shared" si="347"/>
        <v>45784</v>
      </c>
      <c r="BF547" s="233">
        <f t="shared" si="320"/>
        <v>64</v>
      </c>
      <c r="BG547" s="234">
        <v>45769</v>
      </c>
      <c r="BH547" s="235">
        <v>45848</v>
      </c>
      <c r="BI547" s="234"/>
      <c r="BJ547" s="236"/>
      <c r="BK547" s="222"/>
      <c r="BL547" s="222"/>
      <c r="BM547" s="238"/>
      <c r="BN547" s="222"/>
      <c r="BO547" s="222"/>
      <c r="BP547" s="243"/>
      <c r="BQ547" s="244"/>
      <c r="BR547" s="238"/>
      <c r="BS547" s="68"/>
      <c r="BT547" s="69"/>
      <c r="BU547" s="69"/>
      <c r="BV547" s="69"/>
      <c r="BW547" s="75"/>
      <c r="BX547" s="81"/>
      <c r="BY547" s="66">
        <f>VLOOKUP([4]C1!$BY:$BY,[4]C1!$BY$531:$BY$625,1,FALSE)</f>
        <v>45770</v>
      </c>
      <c r="BZ547" s="944" t="str">
        <f>VLOOKUP([4]C1!$BZ:$BZ,[4]C1!$BZ$531:$BZ$625,1,FALSE)</f>
        <v>A5-8077,A5-8078,A5-8079,A5-8080,TLN-527409</v>
      </c>
      <c r="CA547" s="42" t="str">
        <f t="shared" si="333"/>
        <v>0</v>
      </c>
      <c r="CB547" s="62">
        <f t="shared" si="334"/>
        <v>14.438194444446708</v>
      </c>
      <c r="CC547" s="42">
        <f t="shared" si="335"/>
        <v>0</v>
      </c>
      <c r="CD547" s="62">
        <f t="shared" si="336"/>
        <v>14.438194444446708</v>
      </c>
      <c r="CE547" s="62">
        <f t="shared" si="337"/>
        <v>0.7219097222223354</v>
      </c>
      <c r="CF547" s="145">
        <f t="shared" si="338"/>
        <v>100</v>
      </c>
      <c r="CG547" s="145"/>
      <c r="CH547" s="443">
        <f t="shared" si="339"/>
        <v>5.7219097222223354</v>
      </c>
      <c r="CI547" s="996">
        <f t="shared" si="340"/>
        <v>5.7219097222223354</v>
      </c>
      <c r="CJ547" s="261">
        <f t="shared" si="341"/>
        <v>1.6666666666666667</v>
      </c>
      <c r="CK547" s="458" t="str">
        <f t="shared" si="342"/>
        <v/>
      </c>
      <c r="CL547" t="str">
        <f t="shared" si="343"/>
        <v>NON-REV</v>
      </c>
      <c r="CM547" t="str">
        <f t="shared" si="344"/>
        <v/>
      </c>
      <c r="CN547" s="635"/>
      <c r="CO547" s="631"/>
      <c r="CP547" s="629" t="str">
        <f t="shared" si="321"/>
        <v>FOR ISSUANCE</v>
      </c>
      <c r="CQ547" s="635"/>
      <c r="CR547" s="697"/>
      <c r="CS547" s="633" t="str">
        <f t="shared" ca="1" si="345"/>
        <v>0</v>
      </c>
      <c r="CT547" s="635"/>
      <c r="CU547" s="631"/>
      <c r="CV547" s="638"/>
      <c r="CW547" s="404"/>
      <c r="CX547" s="156"/>
      <c r="CY547" s="156"/>
      <c r="DA547" s="762">
        <f t="shared" si="313"/>
        <v>6.945138888891961</v>
      </c>
      <c r="DS547" s="442" t="s">
        <v>381</v>
      </c>
    </row>
    <row r="548" spans="1:123" ht="15" customHeight="1" x14ac:dyDescent="0.2">
      <c r="A548" s="242">
        <v>45776</v>
      </c>
      <c r="B548" s="222">
        <v>45758</v>
      </c>
      <c r="C548" s="223"/>
      <c r="D548" s="350" t="s">
        <v>284</v>
      </c>
      <c r="E548" s="404" t="s">
        <v>2996</v>
      </c>
      <c r="F548" s="155" t="s">
        <v>2997</v>
      </c>
      <c r="G548" s="95" t="s">
        <v>2998</v>
      </c>
      <c r="H548" s="95" t="s">
        <v>238</v>
      </c>
      <c r="I548" s="95" t="s">
        <v>239</v>
      </c>
      <c r="J548" s="163"/>
      <c r="K548" s="101"/>
      <c r="L548" s="101" t="s">
        <v>255</v>
      </c>
      <c r="M548" s="101" t="s">
        <v>272</v>
      </c>
      <c r="N548" s="442" t="s">
        <v>381</v>
      </c>
      <c r="O548" s="165">
        <v>2.04</v>
      </c>
      <c r="P548" s="933">
        <v>4.9400000000000004</v>
      </c>
      <c r="Q548" s="157" t="s">
        <v>2021</v>
      </c>
      <c r="R548" s="109" t="s">
        <v>319</v>
      </c>
      <c r="S548" s="110">
        <v>15000.91</v>
      </c>
      <c r="T548" s="93">
        <v>4244.5200000000004</v>
      </c>
      <c r="U548" s="141"/>
      <c r="V548" s="158">
        <f t="shared" si="322"/>
        <v>0</v>
      </c>
      <c r="W548" s="159">
        <v>45754.563194444447</v>
      </c>
      <c r="X548" s="159">
        <v>45762.539583333331</v>
      </c>
      <c r="Y548" s="160">
        <v>45757</v>
      </c>
      <c r="Z548" s="470">
        <v>45773</v>
      </c>
      <c r="AA548" s="470">
        <v>45806.625</v>
      </c>
      <c r="AB548" s="470"/>
      <c r="AC548" s="161">
        <f t="shared" si="323"/>
        <v>52.061805555553292</v>
      </c>
      <c r="AD548" s="161">
        <f t="shared" si="316"/>
        <v>44.085416666668607</v>
      </c>
      <c r="AE548" s="446">
        <f t="shared" si="346"/>
        <v>-45806.625</v>
      </c>
      <c r="AF548" s="160">
        <f t="shared" si="317"/>
        <v>45766.563194444447</v>
      </c>
      <c r="AG548" s="160">
        <f t="shared" si="314"/>
        <v>45773.563194444447</v>
      </c>
      <c r="AH548" s="159">
        <f t="shared" si="318"/>
        <v>45804.563194444447</v>
      </c>
      <c r="AI548" s="162">
        <f t="shared" si="324"/>
        <v>2.6030902777776648</v>
      </c>
      <c r="AJ548" s="224">
        <f t="shared" si="319"/>
        <v>-763.44375000000002</v>
      </c>
      <c r="AK548" s="225">
        <f t="shared" si="325"/>
        <v>20</v>
      </c>
      <c r="AL548" s="170">
        <f t="shared" si="326"/>
        <v>20</v>
      </c>
      <c r="AM548" s="170">
        <f t="shared" si="327"/>
        <v>15.000000000000002</v>
      </c>
      <c r="AN548" s="170">
        <f t="shared" si="328"/>
        <v>19</v>
      </c>
      <c r="AO548" s="226">
        <f t="shared" si="329"/>
        <v>12.000000000000002</v>
      </c>
      <c r="AP548" s="227">
        <v>60</v>
      </c>
      <c r="AQ548" s="228">
        <f t="shared" si="330"/>
        <v>57</v>
      </c>
      <c r="AR548" s="228">
        <f t="shared" si="315"/>
        <v>52</v>
      </c>
      <c r="AS548" s="229">
        <f t="shared" si="331"/>
        <v>45866.625</v>
      </c>
      <c r="AT548" s="982">
        <f t="shared" ca="1" si="332"/>
        <v>88.375</v>
      </c>
      <c r="AU548" s="1077"/>
      <c r="AV548" s="1092"/>
      <c r="AW548" s="1079"/>
      <c r="AX548" s="1079"/>
      <c r="AY548" s="1079"/>
      <c r="AZ548" s="1080"/>
      <c r="BA548" s="1101"/>
      <c r="BB548" s="1091"/>
      <c r="BC548" s="231" t="s">
        <v>12</v>
      </c>
      <c r="BD548" s="232"/>
      <c r="BE548" s="222">
        <f t="shared" si="347"/>
        <v>45821.625</v>
      </c>
      <c r="BF548" s="233">
        <f t="shared" si="320"/>
        <v>54.375</v>
      </c>
      <c r="BG548" s="234">
        <v>45773</v>
      </c>
      <c r="BH548" s="235">
        <v>45876</v>
      </c>
      <c r="BI548" s="234"/>
      <c r="BJ548" s="236"/>
      <c r="BK548" s="222"/>
      <c r="BL548" s="222"/>
      <c r="BM548" s="238"/>
      <c r="BN548" s="222"/>
      <c r="BO548" s="222"/>
      <c r="BP548" s="243"/>
      <c r="BQ548" s="244"/>
      <c r="BR548" s="238"/>
      <c r="BS548" s="68"/>
      <c r="BT548" s="69"/>
      <c r="BU548" s="69"/>
      <c r="BV548" s="69"/>
      <c r="BW548" s="75"/>
      <c r="BX548" s="81"/>
      <c r="BY548" s="66" t="e">
        <f>VLOOKUP([4]C1!$BY:$BY,[4]C1!$BY$531:$BY$625,1,FALSE)</f>
        <v>#N/A</v>
      </c>
      <c r="BZ548" s="944" t="e">
        <f>VLOOKUP([4]C1!$BZ:$BZ,[4]C1!$BZ$531:$BZ$625,1,FALSE)</f>
        <v>#N/A</v>
      </c>
      <c r="CA548" s="42" t="str">
        <f t="shared" si="333"/>
        <v>0</v>
      </c>
      <c r="CB548" s="62">
        <f t="shared" si="334"/>
        <v>52.061805555553292</v>
      </c>
      <c r="CC548" s="42">
        <f t="shared" si="335"/>
        <v>0</v>
      </c>
      <c r="CD548" s="62">
        <f t="shared" si="336"/>
        <v>52.061805555553292</v>
      </c>
      <c r="CE548" s="62">
        <f t="shared" si="337"/>
        <v>2.6030902777776648</v>
      </c>
      <c r="CF548" s="1059">
        <f t="shared" si="338"/>
        <v>62.375</v>
      </c>
      <c r="CH548" s="1082">
        <f t="shared" si="339"/>
        <v>5.7218402777776642</v>
      </c>
      <c r="CI548" s="1083">
        <f t="shared" si="340"/>
        <v>5.7218402777776642</v>
      </c>
      <c r="CJ548" s="1084">
        <f t="shared" si="341"/>
        <v>1.0395833333333333</v>
      </c>
      <c r="CK548" s="1085" t="str">
        <f t="shared" si="342"/>
        <v/>
      </c>
      <c r="CL548" s="1057" t="str">
        <f t="shared" si="343"/>
        <v>NON-REV</v>
      </c>
      <c r="CM548" s="1057" t="str">
        <f t="shared" si="344"/>
        <v/>
      </c>
      <c r="CN548" s="1086"/>
      <c r="CO548" s="1087"/>
      <c r="CP548" s="629" t="str">
        <f t="shared" si="321"/>
        <v>FOR ISSUANCE</v>
      </c>
      <c r="CQ548" s="1086"/>
      <c r="CR548" s="1088"/>
      <c r="CS548" s="1089" t="str">
        <f t="shared" ca="1" si="345"/>
        <v>0</v>
      </c>
      <c r="CT548" s="1086"/>
      <c r="CU548" s="1087"/>
      <c r="CV548" s="1090"/>
      <c r="CX548" s="156"/>
      <c r="CY548" s="156"/>
      <c r="DA548" s="1100">
        <f t="shared" si="313"/>
        <v>7.976388888884685</v>
      </c>
      <c r="DS548" s="442" t="s">
        <v>381</v>
      </c>
    </row>
    <row r="549" spans="1:123" customFormat="1" ht="15" customHeight="1" x14ac:dyDescent="0.25">
      <c r="A549" s="242">
        <v>45768</v>
      </c>
      <c r="B549" s="222">
        <v>45757</v>
      </c>
      <c r="C549" s="223"/>
      <c r="D549" s="350" t="s">
        <v>284</v>
      </c>
      <c r="E549" s="404" t="s">
        <v>2999</v>
      </c>
      <c r="F549" s="155" t="s">
        <v>3000</v>
      </c>
      <c r="G549" s="95" t="s">
        <v>2646</v>
      </c>
      <c r="H549" s="95" t="s">
        <v>238</v>
      </c>
      <c r="I549" s="95" t="s">
        <v>239</v>
      </c>
      <c r="J549" s="163" t="s">
        <v>2511</v>
      </c>
      <c r="K549" s="101"/>
      <c r="L549" s="101" t="s">
        <v>288</v>
      </c>
      <c r="M549" s="101" t="s">
        <v>272</v>
      </c>
      <c r="N549" s="442" t="s">
        <v>381</v>
      </c>
      <c r="O549" s="165">
        <v>39.723399999999998</v>
      </c>
      <c r="P549" s="933">
        <v>39.72</v>
      </c>
      <c r="Q549" s="157" t="s">
        <v>2021</v>
      </c>
      <c r="R549" s="109" t="s">
        <v>319</v>
      </c>
      <c r="S549" s="110">
        <v>50172.66</v>
      </c>
      <c r="T549" s="93">
        <v>44676.99</v>
      </c>
      <c r="U549" s="141"/>
      <c r="V549" s="158">
        <f t="shared" si="322"/>
        <v>0</v>
      </c>
      <c r="W549" s="159">
        <v>45754.56527777778</v>
      </c>
      <c r="X549" s="159">
        <v>45757.265972222223</v>
      </c>
      <c r="Y549" s="160">
        <v>45757</v>
      </c>
      <c r="Z549" s="470"/>
      <c r="AA549" s="470">
        <v>45812</v>
      </c>
      <c r="AB549" s="470"/>
      <c r="AC549" s="161">
        <f t="shared" si="323"/>
        <v>57.434722222220444</v>
      </c>
      <c r="AD549" s="161">
        <f t="shared" si="316"/>
        <v>54.734027777776646</v>
      </c>
      <c r="AE549" s="446">
        <f t="shared" si="346"/>
        <v>-45812</v>
      </c>
      <c r="AF549" s="160">
        <f t="shared" si="317"/>
        <v>45766.56527777778</v>
      </c>
      <c r="AG549" s="160">
        <f t="shared" si="314"/>
        <v>45773.56527777778</v>
      </c>
      <c r="AH549" s="159">
        <f t="shared" si="318"/>
        <v>45804.56527777778</v>
      </c>
      <c r="AI549" s="162">
        <f t="shared" si="324"/>
        <v>2.8717361111110216</v>
      </c>
      <c r="AJ549" s="224">
        <f t="shared" si="319"/>
        <v>-763.5333333333333</v>
      </c>
      <c r="AK549" s="225">
        <f t="shared" si="325"/>
        <v>20</v>
      </c>
      <c r="AL549" s="170">
        <f t="shared" si="326"/>
        <v>20</v>
      </c>
      <c r="AM549" s="170">
        <f t="shared" si="327"/>
        <v>15.000000000000002</v>
      </c>
      <c r="AN549" s="170">
        <f t="shared" si="328"/>
        <v>19</v>
      </c>
      <c r="AO549" s="226">
        <f t="shared" si="329"/>
        <v>12.000000000000002</v>
      </c>
      <c r="AP549" s="227">
        <v>60</v>
      </c>
      <c r="AQ549" s="228">
        <f t="shared" si="330"/>
        <v>57</v>
      </c>
      <c r="AR549" s="228">
        <f t="shared" si="315"/>
        <v>52</v>
      </c>
      <c r="AS549" s="229">
        <f t="shared" si="331"/>
        <v>45872</v>
      </c>
      <c r="AT549" s="982">
        <f t="shared" ca="1" si="332"/>
        <v>83</v>
      </c>
      <c r="AU549" s="50"/>
      <c r="AV549" s="51"/>
      <c r="AW549" s="49"/>
      <c r="AX549" s="49"/>
      <c r="AY549" s="49"/>
      <c r="AZ549" s="300"/>
      <c r="BA549" s="52"/>
      <c r="BB549" s="304"/>
      <c r="BC549" s="231" t="s">
        <v>13</v>
      </c>
      <c r="BD549" s="232"/>
      <c r="BE549" s="222">
        <f t="shared" si="347"/>
        <v>45827</v>
      </c>
      <c r="BF549" s="233" t="e">
        <f t="shared" si="320"/>
        <v>#VALUE!</v>
      </c>
      <c r="BG549" s="234"/>
      <c r="BH549" s="235"/>
      <c r="BI549" s="234"/>
      <c r="BJ549" s="236"/>
      <c r="BK549" s="222"/>
      <c r="BL549" s="222"/>
      <c r="BM549" s="238"/>
      <c r="BN549" s="222"/>
      <c r="BO549" s="222"/>
      <c r="BP549" s="243"/>
      <c r="BQ549" s="244" t="s">
        <v>247</v>
      </c>
      <c r="BR549" s="238">
        <v>45807</v>
      </c>
      <c r="BS549" s="68"/>
      <c r="BT549" s="69"/>
      <c r="BU549" s="69"/>
      <c r="BV549" s="69"/>
      <c r="BW549" s="75"/>
      <c r="BX549" s="81"/>
      <c r="BY549" s="66">
        <f>VLOOKUP([4]C1!$BY:$BY,[4]C1!$BY$531:$BY$625,1,FALSE)</f>
        <v>45757</v>
      </c>
      <c r="BZ549" s="944" t="str">
        <f>VLOOKUP([4]C1!$BZ:$BZ,[4]C1!$BZ$531:$BZ$625,1,FALSE)</f>
        <v>A6-8029,A6-8030,A6-8031,TLN-521988</v>
      </c>
      <c r="CA549" s="42" t="str">
        <f t="shared" si="333"/>
        <v>0</v>
      </c>
      <c r="CB549" s="62">
        <f t="shared" si="334"/>
        <v>57.434722222220444</v>
      </c>
      <c r="CC549" s="42">
        <f t="shared" si="335"/>
        <v>0</v>
      </c>
      <c r="CD549" s="62">
        <f t="shared" si="336"/>
        <v>57.434722222220444</v>
      </c>
      <c r="CE549" s="62">
        <f t="shared" si="337"/>
        <v>2.8717361111110216</v>
      </c>
      <c r="CF549" s="145">
        <f t="shared" si="338"/>
        <v>57</v>
      </c>
      <c r="CG549" s="145"/>
      <c r="CH549" s="443">
        <f t="shared" si="339"/>
        <v>5.7217361111110216</v>
      </c>
      <c r="CI549" s="996">
        <f t="shared" si="340"/>
        <v>5.7217361111110216</v>
      </c>
      <c r="CJ549" s="261">
        <f t="shared" si="341"/>
        <v>0.95</v>
      </c>
      <c r="CK549" s="458" t="str">
        <f t="shared" si="342"/>
        <v/>
      </c>
      <c r="CL549" t="str">
        <f t="shared" si="343"/>
        <v>NON-REV</v>
      </c>
      <c r="CM549" t="str">
        <f t="shared" si="344"/>
        <v/>
      </c>
      <c r="CN549" s="635"/>
      <c r="CO549" s="631"/>
      <c r="CP549" s="629" t="str">
        <f t="shared" si="321"/>
        <v>FOR ISSUANCE</v>
      </c>
      <c r="CQ549" s="635"/>
      <c r="CR549" s="697"/>
      <c r="CS549" s="633" t="str">
        <f t="shared" ca="1" si="345"/>
        <v>0</v>
      </c>
      <c r="CT549" s="635"/>
      <c r="CU549" s="631"/>
      <c r="CV549" s="638"/>
      <c r="CW549" s="404"/>
      <c r="CX549" s="156"/>
      <c r="CY549" s="156"/>
      <c r="DA549" s="762">
        <f t="shared" si="313"/>
        <v>2.7006944444437977</v>
      </c>
      <c r="DS549" s="442" t="s">
        <v>381</v>
      </c>
    </row>
    <row r="550" spans="1:123" customFormat="1" ht="15" customHeight="1" x14ac:dyDescent="0.25">
      <c r="A550" s="242">
        <v>45771</v>
      </c>
      <c r="B550" s="222">
        <v>45758</v>
      </c>
      <c r="C550" s="223"/>
      <c r="D550" s="350" t="s">
        <v>284</v>
      </c>
      <c r="E550" s="404" t="s">
        <v>3001</v>
      </c>
      <c r="F550" s="155" t="s">
        <v>3002</v>
      </c>
      <c r="G550" s="95" t="s">
        <v>2026</v>
      </c>
      <c r="H550" s="95" t="s">
        <v>238</v>
      </c>
      <c r="I550" s="95" t="s">
        <v>239</v>
      </c>
      <c r="J550" s="163"/>
      <c r="K550" s="101"/>
      <c r="L550" s="101" t="s">
        <v>288</v>
      </c>
      <c r="M550" s="101" t="s">
        <v>272</v>
      </c>
      <c r="N550" s="442" t="s">
        <v>381</v>
      </c>
      <c r="O550" s="165">
        <v>21.1067</v>
      </c>
      <c r="P550" s="933">
        <v>50.13</v>
      </c>
      <c r="Q550" s="157" t="s">
        <v>2021</v>
      </c>
      <c r="R550" s="109" t="s">
        <v>319</v>
      </c>
      <c r="S550" s="110">
        <v>56610.84</v>
      </c>
      <c r="T550" s="93">
        <v>43081.66</v>
      </c>
      <c r="U550" s="141"/>
      <c r="V550" s="158">
        <f t="shared" si="322"/>
        <v>0</v>
      </c>
      <c r="W550" s="159">
        <v>45754.568055555559</v>
      </c>
      <c r="X550" s="159">
        <v>45762.538888888892</v>
      </c>
      <c r="Y550" s="160">
        <v>45757</v>
      </c>
      <c r="Z550" s="470"/>
      <c r="AA550" s="470">
        <v>45773</v>
      </c>
      <c r="AB550" s="470"/>
      <c r="AC550" s="161">
        <f t="shared" si="323"/>
        <v>18.431944444440887</v>
      </c>
      <c r="AD550" s="161">
        <f t="shared" si="316"/>
        <v>10.461111111108039</v>
      </c>
      <c r="AE550" s="446">
        <f t="shared" si="346"/>
        <v>-45773</v>
      </c>
      <c r="AF550" s="160">
        <f t="shared" si="317"/>
        <v>45766.568055555559</v>
      </c>
      <c r="AG550" s="160">
        <f t="shared" si="314"/>
        <v>45773.568055555559</v>
      </c>
      <c r="AH550" s="159">
        <f t="shared" si="318"/>
        <v>45804.568055555559</v>
      </c>
      <c r="AI550" s="162">
        <f t="shared" si="324"/>
        <v>0.92159722222204432</v>
      </c>
      <c r="AJ550" s="224">
        <f t="shared" si="319"/>
        <v>-762.88333333333333</v>
      </c>
      <c r="AK550" s="225">
        <f t="shared" si="325"/>
        <v>20</v>
      </c>
      <c r="AL550" s="170">
        <f t="shared" si="326"/>
        <v>20</v>
      </c>
      <c r="AM550" s="170">
        <f t="shared" si="327"/>
        <v>15.000000000000002</v>
      </c>
      <c r="AN550" s="170">
        <f t="shared" si="328"/>
        <v>19</v>
      </c>
      <c r="AO550" s="226">
        <f t="shared" si="329"/>
        <v>12.000000000000002</v>
      </c>
      <c r="AP550" s="227">
        <v>60</v>
      </c>
      <c r="AQ550" s="228">
        <f t="shared" si="330"/>
        <v>57</v>
      </c>
      <c r="AR550" s="228">
        <f t="shared" si="315"/>
        <v>52</v>
      </c>
      <c r="AS550" s="229">
        <f t="shared" si="331"/>
        <v>45833</v>
      </c>
      <c r="AT550" s="982">
        <f t="shared" ca="1" si="332"/>
        <v>122</v>
      </c>
      <c r="AU550" s="50"/>
      <c r="AV550" s="51"/>
      <c r="AW550" s="49"/>
      <c r="AX550" s="49"/>
      <c r="AY550" s="49"/>
      <c r="AZ550" s="300"/>
      <c r="BA550" s="52"/>
      <c r="BB550" s="304"/>
      <c r="BC550" s="231" t="s">
        <v>12</v>
      </c>
      <c r="BD550" s="232"/>
      <c r="BE550" s="222">
        <f t="shared" si="347"/>
        <v>45788</v>
      </c>
      <c r="BF550" s="233">
        <f t="shared" si="320"/>
        <v>50</v>
      </c>
      <c r="BG550" s="234">
        <v>45773</v>
      </c>
      <c r="BH550" s="235">
        <v>45838</v>
      </c>
      <c r="BI550" s="234"/>
      <c r="BJ550" s="236"/>
      <c r="BK550" s="222"/>
      <c r="BL550" s="222"/>
      <c r="BM550" s="238"/>
      <c r="BN550" s="222"/>
      <c r="BO550" s="222"/>
      <c r="BP550" s="243"/>
      <c r="BQ550" s="244"/>
      <c r="BR550" s="238"/>
      <c r="BS550" s="68"/>
      <c r="BT550" s="69"/>
      <c r="BU550" s="69"/>
      <c r="BV550" s="69"/>
      <c r="BW550" s="75"/>
      <c r="BX550" s="81"/>
      <c r="BY550" s="66" t="s">
        <v>308</v>
      </c>
      <c r="BZ550" s="944" t="e">
        <f>VLOOKUP([4]C1!$BZ:$BZ,[4]C1!$BZ$531:$BZ$625,1,FALSE)</f>
        <v>#N/A</v>
      </c>
      <c r="CA550" s="42" t="str">
        <f t="shared" si="333"/>
        <v>0</v>
      </c>
      <c r="CB550" s="62">
        <f t="shared" si="334"/>
        <v>18.431944444440887</v>
      </c>
      <c r="CC550" s="42">
        <f t="shared" si="335"/>
        <v>0</v>
      </c>
      <c r="CD550" s="62">
        <f t="shared" si="336"/>
        <v>18.431944444440887</v>
      </c>
      <c r="CE550" s="62">
        <f t="shared" si="337"/>
        <v>0.92159722222204432</v>
      </c>
      <c r="CF550" s="145">
        <f t="shared" si="338"/>
        <v>96</v>
      </c>
      <c r="CG550" s="145"/>
      <c r="CH550" s="443">
        <f t="shared" si="339"/>
        <v>5.7215972222220444</v>
      </c>
      <c r="CI550" s="996">
        <f t="shared" si="340"/>
        <v>5.7215972222220444</v>
      </c>
      <c r="CJ550" s="261">
        <f t="shared" si="341"/>
        <v>1.6</v>
      </c>
      <c r="CK550" s="458" t="str">
        <f t="shared" si="342"/>
        <v/>
      </c>
      <c r="CL550" t="str">
        <f t="shared" si="343"/>
        <v>NON-REV</v>
      </c>
      <c r="CM550" t="str">
        <f t="shared" si="344"/>
        <v/>
      </c>
      <c r="CN550" s="635"/>
      <c r="CO550" s="631"/>
      <c r="CP550" s="629" t="str">
        <f t="shared" si="321"/>
        <v>FOR ISSUANCE</v>
      </c>
      <c r="CQ550" s="635"/>
      <c r="CR550" s="697"/>
      <c r="CS550" s="633" t="str">
        <f t="shared" ca="1" si="345"/>
        <v>0</v>
      </c>
      <c r="CT550" s="635"/>
      <c r="CU550" s="631"/>
      <c r="CV550" s="638"/>
      <c r="CW550" s="404"/>
      <c r="CX550" s="156"/>
      <c r="CY550" s="156"/>
      <c r="DA550" s="762">
        <f t="shared" si="313"/>
        <v>7.9708333333328483</v>
      </c>
      <c r="DS550" s="442" t="s">
        <v>381</v>
      </c>
    </row>
    <row r="551" spans="1:123" ht="15" customHeight="1" x14ac:dyDescent="0.2">
      <c r="A551" s="242">
        <v>45768</v>
      </c>
      <c r="B551" s="222">
        <v>45758</v>
      </c>
      <c r="C551" s="223"/>
      <c r="D551" s="345" t="s">
        <v>284</v>
      </c>
      <c r="E551" s="404" t="s">
        <v>3003</v>
      </c>
      <c r="F551" s="155" t="s">
        <v>3004</v>
      </c>
      <c r="G551" s="95" t="s">
        <v>3005</v>
      </c>
      <c r="H551" s="95" t="s">
        <v>238</v>
      </c>
      <c r="I551" s="95" t="s">
        <v>239</v>
      </c>
      <c r="J551" s="1134" t="s">
        <v>410</v>
      </c>
      <c r="K551" s="101"/>
      <c r="L551" s="101" t="s">
        <v>255</v>
      </c>
      <c r="M551" s="101" t="s">
        <v>331</v>
      </c>
      <c r="N551" s="442" t="s">
        <v>403</v>
      </c>
      <c r="O551" s="165">
        <v>3.33</v>
      </c>
      <c r="P551" s="165">
        <v>15.98</v>
      </c>
      <c r="Q551" s="157" t="s">
        <v>2021</v>
      </c>
      <c r="R551" s="109" t="s">
        <v>319</v>
      </c>
      <c r="S551" s="110">
        <v>20762.45</v>
      </c>
      <c r="T551" s="93">
        <v>13781.96</v>
      </c>
      <c r="U551" s="141"/>
      <c r="V551" s="158">
        <f t="shared" si="322"/>
        <v>0</v>
      </c>
      <c r="W551" s="159">
        <v>45754.568749999999</v>
      </c>
      <c r="X551" s="159">
        <v>45762.540277777778</v>
      </c>
      <c r="Y551" s="160">
        <v>45757</v>
      </c>
      <c r="Z551" s="470"/>
      <c r="AA551" s="470"/>
      <c r="AB551" s="470"/>
      <c r="AC551" s="161">
        <f t="shared" si="323"/>
        <v>-45754.568749999999</v>
      </c>
      <c r="AD551" s="161">
        <f t="shared" si="316"/>
        <v>-45762.540277777778</v>
      </c>
      <c r="AE551" s="446">
        <f t="shared" si="346"/>
        <v>0</v>
      </c>
      <c r="AF551" s="160">
        <f t="shared" si="317"/>
        <v>45766.568749999999</v>
      </c>
      <c r="AG551" s="160">
        <f t="shared" si="314"/>
        <v>45773.568749999999</v>
      </c>
      <c r="AH551" s="159">
        <f t="shared" si="318"/>
        <v>45804.568749999999</v>
      </c>
      <c r="AI551" s="162">
        <f t="shared" si="324"/>
        <v>-2287.7284374999999</v>
      </c>
      <c r="AJ551" s="224">
        <f t="shared" si="319"/>
        <v>0</v>
      </c>
      <c r="AK551" s="225">
        <f t="shared" si="325"/>
        <v>20</v>
      </c>
      <c r="AL551" s="170">
        <f t="shared" si="326"/>
        <v>20</v>
      </c>
      <c r="AM551" s="170">
        <f t="shared" si="327"/>
        <v>15.000000000000002</v>
      </c>
      <c r="AN551" s="170">
        <f t="shared" si="328"/>
        <v>19</v>
      </c>
      <c r="AO551" s="226">
        <f t="shared" si="329"/>
        <v>12.000000000000002</v>
      </c>
      <c r="AP551" s="227">
        <v>60</v>
      </c>
      <c r="AQ551" s="228">
        <f t="shared" si="330"/>
        <v>57</v>
      </c>
      <c r="AR551" s="228">
        <f t="shared" si="315"/>
        <v>52</v>
      </c>
      <c r="AS551" s="229">
        <f t="shared" si="331"/>
        <v>60</v>
      </c>
      <c r="AT551" s="982">
        <f t="shared" ca="1" si="332"/>
        <v>45895</v>
      </c>
      <c r="AU551" s="1077"/>
      <c r="AV551" s="1092"/>
      <c r="AW551" s="1079"/>
      <c r="AX551" s="1079"/>
      <c r="AY551" s="1079"/>
      <c r="AZ551" s="1080"/>
      <c r="BA551" s="1101"/>
      <c r="BB551" s="1091"/>
      <c r="BC551" s="231"/>
      <c r="BD551" s="232"/>
      <c r="BE551" s="222">
        <f t="shared" si="347"/>
        <v>15</v>
      </c>
      <c r="BF551" s="233">
        <f t="shared" si="320"/>
        <v>0</v>
      </c>
      <c r="BG551" s="234"/>
      <c r="BH551" s="235"/>
      <c r="BI551" s="234"/>
      <c r="BJ551" s="236"/>
      <c r="BK551" s="222"/>
      <c r="BL551" s="222"/>
      <c r="BM551" s="238"/>
      <c r="BN551" s="222"/>
      <c r="BO551" s="222"/>
      <c r="BP551" s="243"/>
      <c r="BQ551" s="244"/>
      <c r="BR551" s="238"/>
      <c r="BS551" s="68"/>
      <c r="BT551" s="69"/>
      <c r="BU551" s="69"/>
      <c r="BV551" s="69"/>
      <c r="BW551" s="75"/>
      <c r="BX551" s="81"/>
      <c r="BY551" s="66" t="s">
        <v>308</v>
      </c>
      <c r="BZ551" s="944" t="e">
        <f>VLOOKUP([4]C1!$BZ:$BZ,[4]C1!$BZ$531:$BZ$625,1,FALSE)</f>
        <v>#N/A</v>
      </c>
      <c r="CA551" s="42" t="str">
        <f t="shared" si="333"/>
        <v>0</v>
      </c>
      <c r="CB551" s="62">
        <f t="shared" si="334"/>
        <v>-45754.568749999999</v>
      </c>
      <c r="CC551" s="42">
        <f t="shared" si="335"/>
        <v>0</v>
      </c>
      <c r="CD551" s="62">
        <f t="shared" si="336"/>
        <v>-45754.568749999999</v>
      </c>
      <c r="CE551" s="62">
        <f t="shared" si="337"/>
        <v>-2287.7284374999999</v>
      </c>
      <c r="CF551" s="1059" t="str">
        <f t="shared" si="338"/>
        <v>0</v>
      </c>
      <c r="CH551" s="1082">
        <f t="shared" si="339"/>
        <v>5.7215625000000729</v>
      </c>
      <c r="CI551" s="1083">
        <f t="shared" si="340"/>
        <v>5.7215625000000729</v>
      </c>
      <c r="CJ551" s="1084">
        <f t="shared" si="341"/>
        <v>0</v>
      </c>
      <c r="CK551" s="1085">
        <f t="shared" si="342"/>
        <v>101.43125000000146</v>
      </c>
      <c r="CL551" s="1057" t="str">
        <f t="shared" si="343"/>
        <v>NON-REV</v>
      </c>
      <c r="CM551" s="1057" t="str">
        <f t="shared" si="344"/>
        <v>4-6 MONTHS</v>
      </c>
      <c r="CN551" s="1086"/>
      <c r="CO551" s="1087"/>
      <c r="CP551" s="629" t="str">
        <f t="shared" si="321"/>
        <v>FOR ISSUANCE</v>
      </c>
      <c r="CQ551" s="1086"/>
      <c r="CR551" s="1088"/>
      <c r="CS551" s="1089" t="str">
        <f t="shared" ca="1" si="345"/>
        <v>0</v>
      </c>
      <c r="CT551" s="1086"/>
      <c r="CU551" s="1087"/>
      <c r="CV551" s="1090"/>
      <c r="CX551" s="156"/>
      <c r="CY551" s="156"/>
      <c r="DA551" s="1100">
        <f t="shared" si="313"/>
        <v>7.9715277777795563</v>
      </c>
      <c r="DS551" s="442" t="s">
        <v>381</v>
      </c>
    </row>
    <row r="552" spans="1:123" customFormat="1" ht="15" customHeight="1" x14ac:dyDescent="0.25">
      <c r="A552" s="242">
        <v>45757</v>
      </c>
      <c r="B552" s="222">
        <v>45758</v>
      </c>
      <c r="C552" s="223" t="s">
        <v>247</v>
      </c>
      <c r="D552" s="66" t="s">
        <v>320</v>
      </c>
      <c r="E552" s="404" t="s">
        <v>3006</v>
      </c>
      <c r="F552" s="155" t="s">
        <v>3007</v>
      </c>
      <c r="G552" s="95" t="s">
        <v>2968</v>
      </c>
      <c r="H552" s="95" t="s">
        <v>238</v>
      </c>
      <c r="I552" s="95" t="s">
        <v>239</v>
      </c>
      <c r="J552" s="163"/>
      <c r="K552" s="101"/>
      <c r="L552" s="101" t="s">
        <v>288</v>
      </c>
      <c r="M552" s="101" t="s">
        <v>272</v>
      </c>
      <c r="N552" s="442" t="s">
        <v>381</v>
      </c>
      <c r="O552" s="165">
        <v>1.73</v>
      </c>
      <c r="P552" s="933">
        <v>4.3099999999999996</v>
      </c>
      <c r="Q552" s="157">
        <v>31</v>
      </c>
      <c r="R552" s="109" t="s">
        <v>548</v>
      </c>
      <c r="S552" s="110">
        <v>20761.28</v>
      </c>
      <c r="T552" s="93">
        <v>3703.32</v>
      </c>
      <c r="U552" s="141"/>
      <c r="V552" s="158">
        <f t="shared" si="322"/>
        <v>0</v>
      </c>
      <c r="W552" s="159">
        <v>45754.571527777778</v>
      </c>
      <c r="X552" s="159">
        <v>45755.734722222223</v>
      </c>
      <c r="Y552" s="160">
        <v>45757</v>
      </c>
      <c r="Z552" s="470"/>
      <c r="AA552" s="470">
        <v>45777</v>
      </c>
      <c r="AB552" s="470"/>
      <c r="AC552" s="161">
        <f t="shared" si="323"/>
        <v>22.428472222221899</v>
      </c>
      <c r="AD552" s="161">
        <f t="shared" si="316"/>
        <v>21.265277777776646</v>
      </c>
      <c r="AE552" s="446">
        <f t="shared" si="346"/>
        <v>-45777</v>
      </c>
      <c r="AF552" s="160">
        <f t="shared" si="317"/>
        <v>45773.345721326164</v>
      </c>
      <c r="AG552" s="160">
        <f t="shared" si="314"/>
        <v>45782.152172939066</v>
      </c>
      <c r="AH552" s="159">
        <f t="shared" si="318"/>
        <v>45804.571527777778</v>
      </c>
      <c r="AI552" s="162">
        <f t="shared" si="324"/>
        <v>0.77253626543208753</v>
      </c>
      <c r="AJ552" s="224">
        <f t="shared" si="319"/>
        <v>-762.95</v>
      </c>
      <c r="AK552" s="225">
        <f t="shared" si="325"/>
        <v>20</v>
      </c>
      <c r="AL552" s="170">
        <f t="shared" si="326"/>
        <v>36</v>
      </c>
      <c r="AM552" s="170">
        <f t="shared" si="327"/>
        <v>21.774193548387096</v>
      </c>
      <c r="AN552" s="170">
        <f t="shared" si="328"/>
        <v>27.58064516129032</v>
      </c>
      <c r="AO552" s="226">
        <f t="shared" si="329"/>
        <v>18.774193548387096</v>
      </c>
      <c r="AP552" s="227">
        <v>60</v>
      </c>
      <c r="AQ552" s="228">
        <f t="shared" si="330"/>
        <v>57</v>
      </c>
      <c r="AR552" s="228">
        <f t="shared" si="315"/>
        <v>52</v>
      </c>
      <c r="AS552" s="229">
        <f t="shared" si="331"/>
        <v>45837</v>
      </c>
      <c r="AT552" s="982">
        <f t="shared" ca="1" si="332"/>
        <v>118</v>
      </c>
      <c r="AU552" s="50"/>
      <c r="AV552" s="51"/>
      <c r="AW552" s="49"/>
      <c r="AX552" s="49"/>
      <c r="AY552" s="49"/>
      <c r="AZ552" s="300"/>
      <c r="BA552" s="52"/>
      <c r="BB552" s="304"/>
      <c r="BC552" s="231" t="s">
        <v>12</v>
      </c>
      <c r="BD552" s="232"/>
      <c r="BE552" s="222">
        <f t="shared" si="347"/>
        <v>45792</v>
      </c>
      <c r="BF552" s="233">
        <f t="shared" si="320"/>
        <v>-1</v>
      </c>
      <c r="BG552" s="234">
        <v>45777</v>
      </c>
      <c r="BH552" s="235">
        <v>45791</v>
      </c>
      <c r="BI552" s="234"/>
      <c r="BJ552" s="236"/>
      <c r="BK552" s="222"/>
      <c r="BL552" s="222"/>
      <c r="BM552" s="238"/>
      <c r="BN552" s="222"/>
      <c r="BO552" s="222"/>
      <c r="BP552" s="243"/>
      <c r="BQ552" s="244"/>
      <c r="BR552" s="238"/>
      <c r="BS552" s="68"/>
      <c r="BT552" s="69"/>
      <c r="BU552" s="69"/>
      <c r="BV552" s="69"/>
      <c r="BW552" s="75"/>
      <c r="BX552" s="81"/>
      <c r="BY552" s="66">
        <f>VLOOKUP([4]C1!$BY:$BY,[4]C1!$BY$531:$BY$625,1,FALSE)</f>
        <v>45771</v>
      </c>
      <c r="BZ552" s="944" t="str">
        <f>VLOOKUP([4]C1!$BZ:$BZ,[4]C1!$BZ$531:$BZ$625,1,FALSE)</f>
        <v>DY1-8055,TLN-523487</v>
      </c>
      <c r="CA552" s="42" t="str">
        <f t="shared" si="333"/>
        <v>0</v>
      </c>
      <c r="CB552" s="62">
        <f t="shared" si="334"/>
        <v>22.428472222221899</v>
      </c>
      <c r="CC552" s="42">
        <f t="shared" si="335"/>
        <v>0</v>
      </c>
      <c r="CD552" s="62">
        <f t="shared" si="336"/>
        <v>22.428472222221899</v>
      </c>
      <c r="CE552" s="62">
        <f t="shared" si="337"/>
        <v>0.77253626543208753</v>
      </c>
      <c r="CF552" s="145">
        <f t="shared" si="338"/>
        <v>92</v>
      </c>
      <c r="CG552" s="145"/>
      <c r="CH552" s="443">
        <f t="shared" si="339"/>
        <v>3.9414251543209762</v>
      </c>
      <c r="CI552" s="996">
        <f t="shared" si="340"/>
        <v>3.9414251543209762</v>
      </c>
      <c r="CJ552" s="261">
        <f t="shared" si="341"/>
        <v>1.5333333333333334</v>
      </c>
      <c r="CK552" s="458" t="str">
        <f t="shared" si="342"/>
        <v/>
      </c>
      <c r="CL552" t="str">
        <f t="shared" si="343"/>
        <v>NON-REV</v>
      </c>
      <c r="CM552" t="str">
        <f t="shared" si="344"/>
        <v/>
      </c>
      <c r="CN552" s="635"/>
      <c r="CO552" s="631"/>
      <c r="CP552" s="629" t="str">
        <f t="shared" si="321"/>
        <v>FOR ISSUANCE</v>
      </c>
      <c r="CQ552" s="635"/>
      <c r="CR552" s="697"/>
      <c r="CS552" s="633" t="str">
        <f t="shared" ca="1" si="345"/>
        <v>0</v>
      </c>
      <c r="CT552" s="635"/>
      <c r="CU552" s="631"/>
      <c r="CV552" s="638"/>
      <c r="CW552" s="404"/>
      <c r="CX552" s="156"/>
      <c r="CY552" s="156"/>
      <c r="DA552" s="762">
        <f t="shared" si="313"/>
        <v>1.1631944444452529</v>
      </c>
      <c r="DS552" s="442" t="s">
        <v>381</v>
      </c>
    </row>
    <row r="553" spans="1:123" customFormat="1" ht="15" customHeight="1" x14ac:dyDescent="0.25">
      <c r="A553" s="242">
        <v>45779</v>
      </c>
      <c r="B553" s="222">
        <v>45757</v>
      </c>
      <c r="C553" s="223"/>
      <c r="D553" s="345" t="s">
        <v>284</v>
      </c>
      <c r="E553" s="404" t="s">
        <v>3008</v>
      </c>
      <c r="F553" s="155" t="s">
        <v>3009</v>
      </c>
      <c r="G553" s="95" t="s">
        <v>3010</v>
      </c>
      <c r="H553" s="95" t="s">
        <v>238</v>
      </c>
      <c r="I553" s="95" t="s">
        <v>239</v>
      </c>
      <c r="J553" s="163" t="s">
        <v>3011</v>
      </c>
      <c r="K553" s="101"/>
      <c r="L553" s="101" t="s">
        <v>5</v>
      </c>
      <c r="M553" s="101" t="s">
        <v>331</v>
      </c>
      <c r="N553" s="442" t="s">
        <v>403</v>
      </c>
      <c r="O553" s="165">
        <v>1.73</v>
      </c>
      <c r="P553" s="165">
        <v>4.0999999999999996</v>
      </c>
      <c r="Q553" s="157">
        <v>16</v>
      </c>
      <c r="R553" s="109" t="s">
        <v>244</v>
      </c>
      <c r="S553" s="110">
        <v>20046.55</v>
      </c>
      <c r="T553" s="93">
        <v>3522.87</v>
      </c>
      <c r="U553" s="141"/>
      <c r="V553" s="158">
        <f t="shared" si="322"/>
        <v>0</v>
      </c>
      <c r="W553" s="159">
        <v>45755.401388888888</v>
      </c>
      <c r="X553" s="159">
        <v>45762.545138888891</v>
      </c>
      <c r="Y553" s="160">
        <v>45757</v>
      </c>
      <c r="Z553" s="470"/>
      <c r="AA553" s="470"/>
      <c r="AB553" s="470"/>
      <c r="AC553" s="161">
        <f t="shared" si="323"/>
        <v>-45755.401388888888</v>
      </c>
      <c r="AD553" s="161">
        <f t="shared" si="316"/>
        <v>-45762.545138888891</v>
      </c>
      <c r="AE553" s="446">
        <f t="shared" si="346"/>
        <v>0</v>
      </c>
      <c r="AF553" s="160">
        <f t="shared" si="317"/>
        <v>45774.175582437274</v>
      </c>
      <c r="AG553" s="160">
        <f t="shared" si="314"/>
        <v>45782.982034050176</v>
      </c>
      <c r="AH553" s="159">
        <f t="shared" si="318"/>
        <v>45805.401388888888</v>
      </c>
      <c r="AI553" s="162">
        <f t="shared" si="324"/>
        <v>-1576.0193811728393</v>
      </c>
      <c r="AJ553" s="224">
        <f t="shared" si="319"/>
        <v>0</v>
      </c>
      <c r="AK553" s="225">
        <f t="shared" si="325"/>
        <v>20</v>
      </c>
      <c r="AL553" s="170">
        <f t="shared" si="326"/>
        <v>36</v>
      </c>
      <c r="AM553" s="170">
        <f t="shared" si="327"/>
        <v>21.774193548387096</v>
      </c>
      <c r="AN553" s="170">
        <f t="shared" si="328"/>
        <v>27.58064516129032</v>
      </c>
      <c r="AO553" s="226">
        <f t="shared" si="329"/>
        <v>18.774193548387096</v>
      </c>
      <c r="AP553" s="227">
        <v>60</v>
      </c>
      <c r="AQ553" s="228">
        <f t="shared" si="330"/>
        <v>57</v>
      </c>
      <c r="AR553" s="228">
        <f t="shared" si="315"/>
        <v>52</v>
      </c>
      <c r="AS553" s="229">
        <f t="shared" si="331"/>
        <v>60</v>
      </c>
      <c r="AT553" s="982">
        <f t="shared" ca="1" si="332"/>
        <v>45895</v>
      </c>
      <c r="AU553" s="50"/>
      <c r="AV553" s="51"/>
      <c r="AW553" s="49"/>
      <c r="AX553" s="49"/>
      <c r="AY553" s="49"/>
      <c r="AZ553" s="300"/>
      <c r="BA553" s="52"/>
      <c r="BB553" s="304"/>
      <c r="BC553" s="231"/>
      <c r="BD553" s="232"/>
      <c r="BE553" s="222">
        <f t="shared" si="347"/>
        <v>15</v>
      </c>
      <c r="BF553" s="233">
        <f t="shared" si="320"/>
        <v>0</v>
      </c>
      <c r="BG553" s="234"/>
      <c r="BH553" s="235"/>
      <c r="BI553" s="234"/>
      <c r="BJ553" s="236"/>
      <c r="BK553" s="222"/>
      <c r="BL553" s="222"/>
      <c r="BM553" s="238"/>
      <c r="BN553" s="222"/>
      <c r="BO553" s="222"/>
      <c r="BP553" s="243"/>
      <c r="BQ553" s="244"/>
      <c r="BR553" s="238"/>
      <c r="BS553" s="68"/>
      <c r="BT553" s="69"/>
      <c r="BU553" s="69"/>
      <c r="BV553" s="69"/>
      <c r="BW553" s="75"/>
      <c r="BX553" s="81"/>
      <c r="BY553" s="66" t="s">
        <v>308</v>
      </c>
      <c r="BZ553" s="944" t="e">
        <f>VLOOKUP([4]C1!$BZ:$BZ,[4]C1!$BZ$531:$BZ$625,1,FALSE)</f>
        <v>#N/A</v>
      </c>
      <c r="CA553" s="42" t="str">
        <f t="shared" si="333"/>
        <v>0</v>
      </c>
      <c r="CB553" s="62">
        <f t="shared" si="334"/>
        <v>-45755.401388888888</v>
      </c>
      <c r="CC553" s="42">
        <f t="shared" si="335"/>
        <v>0</v>
      </c>
      <c r="CD553" s="62">
        <f t="shared" si="336"/>
        <v>-45755.401388888888</v>
      </c>
      <c r="CE553" s="62">
        <f t="shared" si="337"/>
        <v>-1576.0193811728393</v>
      </c>
      <c r="CF553" s="145" t="str">
        <f t="shared" si="338"/>
        <v>0</v>
      </c>
      <c r="CG553" s="145"/>
      <c r="CH553" s="443">
        <f t="shared" si="339"/>
        <v>3.9128410493827603</v>
      </c>
      <c r="CI553" s="996">
        <f t="shared" si="340"/>
        <v>3.9128410493827603</v>
      </c>
      <c r="CJ553" s="261">
        <f t="shared" si="341"/>
        <v>0</v>
      </c>
      <c r="CK553" s="458">
        <f t="shared" si="342"/>
        <v>100.5986111111124</v>
      </c>
      <c r="CL553" t="str">
        <f t="shared" si="343"/>
        <v>REV</v>
      </c>
      <c r="CM553" t="str">
        <f t="shared" si="344"/>
        <v>4-6 MONTHS</v>
      </c>
      <c r="CN553" s="635"/>
      <c r="CO553" s="631"/>
      <c r="CP553" s="629" t="str">
        <f t="shared" si="321"/>
        <v>FOR ISSUANCE</v>
      </c>
      <c r="CQ553" s="635"/>
      <c r="CR553" s="697"/>
      <c r="CS553" s="633" t="str">
        <f t="shared" ca="1" si="345"/>
        <v>0</v>
      </c>
      <c r="CT553" s="635"/>
      <c r="CU553" s="631"/>
      <c r="CV553" s="638"/>
      <c r="CW553" s="404"/>
      <c r="CX553" s="156"/>
      <c r="CY553" s="156"/>
      <c r="DA553" s="762">
        <f t="shared" si="313"/>
        <v>7.1437500000029104</v>
      </c>
      <c r="DS553" s="442" t="s">
        <v>381</v>
      </c>
    </row>
    <row r="554" spans="1:123" customFormat="1" ht="15" customHeight="1" x14ac:dyDescent="0.25">
      <c r="A554" s="242">
        <v>45772</v>
      </c>
      <c r="B554" s="222">
        <v>45757</v>
      </c>
      <c r="C554" s="223"/>
      <c r="D554" s="350" t="s">
        <v>284</v>
      </c>
      <c r="E554" s="404" t="s">
        <v>3012</v>
      </c>
      <c r="F554" s="155" t="s">
        <v>3013</v>
      </c>
      <c r="G554" s="95" t="s">
        <v>3014</v>
      </c>
      <c r="H554" s="95" t="s">
        <v>269</v>
      </c>
      <c r="I554" s="95" t="s">
        <v>239</v>
      </c>
      <c r="J554" s="163"/>
      <c r="K554" s="101"/>
      <c r="L554" s="101" t="s">
        <v>263</v>
      </c>
      <c r="M554" s="101" t="s">
        <v>272</v>
      </c>
      <c r="N554" s="442" t="s">
        <v>467</v>
      </c>
      <c r="O554" s="165">
        <v>140.52530000000004</v>
      </c>
      <c r="P554" s="933">
        <v>366.44</v>
      </c>
      <c r="Q554" s="157">
        <v>324</v>
      </c>
      <c r="R554" s="109" t="s">
        <v>244</v>
      </c>
      <c r="S554" s="110">
        <v>1571457.38</v>
      </c>
      <c r="T554" s="93">
        <v>181137.63</v>
      </c>
      <c r="U554" s="141"/>
      <c r="V554" s="158">
        <f t="shared" si="322"/>
        <v>0</v>
      </c>
      <c r="W554" s="159">
        <v>45755.450694444444</v>
      </c>
      <c r="X554" s="159">
        <v>45762.548611111109</v>
      </c>
      <c r="Y554" s="160">
        <v>45757</v>
      </c>
      <c r="Z554" s="470"/>
      <c r="AA554" s="470">
        <v>45769</v>
      </c>
      <c r="AB554" s="470"/>
      <c r="AC554" s="161">
        <f t="shared" si="323"/>
        <v>13.549305555556202</v>
      </c>
      <c r="AD554" s="161">
        <f t="shared" si="316"/>
        <v>6.4513888888905058</v>
      </c>
      <c r="AE554" s="446">
        <f t="shared" si="346"/>
        <v>-45769</v>
      </c>
      <c r="AF554" s="160">
        <f t="shared" si="317"/>
        <v>45773.879265873016</v>
      </c>
      <c r="AG554" s="160">
        <f t="shared" si="314"/>
        <v>45782.593551587299</v>
      </c>
      <c r="AH554" s="159">
        <f t="shared" si="318"/>
        <v>45805.450694444444</v>
      </c>
      <c r="AI554" s="162">
        <f t="shared" si="324"/>
        <v>0.47422569444446705</v>
      </c>
      <c r="AJ554" s="224">
        <f t="shared" si="319"/>
        <v>-762.81666666666672</v>
      </c>
      <c r="AK554" s="225">
        <f t="shared" si="325"/>
        <v>30</v>
      </c>
      <c r="AL554" s="170">
        <f t="shared" si="326"/>
        <v>28</v>
      </c>
      <c r="AM554" s="170">
        <f t="shared" si="327"/>
        <v>21.428571428571431</v>
      </c>
      <c r="AN554" s="170">
        <f t="shared" si="328"/>
        <v>27.142857142857146</v>
      </c>
      <c r="AO554" s="226">
        <f t="shared" si="329"/>
        <v>18.428571428571431</v>
      </c>
      <c r="AP554" s="227">
        <v>60</v>
      </c>
      <c r="AQ554" s="228">
        <f t="shared" si="330"/>
        <v>57</v>
      </c>
      <c r="AR554" s="228">
        <f t="shared" si="315"/>
        <v>52</v>
      </c>
      <c r="AS554" s="229">
        <f t="shared" si="331"/>
        <v>45829</v>
      </c>
      <c r="AT554" s="982">
        <f t="shared" ca="1" si="332"/>
        <v>126</v>
      </c>
      <c r="AU554" s="50"/>
      <c r="AV554" s="51"/>
      <c r="AW554" s="49"/>
      <c r="AX554" s="49"/>
      <c r="AY554" s="49"/>
      <c r="AZ554" s="300"/>
      <c r="BA554" s="52"/>
      <c r="BB554" s="304"/>
      <c r="BC554" s="231" t="s">
        <v>13</v>
      </c>
      <c r="BD554" s="232"/>
      <c r="BE554" s="222">
        <f t="shared" si="347"/>
        <v>45784</v>
      </c>
      <c r="BF554" s="233" t="e">
        <f t="shared" si="320"/>
        <v>#VALUE!</v>
      </c>
      <c r="BG554" s="234"/>
      <c r="BH554" s="235"/>
      <c r="BI554" s="234"/>
      <c r="BJ554" s="236"/>
      <c r="BK554" s="222"/>
      <c r="BL554" s="222"/>
      <c r="BM554" s="238"/>
      <c r="BN554" s="222"/>
      <c r="BO554" s="222"/>
      <c r="BP554" s="243"/>
      <c r="BQ554" s="244"/>
      <c r="BR554" s="238"/>
      <c r="BS554" s="68"/>
      <c r="BT554" s="69"/>
      <c r="BU554" s="69"/>
      <c r="BV554" s="69"/>
      <c r="BW554" s="75"/>
      <c r="BX554" s="81"/>
      <c r="BY554" s="66" t="e">
        <f>VLOOKUP([4]C1!$BY:$BY,[4]C1!$BY$531:$BY$625,1,FALSE)</f>
        <v>#N/A</v>
      </c>
      <c r="BZ554" s="944" t="e">
        <f>VLOOKUP([4]C1!$BZ:$BZ,[4]C1!$BZ$531:$BZ$625,1,FALSE)</f>
        <v>#N/A</v>
      </c>
      <c r="CA554" s="42" t="str">
        <f t="shared" si="333"/>
        <v>0</v>
      </c>
      <c r="CB554" s="62">
        <f t="shared" si="334"/>
        <v>13.549305555556202</v>
      </c>
      <c r="CC554" s="42">
        <f t="shared" si="335"/>
        <v>0</v>
      </c>
      <c r="CD554" s="62">
        <f t="shared" si="336"/>
        <v>13.549305555556202</v>
      </c>
      <c r="CE554" s="62">
        <f t="shared" si="337"/>
        <v>0.47422569444446705</v>
      </c>
      <c r="CF554" s="145">
        <f t="shared" si="338"/>
        <v>100</v>
      </c>
      <c r="CG554" s="145"/>
      <c r="CH554" s="443">
        <f t="shared" si="339"/>
        <v>3.9742256944444669</v>
      </c>
      <c r="CI554" s="996">
        <f t="shared" si="340"/>
        <v>3.9742256944444669</v>
      </c>
      <c r="CJ554" s="261">
        <f t="shared" si="341"/>
        <v>1.6666666666666667</v>
      </c>
      <c r="CK554" s="458" t="str">
        <f t="shared" si="342"/>
        <v/>
      </c>
      <c r="CL554" t="str">
        <f t="shared" si="343"/>
        <v>REV</v>
      </c>
      <c r="CM554" t="str">
        <f t="shared" si="344"/>
        <v/>
      </c>
      <c r="CN554" s="635"/>
      <c r="CO554" s="631"/>
      <c r="CP554" s="629" t="str">
        <f t="shared" si="321"/>
        <v>FOR ISSUANCE</v>
      </c>
      <c r="CQ554" s="635"/>
      <c r="CR554" s="697"/>
      <c r="CS554" s="633" t="str">
        <f t="shared" ca="1" si="345"/>
        <v>0</v>
      </c>
      <c r="CT554" s="635"/>
      <c r="CU554" s="631"/>
      <c r="CV554" s="638"/>
      <c r="CW554" s="404"/>
      <c r="CX554" s="156"/>
      <c r="CY554" s="156"/>
      <c r="DA554" s="762">
        <f t="shared" ref="DA554:DA567" si="348">X554-W554</f>
        <v>7.0979166666656965</v>
      </c>
      <c r="DS554" s="156" t="s">
        <v>397</v>
      </c>
    </row>
    <row r="555" spans="1:123" ht="15" customHeight="1" x14ac:dyDescent="0.2">
      <c r="A555" s="242">
        <v>45799</v>
      </c>
      <c r="B555" s="222">
        <v>45758</v>
      </c>
      <c r="C555" s="223"/>
      <c r="D555" s="66" t="s">
        <v>320</v>
      </c>
      <c r="E555" s="404" t="s">
        <v>3015</v>
      </c>
      <c r="F555" s="155" t="s">
        <v>3016</v>
      </c>
      <c r="G555" s="95" t="s">
        <v>3017</v>
      </c>
      <c r="H555" s="95" t="s">
        <v>269</v>
      </c>
      <c r="I555" s="95" t="s">
        <v>239</v>
      </c>
      <c r="J555" s="1134" t="s">
        <v>2405</v>
      </c>
      <c r="K555" s="101"/>
      <c r="L555" s="101" t="s">
        <v>255</v>
      </c>
      <c r="M555" s="101" t="s">
        <v>331</v>
      </c>
      <c r="N555" s="442" t="s">
        <v>403</v>
      </c>
      <c r="O555" s="165">
        <v>114.39569999999998</v>
      </c>
      <c r="P555" s="165">
        <v>127.86</v>
      </c>
      <c r="Q555" s="157">
        <v>28</v>
      </c>
      <c r="R555" s="109" t="s">
        <v>548</v>
      </c>
      <c r="S555" s="110">
        <v>308349.94</v>
      </c>
      <c r="T555" s="93">
        <v>76260.97</v>
      </c>
      <c r="U555" s="141"/>
      <c r="V555" s="158">
        <f t="shared" si="322"/>
        <v>0</v>
      </c>
      <c r="W555" s="159">
        <v>45755.457638888889</v>
      </c>
      <c r="X555" s="159">
        <v>45762.546527777777</v>
      </c>
      <c r="Y555" s="160">
        <v>45757</v>
      </c>
      <c r="Z555" s="470"/>
      <c r="AA555" s="470"/>
      <c r="AB555" s="470"/>
      <c r="AC555" s="161">
        <f t="shared" si="323"/>
        <v>-45755.457638888889</v>
      </c>
      <c r="AD555" s="161">
        <f t="shared" si="316"/>
        <v>-45762.546527777777</v>
      </c>
      <c r="AE555" s="446">
        <f t="shared" si="346"/>
        <v>0</v>
      </c>
      <c r="AF555" s="160">
        <f t="shared" si="317"/>
        <v>45776.664535440614</v>
      </c>
      <c r="AG555" s="160">
        <f t="shared" si="314"/>
        <v>45786.119707854406</v>
      </c>
      <c r="AH555" s="159">
        <f t="shared" si="318"/>
        <v>45805.457638888889</v>
      </c>
      <c r="AI555" s="162">
        <f t="shared" si="324"/>
        <v>-1417.6370422305317</v>
      </c>
      <c r="AJ555" s="224">
        <f t="shared" si="319"/>
        <v>0</v>
      </c>
      <c r="AK555" s="225">
        <f t="shared" si="325"/>
        <v>26</v>
      </c>
      <c r="AL555" s="170">
        <f t="shared" si="326"/>
        <v>36</v>
      </c>
      <c r="AM555" s="170">
        <f t="shared" si="327"/>
        <v>24.206896551724139</v>
      </c>
      <c r="AN555" s="170">
        <f t="shared" si="328"/>
        <v>30.662068965517239</v>
      </c>
      <c r="AO555" s="226">
        <f t="shared" si="329"/>
        <v>21.206896551724139</v>
      </c>
      <c r="AP555" s="227">
        <v>60</v>
      </c>
      <c r="AQ555" s="228">
        <f t="shared" si="330"/>
        <v>57</v>
      </c>
      <c r="AR555" s="228">
        <f t="shared" si="315"/>
        <v>52</v>
      </c>
      <c r="AS555" s="229">
        <f t="shared" si="331"/>
        <v>60</v>
      </c>
      <c r="AT555" s="982">
        <f t="shared" ca="1" si="332"/>
        <v>45895</v>
      </c>
      <c r="AU555" s="1077"/>
      <c r="AV555" s="1092"/>
      <c r="AW555" s="1079"/>
      <c r="AX555" s="1079"/>
      <c r="AY555" s="1079"/>
      <c r="AZ555" s="1080"/>
      <c r="BA555" s="1101"/>
      <c r="BB555" s="1091"/>
      <c r="BC555" s="231"/>
      <c r="BD555" s="232"/>
      <c r="BE555" s="222">
        <f t="shared" si="347"/>
        <v>15</v>
      </c>
      <c r="BF555" s="233">
        <f t="shared" si="320"/>
        <v>0</v>
      </c>
      <c r="BG555" s="234"/>
      <c r="BH555" s="235"/>
      <c r="BI555" s="234"/>
      <c r="BJ555" s="236"/>
      <c r="BK555" s="222"/>
      <c r="BL555" s="222"/>
      <c r="BM555" s="238"/>
      <c r="BN555" s="222"/>
      <c r="BO555" s="222"/>
      <c r="BP555" s="243"/>
      <c r="BQ555" s="244"/>
      <c r="BR555" s="238"/>
      <c r="BS555" s="68"/>
      <c r="BT555" s="69"/>
      <c r="BU555" s="69"/>
      <c r="BV555" s="69"/>
      <c r="BW555" s="75"/>
      <c r="BX555" s="81"/>
      <c r="BY555" s="66" t="e">
        <f>VLOOKUP([4]C1!$BY:$BY,[4]C1!$BY$531:$BY$625,1,FALSE)</f>
        <v>#N/A</v>
      </c>
      <c r="BZ555" s="944" t="e">
        <f>VLOOKUP([4]C1!$BZ:$BZ,[4]C1!$BZ$531:$BZ$625,1,FALSE)</f>
        <v>#N/A</v>
      </c>
      <c r="CA555" s="42" t="str">
        <f t="shared" si="333"/>
        <v>0</v>
      </c>
      <c r="CB555" s="62">
        <f t="shared" si="334"/>
        <v>-45755.457638888889</v>
      </c>
      <c r="CC555" s="42">
        <f t="shared" si="335"/>
        <v>0</v>
      </c>
      <c r="CD555" s="62">
        <f t="shared" si="336"/>
        <v>-45755.457638888889</v>
      </c>
      <c r="CE555" s="62">
        <f t="shared" si="337"/>
        <v>-1417.6370422305317</v>
      </c>
      <c r="CF555" s="1059" t="str">
        <f t="shared" si="338"/>
        <v>0</v>
      </c>
      <c r="CH555" s="1082">
        <f t="shared" si="339"/>
        <v>3.5178722993827103</v>
      </c>
      <c r="CI555" s="1083">
        <f t="shared" si="340"/>
        <v>3.5178722993827103</v>
      </c>
      <c r="CJ555" s="1084">
        <f t="shared" si="341"/>
        <v>0</v>
      </c>
      <c r="CK555" s="1085">
        <f t="shared" si="342"/>
        <v>100.54236111111095</v>
      </c>
      <c r="CL555" s="1057" t="str">
        <f t="shared" si="343"/>
        <v>NON-REV</v>
      </c>
      <c r="CM555" s="1057" t="str">
        <f t="shared" si="344"/>
        <v>4-6 MONTHS</v>
      </c>
      <c r="CN555" s="1086"/>
      <c r="CO555" s="1087"/>
      <c r="CP555" s="629" t="str">
        <f t="shared" si="321"/>
        <v>FOR ISSUANCE</v>
      </c>
      <c r="CQ555" s="1086"/>
      <c r="CR555" s="1088"/>
      <c r="CS555" s="1089" t="str">
        <f t="shared" ca="1" si="345"/>
        <v>0</v>
      </c>
      <c r="CT555" s="1086"/>
      <c r="CU555" s="1087"/>
      <c r="CV555" s="1090"/>
      <c r="CX555" s="156"/>
      <c r="CY555" s="156"/>
      <c r="DA555" s="1100">
        <f t="shared" si="348"/>
        <v>7.0888888888875954</v>
      </c>
      <c r="DS555" s="442" t="s">
        <v>381</v>
      </c>
    </row>
    <row r="556" spans="1:123" customFormat="1" ht="15" customHeight="1" x14ac:dyDescent="0.25">
      <c r="A556" s="242">
        <v>45775</v>
      </c>
      <c r="B556" s="222">
        <v>45762</v>
      </c>
      <c r="C556" s="223"/>
      <c r="D556" s="66" t="s">
        <v>284</v>
      </c>
      <c r="E556" s="404" t="s">
        <v>3018</v>
      </c>
      <c r="F556" s="155" t="s">
        <v>3019</v>
      </c>
      <c r="G556" s="95" t="s">
        <v>2256</v>
      </c>
      <c r="H556" s="95" t="s">
        <v>378</v>
      </c>
      <c r="I556" s="95" t="s">
        <v>239</v>
      </c>
      <c r="J556" s="163"/>
      <c r="K556" s="101"/>
      <c r="L556" s="101" t="s">
        <v>288</v>
      </c>
      <c r="M556" s="101" t="s">
        <v>256</v>
      </c>
      <c r="N556" s="442" t="s">
        <v>381</v>
      </c>
      <c r="O556" s="165">
        <v>138.80730000000003</v>
      </c>
      <c r="P556" s="933">
        <v>287.32</v>
      </c>
      <c r="Q556" s="157">
        <v>765</v>
      </c>
      <c r="R556" s="109" t="s">
        <v>548</v>
      </c>
      <c r="S556" s="110">
        <v>2026310.46</v>
      </c>
      <c r="T556" s="93">
        <v>230313.24000000002</v>
      </c>
      <c r="U556" s="141"/>
      <c r="V556" s="158">
        <f t="shared" si="322"/>
        <v>0</v>
      </c>
      <c r="W556" s="159">
        <v>45755.702777777777</v>
      </c>
      <c r="X556" s="159">
        <v>45762.54791666667</v>
      </c>
      <c r="Y556" s="160">
        <v>45762</v>
      </c>
      <c r="Z556" s="470">
        <v>45779</v>
      </c>
      <c r="AA556" s="470">
        <v>45779.3125</v>
      </c>
      <c r="AB556" s="470">
        <v>45846</v>
      </c>
      <c r="AC556" s="161">
        <f t="shared" si="323"/>
        <v>23.609722222223354</v>
      </c>
      <c r="AD556" s="161">
        <f t="shared" si="316"/>
        <v>16.764583333329938</v>
      </c>
      <c r="AE556" s="446">
        <f t="shared" si="346"/>
        <v>66.6875</v>
      </c>
      <c r="AF556" s="160">
        <f t="shared" si="317"/>
        <v>45770.929192872114</v>
      </c>
      <c r="AG556" s="160">
        <f t="shared" si="314"/>
        <v>45778.789570230605</v>
      </c>
      <c r="AH556" s="159">
        <f t="shared" si="318"/>
        <v>45805.702777777777</v>
      </c>
      <c r="AI556" s="162">
        <f t="shared" si="324"/>
        <v>0.97151807280888025</v>
      </c>
      <c r="AJ556" s="224">
        <f t="shared" si="319"/>
        <v>1.1114583333333334</v>
      </c>
      <c r="AK556" s="225">
        <f t="shared" si="325"/>
        <v>28</v>
      </c>
      <c r="AL556" s="170">
        <f t="shared" si="326"/>
        <v>23</v>
      </c>
      <c r="AM556" s="170">
        <f t="shared" si="327"/>
        <v>18.226415094339625</v>
      </c>
      <c r="AN556" s="170">
        <f t="shared" si="328"/>
        <v>23.086792452830192</v>
      </c>
      <c r="AO556" s="226">
        <f t="shared" si="329"/>
        <v>15.226415094339625</v>
      </c>
      <c r="AP556" s="227">
        <v>60</v>
      </c>
      <c r="AQ556" s="228">
        <f t="shared" si="330"/>
        <v>57</v>
      </c>
      <c r="AR556" s="228">
        <f t="shared" si="315"/>
        <v>52</v>
      </c>
      <c r="AS556" s="229">
        <f t="shared" si="331"/>
        <v>45839.3125</v>
      </c>
      <c r="AT556" s="982">
        <f t="shared" ca="1" si="332"/>
        <v>115.6875</v>
      </c>
      <c r="AU556" s="50"/>
      <c r="AV556" s="51"/>
      <c r="AW556" s="49"/>
      <c r="AX556" s="49"/>
      <c r="AY556" s="49"/>
      <c r="AZ556" s="300"/>
      <c r="BA556" s="52"/>
      <c r="BB556" s="304"/>
      <c r="BC556" s="231" t="s">
        <v>14</v>
      </c>
      <c r="BD556" s="232"/>
      <c r="BE556" s="222">
        <f t="shared" si="347"/>
        <v>45794.3125</v>
      </c>
      <c r="BF556" s="233">
        <f t="shared" si="320"/>
        <v>-4.3125</v>
      </c>
      <c r="BG556" s="234">
        <v>45779</v>
      </c>
      <c r="BH556" s="235">
        <v>45790</v>
      </c>
      <c r="BI556" s="234">
        <v>45839</v>
      </c>
      <c r="BJ556" s="236" t="s">
        <v>245</v>
      </c>
      <c r="BK556" s="222" t="s">
        <v>246</v>
      </c>
      <c r="BL556" s="222"/>
      <c r="BM556" s="238"/>
      <c r="BN556" s="222"/>
      <c r="BO556" s="222">
        <v>45842</v>
      </c>
      <c r="BP556" s="243" t="s">
        <v>1084</v>
      </c>
      <c r="BQ556" s="244"/>
      <c r="BR556" s="238"/>
      <c r="BS556" s="68"/>
      <c r="BT556" s="69"/>
      <c r="BU556" s="69"/>
      <c r="BV556" s="69"/>
      <c r="BW556" s="75"/>
      <c r="BX556" s="81"/>
      <c r="BY556" s="66" t="e">
        <f>VLOOKUP([4]C1!$BY:$BY,[4]C1!$BY$531:$BY$625,1,FALSE)</f>
        <v>#N/A</v>
      </c>
      <c r="BZ556" s="944" t="e">
        <f>VLOOKUP([4]C1!$BZ:$BZ,[4]C1!$BZ$531:$BZ$625,1,FALSE)</f>
        <v>#N/A</v>
      </c>
      <c r="CA556" s="42" t="str">
        <f t="shared" si="333"/>
        <v>0</v>
      </c>
      <c r="CB556" s="62">
        <f t="shared" si="334"/>
        <v>23.609722222223354</v>
      </c>
      <c r="CC556" s="42">
        <f t="shared" si="335"/>
        <v>0</v>
      </c>
      <c r="CD556" s="62">
        <f t="shared" si="336"/>
        <v>23.609722222223354</v>
      </c>
      <c r="CE556" s="62">
        <f t="shared" si="337"/>
        <v>0.97151807280888025</v>
      </c>
      <c r="CF556" s="145">
        <f t="shared" si="338"/>
        <v>89.6875</v>
      </c>
      <c r="CG556" s="145"/>
      <c r="CH556" s="443">
        <f t="shared" si="339"/>
        <v>4.662075138026271</v>
      </c>
      <c r="CI556" s="996">
        <f t="shared" si="340"/>
        <v>4.662075138026271</v>
      </c>
      <c r="CJ556" s="261">
        <f t="shared" si="341"/>
        <v>1.4947916666666667</v>
      </c>
      <c r="CK556" s="458" t="str">
        <f t="shared" si="342"/>
        <v/>
      </c>
      <c r="CL556" t="str">
        <f t="shared" si="343"/>
        <v>NON-REV</v>
      </c>
      <c r="CM556" t="str">
        <f t="shared" si="344"/>
        <v/>
      </c>
      <c r="CN556" s="635"/>
      <c r="CO556" s="631"/>
      <c r="CP556" s="629" t="str">
        <f t="shared" si="321"/>
        <v>FOR ISSUANCE</v>
      </c>
      <c r="CQ556" s="635"/>
      <c r="CR556" s="697"/>
      <c r="CS556" s="633" t="str">
        <f t="shared" ca="1" si="345"/>
        <v>0</v>
      </c>
      <c r="CT556" s="635"/>
      <c r="CU556" s="631"/>
      <c r="CV556" s="638"/>
      <c r="CW556" s="404"/>
      <c r="CX556" s="156"/>
      <c r="CY556" s="156"/>
      <c r="DA556" s="762">
        <f t="shared" si="348"/>
        <v>6.8451388888934162</v>
      </c>
      <c r="DS556" s="442" t="s">
        <v>381</v>
      </c>
    </row>
    <row r="557" spans="1:123" customFormat="1" ht="15" customHeight="1" x14ac:dyDescent="0.25">
      <c r="A557" s="242">
        <v>45775</v>
      </c>
      <c r="B557" s="222">
        <v>45763</v>
      </c>
      <c r="C557" s="223"/>
      <c r="D557" s="66" t="s">
        <v>284</v>
      </c>
      <c r="E557" s="404" t="s">
        <v>3020</v>
      </c>
      <c r="F557" s="155" t="s">
        <v>3021</v>
      </c>
      <c r="G557" s="95" t="s">
        <v>3022</v>
      </c>
      <c r="H557" s="95" t="s">
        <v>378</v>
      </c>
      <c r="I557" s="95" t="s">
        <v>239</v>
      </c>
      <c r="J557" s="163"/>
      <c r="K557" s="101"/>
      <c r="L557" s="101" t="s">
        <v>263</v>
      </c>
      <c r="M557" s="101" t="s">
        <v>272</v>
      </c>
      <c r="N557" s="442" t="s">
        <v>467</v>
      </c>
      <c r="O557" s="165">
        <v>18.112799999999996</v>
      </c>
      <c r="P557" s="933">
        <v>68.06</v>
      </c>
      <c r="Q557" s="157">
        <v>124</v>
      </c>
      <c r="R557" s="109" t="s">
        <v>244</v>
      </c>
      <c r="S557" s="110">
        <v>488486</v>
      </c>
      <c r="T557" s="93">
        <v>58511.06</v>
      </c>
      <c r="U557" s="141"/>
      <c r="V557" s="158">
        <f t="shared" si="322"/>
        <v>0</v>
      </c>
      <c r="W557" s="159">
        <v>45755.704861111109</v>
      </c>
      <c r="X557" s="159">
        <v>45762.547222222223</v>
      </c>
      <c r="Y557" s="160">
        <v>45762</v>
      </c>
      <c r="Z557" s="470"/>
      <c r="AA557" s="470">
        <v>45808</v>
      </c>
      <c r="AB557" s="470"/>
      <c r="AC557" s="161">
        <f t="shared" si="323"/>
        <v>52.295138888890506</v>
      </c>
      <c r="AD557" s="161">
        <f t="shared" si="316"/>
        <v>45.452777777776646</v>
      </c>
      <c r="AE557" s="446">
        <f t="shared" si="346"/>
        <v>-45808</v>
      </c>
      <c r="AF557" s="160">
        <f t="shared" si="317"/>
        <v>45774.183460332897</v>
      </c>
      <c r="AG557" s="160">
        <f t="shared" ref="AG557:AG620" si="349">W557+AN557</f>
        <v>45782.911086792046</v>
      </c>
      <c r="AH557" s="159">
        <f t="shared" si="318"/>
        <v>45805.704861111109</v>
      </c>
      <c r="AI557" s="162">
        <f t="shared" si="324"/>
        <v>1.8260666704408774</v>
      </c>
      <c r="AJ557" s="224">
        <f t="shared" si="319"/>
        <v>-763.4666666666667</v>
      </c>
      <c r="AK557" s="225">
        <f t="shared" si="325"/>
        <v>23</v>
      </c>
      <c r="AL557" s="170">
        <f t="shared" si="326"/>
        <v>32</v>
      </c>
      <c r="AM557" s="170">
        <f t="shared" si="327"/>
        <v>21.478599221789885</v>
      </c>
      <c r="AN557" s="170">
        <f t="shared" si="328"/>
        <v>27.206225680933851</v>
      </c>
      <c r="AO557" s="226">
        <f t="shared" si="329"/>
        <v>18.478599221789885</v>
      </c>
      <c r="AP557" s="227">
        <v>60</v>
      </c>
      <c r="AQ557" s="228">
        <f t="shared" si="330"/>
        <v>57</v>
      </c>
      <c r="AR557" s="228">
        <f t="shared" ref="AR557:AR620" si="350">AQ557-5</f>
        <v>52</v>
      </c>
      <c r="AS557" s="229">
        <f t="shared" si="331"/>
        <v>45868</v>
      </c>
      <c r="AT557" s="982">
        <f t="shared" ca="1" si="332"/>
        <v>87</v>
      </c>
      <c r="AU557" s="50"/>
      <c r="AV557" s="51"/>
      <c r="AW557" s="49"/>
      <c r="AX557" s="49"/>
      <c r="AY557" s="49"/>
      <c r="AZ557" s="300"/>
      <c r="BA557" s="52"/>
      <c r="BB557" s="304"/>
      <c r="BC557" s="231" t="s">
        <v>13</v>
      </c>
      <c r="BD557" s="232"/>
      <c r="BE557" s="222">
        <f t="shared" si="347"/>
        <v>45823</v>
      </c>
      <c r="BF557" s="233" t="e">
        <f t="shared" si="320"/>
        <v>#VALUE!</v>
      </c>
      <c r="BG557" s="234"/>
      <c r="BH557" s="235"/>
      <c r="BI557" s="234"/>
      <c r="BJ557" s="236"/>
      <c r="BK557" s="222"/>
      <c r="BL557" s="222"/>
      <c r="BM557" s="238"/>
      <c r="BN557" s="222"/>
      <c r="BO557" s="222"/>
      <c r="BP557" s="243"/>
      <c r="BQ557" s="244" t="s">
        <v>247</v>
      </c>
      <c r="BR557" s="238">
        <v>45806</v>
      </c>
      <c r="BS557" s="68"/>
      <c r="BT557" s="69"/>
      <c r="BU557" s="69"/>
      <c r="BV557" s="69"/>
      <c r="BW557" s="75"/>
      <c r="BX557" s="81"/>
      <c r="BY557" s="66" t="e">
        <f>VLOOKUP([4]C1!$BY:$BY,[4]C1!$BY$531:$BY$625,1,FALSE)</f>
        <v>#N/A</v>
      </c>
      <c r="BZ557" s="944" t="e">
        <f>VLOOKUP([4]C1!$BZ:$BZ,[4]C1!$BZ$531:$BZ$625,1,FALSE)</f>
        <v>#N/A</v>
      </c>
      <c r="CA557" s="42" t="str">
        <f t="shared" si="333"/>
        <v>0</v>
      </c>
      <c r="CB557" s="62">
        <f t="shared" si="334"/>
        <v>52.295138888890506</v>
      </c>
      <c r="CC557" s="42">
        <f t="shared" si="335"/>
        <v>0</v>
      </c>
      <c r="CD557" s="62">
        <f t="shared" si="336"/>
        <v>52.295138888890506</v>
      </c>
      <c r="CE557" s="62">
        <f t="shared" si="337"/>
        <v>1.8260666704408774</v>
      </c>
      <c r="CF557" s="145">
        <f t="shared" si="338"/>
        <v>61</v>
      </c>
      <c r="CG557" s="145"/>
      <c r="CH557" s="443">
        <f t="shared" si="339"/>
        <v>3.9560938443539211</v>
      </c>
      <c r="CI557" s="996">
        <f t="shared" si="340"/>
        <v>3.9560938443539211</v>
      </c>
      <c r="CJ557" s="261">
        <f t="shared" si="341"/>
        <v>1.0166666666666666</v>
      </c>
      <c r="CK557" s="458" t="str">
        <f t="shared" si="342"/>
        <v/>
      </c>
      <c r="CL557" t="str">
        <f t="shared" si="343"/>
        <v>REV</v>
      </c>
      <c r="CM557" t="str">
        <f t="shared" si="344"/>
        <v/>
      </c>
      <c r="CN557" s="635"/>
      <c r="CO557" s="631"/>
      <c r="CP557" s="629" t="str">
        <f t="shared" si="321"/>
        <v>FOR ISSUANCE</v>
      </c>
      <c r="CQ557" s="635"/>
      <c r="CR557" s="697"/>
      <c r="CS557" s="633" t="str">
        <f t="shared" ca="1" si="345"/>
        <v>0</v>
      </c>
      <c r="CT557" s="635"/>
      <c r="CU557" s="631"/>
      <c r="CV557" s="638"/>
      <c r="CW557" s="404"/>
      <c r="CX557" s="156"/>
      <c r="CY557" s="156"/>
      <c r="DA557" s="762">
        <f t="shared" si="348"/>
        <v>6.8423611111138598</v>
      </c>
      <c r="DS557" s="442" t="s">
        <v>381</v>
      </c>
    </row>
    <row r="558" spans="1:123" customFormat="1" ht="15" customHeight="1" x14ac:dyDescent="0.25">
      <c r="A558" s="242">
        <v>45772</v>
      </c>
      <c r="B558" s="222">
        <v>45763</v>
      </c>
      <c r="C558" s="223"/>
      <c r="D558" s="66" t="s">
        <v>284</v>
      </c>
      <c r="E558" s="404" t="s">
        <v>3023</v>
      </c>
      <c r="F558" s="155" t="s">
        <v>3013</v>
      </c>
      <c r="G558" s="95" t="s">
        <v>3024</v>
      </c>
      <c r="H558" s="95" t="s">
        <v>269</v>
      </c>
      <c r="I558" s="95" t="s">
        <v>239</v>
      </c>
      <c r="J558" s="163"/>
      <c r="K558" s="101"/>
      <c r="L558" s="101" t="s">
        <v>263</v>
      </c>
      <c r="M558" s="101" t="s">
        <v>272</v>
      </c>
      <c r="N558" s="442" t="s">
        <v>467</v>
      </c>
      <c r="O558" s="165">
        <v>8.18</v>
      </c>
      <c r="P558" s="933">
        <v>9.81</v>
      </c>
      <c r="Q558" s="157" t="s">
        <v>2021</v>
      </c>
      <c r="R558" s="109" t="s">
        <v>319</v>
      </c>
      <c r="S558" s="110">
        <v>21800.53</v>
      </c>
      <c r="T558" s="93">
        <v>8437.5499999999993</v>
      </c>
      <c r="U558" s="141"/>
      <c r="V558" s="158">
        <f t="shared" si="322"/>
        <v>0</v>
      </c>
      <c r="W558" s="159">
        <v>45757.438888888886</v>
      </c>
      <c r="X558" s="159">
        <v>45762.549305555556</v>
      </c>
      <c r="Y558" s="160">
        <v>45762</v>
      </c>
      <c r="Z558" s="470"/>
      <c r="AA558" s="470">
        <v>45779.563194444447</v>
      </c>
      <c r="AB558" s="470"/>
      <c r="AC558" s="161">
        <f t="shared" si="323"/>
        <v>22.124305555560568</v>
      </c>
      <c r="AD558" s="161">
        <f t="shared" ref="AD558:AD621" si="351">AA558-X558</f>
        <v>17.013888888890506</v>
      </c>
      <c r="AE558" s="446">
        <f t="shared" si="346"/>
        <v>-45779.563194444447</v>
      </c>
      <c r="AF558" s="160">
        <f t="shared" ref="AF558:AF621" si="352">W558+AO558</f>
        <v>45769.438888888886</v>
      </c>
      <c r="AG558" s="160">
        <f t="shared" si="349"/>
        <v>45776.438888888886</v>
      </c>
      <c r="AH558" s="159">
        <f t="shared" ref="AH558:AH621" si="353">W558+50</f>
        <v>45807.438888888886</v>
      </c>
      <c r="AI558" s="162">
        <f t="shared" si="324"/>
        <v>1.1062152777780283</v>
      </c>
      <c r="AJ558" s="224">
        <f t="shared" ref="AJ558:AJ621" si="354">AE558/AP558</f>
        <v>-762.99271990740749</v>
      </c>
      <c r="AK558" s="225">
        <f t="shared" si="325"/>
        <v>20</v>
      </c>
      <c r="AL558" s="170">
        <f t="shared" si="326"/>
        <v>20</v>
      </c>
      <c r="AM558" s="170">
        <f t="shared" si="327"/>
        <v>15.000000000000002</v>
      </c>
      <c r="AN558" s="170">
        <f t="shared" si="328"/>
        <v>19</v>
      </c>
      <c r="AO558" s="226">
        <f t="shared" si="329"/>
        <v>12.000000000000002</v>
      </c>
      <c r="AP558" s="227">
        <v>60</v>
      </c>
      <c r="AQ558" s="228">
        <f t="shared" si="330"/>
        <v>57</v>
      </c>
      <c r="AR558" s="228">
        <f t="shared" si="350"/>
        <v>52</v>
      </c>
      <c r="AS558" s="229">
        <f t="shared" si="331"/>
        <v>45839.563194444447</v>
      </c>
      <c r="AT558" s="982">
        <f t="shared" ca="1" si="332"/>
        <v>115.43680555555329</v>
      </c>
      <c r="AU558" s="50"/>
      <c r="AV558" s="51"/>
      <c r="AW558" s="49"/>
      <c r="AX558" s="49"/>
      <c r="AY558" s="49"/>
      <c r="AZ558" s="300"/>
      <c r="BA558" s="52"/>
      <c r="BB558" s="304"/>
      <c r="BC558" s="231" t="s">
        <v>13</v>
      </c>
      <c r="BD558" s="232"/>
      <c r="BE558" s="222">
        <f t="shared" si="347"/>
        <v>45794.563194444447</v>
      </c>
      <c r="BF558" s="233" t="e">
        <f t="shared" si="320"/>
        <v>#VALUE!</v>
      </c>
      <c r="BG558" s="234"/>
      <c r="BH558" s="235"/>
      <c r="BI558" s="234"/>
      <c r="BJ558" s="236"/>
      <c r="BK558" s="222"/>
      <c r="BL558" s="222"/>
      <c r="BM558" s="238"/>
      <c r="BN558" s="222"/>
      <c r="BO558" s="222"/>
      <c r="BP558" s="243"/>
      <c r="BQ558" s="244"/>
      <c r="BR558" s="238"/>
      <c r="BS558" s="68"/>
      <c r="BT558" s="69"/>
      <c r="BU558" s="69"/>
      <c r="BV558" s="69"/>
      <c r="BW558" s="75"/>
      <c r="BX558" s="81"/>
      <c r="BY558" s="66" t="e">
        <f>VLOOKUP([4]C1!$BY:$BY,[4]C1!$BY$531:$BY$625,1,FALSE)</f>
        <v>#N/A</v>
      </c>
      <c r="BZ558" s="944" t="e">
        <f>VLOOKUP([4]C1!$BZ:$BZ,[4]C1!$BZ$531:$BZ$625,1,FALSE)</f>
        <v>#N/A</v>
      </c>
      <c r="CA558" s="42" t="str">
        <f t="shared" si="333"/>
        <v>0</v>
      </c>
      <c r="CB558" s="62">
        <f t="shared" si="334"/>
        <v>22.124305555560568</v>
      </c>
      <c r="CC558" s="42">
        <f t="shared" si="335"/>
        <v>0</v>
      </c>
      <c r="CD558" s="62">
        <f t="shared" si="336"/>
        <v>22.124305555560568</v>
      </c>
      <c r="CE558" s="62">
        <f t="shared" si="337"/>
        <v>1.1062152777780283</v>
      </c>
      <c r="CF558" s="145">
        <f t="shared" si="338"/>
        <v>89.436805555553292</v>
      </c>
      <c r="CG558" s="145"/>
      <c r="CH558" s="443">
        <f t="shared" si="339"/>
        <v>5.578055555555693</v>
      </c>
      <c r="CI558" s="996">
        <f t="shared" si="340"/>
        <v>5.578055555555693</v>
      </c>
      <c r="CJ558" s="261">
        <f t="shared" si="341"/>
        <v>1.4906134259258883</v>
      </c>
      <c r="CK558" s="458" t="str">
        <f t="shared" si="342"/>
        <v/>
      </c>
      <c r="CL558" t="str">
        <f t="shared" si="343"/>
        <v>NON-REV</v>
      </c>
      <c r="CM558" t="str">
        <f t="shared" si="344"/>
        <v/>
      </c>
      <c r="CN558" s="635"/>
      <c r="CO558" s="631"/>
      <c r="CP558" s="629" t="str">
        <f t="shared" si="321"/>
        <v>FOR ISSUANCE</v>
      </c>
      <c r="CQ558" s="635"/>
      <c r="CR558" s="697"/>
      <c r="CS558" s="633" t="str">
        <f t="shared" ca="1" si="345"/>
        <v>0</v>
      </c>
      <c r="CT558" s="635"/>
      <c r="CU558" s="631"/>
      <c r="CV558" s="638"/>
      <c r="CW558" s="404"/>
      <c r="CX558" s="156"/>
      <c r="CY558" s="156"/>
      <c r="DA558" s="762">
        <f t="shared" si="348"/>
        <v>5.1104166666700621</v>
      </c>
      <c r="DS558" s="442" t="s">
        <v>381</v>
      </c>
    </row>
    <row r="559" spans="1:123" customFormat="1" ht="15" customHeight="1" x14ac:dyDescent="0.25">
      <c r="A559" s="242">
        <v>45772</v>
      </c>
      <c r="B559" s="222">
        <v>45763</v>
      </c>
      <c r="C559" s="223"/>
      <c r="D559" s="66" t="s">
        <v>284</v>
      </c>
      <c r="E559" s="404" t="s">
        <v>3025</v>
      </c>
      <c r="F559" s="155" t="s">
        <v>3026</v>
      </c>
      <c r="G559" s="95" t="s">
        <v>3027</v>
      </c>
      <c r="H559" s="95" t="s">
        <v>253</v>
      </c>
      <c r="I559" s="95" t="s">
        <v>254</v>
      </c>
      <c r="J559" s="163"/>
      <c r="K559" s="101"/>
      <c r="L559" s="101" t="s">
        <v>263</v>
      </c>
      <c r="M559" s="101" t="s">
        <v>272</v>
      </c>
      <c r="N559" s="442" t="s">
        <v>467</v>
      </c>
      <c r="O559" s="165">
        <v>66.093599999999995</v>
      </c>
      <c r="P559" s="933">
        <v>162.66</v>
      </c>
      <c r="Q559" s="157">
        <v>47</v>
      </c>
      <c r="R559" s="109" t="s">
        <v>244</v>
      </c>
      <c r="S559" s="110">
        <v>422919.26</v>
      </c>
      <c r="T559" s="93">
        <v>72495.739999999991</v>
      </c>
      <c r="U559" s="141"/>
      <c r="V559" s="158">
        <f t="shared" si="322"/>
        <v>0</v>
      </c>
      <c r="W559" s="159">
        <v>45757.441666666666</v>
      </c>
      <c r="X559" s="159">
        <v>45762.552777777775</v>
      </c>
      <c r="Y559" s="160">
        <v>45762</v>
      </c>
      <c r="Z559" s="470"/>
      <c r="AA559" s="470">
        <v>45806.338888888888</v>
      </c>
      <c r="AB559" s="470"/>
      <c r="AC559" s="161">
        <f t="shared" si="323"/>
        <v>48.897222222221899</v>
      </c>
      <c r="AD559" s="161">
        <f t="shared" si="351"/>
        <v>43.786111111112405</v>
      </c>
      <c r="AE559" s="446">
        <f t="shared" si="346"/>
        <v>-45806.338888888888</v>
      </c>
      <c r="AF559" s="160">
        <f t="shared" si="352"/>
        <v>45778.64856321839</v>
      </c>
      <c r="AG559" s="160">
        <f t="shared" si="349"/>
        <v>45788.103735632183</v>
      </c>
      <c r="AH559" s="159">
        <f t="shared" si="353"/>
        <v>45807.441666666666</v>
      </c>
      <c r="AI559" s="162">
        <f t="shared" si="324"/>
        <v>1.5149780389363623</v>
      </c>
      <c r="AJ559" s="224">
        <f t="shared" si="354"/>
        <v>-763.43898148148151</v>
      </c>
      <c r="AK559" s="225">
        <f t="shared" si="325"/>
        <v>26</v>
      </c>
      <c r="AL559" s="170">
        <f t="shared" si="326"/>
        <v>36</v>
      </c>
      <c r="AM559" s="170">
        <f t="shared" si="327"/>
        <v>24.206896551724139</v>
      </c>
      <c r="AN559" s="170">
        <f t="shared" si="328"/>
        <v>30.662068965517239</v>
      </c>
      <c r="AO559" s="226">
        <f t="shared" si="329"/>
        <v>21.206896551724139</v>
      </c>
      <c r="AP559" s="227">
        <v>60</v>
      </c>
      <c r="AQ559" s="228">
        <f t="shared" si="330"/>
        <v>57</v>
      </c>
      <c r="AR559" s="228">
        <f t="shared" si="350"/>
        <v>52</v>
      </c>
      <c r="AS559" s="229">
        <f t="shared" si="331"/>
        <v>45866.338888888888</v>
      </c>
      <c r="AT559" s="982">
        <f t="shared" ca="1" si="332"/>
        <v>88.661111111112405</v>
      </c>
      <c r="AU559" s="50"/>
      <c r="AV559" s="51"/>
      <c r="AW559" s="49"/>
      <c r="AX559" s="49"/>
      <c r="AY559" s="49"/>
      <c r="AZ559" s="300"/>
      <c r="BA559" s="52"/>
      <c r="BB559" s="304"/>
      <c r="BC559" s="231" t="s">
        <v>13</v>
      </c>
      <c r="BD559" s="232"/>
      <c r="BE559" s="222">
        <f t="shared" si="347"/>
        <v>45821.338888888888</v>
      </c>
      <c r="BF559" s="233" t="e">
        <f t="shared" si="320"/>
        <v>#VALUE!</v>
      </c>
      <c r="BG559" s="234"/>
      <c r="BH559" s="235"/>
      <c r="BI559" s="234"/>
      <c r="BJ559" s="236"/>
      <c r="BK559" s="222"/>
      <c r="BL559" s="222"/>
      <c r="BM559" s="238"/>
      <c r="BN559" s="222"/>
      <c r="BO559" s="222"/>
      <c r="BP559" s="243"/>
      <c r="BQ559" s="244" t="s">
        <v>247</v>
      </c>
      <c r="BR559" s="238">
        <v>45806</v>
      </c>
      <c r="BS559" s="68"/>
      <c r="BT559" s="69"/>
      <c r="BU559" s="69"/>
      <c r="BV559" s="69"/>
      <c r="BW559" s="75"/>
      <c r="BX559" s="81"/>
      <c r="BY559" s="66" t="e">
        <f>VLOOKUP([4]C1!$BY:$BY,[4]C1!$BY$531:$BY$625,1,FALSE)</f>
        <v>#N/A</v>
      </c>
      <c r="BZ559" s="944" t="e">
        <f>VLOOKUP([4]C1!$BZ:$BZ,[4]C1!$BZ$531:$BZ$625,1,FALSE)</f>
        <v>#N/A</v>
      </c>
      <c r="CA559" s="42" t="str">
        <f t="shared" si="333"/>
        <v>0</v>
      </c>
      <c r="CB559" s="62">
        <f t="shared" si="334"/>
        <v>48.897222222221899</v>
      </c>
      <c r="CC559" s="42">
        <f t="shared" si="335"/>
        <v>0</v>
      </c>
      <c r="CD559" s="62">
        <f t="shared" si="336"/>
        <v>48.897222222221899</v>
      </c>
      <c r="CE559" s="62">
        <f t="shared" si="337"/>
        <v>1.5149780389363623</v>
      </c>
      <c r="CF559" s="145">
        <f t="shared" si="338"/>
        <v>62.661111111112405</v>
      </c>
      <c r="CG559" s="145"/>
      <c r="CH559" s="443">
        <f t="shared" si="339"/>
        <v>3.4564013532763833</v>
      </c>
      <c r="CI559" s="996">
        <f t="shared" si="340"/>
        <v>3.4564013532763833</v>
      </c>
      <c r="CJ559" s="261">
        <f t="shared" si="341"/>
        <v>1.0443518518518735</v>
      </c>
      <c r="CK559" s="458" t="str">
        <f t="shared" si="342"/>
        <v/>
      </c>
      <c r="CL559" t="str">
        <f t="shared" si="343"/>
        <v>REV</v>
      </c>
      <c r="CM559" t="str">
        <f t="shared" si="344"/>
        <v/>
      </c>
      <c r="CN559" s="635"/>
      <c r="CO559" s="631"/>
      <c r="CP559" s="629" t="str">
        <f t="shared" si="321"/>
        <v>FOR ISSUANCE</v>
      </c>
      <c r="CQ559" s="635"/>
      <c r="CR559" s="697"/>
      <c r="CS559" s="633" t="str">
        <f t="shared" ca="1" si="345"/>
        <v>0</v>
      </c>
      <c r="CT559" s="635"/>
      <c r="CU559" s="631"/>
      <c r="CV559" s="638"/>
      <c r="CW559" s="404"/>
      <c r="CX559" s="156"/>
      <c r="CY559" s="156"/>
      <c r="DA559" s="762">
        <f t="shared" si="348"/>
        <v>5.1111111111094942</v>
      </c>
      <c r="DS559" s="442" t="s">
        <v>381</v>
      </c>
    </row>
    <row r="560" spans="1:123" ht="15" customHeight="1" x14ac:dyDescent="0.2">
      <c r="A560" s="242">
        <v>45777</v>
      </c>
      <c r="B560" s="222">
        <v>45762</v>
      </c>
      <c r="C560" s="223"/>
      <c r="D560" s="66" t="s">
        <v>320</v>
      </c>
      <c r="E560" s="404" t="s">
        <v>3028</v>
      </c>
      <c r="F560" s="155" t="s">
        <v>3029</v>
      </c>
      <c r="G560" s="95" t="s">
        <v>3030</v>
      </c>
      <c r="H560" s="95" t="s">
        <v>269</v>
      </c>
      <c r="I560" s="95" t="s">
        <v>239</v>
      </c>
      <c r="J560" s="163"/>
      <c r="K560" s="101"/>
      <c r="L560" s="101" t="s">
        <v>255</v>
      </c>
      <c r="M560" s="101" t="s">
        <v>272</v>
      </c>
      <c r="N560" s="442" t="s">
        <v>381</v>
      </c>
      <c r="O560" s="165">
        <v>9.8533000000000008</v>
      </c>
      <c r="P560" s="933">
        <v>11.89</v>
      </c>
      <c r="Q560" s="157">
        <v>33</v>
      </c>
      <c r="R560" s="109" t="s">
        <v>548</v>
      </c>
      <c r="S560" s="110">
        <v>143732.4</v>
      </c>
      <c r="T560" s="93">
        <v>10219.08</v>
      </c>
      <c r="U560" s="141"/>
      <c r="V560" s="158">
        <f t="shared" si="322"/>
        <v>0</v>
      </c>
      <c r="W560" s="159">
        <v>45757.444444444445</v>
      </c>
      <c r="X560" s="159">
        <v>45762.552777777775</v>
      </c>
      <c r="Y560" s="160">
        <v>45762</v>
      </c>
      <c r="Z560" s="470"/>
      <c r="AA560" s="470">
        <v>45810</v>
      </c>
      <c r="AB560" s="470"/>
      <c r="AC560" s="161">
        <f t="shared" si="323"/>
        <v>52.555555555554747</v>
      </c>
      <c r="AD560" s="161">
        <f t="shared" si="351"/>
        <v>47.447222222224809</v>
      </c>
      <c r="AE560" s="446">
        <f t="shared" si="346"/>
        <v>-45810</v>
      </c>
      <c r="AF560" s="160">
        <f t="shared" si="352"/>
        <v>45776.218637992832</v>
      </c>
      <c r="AG560" s="160">
        <f t="shared" si="349"/>
        <v>45785.025089605733</v>
      </c>
      <c r="AH560" s="159">
        <f t="shared" si="353"/>
        <v>45807.444444444445</v>
      </c>
      <c r="AI560" s="162">
        <f t="shared" si="324"/>
        <v>1.8102469135802193</v>
      </c>
      <c r="AJ560" s="224">
        <f t="shared" si="354"/>
        <v>-763.5</v>
      </c>
      <c r="AK560" s="225">
        <f t="shared" si="325"/>
        <v>20</v>
      </c>
      <c r="AL560" s="170">
        <f t="shared" si="326"/>
        <v>36</v>
      </c>
      <c r="AM560" s="170">
        <f t="shared" si="327"/>
        <v>21.774193548387096</v>
      </c>
      <c r="AN560" s="170">
        <f t="shared" si="328"/>
        <v>27.58064516129032</v>
      </c>
      <c r="AO560" s="226">
        <f t="shared" si="329"/>
        <v>18.774193548387096</v>
      </c>
      <c r="AP560" s="227">
        <v>60</v>
      </c>
      <c r="AQ560" s="228">
        <f t="shared" si="330"/>
        <v>57</v>
      </c>
      <c r="AR560" s="228">
        <f t="shared" si="350"/>
        <v>52</v>
      </c>
      <c r="AS560" s="229">
        <f t="shared" si="331"/>
        <v>45870</v>
      </c>
      <c r="AT560" s="982">
        <f t="shared" ca="1" si="332"/>
        <v>85</v>
      </c>
      <c r="AU560" s="1077"/>
      <c r="AV560" s="1092"/>
      <c r="AW560" s="1079"/>
      <c r="AX560" s="1079"/>
      <c r="AY560" s="1079"/>
      <c r="AZ560" s="1080"/>
      <c r="BA560" s="1101"/>
      <c r="BB560" s="1091"/>
      <c r="BC560" s="231" t="s">
        <v>13</v>
      </c>
      <c r="BD560" s="232"/>
      <c r="BE560" s="222">
        <f t="shared" si="347"/>
        <v>45825</v>
      </c>
      <c r="BF560" s="233" t="e">
        <f t="shared" si="320"/>
        <v>#VALUE!</v>
      </c>
      <c r="BG560" s="234"/>
      <c r="BH560" s="235"/>
      <c r="BI560" s="234"/>
      <c r="BJ560" s="236"/>
      <c r="BK560" s="222"/>
      <c r="BL560" s="222"/>
      <c r="BM560" s="238"/>
      <c r="BN560" s="222"/>
      <c r="BO560" s="222"/>
      <c r="BP560" s="243"/>
      <c r="BQ560" s="244" t="s">
        <v>247</v>
      </c>
      <c r="BR560" s="238">
        <v>45810</v>
      </c>
      <c r="BS560" s="68"/>
      <c r="BT560" s="69"/>
      <c r="BU560" s="69"/>
      <c r="BV560" s="69"/>
      <c r="BW560" s="75"/>
      <c r="BX560" s="81"/>
      <c r="BY560" s="66" t="s">
        <v>308</v>
      </c>
      <c r="BZ560" s="944" t="e">
        <f>VLOOKUP([4]C1!$BZ:$BZ,[4]C1!$BZ$531:$BZ$625,1,FALSE)</f>
        <v>#N/A</v>
      </c>
      <c r="CA560" s="42" t="str">
        <f t="shared" si="333"/>
        <v>0</v>
      </c>
      <c r="CB560" s="62">
        <f t="shared" si="334"/>
        <v>52.555555555554747</v>
      </c>
      <c r="CC560" s="42">
        <f t="shared" si="335"/>
        <v>0</v>
      </c>
      <c r="CD560" s="62">
        <f t="shared" si="336"/>
        <v>52.555555555554747</v>
      </c>
      <c r="CE560" s="62">
        <f t="shared" si="337"/>
        <v>1.8102469135802193</v>
      </c>
      <c r="CF560" s="1059">
        <f t="shared" si="338"/>
        <v>59</v>
      </c>
      <c r="CH560" s="1082">
        <f t="shared" si="339"/>
        <v>3.8424691358024408</v>
      </c>
      <c r="CI560" s="1083">
        <f t="shared" si="340"/>
        <v>3.8424691358024408</v>
      </c>
      <c r="CJ560" s="1084">
        <f t="shared" si="341"/>
        <v>0.98333333333333328</v>
      </c>
      <c r="CK560" s="1085" t="str">
        <f t="shared" si="342"/>
        <v/>
      </c>
      <c r="CL560" s="1057" t="str">
        <f t="shared" si="343"/>
        <v>NON-REV</v>
      </c>
      <c r="CM560" s="1057" t="str">
        <f t="shared" si="344"/>
        <v/>
      </c>
      <c r="CN560" s="1086"/>
      <c r="CO560" s="1087"/>
      <c r="CP560" s="629" t="str">
        <f t="shared" si="321"/>
        <v>FOR ISSUANCE</v>
      </c>
      <c r="CQ560" s="1086"/>
      <c r="CR560" s="1088"/>
      <c r="CS560" s="1089" t="str">
        <f t="shared" ca="1" si="345"/>
        <v>0</v>
      </c>
      <c r="CT560" s="1086"/>
      <c r="CU560" s="1087"/>
      <c r="CV560" s="1090"/>
      <c r="CX560" s="156"/>
      <c r="CY560" s="156"/>
      <c r="DA560" s="1100">
        <f t="shared" si="348"/>
        <v>5.1083333333299379</v>
      </c>
      <c r="DS560" s="442" t="s">
        <v>381</v>
      </c>
    </row>
    <row r="561" spans="1:123" customFormat="1" ht="15" customHeight="1" x14ac:dyDescent="0.25">
      <c r="A561" s="242">
        <v>45777</v>
      </c>
      <c r="B561" s="222">
        <v>45763</v>
      </c>
      <c r="C561" s="223"/>
      <c r="D561" s="66" t="s">
        <v>284</v>
      </c>
      <c r="E561" s="404" t="s">
        <v>3031</v>
      </c>
      <c r="F561" s="155" t="s">
        <v>3032</v>
      </c>
      <c r="G561" s="95" t="s">
        <v>3033</v>
      </c>
      <c r="H561" s="95" t="s">
        <v>318</v>
      </c>
      <c r="I561" s="95" t="s">
        <v>239</v>
      </c>
      <c r="J561" s="163"/>
      <c r="K561" s="101"/>
      <c r="L561" s="101" t="s">
        <v>5</v>
      </c>
      <c r="M561" s="101" t="s">
        <v>272</v>
      </c>
      <c r="N561" s="442" t="s">
        <v>403</v>
      </c>
      <c r="O561" s="165">
        <v>44.196100000000001</v>
      </c>
      <c r="P561" s="933">
        <v>125.53</v>
      </c>
      <c r="Q561" s="157">
        <v>233</v>
      </c>
      <c r="R561" s="109" t="s">
        <v>244</v>
      </c>
      <c r="S561" s="110">
        <v>855403.32</v>
      </c>
      <c r="T561" s="93">
        <v>107882.38</v>
      </c>
      <c r="U561" s="141"/>
      <c r="V561" s="158">
        <f t="shared" si="322"/>
        <v>0</v>
      </c>
      <c r="W561" s="159">
        <v>45757.65</v>
      </c>
      <c r="X561" s="159">
        <v>45762.551388888889</v>
      </c>
      <c r="Y561" s="160">
        <v>45762</v>
      </c>
      <c r="Z561" s="470">
        <v>45821</v>
      </c>
      <c r="AA561" s="470">
        <v>45821</v>
      </c>
      <c r="AB561" s="470"/>
      <c r="AC561" s="161">
        <f t="shared" si="323"/>
        <v>63.349999999998545</v>
      </c>
      <c r="AD561" s="161">
        <f t="shared" si="351"/>
        <v>58.448611111110949</v>
      </c>
      <c r="AE561" s="446">
        <f t="shared" si="346"/>
        <v>-45821</v>
      </c>
      <c r="AF561" s="160">
        <f t="shared" si="352"/>
        <v>45776.157352941176</v>
      </c>
      <c r="AG561" s="160">
        <f t="shared" si="349"/>
        <v>45784.892647058827</v>
      </c>
      <c r="AH561" s="159">
        <f t="shared" si="353"/>
        <v>45807.65</v>
      </c>
      <c r="AI561" s="162">
        <f t="shared" si="324"/>
        <v>2.2091282051281542</v>
      </c>
      <c r="AJ561" s="224">
        <f t="shared" si="354"/>
        <v>-763.68333333333328</v>
      </c>
      <c r="AK561" s="225">
        <f t="shared" si="325"/>
        <v>26</v>
      </c>
      <c r="AL561" s="170">
        <f t="shared" si="326"/>
        <v>30</v>
      </c>
      <c r="AM561" s="170">
        <f t="shared" si="327"/>
        <v>21.507352941176471</v>
      </c>
      <c r="AN561" s="170">
        <f t="shared" si="328"/>
        <v>27.242647058823529</v>
      </c>
      <c r="AO561" s="226">
        <f t="shared" si="329"/>
        <v>18.507352941176471</v>
      </c>
      <c r="AP561" s="227">
        <v>60</v>
      </c>
      <c r="AQ561" s="228">
        <f t="shared" si="330"/>
        <v>57</v>
      </c>
      <c r="AR561" s="228">
        <f t="shared" si="350"/>
        <v>52</v>
      </c>
      <c r="AS561" s="229">
        <f t="shared" si="331"/>
        <v>45881</v>
      </c>
      <c r="AT561" s="982">
        <f t="shared" ca="1" si="332"/>
        <v>74</v>
      </c>
      <c r="AU561" s="50"/>
      <c r="AV561" s="51"/>
      <c r="AW561" s="49"/>
      <c r="AX561" s="49"/>
      <c r="AY561" s="49"/>
      <c r="AZ561" s="300"/>
      <c r="BA561" s="52"/>
      <c r="BB561" s="304"/>
      <c r="BC561" s="231" t="s">
        <v>12</v>
      </c>
      <c r="BD561" s="232"/>
      <c r="BE561" s="222">
        <f t="shared" si="347"/>
        <v>45836</v>
      </c>
      <c r="BF561" s="233">
        <f t="shared" si="320"/>
        <v>20</v>
      </c>
      <c r="BG561" s="234">
        <v>45821</v>
      </c>
      <c r="BH561" s="235">
        <v>45856</v>
      </c>
      <c r="BI561" s="234"/>
      <c r="BJ561" s="236"/>
      <c r="BK561" s="222"/>
      <c r="BL561" s="222"/>
      <c r="BM561" s="238"/>
      <c r="BN561" s="222"/>
      <c r="BO561" s="222"/>
      <c r="BP561" s="243"/>
      <c r="BQ561" s="244" t="s">
        <v>247</v>
      </c>
      <c r="BR561" s="238">
        <v>45812</v>
      </c>
      <c r="BS561" s="68"/>
      <c r="BT561" s="69"/>
      <c r="BU561" s="69"/>
      <c r="BV561" s="69"/>
      <c r="BW561" s="75"/>
      <c r="BX561" s="81"/>
      <c r="BY561" s="66">
        <f>VLOOKUP([4]C1!$BY:$BY,[4]C1!$BY$531:$BY$625,1,FALSE)</f>
        <v>45777</v>
      </c>
      <c r="BZ561" s="944" t="str">
        <f>VLOOKUP([4]C1!$BZ:$BZ,[4]C1!$BZ$531:$BZ$625,1,FALSE)</f>
        <v>TLN-527765</v>
      </c>
      <c r="CA561" s="42" t="str">
        <f t="shared" si="333"/>
        <v>0</v>
      </c>
      <c r="CB561" s="62">
        <f t="shared" si="334"/>
        <v>63.349999999998545</v>
      </c>
      <c r="CC561" s="42">
        <f t="shared" si="335"/>
        <v>0</v>
      </c>
      <c r="CD561" s="62">
        <f t="shared" si="336"/>
        <v>63.349999999998545</v>
      </c>
      <c r="CE561" s="62">
        <f t="shared" si="337"/>
        <v>2.2091282051281542</v>
      </c>
      <c r="CF561" s="145">
        <f t="shared" si="338"/>
        <v>48</v>
      </c>
      <c r="CG561" s="145"/>
      <c r="CH561" s="443">
        <f t="shared" si="339"/>
        <v>3.882974358974308</v>
      </c>
      <c r="CI561" s="996">
        <f t="shared" si="340"/>
        <v>3.882974358974308</v>
      </c>
      <c r="CJ561" s="261">
        <f t="shared" si="341"/>
        <v>0.8</v>
      </c>
      <c r="CK561" s="458" t="str">
        <f t="shared" si="342"/>
        <v/>
      </c>
      <c r="CL561" t="str">
        <f t="shared" si="343"/>
        <v>REV</v>
      </c>
      <c r="CM561" t="str">
        <f t="shared" si="344"/>
        <v/>
      </c>
      <c r="CN561" s="635"/>
      <c r="CO561" s="631"/>
      <c r="CP561" s="629" t="str">
        <f t="shared" si="321"/>
        <v>FOR ISSUANCE</v>
      </c>
      <c r="CQ561" s="635"/>
      <c r="CR561" s="697"/>
      <c r="CS561" s="633" t="str">
        <f t="shared" ca="1" si="345"/>
        <v>0</v>
      </c>
      <c r="CT561" s="635"/>
      <c r="CU561" s="631"/>
      <c r="CV561" s="638"/>
      <c r="CW561" s="404"/>
      <c r="CX561" s="156"/>
      <c r="CY561" s="156"/>
      <c r="DA561" s="762">
        <f t="shared" si="348"/>
        <v>4.9013888888875954</v>
      </c>
      <c r="DS561" s="442" t="s">
        <v>381</v>
      </c>
    </row>
    <row r="562" spans="1:123" customFormat="1" ht="15" customHeight="1" x14ac:dyDescent="0.25">
      <c r="A562" s="242">
        <v>45779</v>
      </c>
      <c r="B562" s="222">
        <v>45763</v>
      </c>
      <c r="C562" s="223" t="s">
        <v>247</v>
      </c>
      <c r="D562" s="66" t="s">
        <v>320</v>
      </c>
      <c r="E562" s="404" t="s">
        <v>3034</v>
      </c>
      <c r="F562" s="155" t="s">
        <v>3035</v>
      </c>
      <c r="G562" s="95" t="s">
        <v>3036</v>
      </c>
      <c r="H562" s="95" t="s">
        <v>318</v>
      </c>
      <c r="I562" s="95" t="s">
        <v>239</v>
      </c>
      <c r="J562" s="163"/>
      <c r="K562" s="101"/>
      <c r="L562" s="101" t="s">
        <v>5</v>
      </c>
      <c r="M562" s="101" t="s">
        <v>272</v>
      </c>
      <c r="N562" s="442" t="s">
        <v>403</v>
      </c>
      <c r="O562" s="165">
        <v>100.01430000000002</v>
      </c>
      <c r="P562" s="933">
        <v>141.59</v>
      </c>
      <c r="Q562" s="157">
        <v>60</v>
      </c>
      <c r="R562" s="109" t="s">
        <v>548</v>
      </c>
      <c r="S562" s="110">
        <v>555158.87</v>
      </c>
      <c r="T562" s="93">
        <v>129417.11000000004</v>
      </c>
      <c r="U562" s="141"/>
      <c r="V562" s="158">
        <f t="shared" si="322"/>
        <v>0</v>
      </c>
      <c r="W562" s="159">
        <v>45757.7</v>
      </c>
      <c r="X562" s="159">
        <v>45762.552083333336</v>
      </c>
      <c r="Y562" s="160">
        <v>45762</v>
      </c>
      <c r="Z562" s="470">
        <v>45821</v>
      </c>
      <c r="AA562" s="470">
        <v>45821</v>
      </c>
      <c r="AB562" s="470"/>
      <c r="AC562" s="161">
        <f t="shared" si="323"/>
        <v>63.30000000000291</v>
      </c>
      <c r="AD562" s="161">
        <f t="shared" si="351"/>
        <v>58.447916666664241</v>
      </c>
      <c r="AE562" s="446">
        <f t="shared" si="346"/>
        <v>-45821</v>
      </c>
      <c r="AF562" s="160">
        <f t="shared" si="352"/>
        <v>45778.04507042253</v>
      </c>
      <c r="AG562" s="160">
        <f t="shared" si="349"/>
        <v>45787.270422535206</v>
      </c>
      <c r="AH562" s="159">
        <f t="shared" si="353"/>
        <v>45807.7</v>
      </c>
      <c r="AI562" s="162">
        <f t="shared" si="324"/>
        <v>2.0336199095023559</v>
      </c>
      <c r="AJ562" s="224">
        <f t="shared" si="354"/>
        <v>-763.68333333333328</v>
      </c>
      <c r="AK562" s="225">
        <f t="shared" si="325"/>
        <v>26</v>
      </c>
      <c r="AL562" s="170">
        <f t="shared" si="326"/>
        <v>34</v>
      </c>
      <c r="AM562" s="170">
        <f t="shared" si="327"/>
        <v>23.345070422535212</v>
      </c>
      <c r="AN562" s="170">
        <f t="shared" si="328"/>
        <v>29.570422535211268</v>
      </c>
      <c r="AO562" s="226">
        <f t="shared" si="329"/>
        <v>20.345070422535212</v>
      </c>
      <c r="AP562" s="227">
        <v>60</v>
      </c>
      <c r="AQ562" s="228">
        <f t="shared" si="330"/>
        <v>57</v>
      </c>
      <c r="AR562" s="228">
        <f t="shared" si="350"/>
        <v>52</v>
      </c>
      <c r="AS562" s="229">
        <f t="shared" si="331"/>
        <v>45881</v>
      </c>
      <c r="AT562" s="982">
        <f t="shared" ca="1" si="332"/>
        <v>74</v>
      </c>
      <c r="AU562" s="50"/>
      <c r="AV562" s="51"/>
      <c r="AW562" s="49"/>
      <c r="AX562" s="49"/>
      <c r="AY562" s="49"/>
      <c r="AZ562" s="300"/>
      <c r="BA562" s="52"/>
      <c r="BB562" s="304"/>
      <c r="BC562" s="231" t="s">
        <v>12</v>
      </c>
      <c r="BD562" s="232"/>
      <c r="BE562" s="222">
        <f t="shared" si="347"/>
        <v>45836</v>
      </c>
      <c r="BF562" s="233">
        <f t="shared" si="320"/>
        <v>11</v>
      </c>
      <c r="BG562" s="234">
        <v>45821</v>
      </c>
      <c r="BH562" s="235">
        <v>45847</v>
      </c>
      <c r="BI562" s="234"/>
      <c r="BJ562" s="236"/>
      <c r="BK562" s="222"/>
      <c r="BL562" s="222"/>
      <c r="BM562" s="238"/>
      <c r="BN562" s="222"/>
      <c r="BO562" s="222"/>
      <c r="BP562" s="243"/>
      <c r="BQ562" s="244" t="s">
        <v>247</v>
      </c>
      <c r="BR562" s="238">
        <v>45817</v>
      </c>
      <c r="BS562" s="68"/>
      <c r="BT562" s="69"/>
      <c r="BU562" s="69"/>
      <c r="BV562" s="69"/>
      <c r="BW562" s="75"/>
      <c r="BX562" s="81"/>
      <c r="BY562" s="66">
        <f>VLOOKUP([4]C1!$BY:$BY,[4]C1!$BY$531:$BY$625,1,FALSE)</f>
        <v>45777</v>
      </c>
      <c r="BZ562" s="944" t="str">
        <f>VLOOKUP([4]C1!$BZ:$BZ,[4]C1!$BZ$531:$BZ$625,1,FALSE)</f>
        <v>TLN-526617,TLN-051030</v>
      </c>
      <c r="CA562" s="42" t="str">
        <f t="shared" si="333"/>
        <v>0</v>
      </c>
      <c r="CB562" s="62">
        <f t="shared" si="334"/>
        <v>63.30000000000291</v>
      </c>
      <c r="CC562" s="42">
        <f t="shared" si="335"/>
        <v>0</v>
      </c>
      <c r="CD562" s="62">
        <f t="shared" si="336"/>
        <v>63.30000000000291</v>
      </c>
      <c r="CE562" s="62">
        <f t="shared" si="337"/>
        <v>2.0336199095023559</v>
      </c>
      <c r="CF562" s="145">
        <f t="shared" si="338"/>
        <v>48</v>
      </c>
      <c r="CG562" s="145"/>
      <c r="CH562" s="443">
        <f t="shared" si="339"/>
        <v>3.5757013574661567</v>
      </c>
      <c r="CI562" s="996">
        <f t="shared" si="340"/>
        <v>3.5757013574661567</v>
      </c>
      <c r="CJ562" s="261">
        <f t="shared" si="341"/>
        <v>0.8</v>
      </c>
      <c r="CK562" s="458" t="str">
        <f t="shared" si="342"/>
        <v/>
      </c>
      <c r="CL562" t="str">
        <f t="shared" si="343"/>
        <v>NON-REV</v>
      </c>
      <c r="CM562" t="str">
        <f t="shared" si="344"/>
        <v/>
      </c>
      <c r="CN562" s="635"/>
      <c r="CO562" s="631"/>
      <c r="CP562" s="629" t="str">
        <f t="shared" si="321"/>
        <v>FOR ISSUANCE</v>
      </c>
      <c r="CQ562" s="635"/>
      <c r="CR562" s="697"/>
      <c r="CS562" s="633" t="str">
        <f t="shared" ca="1" si="345"/>
        <v>0</v>
      </c>
      <c r="CT562" s="635"/>
      <c r="CU562" s="631"/>
      <c r="CV562" s="638"/>
      <c r="CW562" s="404"/>
      <c r="CX562" s="156"/>
      <c r="CY562" s="156"/>
      <c r="DA562" s="762">
        <f t="shared" si="348"/>
        <v>4.852083333338669</v>
      </c>
      <c r="DS562" s="442" t="s">
        <v>403</v>
      </c>
    </row>
    <row r="563" spans="1:123" customFormat="1" ht="15" customHeight="1" x14ac:dyDescent="0.25">
      <c r="A563" s="242">
        <v>45775</v>
      </c>
      <c r="B563" s="222">
        <v>45769</v>
      </c>
      <c r="C563" s="223" t="s">
        <v>247</v>
      </c>
      <c r="D563" s="66" t="s">
        <v>320</v>
      </c>
      <c r="E563" s="404" t="s">
        <v>3037</v>
      </c>
      <c r="F563" s="155" t="s">
        <v>949</v>
      </c>
      <c r="G563" s="95" t="s">
        <v>3038</v>
      </c>
      <c r="H563" s="95" t="s">
        <v>378</v>
      </c>
      <c r="I563" s="95" t="s">
        <v>239</v>
      </c>
      <c r="J563" s="163"/>
      <c r="K563" s="101"/>
      <c r="L563" s="101" t="s">
        <v>288</v>
      </c>
      <c r="M563" s="101" t="s">
        <v>272</v>
      </c>
      <c r="N563" s="442" t="s">
        <v>381</v>
      </c>
      <c r="O563" s="165">
        <v>53.539500000000004</v>
      </c>
      <c r="P563" s="933">
        <v>164.6</v>
      </c>
      <c r="Q563" s="157">
        <v>173</v>
      </c>
      <c r="R563" s="109" t="s">
        <v>244</v>
      </c>
      <c r="S563" s="110">
        <v>840107.52000000002</v>
      </c>
      <c r="T563" s="93">
        <v>73792.22</v>
      </c>
      <c r="U563" s="141">
        <v>48164.88</v>
      </c>
      <c r="V563" s="158">
        <f t="shared" si="322"/>
        <v>0.65270945907305666</v>
      </c>
      <c r="W563" s="159">
        <v>45758.321527777778</v>
      </c>
      <c r="X563" s="159">
        <v>45765.458333333336</v>
      </c>
      <c r="Y563" s="160">
        <v>45766</v>
      </c>
      <c r="Z563" s="470">
        <v>45775</v>
      </c>
      <c r="AA563" s="470">
        <v>45775.448611111111</v>
      </c>
      <c r="AB563" s="470"/>
      <c r="AC563" s="161">
        <f t="shared" si="323"/>
        <v>17.127083333332848</v>
      </c>
      <c r="AD563" s="161">
        <f t="shared" si="351"/>
        <v>9.9902777777751908</v>
      </c>
      <c r="AE563" s="446">
        <f t="shared" si="346"/>
        <v>-45775.448611111111</v>
      </c>
      <c r="AF563" s="160">
        <f t="shared" si="352"/>
        <v>45777.767570943244</v>
      </c>
      <c r="AG563" s="160">
        <f t="shared" si="349"/>
        <v>45786.753182454035</v>
      </c>
      <c r="AH563" s="159">
        <f t="shared" si="353"/>
        <v>45808.321527777778</v>
      </c>
      <c r="AI563" s="162">
        <f t="shared" si="324"/>
        <v>0.57227514022434278</v>
      </c>
      <c r="AJ563" s="224">
        <f t="shared" si="354"/>
        <v>-762.92414351851846</v>
      </c>
      <c r="AK563" s="225">
        <f t="shared" si="325"/>
        <v>26</v>
      </c>
      <c r="AL563" s="170">
        <f t="shared" si="326"/>
        <v>32</v>
      </c>
      <c r="AM563" s="170">
        <f t="shared" si="327"/>
        <v>22.446043165467625</v>
      </c>
      <c r="AN563" s="170">
        <f t="shared" si="328"/>
        <v>28.431654676258994</v>
      </c>
      <c r="AO563" s="226">
        <f t="shared" si="329"/>
        <v>19.446043165467625</v>
      </c>
      <c r="AP563" s="227">
        <v>60</v>
      </c>
      <c r="AQ563" s="228">
        <f t="shared" si="330"/>
        <v>57</v>
      </c>
      <c r="AR563" s="228">
        <f t="shared" si="350"/>
        <v>52</v>
      </c>
      <c r="AS563" s="229">
        <f t="shared" si="331"/>
        <v>45835.448611111111</v>
      </c>
      <c r="AT563" s="982">
        <f t="shared" ca="1" si="332"/>
        <v>119.55138888888905</v>
      </c>
      <c r="AU563" s="50"/>
      <c r="AV563" s="51"/>
      <c r="AW563" s="49"/>
      <c r="AX563" s="49"/>
      <c r="AY563" s="49"/>
      <c r="AZ563" s="300"/>
      <c r="BA563" s="52"/>
      <c r="BB563" s="304"/>
      <c r="BC563" s="231" t="s">
        <v>12</v>
      </c>
      <c r="BD563" s="232"/>
      <c r="BE563" s="222">
        <f t="shared" si="347"/>
        <v>45790.448611111111</v>
      </c>
      <c r="BF563" s="233">
        <f t="shared" si="320"/>
        <v>75.551388888889051</v>
      </c>
      <c r="BG563" s="234">
        <v>45775</v>
      </c>
      <c r="BH563" s="235">
        <v>45866</v>
      </c>
      <c r="BI563" s="234"/>
      <c r="BJ563" s="236"/>
      <c r="BK563" s="222"/>
      <c r="BL563" s="222"/>
      <c r="BM563" s="238"/>
      <c r="BN563" s="222"/>
      <c r="BO563" s="222"/>
      <c r="BP563" s="243"/>
      <c r="BQ563" s="244"/>
      <c r="BR563" s="238"/>
      <c r="BS563" s="68"/>
      <c r="BT563" s="69"/>
      <c r="BU563" s="69"/>
      <c r="BV563" s="69"/>
      <c r="BW563" s="75"/>
      <c r="BX563" s="81"/>
      <c r="BY563" s="66">
        <f>VLOOKUP([4]C1!$BY:$BY,[4]C1!$BY$531:$BY$625,1,FALSE)</f>
        <v>45783</v>
      </c>
      <c r="BZ563" s="944" t="str">
        <f>VLOOKUP([4]C1!$BZ:$BZ,[4]C1!$BZ$531:$BZ$625,1,FALSE)</f>
        <v>DX2-8022,TLN-527354,DX2-8023</v>
      </c>
      <c r="CA563" s="42" t="str">
        <f t="shared" si="333"/>
        <v>0</v>
      </c>
      <c r="CB563" s="62">
        <f t="shared" si="334"/>
        <v>17.127083333332848</v>
      </c>
      <c r="CC563" s="42">
        <f t="shared" si="335"/>
        <v>0</v>
      </c>
      <c r="CD563" s="62">
        <f t="shared" si="336"/>
        <v>17.127083333332848</v>
      </c>
      <c r="CE563" s="62">
        <f t="shared" si="337"/>
        <v>0.57227514022434278</v>
      </c>
      <c r="CF563" s="145">
        <f t="shared" si="338"/>
        <v>93.551388888889051</v>
      </c>
      <c r="CG563" s="145"/>
      <c r="CH563" s="443">
        <f t="shared" si="339"/>
        <v>3.6981508747328946</v>
      </c>
      <c r="CI563" s="996">
        <f t="shared" si="340"/>
        <v>3.6981508747328946</v>
      </c>
      <c r="CJ563" s="261">
        <f t="shared" si="341"/>
        <v>1.5591898148148176</v>
      </c>
      <c r="CK563" s="458" t="str">
        <f t="shared" si="342"/>
        <v/>
      </c>
      <c r="CL563" t="str">
        <f t="shared" si="343"/>
        <v>REV</v>
      </c>
      <c r="CM563" t="str">
        <f t="shared" si="344"/>
        <v/>
      </c>
      <c r="CN563" s="635"/>
      <c r="CO563" s="631"/>
      <c r="CP563" s="629" t="str">
        <f t="shared" si="321"/>
        <v>FOR ISSUANCE</v>
      </c>
      <c r="CQ563" s="635"/>
      <c r="CR563" s="697"/>
      <c r="CS563" s="633" t="str">
        <f t="shared" ca="1" si="345"/>
        <v>0</v>
      </c>
      <c r="CT563" s="635"/>
      <c r="CU563" s="631"/>
      <c r="CV563" s="638"/>
      <c r="CW563" s="404"/>
      <c r="CX563" s="156"/>
      <c r="CY563" s="156"/>
      <c r="DA563" s="762">
        <f t="shared" si="348"/>
        <v>7.1368055555576575</v>
      </c>
      <c r="DS563" s="442" t="s">
        <v>403</v>
      </c>
    </row>
    <row r="564" spans="1:123" ht="15" customHeight="1" x14ac:dyDescent="0.2">
      <c r="A564" s="242">
        <v>45768</v>
      </c>
      <c r="B564" s="222">
        <v>45769</v>
      </c>
      <c r="C564" s="223"/>
      <c r="D564" s="66" t="s">
        <v>234</v>
      </c>
      <c r="E564" s="404" t="s">
        <v>3039</v>
      </c>
      <c r="F564" s="155" t="s">
        <v>926</v>
      </c>
      <c r="G564" s="95" t="s">
        <v>3040</v>
      </c>
      <c r="H564" s="95" t="s">
        <v>238</v>
      </c>
      <c r="I564" s="95" t="s">
        <v>239</v>
      </c>
      <c r="J564" s="163"/>
      <c r="K564" s="101"/>
      <c r="L564" s="101" t="s">
        <v>255</v>
      </c>
      <c r="M564" s="101" t="s">
        <v>272</v>
      </c>
      <c r="N564" s="442" t="s">
        <v>381</v>
      </c>
      <c r="O564" s="165">
        <v>3.3294999999999995</v>
      </c>
      <c r="P564" s="933">
        <v>22.72</v>
      </c>
      <c r="Q564" s="157">
        <v>31</v>
      </c>
      <c r="R564" s="109" t="s">
        <v>244</v>
      </c>
      <c r="S564" s="110">
        <v>63373.46</v>
      </c>
      <c r="T564" s="93">
        <v>19523.93</v>
      </c>
      <c r="U564" s="141"/>
      <c r="V564" s="158">
        <f t="shared" si="322"/>
        <v>0</v>
      </c>
      <c r="W564" s="159">
        <v>45758.395138888889</v>
      </c>
      <c r="X564" s="159">
        <v>45765.460416666669</v>
      </c>
      <c r="Y564" s="160">
        <v>45766</v>
      </c>
      <c r="Z564" s="470"/>
      <c r="AA564" s="470">
        <v>45822.442361111112</v>
      </c>
      <c r="AB564" s="470"/>
      <c r="AC564" s="161">
        <f t="shared" si="323"/>
        <v>64.047222222223354</v>
      </c>
      <c r="AD564" s="161">
        <f t="shared" si="351"/>
        <v>56.981944444443798</v>
      </c>
      <c r="AE564" s="446">
        <f t="shared" si="346"/>
        <v>-45822.442361111112</v>
      </c>
      <c r="AF564" s="160">
        <f t="shared" si="352"/>
        <v>45777.169332437275</v>
      </c>
      <c r="AG564" s="160">
        <f t="shared" si="349"/>
        <v>45785.975784050177</v>
      </c>
      <c r="AH564" s="159">
        <f t="shared" si="353"/>
        <v>45808.395138888889</v>
      </c>
      <c r="AI564" s="162">
        <f t="shared" si="324"/>
        <v>2.2060709876543596</v>
      </c>
      <c r="AJ564" s="224">
        <f t="shared" si="354"/>
        <v>-763.70737268518519</v>
      </c>
      <c r="AK564" s="225">
        <f t="shared" si="325"/>
        <v>20</v>
      </c>
      <c r="AL564" s="170">
        <f t="shared" si="326"/>
        <v>36</v>
      </c>
      <c r="AM564" s="170">
        <f t="shared" si="327"/>
        <v>21.774193548387096</v>
      </c>
      <c r="AN564" s="170">
        <f t="shared" si="328"/>
        <v>27.58064516129032</v>
      </c>
      <c r="AO564" s="226">
        <f t="shared" si="329"/>
        <v>18.774193548387096</v>
      </c>
      <c r="AP564" s="227">
        <v>60</v>
      </c>
      <c r="AQ564" s="228">
        <f t="shared" si="330"/>
        <v>57</v>
      </c>
      <c r="AR564" s="228">
        <f t="shared" si="350"/>
        <v>52</v>
      </c>
      <c r="AS564" s="229">
        <f t="shared" si="331"/>
        <v>45882.442361111112</v>
      </c>
      <c r="AT564" s="982">
        <f t="shared" ca="1" si="332"/>
        <v>72.557638888887595</v>
      </c>
      <c r="AU564" s="1077"/>
      <c r="AV564" s="1092"/>
      <c r="AW564" s="1079"/>
      <c r="AX564" s="1079"/>
      <c r="AY564" s="1079"/>
      <c r="AZ564" s="1080"/>
      <c r="BA564" s="1101"/>
      <c r="BB564" s="1091"/>
      <c r="BC564" s="231" t="s">
        <v>13</v>
      </c>
      <c r="BD564" s="232"/>
      <c r="BE564" s="222">
        <f t="shared" si="347"/>
        <v>45837.442361111112</v>
      </c>
      <c r="BF564" s="233" t="e">
        <f t="shared" ref="BF564:BF627" si="355">IF(ISBLANK(AA564),0,IF(ISBLANK(BH564),(BE564-$L$1),(BH564-BE564)))</f>
        <v>#VALUE!</v>
      </c>
      <c r="BG564" s="234"/>
      <c r="BH564" s="235"/>
      <c r="BI564" s="234"/>
      <c r="BJ564" s="236"/>
      <c r="BK564" s="222"/>
      <c r="BL564" s="222"/>
      <c r="BM564" s="238"/>
      <c r="BN564" s="222"/>
      <c r="BO564" s="222"/>
      <c r="BP564" s="243"/>
      <c r="BQ564" s="244" t="s">
        <v>247</v>
      </c>
      <c r="BR564" s="238">
        <v>45813</v>
      </c>
      <c r="BS564" s="68"/>
      <c r="BT564" s="69"/>
      <c r="BU564" s="69"/>
      <c r="BV564" s="69"/>
      <c r="BW564" s="75"/>
      <c r="BX564" s="81"/>
      <c r="BY564" s="66">
        <f>VLOOKUP([4]C1!$BY:$BY,[4]C1!$BY$531:$BY$625,1,FALSE)</f>
        <v>45775</v>
      </c>
      <c r="BZ564" s="944" t="str">
        <f>VLOOKUP([4]C1!$BZ:$BZ,[4]C1!$BZ$531:$BZ$625,1,FALSE)</f>
        <v>TLN-530039</v>
      </c>
      <c r="CA564" s="42" t="str">
        <f t="shared" si="333"/>
        <v>0</v>
      </c>
      <c r="CB564" s="62">
        <f t="shared" si="334"/>
        <v>64.047222222223354</v>
      </c>
      <c r="CC564" s="42">
        <f t="shared" si="335"/>
        <v>0</v>
      </c>
      <c r="CD564" s="62">
        <f t="shared" si="336"/>
        <v>64.047222222223354</v>
      </c>
      <c r="CE564" s="62">
        <f t="shared" si="337"/>
        <v>2.2060709876543596</v>
      </c>
      <c r="CF564" s="1059">
        <f t="shared" si="338"/>
        <v>46.557638888887595</v>
      </c>
      <c r="CH564" s="1082">
        <f t="shared" si="339"/>
        <v>3.8097229938271546</v>
      </c>
      <c r="CI564" s="1083">
        <f t="shared" si="340"/>
        <v>3.8097229938271546</v>
      </c>
      <c r="CJ564" s="1084">
        <f t="shared" si="341"/>
        <v>0.7759606481481266</v>
      </c>
      <c r="CK564" s="1085" t="str">
        <f t="shared" si="342"/>
        <v/>
      </c>
      <c r="CL564" s="1057" t="str">
        <f t="shared" si="343"/>
        <v>REV</v>
      </c>
      <c r="CM564" s="1057" t="str">
        <f t="shared" si="344"/>
        <v/>
      </c>
      <c r="CN564" s="1086"/>
      <c r="CO564" s="1087"/>
      <c r="CP564" s="629" t="str">
        <f t="shared" si="321"/>
        <v>FOR ISSUANCE</v>
      </c>
      <c r="CQ564" s="1086"/>
      <c r="CR564" s="1088"/>
      <c r="CS564" s="1089" t="str">
        <f t="shared" ca="1" si="345"/>
        <v>0</v>
      </c>
      <c r="CT564" s="1086"/>
      <c r="CU564" s="1087"/>
      <c r="CV564" s="1090"/>
      <c r="CX564" s="156"/>
      <c r="CY564" s="156"/>
      <c r="DA564" s="1100">
        <f t="shared" si="348"/>
        <v>7.0652777777795563</v>
      </c>
      <c r="DS564" s="156" t="s">
        <v>397</v>
      </c>
    </row>
    <row r="565" spans="1:123" customFormat="1" ht="15" customHeight="1" x14ac:dyDescent="0.25">
      <c r="A565" s="242"/>
      <c r="B565" s="222">
        <v>45769</v>
      </c>
      <c r="C565" s="223"/>
      <c r="D565" s="66" t="s">
        <v>284</v>
      </c>
      <c r="E565" s="404" t="s">
        <v>3041</v>
      </c>
      <c r="F565" s="155" t="s">
        <v>3042</v>
      </c>
      <c r="G565" s="95" t="s">
        <v>3043</v>
      </c>
      <c r="H565" s="95" t="s">
        <v>378</v>
      </c>
      <c r="I565" s="95" t="s">
        <v>239</v>
      </c>
      <c r="J565" s="163"/>
      <c r="K565" s="101"/>
      <c r="L565" s="101" t="s">
        <v>288</v>
      </c>
      <c r="M565" s="101" t="s">
        <v>256</v>
      </c>
      <c r="N565" s="442" t="s">
        <v>381</v>
      </c>
      <c r="O565" s="165">
        <v>23.489499999999996</v>
      </c>
      <c r="P565" s="933">
        <v>55.51</v>
      </c>
      <c r="Q565" s="157">
        <v>79</v>
      </c>
      <c r="R565" s="109" t="s">
        <v>244</v>
      </c>
      <c r="S565" s="110">
        <v>474742.63</v>
      </c>
      <c r="T565" s="93">
        <v>47716.19</v>
      </c>
      <c r="U565" s="141"/>
      <c r="V565" s="158">
        <f t="shared" si="322"/>
        <v>0</v>
      </c>
      <c r="W565" s="159">
        <v>45758.526388888888</v>
      </c>
      <c r="X565" s="159">
        <v>45765.457638888889</v>
      </c>
      <c r="Y565" s="160">
        <v>45766</v>
      </c>
      <c r="Z565" s="470"/>
      <c r="AA565" s="470">
        <v>45779.311111111114</v>
      </c>
      <c r="AB565" s="470">
        <v>45846</v>
      </c>
      <c r="AC565" s="161">
        <f t="shared" si="323"/>
        <v>20.784722222226264</v>
      </c>
      <c r="AD565" s="161">
        <f t="shared" si="351"/>
        <v>13.853472222224809</v>
      </c>
      <c r="AE565" s="446">
        <f t="shared" si="346"/>
        <v>66.68888888888614</v>
      </c>
      <c r="AF565" s="160">
        <f t="shared" si="352"/>
        <v>45777.826769117026</v>
      </c>
      <c r="AG565" s="160">
        <f t="shared" si="349"/>
        <v>45786.773537177862</v>
      </c>
      <c r="AH565" s="159">
        <f t="shared" si="353"/>
        <v>45808.526388888888</v>
      </c>
      <c r="AI565" s="162">
        <f t="shared" si="324"/>
        <v>0.69902582409789094</v>
      </c>
      <c r="AJ565" s="224">
        <f t="shared" si="354"/>
        <v>1.1114814814814358</v>
      </c>
      <c r="AK565" s="225">
        <f t="shared" si="325"/>
        <v>23</v>
      </c>
      <c r="AL565" s="170">
        <f t="shared" si="326"/>
        <v>34</v>
      </c>
      <c r="AM565" s="170">
        <f t="shared" si="327"/>
        <v>22.300380228136884</v>
      </c>
      <c r="AN565" s="170">
        <f t="shared" si="328"/>
        <v>28.247148288973385</v>
      </c>
      <c r="AO565" s="226">
        <f t="shared" si="329"/>
        <v>19.300380228136884</v>
      </c>
      <c r="AP565" s="227">
        <v>60</v>
      </c>
      <c r="AQ565" s="228">
        <f t="shared" si="330"/>
        <v>57</v>
      </c>
      <c r="AR565" s="228">
        <f t="shared" si="350"/>
        <v>52</v>
      </c>
      <c r="AS565" s="229">
        <f t="shared" si="331"/>
        <v>45839.311111111114</v>
      </c>
      <c r="AT565" s="982">
        <f t="shared" ca="1" si="332"/>
        <v>115.68888888888614</v>
      </c>
      <c r="AU565" s="50" t="s">
        <v>61</v>
      </c>
      <c r="AV565" s="51" t="s">
        <v>247</v>
      </c>
      <c r="AW565" s="49" t="s">
        <v>247</v>
      </c>
      <c r="AX565" s="49"/>
      <c r="AY565" s="49"/>
      <c r="AZ565" s="300">
        <v>45772</v>
      </c>
      <c r="BA565" s="52">
        <f>BB565-AZ565</f>
        <v>5</v>
      </c>
      <c r="BB565" s="304">
        <v>45777</v>
      </c>
      <c r="BC565" s="231" t="s">
        <v>14</v>
      </c>
      <c r="BD565" s="232"/>
      <c r="BE565" s="222">
        <f t="shared" si="347"/>
        <v>45794.311111111114</v>
      </c>
      <c r="BF565" s="233">
        <f t="shared" si="355"/>
        <v>12.68888888888614</v>
      </c>
      <c r="BG565" s="234">
        <v>45779</v>
      </c>
      <c r="BH565" s="235">
        <v>45807</v>
      </c>
      <c r="BI565" s="234">
        <v>45820</v>
      </c>
      <c r="BJ565" s="236" t="s">
        <v>245</v>
      </c>
      <c r="BK565" s="222" t="s">
        <v>246</v>
      </c>
      <c r="BL565" s="222"/>
      <c r="BM565" s="238"/>
      <c r="BN565" s="222"/>
      <c r="BO565" s="222">
        <v>45836</v>
      </c>
      <c r="BP565" s="243" t="s">
        <v>1084</v>
      </c>
      <c r="BQ565" s="244"/>
      <c r="BR565" s="238"/>
      <c r="BS565" s="68"/>
      <c r="BT565" s="69"/>
      <c r="BU565" s="69"/>
      <c r="BV565" s="69"/>
      <c r="BW565" s="75"/>
      <c r="BX565" s="81"/>
      <c r="BY565" s="66">
        <f>VLOOKUP([4]C1!$BY:$BY,[4]C1!$BY$531:$BY$625,1,FALSE)</f>
        <v>45772</v>
      </c>
      <c r="BZ565" s="944" t="str">
        <f>VLOOKUP([4]C1!$BZ:$BZ,[4]C1!$BZ$531:$BZ$625,1,FALSE)</f>
        <v>CS7-8154 - TLN-526661</v>
      </c>
      <c r="CA565" s="42" t="str">
        <f t="shared" si="333"/>
        <v>0</v>
      </c>
      <c r="CB565" s="62">
        <f t="shared" si="334"/>
        <v>20.784722222226264</v>
      </c>
      <c r="CC565" s="42">
        <f t="shared" si="335"/>
        <v>5</v>
      </c>
      <c r="CD565" s="62">
        <f t="shared" si="336"/>
        <v>15.784722222226264</v>
      </c>
      <c r="CE565" s="62">
        <f t="shared" si="337"/>
        <v>0.53086725632295484</v>
      </c>
      <c r="CF565" s="145">
        <f t="shared" si="338"/>
        <v>89.68888888888614</v>
      </c>
      <c r="CG565" s="145">
        <f xml:space="preserve"> (0.3)*(($CF$1-W565-CF565)/AK565)+(0.7)*(($CF$1-W565-CF565)/AL565)</f>
        <v>0.69902582409789094</v>
      </c>
      <c r="CH565" s="443">
        <f t="shared" si="339"/>
        <v>3.7154168442739843</v>
      </c>
      <c r="CI565" s="996">
        <f t="shared" si="340"/>
        <v>3.0163910201760933</v>
      </c>
      <c r="CJ565" s="261">
        <f t="shared" si="341"/>
        <v>1.4948148148147691</v>
      </c>
      <c r="CK565" s="458" t="str">
        <f t="shared" si="342"/>
        <v/>
      </c>
      <c r="CL565" t="str">
        <f t="shared" si="343"/>
        <v>REV</v>
      </c>
      <c r="CM565" t="str">
        <f t="shared" si="344"/>
        <v/>
      </c>
      <c r="CN565" s="635"/>
      <c r="CO565" s="631"/>
      <c r="CP565" s="629" t="str">
        <f t="shared" si="321"/>
        <v>FOR ISSUANCE</v>
      </c>
      <c r="CQ565" s="635"/>
      <c r="CR565" s="697"/>
      <c r="CS565" s="633" t="str">
        <f t="shared" ca="1" si="345"/>
        <v>0</v>
      </c>
      <c r="CT565" s="635"/>
      <c r="CU565" s="631"/>
      <c r="CV565" s="638"/>
      <c r="CW565" s="404"/>
      <c r="CX565" s="156"/>
      <c r="CY565" s="156"/>
      <c r="DA565" s="762">
        <f t="shared" si="348"/>
        <v>6.9312500000014552</v>
      </c>
      <c r="DS565" s="156" t="s">
        <v>397</v>
      </c>
    </row>
    <row r="566" spans="1:123" customFormat="1" ht="15" customHeight="1" x14ac:dyDescent="0.25">
      <c r="A566" s="242">
        <v>45779</v>
      </c>
      <c r="B566" s="222">
        <v>45769</v>
      </c>
      <c r="C566" s="223"/>
      <c r="D566" s="66" t="s">
        <v>284</v>
      </c>
      <c r="E566" s="404" t="s">
        <v>3044</v>
      </c>
      <c r="F566" s="155" t="s">
        <v>3045</v>
      </c>
      <c r="G566" s="95" t="s">
        <v>2937</v>
      </c>
      <c r="H566" s="95" t="s">
        <v>238</v>
      </c>
      <c r="I566" s="95" t="s">
        <v>239</v>
      </c>
      <c r="J566" s="163"/>
      <c r="K566" s="101"/>
      <c r="L566" s="101" t="s">
        <v>288</v>
      </c>
      <c r="M566" s="101" t="s">
        <v>272</v>
      </c>
      <c r="N566" s="442" t="s">
        <v>381</v>
      </c>
      <c r="O566" s="165">
        <v>8.48</v>
      </c>
      <c r="P566" s="933">
        <v>11.03</v>
      </c>
      <c r="Q566" s="157" t="s">
        <v>2021</v>
      </c>
      <c r="R566" s="109" t="s">
        <v>319</v>
      </c>
      <c r="S566" s="110">
        <v>19621.38</v>
      </c>
      <c r="T566" s="93">
        <v>9485.9599999999991</v>
      </c>
      <c r="U566" s="141"/>
      <c r="V566" s="158">
        <f t="shared" si="322"/>
        <v>0</v>
      </c>
      <c r="W566" s="159">
        <v>45758.614583333336</v>
      </c>
      <c r="X566" s="159">
        <v>45765.458333333336</v>
      </c>
      <c r="Y566" s="160">
        <v>45766</v>
      </c>
      <c r="Z566" s="470"/>
      <c r="AA566" s="470">
        <v>45818</v>
      </c>
      <c r="AB566" s="470"/>
      <c r="AC566" s="161">
        <f t="shared" si="323"/>
        <v>59.385416666664241</v>
      </c>
      <c r="AD566" s="161">
        <f t="shared" si="351"/>
        <v>52.541666666664241</v>
      </c>
      <c r="AE566" s="446">
        <f t="shared" si="346"/>
        <v>-45818</v>
      </c>
      <c r="AF566" s="160">
        <f t="shared" si="352"/>
        <v>45770.614583333336</v>
      </c>
      <c r="AG566" s="160">
        <f t="shared" si="349"/>
        <v>45777.614583333336</v>
      </c>
      <c r="AH566" s="159">
        <f t="shared" si="353"/>
        <v>45808.614583333336</v>
      </c>
      <c r="AI566" s="162">
        <f t="shared" si="324"/>
        <v>2.9692708333332116</v>
      </c>
      <c r="AJ566" s="224">
        <f t="shared" si="354"/>
        <v>-763.63333333333333</v>
      </c>
      <c r="AK566" s="225">
        <f t="shared" si="325"/>
        <v>20</v>
      </c>
      <c r="AL566" s="170">
        <f t="shared" si="326"/>
        <v>20</v>
      </c>
      <c r="AM566" s="170">
        <f t="shared" si="327"/>
        <v>15.000000000000002</v>
      </c>
      <c r="AN566" s="170">
        <f t="shared" si="328"/>
        <v>19</v>
      </c>
      <c r="AO566" s="226">
        <f t="shared" si="329"/>
        <v>12.000000000000002</v>
      </c>
      <c r="AP566" s="227">
        <v>60</v>
      </c>
      <c r="AQ566" s="228">
        <f t="shared" si="330"/>
        <v>57</v>
      </c>
      <c r="AR566" s="228">
        <f t="shared" si="350"/>
        <v>52</v>
      </c>
      <c r="AS566" s="229">
        <f t="shared" si="331"/>
        <v>45878</v>
      </c>
      <c r="AT566" s="982">
        <f t="shared" ca="1" si="332"/>
        <v>77</v>
      </c>
      <c r="AU566" s="50"/>
      <c r="AV566" s="51"/>
      <c r="AW566" s="49"/>
      <c r="AX566" s="49"/>
      <c r="AY566" s="49"/>
      <c r="AZ566" s="300"/>
      <c r="BA566" s="52"/>
      <c r="BB566" s="304"/>
      <c r="BC566" s="231" t="s">
        <v>13</v>
      </c>
      <c r="BD566" s="232"/>
      <c r="BE566" s="222">
        <f t="shared" si="347"/>
        <v>45833</v>
      </c>
      <c r="BF566" s="233" t="e">
        <f t="shared" si="355"/>
        <v>#VALUE!</v>
      </c>
      <c r="BG566" s="234"/>
      <c r="BH566" s="235"/>
      <c r="BI566" s="234"/>
      <c r="BJ566" s="236"/>
      <c r="BK566" s="222"/>
      <c r="BL566" s="222"/>
      <c r="BM566" s="238"/>
      <c r="BN566" s="222"/>
      <c r="BO566" s="222"/>
      <c r="BP566" s="243"/>
      <c r="BQ566" s="244"/>
      <c r="BR566" s="238"/>
      <c r="BS566" s="68"/>
      <c r="BT566" s="69"/>
      <c r="BU566" s="69"/>
      <c r="BV566" s="69"/>
      <c r="BW566" s="75"/>
      <c r="BX566" s="81"/>
      <c r="BY566" s="66">
        <f>VLOOKUP([4]C1!$BY:$BY,[4]C1!$BY$531:$BY$625,1,FALSE)</f>
        <v>45772</v>
      </c>
      <c r="BZ566" s="944" t="str">
        <f>VLOOKUP([4]C1!$BZ:$BZ,[4]C1!$BZ$531:$BZ$625,1,FALSE)</f>
        <v>N/A</v>
      </c>
      <c r="CA566" s="42" t="str">
        <f t="shared" si="333"/>
        <v>0</v>
      </c>
      <c r="CB566" s="62">
        <f t="shared" si="334"/>
        <v>59.385416666664241</v>
      </c>
      <c r="CC566" s="42">
        <f t="shared" si="335"/>
        <v>0</v>
      </c>
      <c r="CD566" s="62">
        <f t="shared" si="336"/>
        <v>59.385416666664241</v>
      </c>
      <c r="CE566" s="62">
        <f t="shared" si="337"/>
        <v>2.9692708333332116</v>
      </c>
      <c r="CF566" s="145">
        <f t="shared" si="338"/>
        <v>51</v>
      </c>
      <c r="CG566" s="145"/>
      <c r="CH566" s="443">
        <f t="shared" si="339"/>
        <v>5.519270833333211</v>
      </c>
      <c r="CI566" s="996">
        <f t="shared" si="340"/>
        <v>5.519270833333211</v>
      </c>
      <c r="CJ566" s="261">
        <f t="shared" si="341"/>
        <v>0.85</v>
      </c>
      <c r="CK566" s="458" t="str">
        <f t="shared" si="342"/>
        <v/>
      </c>
      <c r="CL566" t="str">
        <f t="shared" si="343"/>
        <v>NON-REV</v>
      </c>
      <c r="CM566" t="str">
        <f t="shared" si="344"/>
        <v/>
      </c>
      <c r="CN566" s="635"/>
      <c r="CO566" s="631"/>
      <c r="CP566" s="629" t="str">
        <f t="shared" si="321"/>
        <v>FOR ISSUANCE</v>
      </c>
      <c r="CQ566" s="635"/>
      <c r="CR566" s="697"/>
      <c r="CS566" s="633" t="str">
        <f t="shared" ca="1" si="345"/>
        <v>0</v>
      </c>
      <c r="CT566" s="635"/>
      <c r="CU566" s="631"/>
      <c r="CV566" s="638"/>
      <c r="CW566" s="404"/>
      <c r="CX566" s="156"/>
      <c r="CY566" s="156"/>
      <c r="DA566" s="762">
        <f t="shared" si="348"/>
        <v>6.84375</v>
      </c>
      <c r="DS566" s="156" t="s">
        <v>397</v>
      </c>
    </row>
    <row r="567" spans="1:123" ht="15" customHeight="1" x14ac:dyDescent="0.2">
      <c r="A567" s="242">
        <v>45776</v>
      </c>
      <c r="B567" s="222">
        <v>45769</v>
      </c>
      <c r="C567" s="223"/>
      <c r="D567" s="66" t="s">
        <v>320</v>
      </c>
      <c r="E567" s="404" t="s">
        <v>3046</v>
      </c>
      <c r="F567" s="155" t="s">
        <v>3047</v>
      </c>
      <c r="G567" s="95" t="s">
        <v>3048</v>
      </c>
      <c r="H567" s="95" t="s">
        <v>269</v>
      </c>
      <c r="I567" s="95" t="s">
        <v>239</v>
      </c>
      <c r="J567" s="1134" t="s">
        <v>3049</v>
      </c>
      <c r="K567" s="101"/>
      <c r="L567" s="101" t="s">
        <v>255</v>
      </c>
      <c r="M567" s="101" t="s">
        <v>331</v>
      </c>
      <c r="N567" s="442" t="s">
        <v>403</v>
      </c>
      <c r="O567" s="165">
        <v>440.6819999999999</v>
      </c>
      <c r="P567" s="165">
        <v>1142.6500000000001</v>
      </c>
      <c r="Q567" s="157">
        <v>99.7</v>
      </c>
      <c r="R567" s="109" t="s">
        <v>244</v>
      </c>
      <c r="S567" s="110">
        <v>2734783.42</v>
      </c>
      <c r="T567" s="93">
        <v>623962.88999999908</v>
      </c>
      <c r="U567" s="141"/>
      <c r="V567" s="158">
        <f t="shared" si="322"/>
        <v>0</v>
      </c>
      <c r="W567" s="159">
        <v>45758.654166666667</v>
      </c>
      <c r="X567" s="159">
        <v>45765.459027777775</v>
      </c>
      <c r="Y567" s="160">
        <v>45766</v>
      </c>
      <c r="Z567" s="470"/>
      <c r="AA567" s="470"/>
      <c r="AB567" s="470"/>
      <c r="AC567" s="161">
        <f t="shared" si="323"/>
        <v>-45758.654166666667</v>
      </c>
      <c r="AD567" s="161">
        <f t="shared" si="351"/>
        <v>-45765.459027777775</v>
      </c>
      <c r="AE567" s="446">
        <f t="shared" si="346"/>
        <v>0</v>
      </c>
      <c r="AF567" s="160">
        <f t="shared" si="352"/>
        <v>45783.862131268434</v>
      </c>
      <c r="AG567" s="160">
        <f t="shared" si="349"/>
        <v>45794.384255162244</v>
      </c>
      <c r="AH567" s="159">
        <f t="shared" si="353"/>
        <v>45808.654166666667</v>
      </c>
      <c r="AI567" s="162">
        <f t="shared" si="324"/>
        <v>-1216.6418637254901</v>
      </c>
      <c r="AJ567" s="224">
        <f t="shared" si="354"/>
        <v>0</v>
      </c>
      <c r="AK567" s="225">
        <f t="shared" si="325"/>
        <v>50</v>
      </c>
      <c r="AL567" s="170">
        <f t="shared" si="326"/>
        <v>34</v>
      </c>
      <c r="AM567" s="170">
        <f t="shared" si="327"/>
        <v>28.207964601769909</v>
      </c>
      <c r="AN567" s="170">
        <f t="shared" si="328"/>
        <v>35.730088495575217</v>
      </c>
      <c r="AO567" s="226">
        <f t="shared" si="329"/>
        <v>25.207964601769909</v>
      </c>
      <c r="AP567" s="227">
        <v>60</v>
      </c>
      <c r="AQ567" s="228">
        <f t="shared" si="330"/>
        <v>57</v>
      </c>
      <c r="AR567" s="228">
        <f t="shared" si="350"/>
        <v>52</v>
      </c>
      <c r="AS567" s="229">
        <f t="shared" si="331"/>
        <v>60</v>
      </c>
      <c r="AT567" s="982">
        <f t="shared" ca="1" si="332"/>
        <v>45895</v>
      </c>
      <c r="AU567" s="1077"/>
      <c r="AV567" s="1092"/>
      <c r="AW567" s="1079"/>
      <c r="AX567" s="1079"/>
      <c r="AY567" s="1079"/>
      <c r="AZ567" s="1080"/>
      <c r="BA567" s="1101"/>
      <c r="BB567" s="1091"/>
      <c r="BC567" s="231"/>
      <c r="BD567" s="232"/>
      <c r="BE567" s="222">
        <f t="shared" si="347"/>
        <v>15</v>
      </c>
      <c r="BF567" s="233">
        <f t="shared" si="355"/>
        <v>0</v>
      </c>
      <c r="BG567" s="234"/>
      <c r="BH567" s="235"/>
      <c r="BI567" s="234"/>
      <c r="BJ567" s="236"/>
      <c r="BK567" s="222"/>
      <c r="BL567" s="222"/>
      <c r="BM567" s="238"/>
      <c r="BN567" s="222"/>
      <c r="BO567" s="222"/>
      <c r="BP567" s="243"/>
      <c r="BQ567" s="244"/>
      <c r="BR567" s="238"/>
      <c r="BS567" s="68"/>
      <c r="BT567" s="69"/>
      <c r="BU567" s="69"/>
      <c r="BV567" s="69"/>
      <c r="BW567" s="75"/>
      <c r="BX567" s="81"/>
      <c r="BY567" s="66" t="s">
        <v>308</v>
      </c>
      <c r="BZ567" s="944" t="e">
        <f>VLOOKUP([4]C1!$BZ:$BZ,[4]C1!$BZ$531:$BZ$625,1,FALSE)</f>
        <v>#N/A</v>
      </c>
      <c r="CA567" s="42" t="str">
        <f t="shared" si="333"/>
        <v>0</v>
      </c>
      <c r="CB567" s="62">
        <f t="shared" si="334"/>
        <v>-45758.654166666667</v>
      </c>
      <c r="CC567" s="42">
        <f t="shared" si="335"/>
        <v>0</v>
      </c>
      <c r="CD567" s="62">
        <f t="shared" si="336"/>
        <v>-45758.654166666667</v>
      </c>
      <c r="CE567" s="62">
        <f t="shared" si="337"/>
        <v>-1216.6418637254901</v>
      </c>
      <c r="CF567" s="1059" t="str">
        <f t="shared" si="338"/>
        <v>0</v>
      </c>
      <c r="CH567" s="1082">
        <f t="shared" si="339"/>
        <v>2.9339009803921439</v>
      </c>
      <c r="CI567" s="1083">
        <f t="shared" si="340"/>
        <v>2.9339009803921439</v>
      </c>
      <c r="CJ567" s="1084">
        <f t="shared" si="341"/>
        <v>0</v>
      </c>
      <c r="CK567" s="1085">
        <f t="shared" si="342"/>
        <v>97.345833333332848</v>
      </c>
      <c r="CL567" s="1057" t="str">
        <f t="shared" si="343"/>
        <v>REV</v>
      </c>
      <c r="CM567" s="1057" t="str">
        <f t="shared" si="344"/>
        <v>4-6 MONTHS</v>
      </c>
      <c r="CN567" s="1086"/>
      <c r="CO567" s="1087"/>
      <c r="CP567" s="629" t="str">
        <f t="shared" si="321"/>
        <v>FOR ISSUANCE</v>
      </c>
      <c r="CQ567" s="1086"/>
      <c r="CR567" s="1088"/>
      <c r="CS567" s="1089" t="str">
        <f t="shared" ca="1" si="345"/>
        <v>0</v>
      </c>
      <c r="CT567" s="1086"/>
      <c r="CU567" s="1087"/>
      <c r="CV567" s="1090"/>
      <c r="CX567" s="156"/>
      <c r="CY567" s="156"/>
      <c r="DA567" s="1100">
        <f t="shared" si="348"/>
        <v>6.804861111108039</v>
      </c>
      <c r="DS567" s="442" t="s">
        <v>381</v>
      </c>
    </row>
    <row r="568" spans="1:123" customFormat="1" ht="15" customHeight="1" x14ac:dyDescent="0.25">
      <c r="A568" s="242">
        <v>45772</v>
      </c>
      <c r="B568" s="222">
        <v>45771</v>
      </c>
      <c r="C568" s="223" t="s">
        <v>247</v>
      </c>
      <c r="D568" s="66" t="s">
        <v>320</v>
      </c>
      <c r="E568" s="404" t="s">
        <v>3050</v>
      </c>
      <c r="F568" s="155" t="s">
        <v>3051</v>
      </c>
      <c r="G568" s="95" t="s">
        <v>3052</v>
      </c>
      <c r="H568" s="95" t="s">
        <v>253</v>
      </c>
      <c r="I568" s="95" t="s">
        <v>254</v>
      </c>
      <c r="J568" s="163"/>
      <c r="K568" s="101"/>
      <c r="L568" s="101" t="s">
        <v>263</v>
      </c>
      <c r="M568" s="101" t="s">
        <v>272</v>
      </c>
      <c r="N568" s="442" t="s">
        <v>467</v>
      </c>
      <c r="O568" s="165">
        <v>18.392799999999998</v>
      </c>
      <c r="P568" s="933">
        <v>20.28</v>
      </c>
      <c r="Q568" s="157">
        <v>2</v>
      </c>
      <c r="R568" s="109" t="s">
        <v>244</v>
      </c>
      <c r="S568" s="110">
        <v>197328.6</v>
      </c>
      <c r="T568" s="93">
        <v>60293.500000000007</v>
      </c>
      <c r="U568" s="141"/>
      <c r="V568" s="158">
        <f t="shared" si="322"/>
        <v>0</v>
      </c>
      <c r="W568" s="159">
        <v>45761.443055555559</v>
      </c>
      <c r="X568" s="159">
        <v>45770.612500000003</v>
      </c>
      <c r="Y568" s="160">
        <v>45771</v>
      </c>
      <c r="Z568" s="470"/>
      <c r="AA568" s="470">
        <v>45799</v>
      </c>
      <c r="AB568" s="470"/>
      <c r="AC568" s="161">
        <f t="shared" si="323"/>
        <v>37.556944444440887</v>
      </c>
      <c r="AD568" s="161">
        <f t="shared" si="351"/>
        <v>28.38749999999709</v>
      </c>
      <c r="AE568" s="446">
        <f t="shared" si="346"/>
        <v>-45799</v>
      </c>
      <c r="AF568" s="160">
        <f t="shared" si="352"/>
        <v>45780.217249103946</v>
      </c>
      <c r="AG568" s="160">
        <f t="shared" si="349"/>
        <v>45789.023700716847</v>
      </c>
      <c r="AH568" s="159">
        <f t="shared" si="353"/>
        <v>45811.443055555559</v>
      </c>
      <c r="AI568" s="162">
        <f t="shared" si="324"/>
        <v>1.2936280864196306</v>
      </c>
      <c r="AJ568" s="224">
        <f t="shared" si="354"/>
        <v>-763.31666666666672</v>
      </c>
      <c r="AK568" s="225">
        <f t="shared" si="325"/>
        <v>20</v>
      </c>
      <c r="AL568" s="170">
        <f t="shared" si="326"/>
        <v>36</v>
      </c>
      <c r="AM568" s="170">
        <f t="shared" si="327"/>
        <v>21.774193548387096</v>
      </c>
      <c r="AN568" s="170">
        <f t="shared" si="328"/>
        <v>27.58064516129032</v>
      </c>
      <c r="AO568" s="226">
        <f t="shared" si="329"/>
        <v>18.774193548387096</v>
      </c>
      <c r="AP568" s="227">
        <v>60</v>
      </c>
      <c r="AQ568" s="228">
        <f t="shared" si="330"/>
        <v>57</v>
      </c>
      <c r="AR568" s="228">
        <f t="shared" si="350"/>
        <v>52</v>
      </c>
      <c r="AS568" s="229">
        <f t="shared" si="331"/>
        <v>45859</v>
      </c>
      <c r="AT568" s="982">
        <f t="shared" ca="1" si="332"/>
        <v>96</v>
      </c>
      <c r="AU568" s="50"/>
      <c r="AV568" s="51"/>
      <c r="AW568" s="49"/>
      <c r="AX568" s="49"/>
      <c r="AY568" s="49"/>
      <c r="AZ568" s="300"/>
      <c r="BA568" s="52"/>
      <c r="BB568" s="304"/>
      <c r="BC568" s="231" t="s">
        <v>13</v>
      </c>
      <c r="BD568" s="232"/>
      <c r="BE568" s="222">
        <f t="shared" si="347"/>
        <v>45814</v>
      </c>
      <c r="BF568" s="233" t="e">
        <f t="shared" si="355"/>
        <v>#VALUE!</v>
      </c>
      <c r="BG568" s="234"/>
      <c r="BH568" s="235"/>
      <c r="BI568" s="234"/>
      <c r="BJ568" s="236"/>
      <c r="BK568" s="222"/>
      <c r="BL568" s="222"/>
      <c r="BM568" s="238"/>
      <c r="BN568" s="222"/>
      <c r="BO568" s="222"/>
      <c r="BP568" s="243"/>
      <c r="BQ568" s="244" t="s">
        <v>247</v>
      </c>
      <c r="BR568" s="238">
        <v>45799</v>
      </c>
      <c r="BS568" s="68"/>
      <c r="BT568" s="69"/>
      <c r="BU568" s="69"/>
      <c r="BV568" s="69"/>
      <c r="BW568" s="75"/>
      <c r="BX568" s="81"/>
      <c r="BY568" s="66">
        <f>VLOOKUP([4]C1!$BY:$BY,[4]C1!$BY$531:$BY$625,1,FALSE)</f>
        <v>45784</v>
      </c>
      <c r="BZ568" s="944" t="str">
        <f>VLOOKUP([4]C1!$BZ:$BZ,[4]C1!$BZ$531:$BZ$625,1,FALSE)</f>
        <v>A7-8057,TLN-186963</v>
      </c>
      <c r="CA568" s="42" t="str">
        <f t="shared" si="333"/>
        <v>0</v>
      </c>
      <c r="CB568" s="62">
        <f t="shared" si="334"/>
        <v>37.556944444440887</v>
      </c>
      <c r="CC568" s="42">
        <f t="shared" si="335"/>
        <v>0</v>
      </c>
      <c r="CD568" s="62">
        <f t="shared" si="336"/>
        <v>37.556944444440887</v>
      </c>
      <c r="CE568" s="62">
        <f t="shared" si="337"/>
        <v>1.2936280864196306</v>
      </c>
      <c r="CF568" s="145">
        <f t="shared" si="338"/>
        <v>70</v>
      </c>
      <c r="CG568" s="145"/>
      <c r="CH568" s="443">
        <f t="shared" si="339"/>
        <v>3.704739197530742</v>
      </c>
      <c r="CI568" s="996">
        <f t="shared" si="340"/>
        <v>3.704739197530742</v>
      </c>
      <c r="CJ568" s="261">
        <f t="shared" si="341"/>
        <v>1.1666666666666667</v>
      </c>
      <c r="CK568" s="458" t="str">
        <f t="shared" si="342"/>
        <v/>
      </c>
      <c r="CL568" t="str">
        <f t="shared" si="343"/>
        <v>REV</v>
      </c>
      <c r="CM568" t="str">
        <f t="shared" si="344"/>
        <v/>
      </c>
      <c r="CN568" s="635"/>
      <c r="CO568" s="631"/>
      <c r="CP568" s="629" t="str">
        <f t="shared" si="321"/>
        <v>FOR ISSUANCE</v>
      </c>
      <c r="CQ568" s="635"/>
      <c r="CR568" s="697"/>
      <c r="CS568" s="633" t="str">
        <f t="shared" ca="1" si="345"/>
        <v>0</v>
      </c>
      <c r="CT568" s="635"/>
      <c r="CU568" s="631"/>
      <c r="CV568" s="638"/>
      <c r="CW568" s="404"/>
      <c r="CX568" s="156"/>
      <c r="CY568" s="156"/>
      <c r="DA568" s="762"/>
      <c r="DS568" s="442" t="s">
        <v>381</v>
      </c>
    </row>
    <row r="569" spans="1:123" ht="15" customHeight="1" x14ac:dyDescent="0.2">
      <c r="A569" s="242">
        <v>45779</v>
      </c>
      <c r="B569" s="222">
        <v>45775</v>
      </c>
      <c r="C569" s="223"/>
      <c r="D569" s="66" t="s">
        <v>284</v>
      </c>
      <c r="E569" s="404" t="s">
        <v>3053</v>
      </c>
      <c r="F569" s="155" t="s">
        <v>3054</v>
      </c>
      <c r="G569" s="95" t="s">
        <v>781</v>
      </c>
      <c r="H569" s="95" t="s">
        <v>318</v>
      </c>
      <c r="I569" s="95" t="s">
        <v>239</v>
      </c>
      <c r="J569" s="163"/>
      <c r="K569" s="101"/>
      <c r="L569" s="101" t="s">
        <v>255</v>
      </c>
      <c r="M569" s="101" t="s">
        <v>272</v>
      </c>
      <c r="N569" s="442" t="s">
        <v>381</v>
      </c>
      <c r="O569" s="165">
        <v>17.220000000000002</v>
      </c>
      <c r="P569" s="933">
        <v>33.18</v>
      </c>
      <c r="Q569" s="157" t="s">
        <v>2021</v>
      </c>
      <c r="R569" s="109" t="s">
        <v>319</v>
      </c>
      <c r="S569" s="110">
        <v>35546.769999999997</v>
      </c>
      <c r="T569" s="93">
        <v>28577.829999999998</v>
      </c>
      <c r="U569" s="141"/>
      <c r="V569" s="158">
        <f t="shared" si="322"/>
        <v>0</v>
      </c>
      <c r="W569" s="159">
        <v>45761.656944444447</v>
      </c>
      <c r="X569" s="159">
        <v>45770.615277777775</v>
      </c>
      <c r="Y569" s="160">
        <v>45771</v>
      </c>
      <c r="Z569" s="470"/>
      <c r="AA569" s="470">
        <v>45806.625</v>
      </c>
      <c r="AB569" s="470"/>
      <c r="AC569" s="161">
        <f t="shared" si="323"/>
        <v>44.968055555553292</v>
      </c>
      <c r="AD569" s="161">
        <f t="shared" si="351"/>
        <v>36.009722222224809</v>
      </c>
      <c r="AE569" s="446">
        <f t="shared" si="346"/>
        <v>-45806.625</v>
      </c>
      <c r="AF569" s="160">
        <f t="shared" si="352"/>
        <v>45773.656944444447</v>
      </c>
      <c r="AG569" s="160">
        <f t="shared" si="349"/>
        <v>45780.656944444447</v>
      </c>
      <c r="AH569" s="159">
        <f t="shared" si="353"/>
        <v>45811.656944444447</v>
      </c>
      <c r="AI569" s="162">
        <f t="shared" si="324"/>
        <v>2.2484027777776645</v>
      </c>
      <c r="AJ569" s="224">
        <f t="shared" si="354"/>
        <v>-763.44375000000002</v>
      </c>
      <c r="AK569" s="225">
        <f t="shared" si="325"/>
        <v>20</v>
      </c>
      <c r="AL569" s="170">
        <f t="shared" si="326"/>
        <v>20</v>
      </c>
      <c r="AM569" s="170">
        <f t="shared" si="327"/>
        <v>15.000000000000002</v>
      </c>
      <c r="AN569" s="170">
        <f t="shared" si="328"/>
        <v>19</v>
      </c>
      <c r="AO569" s="226">
        <f t="shared" si="329"/>
        <v>12.000000000000002</v>
      </c>
      <c r="AP569" s="227">
        <v>60</v>
      </c>
      <c r="AQ569" s="228">
        <f t="shared" si="330"/>
        <v>57</v>
      </c>
      <c r="AR569" s="228">
        <f t="shared" si="350"/>
        <v>52</v>
      </c>
      <c r="AS569" s="229">
        <f t="shared" si="331"/>
        <v>45866.625</v>
      </c>
      <c r="AT569" s="982">
        <f t="shared" ca="1" si="332"/>
        <v>88.375</v>
      </c>
      <c r="AU569" s="1077"/>
      <c r="AV569" s="1092"/>
      <c r="AW569" s="1079"/>
      <c r="AX569" s="1079"/>
      <c r="AY569" s="1079"/>
      <c r="AZ569" s="1080"/>
      <c r="BA569" s="1101"/>
      <c r="BB569" s="1091"/>
      <c r="BC569" s="231" t="s">
        <v>13</v>
      </c>
      <c r="BD569" s="232"/>
      <c r="BE569" s="222">
        <f t="shared" si="347"/>
        <v>45821.625</v>
      </c>
      <c r="BF569" s="233" t="e">
        <f t="shared" si="355"/>
        <v>#VALUE!</v>
      </c>
      <c r="BG569" s="234"/>
      <c r="BH569" s="235"/>
      <c r="BI569" s="234"/>
      <c r="BJ569" s="236"/>
      <c r="BK569" s="222"/>
      <c r="BL569" s="222"/>
      <c r="BM569" s="238"/>
      <c r="BN569" s="222"/>
      <c r="BO569" s="222"/>
      <c r="BP569" s="243"/>
      <c r="BQ569" s="244"/>
      <c r="BR569" s="238"/>
      <c r="BS569" s="68"/>
      <c r="BT569" s="69"/>
      <c r="BU569" s="69"/>
      <c r="BV569" s="69"/>
      <c r="BW569" s="75"/>
      <c r="BX569" s="81"/>
      <c r="BY569" s="66" t="e">
        <f>VLOOKUP([4]C1!$BY:$BY,[4]C1!$BY$531:$BY$625,1,FALSE)</f>
        <v>#N/A</v>
      </c>
      <c r="BZ569" s="944" t="e">
        <f>VLOOKUP([4]C1!$BZ:$BZ,[4]C1!$BZ$531:$BZ$625,1,FALSE)</f>
        <v>#N/A</v>
      </c>
      <c r="CA569" s="42" t="str">
        <f t="shared" si="333"/>
        <v>0</v>
      </c>
      <c r="CB569" s="62">
        <f t="shared" si="334"/>
        <v>44.968055555553292</v>
      </c>
      <c r="CC569" s="42">
        <f t="shared" si="335"/>
        <v>0</v>
      </c>
      <c r="CD569" s="62">
        <f t="shared" si="336"/>
        <v>44.968055555553292</v>
      </c>
      <c r="CE569" s="62">
        <f t="shared" si="337"/>
        <v>2.2484027777776645</v>
      </c>
      <c r="CF569" s="1059">
        <f t="shared" si="338"/>
        <v>62.375</v>
      </c>
      <c r="CH569" s="1082">
        <f t="shared" si="339"/>
        <v>5.3671527777776644</v>
      </c>
      <c r="CI569" s="1083">
        <f t="shared" si="340"/>
        <v>5.3671527777776644</v>
      </c>
      <c r="CJ569" s="1084">
        <f t="shared" si="341"/>
        <v>1.0395833333333333</v>
      </c>
      <c r="CK569" s="1085" t="str">
        <f t="shared" si="342"/>
        <v/>
      </c>
      <c r="CL569" s="1057" t="str">
        <f t="shared" si="343"/>
        <v>NON-REV</v>
      </c>
      <c r="CM569" s="1057" t="str">
        <f t="shared" si="344"/>
        <v/>
      </c>
      <c r="CN569" s="1086"/>
      <c r="CO569" s="1087"/>
      <c r="CP569" s="629" t="str">
        <f t="shared" si="321"/>
        <v>FOR ISSUANCE</v>
      </c>
      <c r="CQ569" s="1086"/>
      <c r="CR569" s="1088"/>
      <c r="CS569" s="1089" t="str">
        <f t="shared" ca="1" si="345"/>
        <v>0</v>
      </c>
      <c r="CT569" s="1086"/>
      <c r="CU569" s="1087"/>
      <c r="CV569" s="1090"/>
      <c r="CX569" s="156"/>
      <c r="CY569" s="156"/>
      <c r="DA569" s="1100"/>
      <c r="DS569" s="442" t="s">
        <v>381</v>
      </c>
    </row>
    <row r="570" spans="1:123" customFormat="1" ht="15" customHeight="1" x14ac:dyDescent="0.25">
      <c r="A570" s="242">
        <v>45776</v>
      </c>
      <c r="B570" s="222">
        <v>45775</v>
      </c>
      <c r="C570" s="223" t="s">
        <v>247</v>
      </c>
      <c r="D570" s="66" t="s">
        <v>284</v>
      </c>
      <c r="E570" s="404" t="s">
        <v>3055</v>
      </c>
      <c r="F570" s="155" t="s">
        <v>3056</v>
      </c>
      <c r="G570" s="95" t="s">
        <v>3057</v>
      </c>
      <c r="H570" s="95" t="s">
        <v>238</v>
      </c>
      <c r="I570" s="95" t="s">
        <v>239</v>
      </c>
      <c r="J570" s="163"/>
      <c r="K570" s="101"/>
      <c r="L570" s="101" t="s">
        <v>242</v>
      </c>
      <c r="M570" s="101" t="s">
        <v>272</v>
      </c>
      <c r="N570" s="442" t="s">
        <v>467</v>
      </c>
      <c r="O570" s="165">
        <v>80.917399999999986</v>
      </c>
      <c r="P570" s="933">
        <v>216.64</v>
      </c>
      <c r="Q570" s="157">
        <v>183</v>
      </c>
      <c r="R570" s="109" t="s">
        <v>244</v>
      </c>
      <c r="S570" s="110">
        <v>911302.13</v>
      </c>
      <c r="T570" s="93">
        <v>118917.61000000002</v>
      </c>
      <c r="U570" s="141"/>
      <c r="V570" s="158">
        <f t="shared" si="322"/>
        <v>0</v>
      </c>
      <c r="W570" s="159">
        <v>45762.45208333333</v>
      </c>
      <c r="X570" s="159">
        <v>45770.614583333336</v>
      </c>
      <c r="Y570" s="160">
        <v>45771</v>
      </c>
      <c r="Z570" s="470"/>
      <c r="AA570" s="470">
        <v>45793</v>
      </c>
      <c r="AB570" s="470"/>
      <c r="AC570" s="161">
        <f t="shared" si="323"/>
        <v>30.547916666670062</v>
      </c>
      <c r="AD570" s="161">
        <f t="shared" si="351"/>
        <v>22.385416666664241</v>
      </c>
      <c r="AE570" s="446">
        <f t="shared" si="346"/>
        <v>-45793</v>
      </c>
      <c r="AF570" s="160">
        <f t="shared" si="352"/>
        <v>45782.465781963467</v>
      </c>
      <c r="AG570" s="160">
        <f t="shared" si="349"/>
        <v>45791.602768264835</v>
      </c>
      <c r="AH570" s="159">
        <f t="shared" si="353"/>
        <v>45812.45208333333</v>
      </c>
      <c r="AI570" s="162">
        <f t="shared" si="324"/>
        <v>0.99553478422630115</v>
      </c>
      <c r="AJ570" s="224">
        <f t="shared" si="354"/>
        <v>-763.2166666666667</v>
      </c>
      <c r="AK570" s="225">
        <f t="shared" si="325"/>
        <v>28</v>
      </c>
      <c r="AL570" s="170">
        <f t="shared" si="326"/>
        <v>32</v>
      </c>
      <c r="AM570" s="170">
        <f t="shared" si="327"/>
        <v>23.013698630136989</v>
      </c>
      <c r="AN570" s="170">
        <f t="shared" si="328"/>
        <v>29.150684931506852</v>
      </c>
      <c r="AO570" s="226">
        <f t="shared" si="329"/>
        <v>20.013698630136989</v>
      </c>
      <c r="AP570" s="227">
        <v>60</v>
      </c>
      <c r="AQ570" s="228">
        <f t="shared" si="330"/>
        <v>57</v>
      </c>
      <c r="AR570" s="228">
        <f t="shared" si="350"/>
        <v>52</v>
      </c>
      <c r="AS570" s="229">
        <f t="shared" si="331"/>
        <v>45853</v>
      </c>
      <c r="AT570" s="982">
        <f t="shared" ca="1" si="332"/>
        <v>102</v>
      </c>
      <c r="AU570" s="50"/>
      <c r="AV570" s="51"/>
      <c r="AW570" s="49"/>
      <c r="AX570" s="49"/>
      <c r="AY570" s="49"/>
      <c r="AZ570" s="300"/>
      <c r="BA570" s="52"/>
      <c r="BB570" s="304"/>
      <c r="BC570" s="231" t="s">
        <v>12</v>
      </c>
      <c r="BD570" s="232"/>
      <c r="BE570" s="222">
        <f t="shared" si="347"/>
        <v>45808</v>
      </c>
      <c r="BF570" s="233">
        <f t="shared" si="355"/>
        <v>-4</v>
      </c>
      <c r="BG570" s="234">
        <v>45788</v>
      </c>
      <c r="BH570" s="235">
        <v>45804</v>
      </c>
      <c r="BI570" s="234"/>
      <c r="BJ570" s="236"/>
      <c r="BK570" s="222"/>
      <c r="BL570" s="222"/>
      <c r="BM570" s="238"/>
      <c r="BN570" s="222"/>
      <c r="BO570" s="222"/>
      <c r="BP570" s="243"/>
      <c r="BQ570" s="244" t="s">
        <v>247</v>
      </c>
      <c r="BR570" s="238">
        <v>45785</v>
      </c>
      <c r="BS570" s="68"/>
      <c r="BT570" s="69"/>
      <c r="BU570" s="69"/>
      <c r="BV570" s="69"/>
      <c r="BW570" s="75"/>
      <c r="BX570" s="81"/>
      <c r="BY570" s="66">
        <f>VLOOKUP([4]C1!$BY:$BY,[4]C1!$BY$531:$BY$625,1,FALSE)</f>
        <v>45769</v>
      </c>
      <c r="BZ570" s="944" t="str">
        <f>VLOOKUP([4]C1!$BZ:$BZ,[4]C1!$BZ$531:$BZ$625,1,FALSE)</f>
        <v>B4-8031,TLN-530185</v>
      </c>
      <c r="CA570" s="42" t="str">
        <f t="shared" si="333"/>
        <v>0</v>
      </c>
      <c r="CB570" s="62">
        <f t="shared" si="334"/>
        <v>30.547916666670062</v>
      </c>
      <c r="CC570" s="42">
        <f t="shared" si="335"/>
        <v>0</v>
      </c>
      <c r="CD570" s="62">
        <f t="shared" si="336"/>
        <v>30.547916666670062</v>
      </c>
      <c r="CE570" s="62">
        <f t="shared" si="337"/>
        <v>0.99553478422630115</v>
      </c>
      <c r="CF570" s="145">
        <f t="shared" si="338"/>
        <v>76</v>
      </c>
      <c r="CG570" s="145"/>
      <c r="CH570" s="443">
        <f t="shared" si="339"/>
        <v>3.4723204985120151</v>
      </c>
      <c r="CI570" s="996">
        <f t="shared" si="340"/>
        <v>3.4723204985120151</v>
      </c>
      <c r="CJ570" s="261">
        <f t="shared" si="341"/>
        <v>1.2666666666666666</v>
      </c>
      <c r="CK570" s="458" t="str">
        <f t="shared" si="342"/>
        <v/>
      </c>
      <c r="CL570" t="str">
        <f t="shared" si="343"/>
        <v>REV</v>
      </c>
      <c r="CM570" t="str">
        <f t="shared" si="344"/>
        <v/>
      </c>
      <c r="CN570" s="635"/>
      <c r="CO570" s="631"/>
      <c r="CP570" s="629" t="str">
        <f t="shared" si="321"/>
        <v>FOR ISSUANCE</v>
      </c>
      <c r="CQ570" s="635"/>
      <c r="CR570" s="697"/>
      <c r="CS570" s="633" t="str">
        <f t="shared" ca="1" si="345"/>
        <v>0</v>
      </c>
      <c r="CT570" s="635"/>
      <c r="CU570" s="631"/>
      <c r="CV570" s="638"/>
      <c r="CW570" s="404"/>
      <c r="CX570" s="156"/>
      <c r="CY570" s="156"/>
      <c r="DA570" s="762"/>
      <c r="DS570" s="156" t="s">
        <v>397</v>
      </c>
    </row>
    <row r="571" spans="1:123" ht="15" customHeight="1" x14ac:dyDescent="0.2">
      <c r="A571" s="242">
        <v>45799</v>
      </c>
      <c r="B571" s="222">
        <v>45775</v>
      </c>
      <c r="C571" s="223"/>
      <c r="D571" s="66" t="s">
        <v>284</v>
      </c>
      <c r="E571" s="404" t="s">
        <v>3058</v>
      </c>
      <c r="F571" s="155" t="s">
        <v>3059</v>
      </c>
      <c r="G571" s="95" t="s">
        <v>588</v>
      </c>
      <c r="H571" s="95" t="s">
        <v>238</v>
      </c>
      <c r="I571" s="95" t="s">
        <v>239</v>
      </c>
      <c r="J571" s="163"/>
      <c r="K571" s="101"/>
      <c r="L571" s="101" t="s">
        <v>255</v>
      </c>
      <c r="M571" s="101" t="s">
        <v>272</v>
      </c>
      <c r="N571" s="442" t="s">
        <v>403</v>
      </c>
      <c r="O571" s="165">
        <v>103.6063</v>
      </c>
      <c r="P571" s="933">
        <v>228.7</v>
      </c>
      <c r="Q571" s="157">
        <v>330</v>
      </c>
      <c r="R571" s="109" t="s">
        <v>244</v>
      </c>
      <c r="S571" s="110">
        <v>1348450.36</v>
      </c>
      <c r="T571" s="93">
        <v>130058.28999999998</v>
      </c>
      <c r="U571" s="141"/>
      <c r="V571" s="158">
        <f t="shared" si="322"/>
        <v>0</v>
      </c>
      <c r="W571" s="159">
        <v>45762.581250000003</v>
      </c>
      <c r="X571" s="159">
        <v>45770.613888888889</v>
      </c>
      <c r="Y571" s="160">
        <v>45771</v>
      </c>
      <c r="Z571" s="470"/>
      <c r="AA571" s="470">
        <v>45842</v>
      </c>
      <c r="AB571" s="470"/>
      <c r="AC571" s="161">
        <f t="shared" si="323"/>
        <v>79.41874999999709</v>
      </c>
      <c r="AD571" s="161">
        <f t="shared" si="351"/>
        <v>71.386111111110949</v>
      </c>
      <c r="AE571" s="446">
        <f t="shared" si="346"/>
        <v>-45842</v>
      </c>
      <c r="AF571" s="160">
        <f t="shared" si="352"/>
        <v>45780.581250000003</v>
      </c>
      <c r="AG571" s="160">
        <f t="shared" si="349"/>
        <v>45789.181250000001</v>
      </c>
      <c r="AH571" s="159">
        <f t="shared" si="353"/>
        <v>45812.581250000003</v>
      </c>
      <c r="AI571" s="162">
        <f t="shared" si="324"/>
        <v>2.8363839285713248</v>
      </c>
      <c r="AJ571" s="224">
        <f t="shared" si="354"/>
        <v>-764.0333333333333</v>
      </c>
      <c r="AK571" s="225">
        <f t="shared" si="325"/>
        <v>28</v>
      </c>
      <c r="AL571" s="170">
        <f t="shared" si="326"/>
        <v>28</v>
      </c>
      <c r="AM571" s="170">
        <f t="shared" si="327"/>
        <v>21</v>
      </c>
      <c r="AN571" s="170">
        <f t="shared" si="328"/>
        <v>26.6</v>
      </c>
      <c r="AO571" s="226">
        <f t="shared" si="329"/>
        <v>18</v>
      </c>
      <c r="AP571" s="227">
        <v>60</v>
      </c>
      <c r="AQ571" s="228">
        <f t="shared" si="330"/>
        <v>57</v>
      </c>
      <c r="AR571" s="228">
        <f t="shared" si="350"/>
        <v>52</v>
      </c>
      <c r="AS571" s="229">
        <f t="shared" si="331"/>
        <v>45902</v>
      </c>
      <c r="AT571" s="982">
        <f t="shared" ca="1" si="332"/>
        <v>53</v>
      </c>
      <c r="AU571" s="1077"/>
      <c r="AV571" s="1092"/>
      <c r="AW571" s="1079"/>
      <c r="AX571" s="1079"/>
      <c r="AY571" s="1079"/>
      <c r="AZ571" s="1080"/>
      <c r="BA571" s="1101"/>
      <c r="BB571" s="1091"/>
      <c r="BC571" s="231" t="s">
        <v>13</v>
      </c>
      <c r="BD571" s="232"/>
      <c r="BE571" s="222">
        <f t="shared" si="347"/>
        <v>45857</v>
      </c>
      <c r="BF571" s="233" t="e">
        <f t="shared" si="355"/>
        <v>#VALUE!</v>
      </c>
      <c r="BG571" s="234"/>
      <c r="BH571" s="235"/>
      <c r="BI571" s="234"/>
      <c r="BJ571" s="236"/>
      <c r="BK571" s="222"/>
      <c r="BL571" s="222"/>
      <c r="BM571" s="238"/>
      <c r="BN571" s="222"/>
      <c r="BO571" s="222"/>
      <c r="BP571" s="243"/>
      <c r="BQ571" s="244"/>
      <c r="BR571" s="238"/>
      <c r="BS571" s="68"/>
      <c r="BT571" s="69"/>
      <c r="BU571" s="69"/>
      <c r="BV571" s="69"/>
      <c r="BW571" s="75"/>
      <c r="BX571" s="81"/>
      <c r="BY571" s="66">
        <f>VLOOKUP([4]C1!$BY:$BY,[4]C1!$BY$531:$BY$625,1,FALSE)</f>
        <v>45772</v>
      </c>
      <c r="BZ571" s="944" t="str">
        <f>VLOOKUP([4]C1!$BZ:$BZ,[4]C1!$BZ$531:$BZ$625,1,FALSE)</f>
        <v>N/A</v>
      </c>
      <c r="CA571" s="42" t="str">
        <f t="shared" si="333"/>
        <v>0</v>
      </c>
      <c r="CB571" s="62">
        <f t="shared" si="334"/>
        <v>79.41874999999709</v>
      </c>
      <c r="CC571" s="42">
        <f t="shared" si="335"/>
        <v>0</v>
      </c>
      <c r="CD571" s="62">
        <f t="shared" si="336"/>
        <v>79.41874999999709</v>
      </c>
      <c r="CE571" s="62">
        <f t="shared" si="337"/>
        <v>2.8363839285713248</v>
      </c>
      <c r="CF571" s="1059">
        <f t="shared" si="338"/>
        <v>27</v>
      </c>
      <c r="CH571" s="1082">
        <f t="shared" si="339"/>
        <v>3.8006696428570388</v>
      </c>
      <c r="CI571" s="1083">
        <f t="shared" si="340"/>
        <v>3.8006696428570388</v>
      </c>
      <c r="CJ571" s="1084">
        <f t="shared" si="341"/>
        <v>0.45</v>
      </c>
      <c r="CK571" s="1085" t="str">
        <f t="shared" si="342"/>
        <v/>
      </c>
      <c r="CL571" s="1057" t="str">
        <f t="shared" si="343"/>
        <v>REV</v>
      </c>
      <c r="CM571" s="1057" t="str">
        <f t="shared" si="344"/>
        <v/>
      </c>
      <c r="CN571" s="1086"/>
      <c r="CO571" s="1087"/>
      <c r="CP571" s="629" t="str">
        <f t="shared" si="321"/>
        <v>FOR ISSUANCE</v>
      </c>
      <c r="CQ571" s="1086"/>
      <c r="CR571" s="1088"/>
      <c r="CS571" s="1089" t="str">
        <f t="shared" ca="1" si="345"/>
        <v>0</v>
      </c>
      <c r="CT571" s="1086"/>
      <c r="CU571" s="1087"/>
      <c r="CV571" s="1090"/>
      <c r="CX571" s="156"/>
      <c r="CY571" s="156"/>
      <c r="DA571" s="1100"/>
      <c r="DS571" s="156" t="s">
        <v>397</v>
      </c>
    </row>
    <row r="572" spans="1:123" customFormat="1" ht="15" customHeight="1" x14ac:dyDescent="0.25">
      <c r="A572" s="242">
        <v>45769</v>
      </c>
      <c r="B572" s="222">
        <v>45771</v>
      </c>
      <c r="C572" s="223"/>
      <c r="D572" s="66" t="s">
        <v>320</v>
      </c>
      <c r="E572" s="404" t="s">
        <v>3060</v>
      </c>
      <c r="F572" s="155" t="s">
        <v>3061</v>
      </c>
      <c r="G572" s="95" t="s">
        <v>3062</v>
      </c>
      <c r="H572" s="95" t="s">
        <v>238</v>
      </c>
      <c r="I572" s="95" t="s">
        <v>239</v>
      </c>
      <c r="J572" s="163"/>
      <c r="K572" s="101"/>
      <c r="L572" s="101" t="s">
        <v>242</v>
      </c>
      <c r="M572" s="101" t="s">
        <v>272</v>
      </c>
      <c r="N572" s="442" t="s">
        <v>467</v>
      </c>
      <c r="O572" s="165">
        <v>45.209499999999991</v>
      </c>
      <c r="P572" s="933">
        <v>71.08</v>
      </c>
      <c r="Q572" s="157">
        <v>82</v>
      </c>
      <c r="R572" s="109" t="s">
        <v>548</v>
      </c>
      <c r="S572" s="110">
        <v>367939.35</v>
      </c>
      <c r="T572" s="93">
        <v>60293.500000000007</v>
      </c>
      <c r="U572" s="141"/>
      <c r="V572" s="158">
        <f t="shared" si="322"/>
        <v>0</v>
      </c>
      <c r="W572" s="159">
        <v>45762.581250000003</v>
      </c>
      <c r="X572" s="159">
        <v>45768.62222222222</v>
      </c>
      <c r="Y572" s="160">
        <v>45769</v>
      </c>
      <c r="Z572" s="470"/>
      <c r="AA572" s="470">
        <v>45776</v>
      </c>
      <c r="AB572" s="470"/>
      <c r="AC572" s="161">
        <f t="shared" si="323"/>
        <v>13.41874999999709</v>
      </c>
      <c r="AD572" s="161">
        <f t="shared" si="351"/>
        <v>7.3777777777795563</v>
      </c>
      <c r="AE572" s="446">
        <f t="shared" si="346"/>
        <v>-45776</v>
      </c>
      <c r="AF572" s="160">
        <f t="shared" si="352"/>
        <v>45781.881630228141</v>
      </c>
      <c r="AG572" s="160">
        <f t="shared" si="349"/>
        <v>45790.828398288977</v>
      </c>
      <c r="AH572" s="159">
        <f t="shared" si="353"/>
        <v>45812.581250000003</v>
      </c>
      <c r="AI572" s="162">
        <f t="shared" si="324"/>
        <v>0.45129555626588669</v>
      </c>
      <c r="AJ572" s="224">
        <f t="shared" si="354"/>
        <v>-762.93333333333328</v>
      </c>
      <c r="AK572" s="225">
        <f t="shared" si="325"/>
        <v>23</v>
      </c>
      <c r="AL572" s="170">
        <f t="shared" si="326"/>
        <v>34</v>
      </c>
      <c r="AM572" s="170">
        <f t="shared" si="327"/>
        <v>22.300380228136884</v>
      </c>
      <c r="AN572" s="170">
        <f t="shared" si="328"/>
        <v>28.247148288973385</v>
      </c>
      <c r="AO572" s="226">
        <f t="shared" si="329"/>
        <v>19.300380228136884</v>
      </c>
      <c r="AP572" s="227">
        <v>60</v>
      </c>
      <c r="AQ572" s="228">
        <f t="shared" si="330"/>
        <v>57</v>
      </c>
      <c r="AR572" s="228">
        <f t="shared" si="350"/>
        <v>52</v>
      </c>
      <c r="AS572" s="229">
        <f t="shared" si="331"/>
        <v>45836</v>
      </c>
      <c r="AT572" s="982">
        <f t="shared" ca="1" si="332"/>
        <v>119</v>
      </c>
      <c r="AU572" s="50"/>
      <c r="AV572" s="51"/>
      <c r="AW572" s="49"/>
      <c r="AX572" s="49"/>
      <c r="AY572" s="49"/>
      <c r="AZ572" s="300"/>
      <c r="BA572" s="52"/>
      <c r="BB572" s="304"/>
      <c r="BC572" s="231" t="s">
        <v>12</v>
      </c>
      <c r="BD572" s="232"/>
      <c r="BE572" s="222">
        <f t="shared" si="347"/>
        <v>45791</v>
      </c>
      <c r="BF572" s="233">
        <f t="shared" si="355"/>
        <v>13</v>
      </c>
      <c r="BG572" s="234">
        <v>45775</v>
      </c>
      <c r="BH572" s="235">
        <v>45804</v>
      </c>
      <c r="BI572" s="234"/>
      <c r="BJ572" s="236"/>
      <c r="BK572" s="222"/>
      <c r="BL572" s="222"/>
      <c r="BM572" s="238"/>
      <c r="BN572" s="222"/>
      <c r="BO572" s="222"/>
      <c r="BP572" s="243"/>
      <c r="BQ572" s="244"/>
      <c r="BR572" s="238"/>
      <c r="BS572" s="68"/>
      <c r="BT572" s="69"/>
      <c r="BU572" s="69"/>
      <c r="BV572" s="69"/>
      <c r="BW572" s="75"/>
      <c r="BX572" s="81"/>
      <c r="BY572" s="66" t="e">
        <f>VLOOKUP([4]C1!$BY:$BY,[4]C1!$BY$531:$BY$625,1,FALSE)</f>
        <v>#N/A</v>
      </c>
      <c r="BZ572" s="944" t="e">
        <f>VLOOKUP([4]C1!$BZ:$BZ,[4]C1!$BZ$531:$BZ$625,1,FALSE)</f>
        <v>#N/A</v>
      </c>
      <c r="CA572" s="42" t="str">
        <f t="shared" si="333"/>
        <v>0</v>
      </c>
      <c r="CB572" s="62">
        <f t="shared" si="334"/>
        <v>13.41874999999709</v>
      </c>
      <c r="CC572" s="42">
        <f t="shared" si="335"/>
        <v>0</v>
      </c>
      <c r="CD572" s="62">
        <f t="shared" si="336"/>
        <v>13.41874999999709</v>
      </c>
      <c r="CE572" s="62">
        <f t="shared" si="337"/>
        <v>0.45129555626588669</v>
      </c>
      <c r="CF572" s="145">
        <f t="shared" si="338"/>
        <v>93</v>
      </c>
      <c r="CG572" s="145"/>
      <c r="CH572" s="443">
        <f t="shared" si="339"/>
        <v>3.5790449168796972</v>
      </c>
      <c r="CI572" s="996">
        <f t="shared" si="340"/>
        <v>3.5790449168796972</v>
      </c>
      <c r="CJ572" s="261">
        <f t="shared" si="341"/>
        <v>1.55</v>
      </c>
      <c r="CK572" s="458" t="str">
        <f t="shared" si="342"/>
        <v/>
      </c>
      <c r="CL572" t="str">
        <f t="shared" si="343"/>
        <v>NON-REV</v>
      </c>
      <c r="CM572" t="str">
        <f t="shared" si="344"/>
        <v/>
      </c>
      <c r="CN572" s="635"/>
      <c r="CO572" s="631"/>
      <c r="CP572" s="629" t="str">
        <f t="shared" si="321"/>
        <v>FOR ISSUANCE</v>
      </c>
      <c r="CQ572" s="635"/>
      <c r="CR572" s="697"/>
      <c r="CS572" s="633" t="str">
        <f t="shared" ca="1" si="345"/>
        <v>0</v>
      </c>
      <c r="CT572" s="635"/>
      <c r="CU572" s="631"/>
      <c r="CV572" s="638"/>
      <c r="CW572" s="404"/>
      <c r="CX572" s="156"/>
      <c r="CY572" s="156"/>
      <c r="DA572" s="762"/>
      <c r="DS572" s="442" t="s">
        <v>381</v>
      </c>
    </row>
    <row r="573" spans="1:123" ht="15" customHeight="1" x14ac:dyDescent="0.2">
      <c r="A573" s="242">
        <v>45782</v>
      </c>
      <c r="B573" s="222">
        <v>45776</v>
      </c>
      <c r="C573" s="223"/>
      <c r="D573" s="66" t="s">
        <v>284</v>
      </c>
      <c r="E573" s="404" t="s">
        <v>3063</v>
      </c>
      <c r="F573" s="155" t="s">
        <v>1134</v>
      </c>
      <c r="G573" s="95" t="s">
        <v>3064</v>
      </c>
      <c r="H573" s="95" t="s">
        <v>378</v>
      </c>
      <c r="I573" s="95" t="s">
        <v>239</v>
      </c>
      <c r="J573" s="163"/>
      <c r="K573" s="101"/>
      <c r="L573" s="101" t="s">
        <v>255</v>
      </c>
      <c r="M573" s="101" t="s">
        <v>272</v>
      </c>
      <c r="N573" s="442" t="s">
        <v>403</v>
      </c>
      <c r="O573" s="165">
        <v>11.292800000000002</v>
      </c>
      <c r="P573" s="933">
        <v>13.42</v>
      </c>
      <c r="Q573" s="157">
        <v>19</v>
      </c>
      <c r="R573" s="109" t="s">
        <v>244</v>
      </c>
      <c r="S573" s="766">
        <v>143125.62</v>
      </c>
      <c r="T573" s="93">
        <v>11531.119999999999</v>
      </c>
      <c r="U573" s="141"/>
      <c r="V573" s="158">
        <f t="shared" si="322"/>
        <v>0</v>
      </c>
      <c r="W573" s="159">
        <v>45768.637499999997</v>
      </c>
      <c r="X573" s="159">
        <v>45775</v>
      </c>
      <c r="Y573" s="160">
        <v>45775.613888888889</v>
      </c>
      <c r="Z573" s="470">
        <v>45806</v>
      </c>
      <c r="AA573" s="470">
        <v>45836</v>
      </c>
      <c r="AB573" s="470"/>
      <c r="AC573" s="161">
        <f t="shared" si="323"/>
        <v>67.36250000000291</v>
      </c>
      <c r="AD573" s="161">
        <f t="shared" si="351"/>
        <v>61</v>
      </c>
      <c r="AE573" s="446">
        <f t="shared" si="346"/>
        <v>-45836</v>
      </c>
      <c r="AF573" s="160">
        <f t="shared" si="352"/>
        <v>45787.411693548383</v>
      </c>
      <c r="AG573" s="160">
        <f t="shared" si="349"/>
        <v>45796.218145161285</v>
      </c>
      <c r="AH573" s="159">
        <f t="shared" si="353"/>
        <v>45818.637499999997</v>
      </c>
      <c r="AI573" s="162">
        <f t="shared" si="324"/>
        <v>2.3202638888889888</v>
      </c>
      <c r="AJ573" s="224">
        <f t="shared" si="354"/>
        <v>-763.93333333333328</v>
      </c>
      <c r="AK573" s="225">
        <f t="shared" si="325"/>
        <v>20</v>
      </c>
      <c r="AL573" s="170">
        <f t="shared" si="326"/>
        <v>36</v>
      </c>
      <c r="AM573" s="170">
        <f t="shared" si="327"/>
        <v>21.774193548387096</v>
      </c>
      <c r="AN573" s="170">
        <f t="shared" si="328"/>
        <v>27.58064516129032</v>
      </c>
      <c r="AO573" s="226">
        <f t="shared" si="329"/>
        <v>18.774193548387096</v>
      </c>
      <c r="AP573" s="227">
        <v>60</v>
      </c>
      <c r="AQ573" s="228">
        <f t="shared" si="330"/>
        <v>57</v>
      </c>
      <c r="AR573" s="228">
        <f t="shared" si="350"/>
        <v>52</v>
      </c>
      <c r="AS573" s="229">
        <f t="shared" si="331"/>
        <v>45896</v>
      </c>
      <c r="AT573" s="982">
        <f t="shared" ca="1" si="332"/>
        <v>59</v>
      </c>
      <c r="AU573" s="1077"/>
      <c r="AV573" s="1092"/>
      <c r="AW573" s="1079"/>
      <c r="AX573" s="1079"/>
      <c r="AY573" s="1079"/>
      <c r="AZ573" s="1080"/>
      <c r="BA573" s="1101"/>
      <c r="BB573" s="1091"/>
      <c r="BC573" s="231" t="s">
        <v>12</v>
      </c>
      <c r="BD573" s="232"/>
      <c r="BE573" s="222">
        <f t="shared" si="347"/>
        <v>45851</v>
      </c>
      <c r="BF573" s="233">
        <f t="shared" si="355"/>
        <v>12</v>
      </c>
      <c r="BG573" s="234">
        <v>45806</v>
      </c>
      <c r="BH573" s="235">
        <v>45863</v>
      </c>
      <c r="BI573" s="234"/>
      <c r="BJ573" s="236"/>
      <c r="BK573" s="222"/>
      <c r="BL573" s="222"/>
      <c r="BM573" s="238"/>
      <c r="BN573" s="222"/>
      <c r="BO573" s="222"/>
      <c r="BP573" s="243"/>
      <c r="BQ573" s="244" t="s">
        <v>247</v>
      </c>
      <c r="BR573" s="238">
        <v>45834</v>
      </c>
      <c r="BS573" s="68"/>
      <c r="BT573" s="69"/>
      <c r="BU573" s="69"/>
      <c r="BV573" s="69"/>
      <c r="BW573" s="75"/>
      <c r="BX573" s="81"/>
      <c r="BY573" s="66">
        <f>VLOOKUP([4]C1!$BY:$BY,[4]C1!$BY$531:$BY$625,1,FALSE)</f>
        <v>45783</v>
      </c>
      <c r="BZ573" s="944" t="str">
        <f>VLOOKUP([4]C1!$BZ:$BZ,[4]C1!$BZ$531:$BZ$625,1,FALSE)</f>
        <v>A8-8144, TLN-527757</v>
      </c>
      <c r="CA573" s="42" t="str">
        <f t="shared" si="333"/>
        <v>0</v>
      </c>
      <c r="CB573" s="62">
        <f t="shared" si="334"/>
        <v>67.36250000000291</v>
      </c>
      <c r="CC573" s="42">
        <f t="shared" si="335"/>
        <v>0</v>
      </c>
      <c r="CD573" s="62">
        <f t="shared" si="336"/>
        <v>67.36250000000291</v>
      </c>
      <c r="CE573" s="62">
        <f t="shared" si="337"/>
        <v>2.3202638888889888</v>
      </c>
      <c r="CF573" s="1059">
        <f t="shared" si="338"/>
        <v>33</v>
      </c>
      <c r="CH573" s="1082">
        <f t="shared" si="339"/>
        <v>3.4569305555556555</v>
      </c>
      <c r="CI573" s="1083">
        <f t="shared" si="340"/>
        <v>3.4569305555556555</v>
      </c>
      <c r="CJ573" s="1084">
        <f t="shared" si="341"/>
        <v>0.55000000000000004</v>
      </c>
      <c r="CK573" s="1085" t="str">
        <f t="shared" si="342"/>
        <v/>
      </c>
      <c r="CL573" s="1057" t="str">
        <f t="shared" si="343"/>
        <v>REV</v>
      </c>
      <c r="CM573" s="1057" t="str">
        <f t="shared" si="344"/>
        <v/>
      </c>
      <c r="CN573" s="1086"/>
      <c r="CO573" s="1087"/>
      <c r="CP573" s="629" t="str">
        <f t="shared" si="321"/>
        <v>FOR ISSUANCE</v>
      </c>
      <c r="CQ573" s="1086"/>
      <c r="CR573" s="1088"/>
      <c r="CS573" s="1089" t="str">
        <f t="shared" ca="1" si="345"/>
        <v>0</v>
      </c>
      <c r="CT573" s="1086"/>
      <c r="CU573" s="1087"/>
      <c r="CV573" s="1090"/>
      <c r="CX573" s="156"/>
      <c r="CY573" s="156"/>
      <c r="DA573" s="1100"/>
      <c r="DS573" s="442" t="s">
        <v>381</v>
      </c>
    </row>
    <row r="574" spans="1:123" customFormat="1" ht="15" customHeight="1" x14ac:dyDescent="0.25">
      <c r="A574" s="242">
        <v>45782</v>
      </c>
      <c r="B574" s="222">
        <v>45776</v>
      </c>
      <c r="C574" s="223"/>
      <c r="D574" s="66" t="s">
        <v>284</v>
      </c>
      <c r="E574" s="404" t="s">
        <v>3065</v>
      </c>
      <c r="F574" s="155" t="s">
        <v>3066</v>
      </c>
      <c r="G574" s="95" t="s">
        <v>3067</v>
      </c>
      <c r="H574" s="95" t="s">
        <v>378</v>
      </c>
      <c r="I574" s="95" t="s">
        <v>239</v>
      </c>
      <c r="J574" s="163"/>
      <c r="K574" s="101"/>
      <c r="L574" s="101" t="s">
        <v>5</v>
      </c>
      <c r="M574" s="101" t="s">
        <v>272</v>
      </c>
      <c r="N574" s="442" t="s">
        <v>403</v>
      </c>
      <c r="O574" s="165">
        <v>12.213300000000002</v>
      </c>
      <c r="P574" s="933">
        <v>18.82</v>
      </c>
      <c r="Q574" s="157">
        <v>37</v>
      </c>
      <c r="R574" s="109" t="s">
        <v>244</v>
      </c>
      <c r="S574" s="766" t="s">
        <v>3068</v>
      </c>
      <c r="T574" s="93">
        <v>16173.539999999999</v>
      </c>
      <c r="U574" s="141"/>
      <c r="V574" s="158">
        <f t="shared" si="322"/>
        <v>0</v>
      </c>
      <c r="W574" s="159">
        <v>45768.643750000003</v>
      </c>
      <c r="X574" s="159">
        <v>45775.613194444442</v>
      </c>
      <c r="Y574" s="160">
        <v>45775.613888888889</v>
      </c>
      <c r="Z574" s="470"/>
      <c r="AA574" s="470">
        <v>45817</v>
      </c>
      <c r="AB574" s="470"/>
      <c r="AC574" s="161">
        <f t="shared" si="323"/>
        <v>48.35624999999709</v>
      </c>
      <c r="AD574" s="161">
        <f t="shared" si="351"/>
        <v>41.386805555557657</v>
      </c>
      <c r="AE574" s="446">
        <f t="shared" si="346"/>
        <v>-45817</v>
      </c>
      <c r="AF574" s="160">
        <f t="shared" si="352"/>
        <v>45787.417943548389</v>
      </c>
      <c r="AG574" s="160">
        <f t="shared" si="349"/>
        <v>45796.224395161291</v>
      </c>
      <c r="AH574" s="159">
        <f t="shared" si="353"/>
        <v>45818.643750000003</v>
      </c>
      <c r="AI574" s="162">
        <f t="shared" si="324"/>
        <v>1.6656041666665664</v>
      </c>
      <c r="AJ574" s="224">
        <f t="shared" si="354"/>
        <v>-763.61666666666667</v>
      </c>
      <c r="AK574" s="225">
        <f t="shared" si="325"/>
        <v>20</v>
      </c>
      <c r="AL574" s="170">
        <f t="shared" si="326"/>
        <v>36</v>
      </c>
      <c r="AM574" s="170">
        <f t="shared" si="327"/>
        <v>21.774193548387096</v>
      </c>
      <c r="AN574" s="170">
        <f t="shared" si="328"/>
        <v>27.58064516129032</v>
      </c>
      <c r="AO574" s="226">
        <f t="shared" si="329"/>
        <v>18.774193548387096</v>
      </c>
      <c r="AP574" s="227">
        <v>60</v>
      </c>
      <c r="AQ574" s="228">
        <f t="shared" si="330"/>
        <v>57</v>
      </c>
      <c r="AR574" s="228">
        <f t="shared" si="350"/>
        <v>52</v>
      </c>
      <c r="AS574" s="229">
        <f t="shared" si="331"/>
        <v>45877</v>
      </c>
      <c r="AT574" s="982">
        <f t="shared" ca="1" si="332"/>
        <v>78</v>
      </c>
      <c r="AU574" s="50"/>
      <c r="AV574" s="51"/>
      <c r="AW574" s="49"/>
      <c r="AX574" s="49"/>
      <c r="AY574" s="49"/>
      <c r="AZ574" s="300"/>
      <c r="BA574" s="52"/>
      <c r="BB574" s="304"/>
      <c r="BC574" s="231" t="s">
        <v>13</v>
      </c>
      <c r="BD574" s="232"/>
      <c r="BE574" s="222">
        <f t="shared" si="347"/>
        <v>45832</v>
      </c>
      <c r="BF574" s="233" t="e">
        <f t="shared" si="355"/>
        <v>#VALUE!</v>
      </c>
      <c r="BG574" s="234"/>
      <c r="BH574" s="235"/>
      <c r="BI574" s="234"/>
      <c r="BJ574" s="236"/>
      <c r="BK574" s="222"/>
      <c r="BL574" s="222"/>
      <c r="BM574" s="238"/>
      <c r="BN574" s="222"/>
      <c r="BO574" s="222"/>
      <c r="BP574" s="243"/>
      <c r="BQ574" s="244"/>
      <c r="BR574" s="238"/>
      <c r="BS574" s="68"/>
      <c r="BT574" s="69"/>
      <c r="BU574" s="69"/>
      <c r="BV574" s="69"/>
      <c r="BW574" s="75"/>
      <c r="BX574" s="81"/>
      <c r="BY574" s="66" t="e">
        <f>VLOOKUP([4]C1!$BY:$BY,[4]C1!$BY$531:$BY$625,1,FALSE)</f>
        <v>#N/A</v>
      </c>
      <c r="BZ574" s="944" t="e">
        <f>VLOOKUP([4]C1!$BZ:$BZ,[4]C1!$BZ$531:$BZ$625,1,FALSE)</f>
        <v>#N/A</v>
      </c>
      <c r="CA574" s="42" t="str">
        <f t="shared" si="333"/>
        <v>0</v>
      </c>
      <c r="CB574" s="62">
        <f t="shared" si="334"/>
        <v>48.35624999999709</v>
      </c>
      <c r="CC574" s="42">
        <f t="shared" si="335"/>
        <v>0</v>
      </c>
      <c r="CD574" s="62">
        <f t="shared" si="336"/>
        <v>48.35624999999709</v>
      </c>
      <c r="CE574" s="62">
        <f t="shared" si="337"/>
        <v>1.6656041666665664</v>
      </c>
      <c r="CF574" s="145">
        <f t="shared" si="338"/>
        <v>52</v>
      </c>
      <c r="CG574" s="145"/>
      <c r="CH574" s="443">
        <f t="shared" si="339"/>
        <v>3.4567152777776773</v>
      </c>
      <c r="CI574" s="996">
        <f t="shared" si="340"/>
        <v>3.4567152777776773</v>
      </c>
      <c r="CJ574" s="261">
        <f t="shared" si="341"/>
        <v>0.8666666666666667</v>
      </c>
      <c r="CK574" s="458" t="str">
        <f t="shared" si="342"/>
        <v/>
      </c>
      <c r="CL574" t="str">
        <f t="shared" si="343"/>
        <v>REV</v>
      </c>
      <c r="CM574" t="str">
        <f t="shared" si="344"/>
        <v/>
      </c>
      <c r="CN574" s="635"/>
      <c r="CO574" s="631"/>
      <c r="CP574" s="629" t="str">
        <f t="shared" si="321"/>
        <v>FOR ISSUANCE</v>
      </c>
      <c r="CQ574" s="635"/>
      <c r="CR574" s="697"/>
      <c r="CS574" s="633" t="str">
        <f t="shared" ca="1" si="345"/>
        <v>0</v>
      </c>
      <c r="CT574" s="635"/>
      <c r="CU574" s="631"/>
      <c r="CV574" s="638"/>
      <c r="CW574" s="404"/>
      <c r="CX574" s="156"/>
      <c r="CY574" s="156"/>
      <c r="DA574" s="762"/>
      <c r="DS574" s="442" t="s">
        <v>381</v>
      </c>
    </row>
    <row r="575" spans="1:123" customFormat="1" ht="15" customHeight="1" x14ac:dyDescent="0.25">
      <c r="A575" s="242">
        <v>45770</v>
      </c>
      <c r="B575" s="222">
        <v>45771</v>
      </c>
      <c r="C575" s="223" t="s">
        <v>247</v>
      </c>
      <c r="D575" s="66" t="s">
        <v>320</v>
      </c>
      <c r="E575" s="404" t="s">
        <v>3069</v>
      </c>
      <c r="F575" s="155" t="s">
        <v>949</v>
      </c>
      <c r="G575" s="95" t="s">
        <v>969</v>
      </c>
      <c r="H575" s="95" t="s">
        <v>378</v>
      </c>
      <c r="I575" s="95" t="s">
        <v>239</v>
      </c>
      <c r="J575" s="163"/>
      <c r="K575" s="101"/>
      <c r="L575" s="101" t="s">
        <v>288</v>
      </c>
      <c r="M575" s="101" t="s">
        <v>272</v>
      </c>
      <c r="N575" s="442" t="s">
        <v>381</v>
      </c>
      <c r="O575" s="165">
        <v>171.3066</v>
      </c>
      <c r="P575" s="933">
        <v>415.57</v>
      </c>
      <c r="Q575" s="157">
        <v>896</v>
      </c>
      <c r="R575" s="109" t="s">
        <v>244</v>
      </c>
      <c r="S575" s="110">
        <v>2903581.15</v>
      </c>
      <c r="T575" s="93">
        <v>323053.55999999994</v>
      </c>
      <c r="U575" s="141"/>
      <c r="V575" s="158">
        <f t="shared" si="322"/>
        <v>0</v>
      </c>
      <c r="W575" s="159">
        <v>45768.665277777778</v>
      </c>
      <c r="X575" s="159">
        <v>45769.288194444445</v>
      </c>
      <c r="Y575" s="160">
        <v>45770</v>
      </c>
      <c r="Z575" s="470">
        <v>45775</v>
      </c>
      <c r="AA575" s="470">
        <v>45775.443749999999</v>
      </c>
      <c r="AB575" s="470"/>
      <c r="AC575" s="161">
        <f t="shared" si="323"/>
        <v>6.7784722222204437</v>
      </c>
      <c r="AD575" s="161">
        <f t="shared" si="351"/>
        <v>6.1555555555532919</v>
      </c>
      <c r="AE575" s="446">
        <f t="shared" si="346"/>
        <v>-45775.443749999999</v>
      </c>
      <c r="AF575" s="160">
        <f t="shared" si="352"/>
        <v>45784.504868221462</v>
      </c>
      <c r="AG575" s="160">
        <f t="shared" si="349"/>
        <v>45792.528759006447</v>
      </c>
      <c r="AH575" s="159">
        <f t="shared" si="353"/>
        <v>45818.665277777778</v>
      </c>
      <c r="AI575" s="162">
        <f t="shared" si="324"/>
        <v>0.269849505585678</v>
      </c>
      <c r="AJ575" s="224">
        <f t="shared" si="354"/>
        <v>-762.92406249999999</v>
      </c>
      <c r="AK575" s="225">
        <f t="shared" si="325"/>
        <v>32</v>
      </c>
      <c r="AL575" s="170">
        <f t="shared" si="326"/>
        <v>23</v>
      </c>
      <c r="AM575" s="170">
        <f t="shared" si="327"/>
        <v>18.839590443686006</v>
      </c>
      <c r="AN575" s="170">
        <f t="shared" si="328"/>
        <v>23.863481228668942</v>
      </c>
      <c r="AO575" s="226">
        <f t="shared" si="329"/>
        <v>15.839590443686006</v>
      </c>
      <c r="AP575" s="227">
        <v>60</v>
      </c>
      <c r="AQ575" s="228">
        <f t="shared" si="330"/>
        <v>57</v>
      </c>
      <c r="AR575" s="228">
        <f t="shared" si="350"/>
        <v>52</v>
      </c>
      <c r="AS575" s="229">
        <f t="shared" si="331"/>
        <v>45835.443749999999</v>
      </c>
      <c r="AT575" s="982">
        <f t="shared" ca="1" si="332"/>
        <v>119.55625000000146</v>
      </c>
      <c r="AU575" s="50"/>
      <c r="AV575" s="51"/>
      <c r="AW575" s="49"/>
      <c r="AX575" s="49"/>
      <c r="AY575" s="49"/>
      <c r="AZ575" s="300"/>
      <c r="BA575" s="52"/>
      <c r="BB575" s="304"/>
      <c r="BC575" s="231" t="s">
        <v>12</v>
      </c>
      <c r="BD575" s="232"/>
      <c r="BE575" s="222">
        <f t="shared" si="347"/>
        <v>45790.443749999999</v>
      </c>
      <c r="BF575" s="233">
        <f t="shared" si="355"/>
        <v>85.556250000001455</v>
      </c>
      <c r="BG575" s="234">
        <v>45775</v>
      </c>
      <c r="BH575" s="235">
        <v>45876</v>
      </c>
      <c r="BI575" s="234"/>
      <c r="BJ575" s="236"/>
      <c r="BK575" s="222"/>
      <c r="BL575" s="222"/>
      <c r="BM575" s="238"/>
      <c r="BN575" s="222"/>
      <c r="BO575" s="222"/>
      <c r="BP575" s="243"/>
      <c r="BQ575" s="244"/>
      <c r="BR575" s="238"/>
      <c r="BS575" s="68"/>
      <c r="BT575" s="69"/>
      <c r="BU575" s="69"/>
      <c r="BV575" s="69"/>
      <c r="BW575" s="75"/>
      <c r="BX575" s="81"/>
      <c r="BY575" s="66" t="e">
        <f>VLOOKUP([4]C1!$BY:$BY,[4]C1!$BY$531:$BY$625,1,FALSE)</f>
        <v>#N/A</v>
      </c>
      <c r="BZ575" s="944" t="e">
        <f>VLOOKUP([4]C1!$BZ:$BZ,[4]C1!$BZ$531:$BZ$625,1,FALSE)</f>
        <v>#N/A</v>
      </c>
      <c r="CA575" s="42" t="str">
        <f t="shared" si="333"/>
        <v>0</v>
      </c>
      <c r="CB575" s="62">
        <f t="shared" si="334"/>
        <v>6.7784722222204437</v>
      </c>
      <c r="CC575" s="42">
        <f t="shared" si="335"/>
        <v>0</v>
      </c>
      <c r="CD575" s="62">
        <f t="shared" si="336"/>
        <v>6.7784722222204437</v>
      </c>
      <c r="CE575" s="62">
        <f t="shared" si="337"/>
        <v>0.269849505585678</v>
      </c>
      <c r="CF575" s="145">
        <f t="shared" si="338"/>
        <v>93.556250000001455</v>
      </c>
      <c r="CG575" s="145"/>
      <c r="CH575" s="443">
        <f t="shared" si="339"/>
        <v>3.9943034797705188</v>
      </c>
      <c r="CI575" s="996">
        <f t="shared" si="340"/>
        <v>3.9943034797705188</v>
      </c>
      <c r="CJ575" s="261">
        <f t="shared" si="341"/>
        <v>1.5592708333333576</v>
      </c>
      <c r="CK575" s="458" t="str">
        <f t="shared" si="342"/>
        <v/>
      </c>
      <c r="CL575" t="str">
        <f t="shared" si="343"/>
        <v>REV</v>
      </c>
      <c r="CM575" t="str">
        <f t="shared" si="344"/>
        <v/>
      </c>
      <c r="CN575" s="635"/>
      <c r="CO575" s="631"/>
      <c r="CP575" s="629" t="str">
        <f t="shared" si="321"/>
        <v>FOR ISSUANCE</v>
      </c>
      <c r="CQ575" s="635"/>
      <c r="CR575" s="697"/>
      <c r="CS575" s="633" t="str">
        <f t="shared" ca="1" si="345"/>
        <v>0</v>
      </c>
      <c r="CT575" s="635"/>
      <c r="CU575" s="631"/>
      <c r="CV575" s="638"/>
      <c r="CW575" s="404"/>
      <c r="CX575" s="156"/>
      <c r="CY575" s="156"/>
      <c r="DA575" s="762"/>
      <c r="DS575" s="442" t="s">
        <v>381</v>
      </c>
    </row>
    <row r="576" spans="1:123" customFormat="1" ht="15" customHeight="1" x14ac:dyDescent="0.25">
      <c r="A576" s="242">
        <v>45775</v>
      </c>
      <c r="B576" s="222">
        <v>45776</v>
      </c>
      <c r="C576" s="223"/>
      <c r="D576" s="66" t="s">
        <v>284</v>
      </c>
      <c r="E576" s="404" t="s">
        <v>3070</v>
      </c>
      <c r="F576" s="155" t="s">
        <v>3071</v>
      </c>
      <c r="G576" s="95" t="s">
        <v>933</v>
      </c>
      <c r="H576" s="95" t="s">
        <v>253</v>
      </c>
      <c r="I576" s="95" t="s">
        <v>254</v>
      </c>
      <c r="J576" s="163"/>
      <c r="K576" s="101"/>
      <c r="L576" s="101" t="s">
        <v>263</v>
      </c>
      <c r="M576" s="101" t="s">
        <v>331</v>
      </c>
      <c r="N576" s="442" t="s">
        <v>467</v>
      </c>
      <c r="O576" s="165">
        <v>3.66</v>
      </c>
      <c r="P576" s="165">
        <v>36.54</v>
      </c>
      <c r="Q576" s="157" t="s">
        <v>2021</v>
      </c>
      <c r="R576" s="109" t="s">
        <v>319</v>
      </c>
      <c r="S576" s="110">
        <v>40059.870000000003</v>
      </c>
      <c r="T576" s="93">
        <v>31524.93</v>
      </c>
      <c r="U576" s="141"/>
      <c r="V576" s="158">
        <f t="shared" si="322"/>
        <v>0</v>
      </c>
      <c r="W576" s="159">
        <v>45768.67291666667</v>
      </c>
      <c r="X576" s="159">
        <v>45775.614583333336</v>
      </c>
      <c r="Y576" s="160">
        <v>45775</v>
      </c>
      <c r="Z576" s="470"/>
      <c r="AA576" s="470"/>
      <c r="AB576" s="470"/>
      <c r="AC576" s="161">
        <f t="shared" si="323"/>
        <v>-45768.67291666667</v>
      </c>
      <c r="AD576" s="161">
        <f t="shared" si="351"/>
        <v>-45775.614583333336</v>
      </c>
      <c r="AE576" s="446">
        <f t="shared" si="346"/>
        <v>0</v>
      </c>
      <c r="AF576" s="160">
        <f t="shared" si="352"/>
        <v>45780.67291666667</v>
      </c>
      <c r="AG576" s="160">
        <f t="shared" si="349"/>
        <v>45787.67291666667</v>
      </c>
      <c r="AH576" s="159">
        <f t="shared" si="353"/>
        <v>45818.67291666667</v>
      </c>
      <c r="AI576" s="162">
        <f t="shared" si="324"/>
        <v>-2288.4336458333337</v>
      </c>
      <c r="AJ576" s="224">
        <f t="shared" si="354"/>
        <v>0</v>
      </c>
      <c r="AK576" s="225">
        <f t="shared" si="325"/>
        <v>20</v>
      </c>
      <c r="AL576" s="170">
        <f t="shared" si="326"/>
        <v>20</v>
      </c>
      <c r="AM576" s="170">
        <f t="shared" si="327"/>
        <v>15.000000000000002</v>
      </c>
      <c r="AN576" s="170">
        <f t="shared" si="328"/>
        <v>19</v>
      </c>
      <c r="AO576" s="226">
        <f t="shared" si="329"/>
        <v>12.000000000000002</v>
      </c>
      <c r="AP576" s="227">
        <v>60</v>
      </c>
      <c r="AQ576" s="228">
        <f t="shared" si="330"/>
        <v>57</v>
      </c>
      <c r="AR576" s="228">
        <f t="shared" si="350"/>
        <v>52</v>
      </c>
      <c r="AS576" s="229">
        <f t="shared" si="331"/>
        <v>60</v>
      </c>
      <c r="AT576" s="982">
        <f t="shared" ca="1" si="332"/>
        <v>45895</v>
      </c>
      <c r="AU576" s="50"/>
      <c r="AV576" s="51"/>
      <c r="AW576" s="49"/>
      <c r="AX576" s="49"/>
      <c r="AY576" s="49"/>
      <c r="AZ576" s="300"/>
      <c r="BA576" s="52"/>
      <c r="BB576" s="304"/>
      <c r="BC576" s="231"/>
      <c r="BD576" s="232"/>
      <c r="BE576" s="222">
        <f t="shared" si="347"/>
        <v>15</v>
      </c>
      <c r="BF576" s="233">
        <f t="shared" si="355"/>
        <v>0</v>
      </c>
      <c r="BG576" s="234"/>
      <c r="BH576" s="235"/>
      <c r="BI576" s="234"/>
      <c r="BJ576" s="236"/>
      <c r="BK576" s="222"/>
      <c r="BL576" s="222"/>
      <c r="BM576" s="238"/>
      <c r="BN576" s="222"/>
      <c r="BO576" s="222"/>
      <c r="BP576" s="243"/>
      <c r="BQ576" s="244"/>
      <c r="BR576" s="238"/>
      <c r="BS576" s="68"/>
      <c r="BT576" s="69"/>
      <c r="BU576" s="69"/>
      <c r="BV576" s="69"/>
      <c r="BW576" s="75"/>
      <c r="BX576" s="81"/>
      <c r="BY576" s="66">
        <f>VLOOKUP([4]C1!$BY:$BY,[4]C1!$BY$531:$BY$625,1,FALSE)</f>
        <v>45783</v>
      </c>
      <c r="BZ576" s="944" t="str">
        <f>VLOOKUP([4]C1!$BZ:$BZ,[4]C1!$BZ$531:$BZ$625,1,FALSE)</f>
        <v>DZ1-8102, DZ2-8103</v>
      </c>
      <c r="CA576" s="42" t="str">
        <f t="shared" si="333"/>
        <v>0</v>
      </c>
      <c r="CB576" s="62">
        <f t="shared" si="334"/>
        <v>-45768.67291666667</v>
      </c>
      <c r="CC576" s="42">
        <f t="shared" si="335"/>
        <v>0</v>
      </c>
      <c r="CD576" s="62">
        <f t="shared" si="336"/>
        <v>-45768.67291666667</v>
      </c>
      <c r="CE576" s="62">
        <f t="shared" si="337"/>
        <v>-2288.4336458333337</v>
      </c>
      <c r="CF576" s="145" t="str">
        <f t="shared" si="338"/>
        <v>0</v>
      </c>
      <c r="CG576" s="145"/>
      <c r="CH576" s="443">
        <f t="shared" si="339"/>
        <v>5.0163541666664972</v>
      </c>
      <c r="CI576" s="996">
        <f t="shared" si="340"/>
        <v>5.0163541666664972</v>
      </c>
      <c r="CJ576" s="261">
        <f t="shared" si="341"/>
        <v>0</v>
      </c>
      <c r="CK576" s="458">
        <f t="shared" si="342"/>
        <v>87.327083333329938</v>
      </c>
      <c r="CL576" t="str">
        <f t="shared" si="343"/>
        <v>NON-REV</v>
      </c>
      <c r="CM576" t="str">
        <f t="shared" si="344"/>
        <v>0-3 MONTHS</v>
      </c>
      <c r="CN576" s="635"/>
      <c r="CO576" s="631"/>
      <c r="CP576" s="629" t="str">
        <f t="shared" si="321"/>
        <v>FOR ISSUANCE</v>
      </c>
      <c r="CQ576" s="635"/>
      <c r="CR576" s="697"/>
      <c r="CS576" s="633" t="str">
        <f t="shared" ca="1" si="345"/>
        <v>0</v>
      </c>
      <c r="CT576" s="635"/>
      <c r="CU576" s="631"/>
      <c r="CV576" s="638"/>
      <c r="CW576" s="404"/>
      <c r="CX576" s="156"/>
      <c r="CY576" s="156"/>
      <c r="DA576" s="762"/>
      <c r="DS576" s="442" t="s">
        <v>381</v>
      </c>
    </row>
    <row r="577" spans="1:123" ht="15" customHeight="1" x14ac:dyDescent="0.2">
      <c r="A577" s="242">
        <v>45782</v>
      </c>
      <c r="B577" s="222">
        <v>45783</v>
      </c>
      <c r="C577" s="223"/>
      <c r="D577" s="66" t="s">
        <v>234</v>
      </c>
      <c r="E577" s="404" t="s">
        <v>3072</v>
      </c>
      <c r="F577" s="155" t="s">
        <v>3073</v>
      </c>
      <c r="G577" s="95" t="s">
        <v>3074</v>
      </c>
      <c r="H577" s="95" t="s">
        <v>378</v>
      </c>
      <c r="I577" s="95" t="s">
        <v>239</v>
      </c>
      <c r="J577" s="163"/>
      <c r="K577" s="101"/>
      <c r="L577" s="101" t="s">
        <v>255</v>
      </c>
      <c r="M577" s="101" t="s">
        <v>272</v>
      </c>
      <c r="N577" s="442" t="s">
        <v>403</v>
      </c>
      <c r="O577" s="165">
        <v>79.080800000000011</v>
      </c>
      <c r="P577" s="165">
        <v>247.46</v>
      </c>
      <c r="Q577" s="157" t="s">
        <v>2021</v>
      </c>
      <c r="R577" s="109" t="s">
        <v>327</v>
      </c>
      <c r="S577" s="110">
        <v>332492.52</v>
      </c>
      <c r="T577" s="93">
        <v>78104.060000000012</v>
      </c>
      <c r="U577" s="141"/>
      <c r="V577" s="158">
        <f t="shared" si="322"/>
        <v>0</v>
      </c>
      <c r="W577" s="159">
        <v>45769.438194444447</v>
      </c>
      <c r="X577" s="159">
        <v>45777.540972222225</v>
      </c>
      <c r="Y577" s="160">
        <v>45779</v>
      </c>
      <c r="Z577" s="470"/>
      <c r="AA577" s="470">
        <v>45866</v>
      </c>
      <c r="AB577" s="470"/>
      <c r="AC577" s="161">
        <f t="shared" si="323"/>
        <v>96.561805555553292</v>
      </c>
      <c r="AD577" s="161">
        <f t="shared" si="351"/>
        <v>88.459027777775191</v>
      </c>
      <c r="AE577" s="446">
        <f t="shared" si="346"/>
        <v>-45866</v>
      </c>
      <c r="AF577" s="160">
        <f t="shared" si="352"/>
        <v>45782.844444444447</v>
      </c>
      <c r="AG577" s="160">
        <f t="shared" si="349"/>
        <v>45790.219444444447</v>
      </c>
      <c r="AH577" s="159">
        <f t="shared" si="353"/>
        <v>45819.438194444447</v>
      </c>
      <c r="AI577" s="162">
        <f t="shared" si="324"/>
        <v>4.4142539682538642</v>
      </c>
      <c r="AJ577" s="224">
        <f t="shared" si="354"/>
        <v>-764.43333333333328</v>
      </c>
      <c r="AK577" s="225">
        <f t="shared" si="325"/>
        <v>28</v>
      </c>
      <c r="AL577" s="170">
        <f t="shared" si="326"/>
        <v>20</v>
      </c>
      <c r="AM577" s="170">
        <f t="shared" si="327"/>
        <v>16.406250000000004</v>
      </c>
      <c r="AN577" s="170">
        <f t="shared" si="328"/>
        <v>20.781250000000004</v>
      </c>
      <c r="AO577" s="226">
        <f t="shared" si="329"/>
        <v>13.406250000000004</v>
      </c>
      <c r="AP577" s="227">
        <v>60</v>
      </c>
      <c r="AQ577" s="228">
        <f t="shared" si="330"/>
        <v>57</v>
      </c>
      <c r="AR577" s="228">
        <f t="shared" si="350"/>
        <v>52</v>
      </c>
      <c r="AS577" s="229">
        <f t="shared" si="331"/>
        <v>45926</v>
      </c>
      <c r="AT577" s="982">
        <f t="shared" ca="1" si="332"/>
        <v>29</v>
      </c>
      <c r="AU577" s="1077"/>
      <c r="AV577" s="1092"/>
      <c r="AW577" s="1079"/>
      <c r="AX577" s="1079"/>
      <c r="AY577" s="1079"/>
      <c r="AZ577" s="1080"/>
      <c r="BA577" s="1101"/>
      <c r="BB577" s="1091"/>
      <c r="BC577" s="231" t="s">
        <v>13</v>
      </c>
      <c r="BD577" s="232"/>
      <c r="BE577" s="222">
        <f t="shared" si="347"/>
        <v>45881</v>
      </c>
      <c r="BF577" s="233" t="e">
        <f t="shared" si="355"/>
        <v>#VALUE!</v>
      </c>
      <c r="BG577" s="234"/>
      <c r="BH577" s="235"/>
      <c r="BI577" s="234"/>
      <c r="BJ577" s="236"/>
      <c r="BK577" s="222"/>
      <c r="BL577" s="222"/>
      <c r="BM577" s="238"/>
      <c r="BN577" s="222"/>
      <c r="BO577" s="222"/>
      <c r="BP577" s="243"/>
      <c r="BQ577" s="244"/>
      <c r="BR577" s="238"/>
      <c r="BS577" s="68"/>
      <c r="BT577" s="69"/>
      <c r="BU577" s="69"/>
      <c r="BV577" s="69"/>
      <c r="BW577" s="75"/>
      <c r="BX577" s="81"/>
      <c r="BY577" s="66">
        <f>VLOOKUP([4]C1!$BY:$BY,[4]C1!$BY$531:$BY$625,1,FALSE)</f>
        <v>45783</v>
      </c>
      <c r="BZ577" s="944" t="str">
        <f>VLOOKUP([4]C1!$BZ:$BZ,[4]C1!$BZ$531:$BZ$625,1,FALSE)</f>
        <v>DX1-8116, TLN-527713</v>
      </c>
      <c r="CA577" s="42" t="str">
        <f t="shared" si="333"/>
        <v>0</v>
      </c>
      <c r="CB577" s="62">
        <f t="shared" si="334"/>
        <v>96.561805555553292</v>
      </c>
      <c r="CC577" s="42">
        <f t="shared" si="335"/>
        <v>0</v>
      </c>
      <c r="CD577" s="62">
        <f t="shared" si="336"/>
        <v>96.561805555553292</v>
      </c>
      <c r="CE577" s="62">
        <f t="shared" si="337"/>
        <v>4.4142539682538642</v>
      </c>
      <c r="CF577" s="1059">
        <f t="shared" si="338"/>
        <v>3</v>
      </c>
      <c r="CH577" s="1082">
        <f t="shared" si="339"/>
        <v>4.5513968253967221</v>
      </c>
      <c r="CI577" s="1083">
        <f t="shared" si="340"/>
        <v>4.5513968253967221</v>
      </c>
      <c r="CJ577" s="1084">
        <f t="shared" si="341"/>
        <v>0.05</v>
      </c>
      <c r="CK577" s="1085" t="str">
        <f t="shared" si="342"/>
        <v/>
      </c>
      <c r="CL577" s="1057" t="str">
        <f t="shared" si="343"/>
        <v>NON-REV</v>
      </c>
      <c r="CM577" s="1057" t="str">
        <f t="shared" si="344"/>
        <v/>
      </c>
      <c r="CN577" s="1086"/>
      <c r="CO577" s="1087"/>
      <c r="CP577" s="629" t="str">
        <f t="shared" ref="CP577:CP624" si="356">IF(CQ577,"NTC ISSUED","FOR ISSUANCE")</f>
        <v>FOR ISSUANCE</v>
      </c>
      <c r="CQ577" s="1086"/>
      <c r="CR577" s="1088"/>
      <c r="CS577" s="1089" t="str">
        <f t="shared" ca="1" si="345"/>
        <v>0</v>
      </c>
      <c r="CT577" s="1086"/>
      <c r="CU577" s="1087"/>
      <c r="CV577" s="1090"/>
      <c r="CX577" s="156"/>
      <c r="CY577" s="156"/>
      <c r="DA577" s="1100"/>
      <c r="DS577" s="442" t="s">
        <v>381</v>
      </c>
    </row>
    <row r="578" spans="1:123" customFormat="1" ht="15" customHeight="1" x14ac:dyDescent="0.25">
      <c r="A578" s="242">
        <v>45779</v>
      </c>
      <c r="B578" s="222">
        <v>45783</v>
      </c>
      <c r="C578" s="223"/>
      <c r="D578" s="66" t="s">
        <v>320</v>
      </c>
      <c r="E578" s="404" t="s">
        <v>3075</v>
      </c>
      <c r="F578" s="155" t="s">
        <v>3076</v>
      </c>
      <c r="G578" s="95" t="s">
        <v>3077</v>
      </c>
      <c r="H578" s="95" t="s">
        <v>318</v>
      </c>
      <c r="I578" s="95" t="s">
        <v>239</v>
      </c>
      <c r="J578" s="163"/>
      <c r="K578" s="101"/>
      <c r="L578" s="101" t="s">
        <v>5</v>
      </c>
      <c r="M578" s="101" t="s">
        <v>272</v>
      </c>
      <c r="N578" s="442" t="s">
        <v>403</v>
      </c>
      <c r="O578" s="165">
        <v>93.252399999999994</v>
      </c>
      <c r="P578" s="933">
        <v>163.04</v>
      </c>
      <c r="Q578" s="157">
        <v>157</v>
      </c>
      <c r="R578" s="109" t="s">
        <v>244</v>
      </c>
      <c r="S578" s="110">
        <v>949149.04</v>
      </c>
      <c r="T578" s="93">
        <v>140114.53000000003</v>
      </c>
      <c r="U578" s="141"/>
      <c r="V578" s="158">
        <f t="shared" si="322"/>
        <v>0</v>
      </c>
      <c r="W578" s="159">
        <v>45769.511111111111</v>
      </c>
      <c r="X578" s="159">
        <v>45777.544444444444</v>
      </c>
      <c r="Y578" s="160">
        <v>45779</v>
      </c>
      <c r="Z578" s="470"/>
      <c r="AA578" s="470">
        <v>45792.6875</v>
      </c>
      <c r="AB578" s="470"/>
      <c r="AC578" s="161">
        <f t="shared" si="323"/>
        <v>23.176388888889051</v>
      </c>
      <c r="AD578" s="161">
        <f t="shared" si="351"/>
        <v>15.143055555556202</v>
      </c>
      <c r="AE578" s="446">
        <f t="shared" si="346"/>
        <v>-45792.6875</v>
      </c>
      <c r="AF578" s="160">
        <f t="shared" si="352"/>
        <v>45788.957154276577</v>
      </c>
      <c r="AG578" s="160">
        <f t="shared" si="349"/>
        <v>45797.942765787368</v>
      </c>
      <c r="AH578" s="159">
        <f t="shared" si="353"/>
        <v>45819.511111111111</v>
      </c>
      <c r="AI578" s="162">
        <f t="shared" si="324"/>
        <v>0.77440337873932164</v>
      </c>
      <c r="AJ578" s="224">
        <f t="shared" si="354"/>
        <v>-763.21145833333333</v>
      </c>
      <c r="AK578" s="225">
        <f t="shared" si="325"/>
        <v>26</v>
      </c>
      <c r="AL578" s="170">
        <f t="shared" si="326"/>
        <v>32</v>
      </c>
      <c r="AM578" s="170">
        <f t="shared" si="327"/>
        <v>22.446043165467625</v>
      </c>
      <c r="AN578" s="170">
        <f t="shared" si="328"/>
        <v>28.431654676258994</v>
      </c>
      <c r="AO578" s="226">
        <f t="shared" si="329"/>
        <v>19.446043165467625</v>
      </c>
      <c r="AP578" s="227">
        <v>60</v>
      </c>
      <c r="AQ578" s="228">
        <f t="shared" si="330"/>
        <v>57</v>
      </c>
      <c r="AR578" s="228">
        <f t="shared" si="350"/>
        <v>52</v>
      </c>
      <c r="AS578" s="229">
        <f t="shared" si="331"/>
        <v>45852.6875</v>
      </c>
      <c r="AT578" s="982">
        <f t="shared" ca="1" si="332"/>
        <v>102.3125</v>
      </c>
      <c r="AU578" s="50"/>
      <c r="AV578" s="51"/>
      <c r="AW578" s="49"/>
      <c r="AX578" s="49"/>
      <c r="AY578" s="49"/>
      <c r="AZ578" s="300"/>
      <c r="BA578" s="52"/>
      <c r="BB578" s="304"/>
      <c r="BC578" s="231" t="s">
        <v>12</v>
      </c>
      <c r="BD578" s="232"/>
      <c r="BE578" s="222">
        <f t="shared" si="347"/>
        <v>45807.6875</v>
      </c>
      <c r="BF578" s="233">
        <f t="shared" si="355"/>
        <v>11.3125</v>
      </c>
      <c r="BG578" s="234">
        <v>45792</v>
      </c>
      <c r="BH578" s="235">
        <v>45819</v>
      </c>
      <c r="BI578" s="234"/>
      <c r="BJ578" s="236"/>
      <c r="BK578" s="222"/>
      <c r="BL578" s="222"/>
      <c r="BM578" s="238"/>
      <c r="BN578" s="222"/>
      <c r="BO578" s="222"/>
      <c r="BP578" s="243"/>
      <c r="BQ578" s="244" t="s">
        <v>247</v>
      </c>
      <c r="BR578" s="238">
        <v>45791</v>
      </c>
      <c r="BS578" s="68"/>
      <c r="BT578" s="69"/>
      <c r="BU578" s="69"/>
      <c r="BV578" s="69"/>
      <c r="BW578" s="75"/>
      <c r="BX578" s="81"/>
      <c r="BY578" s="66">
        <f>VLOOKUP([4]C1!$BY:$BY,[4]C1!$BY$531:$BY$625,1,FALSE)</f>
        <v>45783</v>
      </c>
      <c r="BZ578" s="944" t="str">
        <f>VLOOKUP([4]C1!$BZ:$BZ,[4]C1!$BZ$531:$BZ$625,1,FALSE)</f>
        <v>TLN-527768</v>
      </c>
      <c r="CA578" s="42" t="str">
        <f t="shared" si="333"/>
        <v>0</v>
      </c>
      <c r="CB578" s="62">
        <f t="shared" si="334"/>
        <v>23.176388888889051</v>
      </c>
      <c r="CC578" s="42">
        <f t="shared" si="335"/>
        <v>0</v>
      </c>
      <c r="CD578" s="62">
        <f t="shared" si="336"/>
        <v>23.176388888889051</v>
      </c>
      <c r="CE578" s="62">
        <f t="shared" si="337"/>
        <v>0.77440337873932164</v>
      </c>
      <c r="CF578" s="145">
        <f t="shared" si="338"/>
        <v>76.3125</v>
      </c>
      <c r="CG578" s="145"/>
      <c r="CH578" s="443">
        <f t="shared" si="339"/>
        <v>3.3242681623931674</v>
      </c>
      <c r="CI578" s="996">
        <f t="shared" si="340"/>
        <v>3.3242681623931674</v>
      </c>
      <c r="CJ578" s="261">
        <f t="shared" si="341"/>
        <v>1.2718750000000001</v>
      </c>
      <c r="CK578" s="458" t="str">
        <f t="shared" si="342"/>
        <v/>
      </c>
      <c r="CL578" t="str">
        <f t="shared" si="343"/>
        <v>REV</v>
      </c>
      <c r="CM578" t="str">
        <f t="shared" si="344"/>
        <v/>
      </c>
      <c r="CN578" s="635"/>
      <c r="CO578" s="631"/>
      <c r="CP578" s="629" t="str">
        <f t="shared" si="356"/>
        <v>FOR ISSUANCE</v>
      </c>
      <c r="CQ578" s="635"/>
      <c r="CR578" s="697"/>
      <c r="CS578" s="633" t="str">
        <f t="shared" ca="1" si="345"/>
        <v>0</v>
      </c>
      <c r="CT578" s="635"/>
      <c r="CU578" s="631"/>
      <c r="CV578" s="638"/>
      <c r="CW578" s="404"/>
      <c r="CX578" s="156"/>
      <c r="CY578" s="156"/>
      <c r="DA578" s="762"/>
      <c r="DS578" s="442" t="s">
        <v>381</v>
      </c>
    </row>
    <row r="579" spans="1:123" customFormat="1" ht="15" customHeight="1" x14ac:dyDescent="0.25">
      <c r="A579" s="242">
        <v>45782</v>
      </c>
      <c r="B579" s="222">
        <v>45783</v>
      </c>
      <c r="C579" s="223"/>
      <c r="D579" s="66" t="s">
        <v>284</v>
      </c>
      <c r="E579" s="404" t="s">
        <v>3078</v>
      </c>
      <c r="F579" s="95" t="s">
        <v>3079</v>
      </c>
      <c r="G579" s="95" t="s">
        <v>3080</v>
      </c>
      <c r="H579" s="95" t="s">
        <v>253</v>
      </c>
      <c r="I579" s="95" t="s">
        <v>254</v>
      </c>
      <c r="J579" s="163"/>
      <c r="K579" s="101"/>
      <c r="L579" s="101" t="s">
        <v>242</v>
      </c>
      <c r="M579" s="101" t="s">
        <v>331</v>
      </c>
      <c r="N579" s="442" t="s">
        <v>467</v>
      </c>
      <c r="O579" s="165">
        <v>13.05</v>
      </c>
      <c r="P579" s="165">
        <v>43.15</v>
      </c>
      <c r="Q579" s="157">
        <v>15</v>
      </c>
      <c r="R579" s="109" t="s">
        <v>244</v>
      </c>
      <c r="S579" s="110">
        <v>73226.16</v>
      </c>
      <c r="T579" s="93">
        <v>37075.649999999994</v>
      </c>
      <c r="U579" s="141"/>
      <c r="V579" s="158">
        <f t="shared" ref="V579:V642" si="357">U579/T579</f>
        <v>0</v>
      </c>
      <c r="W579" s="159">
        <v>45769.518055555556</v>
      </c>
      <c r="X579" s="159">
        <v>45777.543055555558</v>
      </c>
      <c r="Y579" s="160">
        <v>45779</v>
      </c>
      <c r="Z579" s="470"/>
      <c r="AA579" s="470"/>
      <c r="AB579" s="470"/>
      <c r="AC579" s="161">
        <f t="shared" ref="AC579:AC642" si="358">AA579-W579</f>
        <v>-45769.518055555556</v>
      </c>
      <c r="AD579" s="161">
        <f t="shared" si="351"/>
        <v>-45777.543055555558</v>
      </c>
      <c r="AE579" s="446">
        <f t="shared" si="346"/>
        <v>0</v>
      </c>
      <c r="AF579" s="160">
        <f t="shared" si="352"/>
        <v>45788.292249103943</v>
      </c>
      <c r="AG579" s="160">
        <f t="shared" si="349"/>
        <v>45797.098700716844</v>
      </c>
      <c r="AH579" s="159">
        <f t="shared" si="353"/>
        <v>45819.518055555556</v>
      </c>
      <c r="AI579" s="162">
        <f t="shared" ref="AI579:AI642" si="359" xml:space="preserve"> (0.3)*(AC579/AK579)+(0.7)*(AC579/AL579)</f>
        <v>-1576.5056219135799</v>
      </c>
      <c r="AJ579" s="224">
        <f t="shared" si="354"/>
        <v>0</v>
      </c>
      <c r="AK579" s="225">
        <f t="shared" ref="AK579:AK642" si="360">IF(P579&lt;51,20,(IF(P579&lt;101,23,(IF(P579&lt;201,26,IF(P579&lt;301,28,IF(P579&lt;401,30,(IF(P579&lt;501,32,(IF(P579&lt;1001,40,50)))))))))))</f>
        <v>20</v>
      </c>
      <c r="AL579" s="170">
        <f t="shared" ref="AL579:AL642" si="361">IF(Q579&lt;51,36,(IF(Q579&lt;101,34,(IF(Q579&lt;201,32,IF(Q579&lt;301,30,IF(Q579&lt;401,28,(IF(Q579&lt;501,26,(IF(Q579&lt;1001,23,20)))))))))))</f>
        <v>36</v>
      </c>
      <c r="AM579" s="170">
        <f t="shared" ref="AM579:AM642" si="362">(0.75)/((0.3/AK579)+(0.7/AL579))</f>
        <v>21.774193548387096</v>
      </c>
      <c r="AN579" s="170">
        <f t="shared" ref="AN579:AN642" si="363">(0.95)/((0.3/AK579)+(0.7/AL579))</f>
        <v>27.58064516129032</v>
      </c>
      <c r="AO579" s="226">
        <f t="shared" ref="AO579:AO642" si="364">AM579-3</f>
        <v>18.774193548387096</v>
      </c>
      <c r="AP579" s="227">
        <v>60</v>
      </c>
      <c r="AQ579" s="228">
        <f t="shared" ref="AQ579:AQ642" si="365">0.95*AP579</f>
        <v>57</v>
      </c>
      <c r="AR579" s="228">
        <f t="shared" si="350"/>
        <v>52</v>
      </c>
      <c r="AS579" s="229">
        <f t="shared" ref="AS579:AS642" si="366">AA579+AP579</f>
        <v>60</v>
      </c>
      <c r="AT579" s="982">
        <f t="shared" ref="AT579:AT642" ca="1" si="367">IFERROR(TODAY()-AA579,"")</f>
        <v>45895</v>
      </c>
      <c r="AU579" s="50"/>
      <c r="AV579" s="51"/>
      <c r="AW579" s="49"/>
      <c r="AX579" s="49"/>
      <c r="AY579" s="49"/>
      <c r="AZ579" s="300"/>
      <c r="BA579" s="52"/>
      <c r="BB579" s="304"/>
      <c r="BC579" s="231"/>
      <c r="BD579" s="232"/>
      <c r="BE579" s="222">
        <f t="shared" si="347"/>
        <v>15</v>
      </c>
      <c r="BF579" s="233">
        <f t="shared" si="355"/>
        <v>0</v>
      </c>
      <c r="BG579" s="234"/>
      <c r="BH579" s="235"/>
      <c r="BI579" s="234"/>
      <c r="BJ579" s="236"/>
      <c r="BK579" s="222"/>
      <c r="BL579" s="222"/>
      <c r="BM579" s="238"/>
      <c r="BN579" s="222"/>
      <c r="BO579" s="222"/>
      <c r="BP579" s="243"/>
      <c r="BQ579" s="244"/>
      <c r="BR579" s="238"/>
      <c r="BS579" s="68"/>
      <c r="BT579" s="69"/>
      <c r="BU579" s="69"/>
      <c r="BV579" s="69"/>
      <c r="BW579" s="75"/>
      <c r="BX579" s="81"/>
      <c r="BY579" s="66">
        <f>VLOOKUP([4]C1!$BY:$BY,[4]C1!$BY$531:$BY$625,1,FALSE)</f>
        <v>45783</v>
      </c>
      <c r="BZ579" s="944" t="str">
        <f>VLOOKUP([4]C1!$BZ:$BZ,[4]C1!$BZ$531:$BZ$625,1,FALSE)</f>
        <v>TLN-530232</v>
      </c>
      <c r="CA579" s="42" t="str">
        <f t="shared" ref="CA579:CA642" si="368">IF(AY579="Y",BA579,"0")</f>
        <v>0</v>
      </c>
      <c r="CB579" s="62">
        <f t="shared" ref="CB579:CB642" si="369">AC579-CA579</f>
        <v>-45769.518055555556</v>
      </c>
      <c r="CC579" s="42">
        <f t="shared" ref="CC579:CC642" si="370">BA579</f>
        <v>0</v>
      </c>
      <c r="CD579" s="62">
        <f t="shared" ref="CD579:CD642" si="371">AC579-BA579</f>
        <v>-45769.518055555556</v>
      </c>
      <c r="CE579" s="62">
        <f t="shared" ref="CE579:CE642" si="372" xml:space="preserve"> (0.3)*(CD579/AK579)+(0.7)*(CD579/AL579)</f>
        <v>-1576.5056219135799</v>
      </c>
      <c r="CF579" s="145" t="str">
        <f t="shared" ref="CF579:CF642" si="373">IF(AA579="","0",$CF$1-AA579)</f>
        <v>0</v>
      </c>
      <c r="CG579" s="145"/>
      <c r="CH579" s="443">
        <f t="shared" ref="CH579:CH642" si="374" xml:space="preserve"> (0.3)*(($CF$1-W579)/AK579)+(0.7)*(($CF$1-W579)/AL579)</f>
        <v>3.4266003086419525</v>
      </c>
      <c r="CI579" s="996">
        <f t="shared" ref="CI579:CI642" si="375">CH579-CG579</f>
        <v>3.4266003086419525</v>
      </c>
      <c r="CJ579" s="261">
        <f t="shared" ref="CJ579:CJ642" si="376">CF579/AP579</f>
        <v>0</v>
      </c>
      <c r="CK579" s="458">
        <f t="shared" ref="CK579:CK642" si="377">IF(AA579&gt;0,"",$CK$1-W579)</f>
        <v>86.481944444443798</v>
      </c>
      <c r="CL579" t="str">
        <f t="shared" ref="CL579:CL642" si="378">IF(R579="NEW","REV","NON-REV")</f>
        <v>REV</v>
      </c>
      <c r="CM579" t="str">
        <f t="shared" ref="CM579:CM642" si="379">IF(CK579="","",IF(CK579&lt;91,"0-3 MONTHS",(IF(CK579&lt;181,"4-6 MONTHS",(IF(CK579&lt;271,"7-9 MONTHS",IF(CK579&gt;270,"10 MONTHS AND ABOVE",)))))))</f>
        <v>0-3 MONTHS</v>
      </c>
      <c r="CN579" s="635"/>
      <c r="CO579" s="631"/>
      <c r="CP579" s="629" t="str">
        <f t="shared" si="356"/>
        <v>FOR ISSUANCE</v>
      </c>
      <c r="CQ579" s="635"/>
      <c r="CR579" s="697"/>
      <c r="CS579" s="633" t="str">
        <f t="shared" ref="CS579:CS624" ca="1" si="380">IF(AND(CQ579=0,CR579=0), "0",IF(CR579,(CR579-CQ579),TODAY()-CQ579))</f>
        <v>0</v>
      </c>
      <c r="CT579" s="635"/>
      <c r="CU579" s="631"/>
      <c r="CV579" s="638"/>
      <c r="CW579" s="404"/>
      <c r="CX579" s="156"/>
      <c r="CY579" s="156"/>
      <c r="DS579" s="442" t="s">
        <v>403</v>
      </c>
    </row>
    <row r="580" spans="1:123" customFormat="1" ht="15" customHeight="1" x14ac:dyDescent="0.25">
      <c r="A580" s="242">
        <v>45775</v>
      </c>
      <c r="B580" s="222">
        <v>45776</v>
      </c>
      <c r="C580" s="223" t="s">
        <v>247</v>
      </c>
      <c r="D580" s="66" t="s">
        <v>320</v>
      </c>
      <c r="E580" s="404" t="s">
        <v>3081</v>
      </c>
      <c r="F580" s="155" t="s">
        <v>3082</v>
      </c>
      <c r="G580" s="95" t="s">
        <v>3083</v>
      </c>
      <c r="H580" s="95" t="s">
        <v>253</v>
      </c>
      <c r="I580" s="95" t="s">
        <v>254</v>
      </c>
      <c r="J580" s="163"/>
      <c r="K580" s="101"/>
      <c r="L580" s="101" t="s">
        <v>263</v>
      </c>
      <c r="M580" s="101" t="s">
        <v>272</v>
      </c>
      <c r="N580" s="442" t="s">
        <v>467</v>
      </c>
      <c r="O580" s="165">
        <v>236.46709999999985</v>
      </c>
      <c r="P580" s="165">
        <v>712.49</v>
      </c>
      <c r="Q580" s="157">
        <v>100</v>
      </c>
      <c r="R580" s="109" t="s">
        <v>244</v>
      </c>
      <c r="S580" s="110">
        <v>1276315.3700000001</v>
      </c>
      <c r="T580" s="93">
        <v>275877.52999999997</v>
      </c>
      <c r="U580" s="141"/>
      <c r="V580" s="158">
        <f t="shared" si="357"/>
        <v>0</v>
      </c>
      <c r="W580" s="159">
        <v>45769.554166666669</v>
      </c>
      <c r="X580" s="159">
        <v>45775.617361111108</v>
      </c>
      <c r="Y580" s="160">
        <v>45775.613888888889</v>
      </c>
      <c r="Z580" s="470"/>
      <c r="AA580" s="470">
        <v>45848</v>
      </c>
      <c r="AB580" s="470"/>
      <c r="AC580" s="161">
        <f t="shared" si="358"/>
        <v>78.445833333331393</v>
      </c>
      <c r="AD580" s="161">
        <f t="shared" si="351"/>
        <v>72.382638888891961</v>
      </c>
      <c r="AE580" s="446">
        <f t="shared" si="346"/>
        <v>-45848</v>
      </c>
      <c r="AF580" s="160">
        <f t="shared" si="352"/>
        <v>45793.255737347296</v>
      </c>
      <c r="AG580" s="160">
        <f t="shared" si="349"/>
        <v>45803.376156195467</v>
      </c>
      <c r="AH580" s="159">
        <f t="shared" si="353"/>
        <v>45819.554166666669</v>
      </c>
      <c r="AI580" s="162">
        <f t="shared" si="359"/>
        <v>2.2034050245097494</v>
      </c>
      <c r="AJ580" s="224">
        <f t="shared" si="354"/>
        <v>-764.13333333333333</v>
      </c>
      <c r="AK580" s="225">
        <f t="shared" si="360"/>
        <v>40</v>
      </c>
      <c r="AL580" s="170">
        <f t="shared" si="361"/>
        <v>34</v>
      </c>
      <c r="AM580" s="170">
        <f t="shared" si="362"/>
        <v>26.701570680628272</v>
      </c>
      <c r="AN580" s="170">
        <f t="shared" si="363"/>
        <v>33.821989528795811</v>
      </c>
      <c r="AO580" s="226">
        <f t="shared" si="364"/>
        <v>23.701570680628272</v>
      </c>
      <c r="AP580" s="227">
        <v>60</v>
      </c>
      <c r="AQ580" s="228">
        <f t="shared" si="365"/>
        <v>57</v>
      </c>
      <c r="AR580" s="228">
        <f t="shared" si="350"/>
        <v>52</v>
      </c>
      <c r="AS580" s="229">
        <f t="shared" si="366"/>
        <v>45908</v>
      </c>
      <c r="AT580" s="982">
        <f t="shared" ca="1" si="367"/>
        <v>47</v>
      </c>
      <c r="AU580" s="50"/>
      <c r="AV580" s="51"/>
      <c r="AW580" s="49"/>
      <c r="AX580" s="49"/>
      <c r="AY580" s="49"/>
      <c r="AZ580" s="300"/>
      <c r="BA580" s="52"/>
      <c r="BB580" s="304"/>
      <c r="BC580" s="231" t="s">
        <v>13</v>
      </c>
      <c r="BD580" s="232"/>
      <c r="BE580" s="222">
        <f t="shared" si="347"/>
        <v>45863</v>
      </c>
      <c r="BF580" s="233" t="e">
        <f t="shared" si="355"/>
        <v>#VALUE!</v>
      </c>
      <c r="BG580" s="234"/>
      <c r="BH580" s="235"/>
      <c r="BI580" s="234"/>
      <c r="BJ580" s="236"/>
      <c r="BK580" s="222"/>
      <c r="BL580" s="222"/>
      <c r="BM580" s="238"/>
      <c r="BN580" s="222"/>
      <c r="BO580" s="222"/>
      <c r="BP580" s="243"/>
      <c r="BQ580" s="244"/>
      <c r="BR580" s="238"/>
      <c r="BS580" s="68"/>
      <c r="BT580" s="69"/>
      <c r="BU580" s="69"/>
      <c r="BV580" s="69"/>
      <c r="BW580" s="75"/>
      <c r="BX580" s="81"/>
      <c r="BY580" s="66">
        <f>VLOOKUP([4]C1!$BY:$BY,[4]C1!$BY$531:$BY$625,1,FALSE)</f>
        <v>45783</v>
      </c>
      <c r="BZ580" s="944" t="str">
        <f>VLOOKUP([4]C1!$BZ:$BZ,[4]C1!$BZ$531:$BZ$625,1,FALSE)</f>
        <v>CU9-8031,TLN-578073</v>
      </c>
      <c r="CA580" s="42" t="str">
        <f t="shared" si="368"/>
        <v>0</v>
      </c>
      <c r="CB580" s="62">
        <f t="shared" si="369"/>
        <v>78.445833333331393</v>
      </c>
      <c r="CC580" s="42">
        <f t="shared" si="370"/>
        <v>0</v>
      </c>
      <c r="CD580" s="62">
        <f t="shared" si="371"/>
        <v>78.445833333331393</v>
      </c>
      <c r="CE580" s="62">
        <f t="shared" si="372"/>
        <v>2.2034050245097494</v>
      </c>
      <c r="CF580" s="145">
        <f t="shared" si="373"/>
        <v>21</v>
      </c>
      <c r="CG580" s="145"/>
      <c r="CH580" s="443">
        <f t="shared" si="374"/>
        <v>2.79325796568622</v>
      </c>
      <c r="CI580" s="996">
        <f t="shared" si="375"/>
        <v>2.79325796568622</v>
      </c>
      <c r="CJ580" s="261">
        <f t="shared" si="376"/>
        <v>0.35</v>
      </c>
      <c r="CK580" s="458" t="str">
        <f t="shared" si="377"/>
        <v/>
      </c>
      <c r="CL580" t="str">
        <f t="shared" si="378"/>
        <v>REV</v>
      </c>
      <c r="CM580" t="str">
        <f t="shared" si="379"/>
        <v/>
      </c>
      <c r="CN580" s="635"/>
      <c r="CO580" s="631"/>
      <c r="CP580" s="629" t="str">
        <f t="shared" si="356"/>
        <v>FOR ISSUANCE</v>
      </c>
      <c r="CQ580" s="635"/>
      <c r="CR580" s="697"/>
      <c r="CS580" s="633" t="str">
        <f t="shared" ca="1" si="380"/>
        <v>0</v>
      </c>
      <c r="CT580" s="635"/>
      <c r="CU580" s="631"/>
      <c r="CV580" s="638"/>
      <c r="CW580" s="404"/>
      <c r="CX580" s="156"/>
      <c r="CY580" s="156"/>
      <c r="DA580" s="762"/>
      <c r="DS580" s="442" t="s">
        <v>403</v>
      </c>
    </row>
    <row r="581" spans="1:123" customFormat="1" ht="15" customHeight="1" x14ac:dyDescent="0.25">
      <c r="A581" s="242">
        <v>45782</v>
      </c>
      <c r="B581" s="222">
        <v>45783</v>
      </c>
      <c r="C581" s="223"/>
      <c r="D581" s="66" t="s">
        <v>320</v>
      </c>
      <c r="E581" s="404" t="s">
        <v>3084</v>
      </c>
      <c r="F581" s="155" t="s">
        <v>949</v>
      </c>
      <c r="G581" s="95" t="s">
        <v>3085</v>
      </c>
      <c r="H581" s="95" t="s">
        <v>378</v>
      </c>
      <c r="I581" s="95" t="s">
        <v>239</v>
      </c>
      <c r="J581" s="163"/>
      <c r="K581" s="101"/>
      <c r="L581" s="101" t="s">
        <v>288</v>
      </c>
      <c r="M581" s="101" t="s">
        <v>272</v>
      </c>
      <c r="N581" s="442" t="s">
        <v>381</v>
      </c>
      <c r="O581" s="165">
        <v>65.636099999999999</v>
      </c>
      <c r="P581" s="933">
        <v>170.73</v>
      </c>
      <c r="Q581" s="157">
        <v>173</v>
      </c>
      <c r="R581" s="109" t="s">
        <v>244</v>
      </c>
      <c r="S581" s="110">
        <v>862746.36</v>
      </c>
      <c r="T581" s="93">
        <v>79457.509999999995</v>
      </c>
      <c r="U581" s="141"/>
      <c r="V581" s="158">
        <f t="shared" si="357"/>
        <v>0</v>
      </c>
      <c r="W581" s="159">
        <v>45769.636111111111</v>
      </c>
      <c r="X581" s="159">
        <v>45777.54791666667</v>
      </c>
      <c r="Y581" s="160">
        <v>45779</v>
      </c>
      <c r="Z581" s="470">
        <v>45786</v>
      </c>
      <c r="AA581" s="470">
        <v>45786</v>
      </c>
      <c r="AB581" s="470"/>
      <c r="AC581" s="161">
        <f t="shared" si="358"/>
        <v>16.363888888889051</v>
      </c>
      <c r="AD581" s="161">
        <f t="shared" si="351"/>
        <v>8.4520833333299379</v>
      </c>
      <c r="AE581" s="446">
        <f t="shared" si="346"/>
        <v>-45786</v>
      </c>
      <c r="AF581" s="160">
        <f t="shared" si="352"/>
        <v>45789.082154276577</v>
      </c>
      <c r="AG581" s="160">
        <f t="shared" si="349"/>
        <v>45798.067765787368</v>
      </c>
      <c r="AH581" s="159">
        <f t="shared" si="353"/>
        <v>45819.636111111111</v>
      </c>
      <c r="AI581" s="162">
        <f t="shared" si="359"/>
        <v>0.54677417200855238</v>
      </c>
      <c r="AJ581" s="224">
        <f t="shared" si="354"/>
        <v>-763.1</v>
      </c>
      <c r="AK581" s="225">
        <f t="shared" si="360"/>
        <v>26</v>
      </c>
      <c r="AL581" s="170">
        <f t="shared" si="361"/>
        <v>32</v>
      </c>
      <c r="AM581" s="170">
        <f t="shared" si="362"/>
        <v>22.446043165467625</v>
      </c>
      <c r="AN581" s="170">
        <f t="shared" si="363"/>
        <v>28.431654676258994</v>
      </c>
      <c r="AO581" s="226">
        <f t="shared" si="364"/>
        <v>19.446043165467625</v>
      </c>
      <c r="AP581" s="227">
        <v>60</v>
      </c>
      <c r="AQ581" s="228">
        <f t="shared" si="365"/>
        <v>57</v>
      </c>
      <c r="AR581" s="228">
        <f t="shared" si="350"/>
        <v>52</v>
      </c>
      <c r="AS581" s="229">
        <f t="shared" si="366"/>
        <v>45846</v>
      </c>
      <c r="AT581" s="982">
        <f t="shared" ca="1" si="367"/>
        <v>109</v>
      </c>
      <c r="AU581" s="50"/>
      <c r="AV581" s="51"/>
      <c r="AW581" s="49"/>
      <c r="AX581" s="49"/>
      <c r="AY581" s="49"/>
      <c r="AZ581" s="300"/>
      <c r="BA581" s="52"/>
      <c r="BB581" s="304"/>
      <c r="BC581" s="231" t="s">
        <v>12</v>
      </c>
      <c r="BD581" s="232"/>
      <c r="BE581" s="222">
        <f t="shared" si="347"/>
        <v>45801</v>
      </c>
      <c r="BF581" s="233">
        <f t="shared" si="355"/>
        <v>55</v>
      </c>
      <c r="BG581" s="234">
        <v>45786</v>
      </c>
      <c r="BH581" s="235">
        <v>45856</v>
      </c>
      <c r="BI581" s="234"/>
      <c r="BJ581" s="236"/>
      <c r="BK581" s="222"/>
      <c r="BL581" s="222"/>
      <c r="BM581" s="238"/>
      <c r="BN581" s="222"/>
      <c r="BO581" s="222"/>
      <c r="BP581" s="243"/>
      <c r="BQ581" s="244" t="s">
        <v>247</v>
      </c>
      <c r="BR581" s="238">
        <v>45784</v>
      </c>
      <c r="BS581" s="68"/>
      <c r="BT581" s="69"/>
      <c r="BU581" s="69"/>
      <c r="BV581" s="69"/>
      <c r="BW581" s="75"/>
      <c r="BX581" s="81"/>
      <c r="BY581" s="66">
        <f>VLOOKUP([4]C1!$BY:$BY,[4]C1!$BY$531:$BY$625,1,FALSE)</f>
        <v>45783</v>
      </c>
      <c r="BZ581" s="944" t="str">
        <f>VLOOKUP([4]C1!$BZ:$BZ,[4]C1!$BZ$531:$BZ$625,1,FALSE)</f>
        <v>TLN-080048</v>
      </c>
      <c r="CA581" s="42" t="str">
        <f t="shared" si="368"/>
        <v>0</v>
      </c>
      <c r="CB581" s="62">
        <f t="shared" si="369"/>
        <v>16.363888888889051</v>
      </c>
      <c r="CC581" s="42">
        <f t="shared" si="370"/>
        <v>0</v>
      </c>
      <c r="CD581" s="62">
        <f t="shared" si="371"/>
        <v>16.363888888889051</v>
      </c>
      <c r="CE581" s="62">
        <f t="shared" si="372"/>
        <v>0.54677417200855238</v>
      </c>
      <c r="CF581" s="145">
        <f t="shared" si="373"/>
        <v>83</v>
      </c>
      <c r="CG581" s="145"/>
      <c r="CH581" s="443">
        <f t="shared" si="374"/>
        <v>3.3200914797008596</v>
      </c>
      <c r="CI581" s="996">
        <f t="shared" si="375"/>
        <v>3.3200914797008596</v>
      </c>
      <c r="CJ581" s="261">
        <f t="shared" si="376"/>
        <v>1.3833333333333333</v>
      </c>
      <c r="CK581" s="458" t="str">
        <f t="shared" si="377"/>
        <v/>
      </c>
      <c r="CL581" t="str">
        <f t="shared" si="378"/>
        <v>REV</v>
      </c>
      <c r="CM581" t="str">
        <f t="shared" si="379"/>
        <v/>
      </c>
      <c r="CN581" s="635"/>
      <c r="CO581" s="631"/>
      <c r="CP581" s="629" t="str">
        <f t="shared" si="356"/>
        <v>FOR ISSUANCE</v>
      </c>
      <c r="CQ581" s="635"/>
      <c r="CR581" s="697"/>
      <c r="CS581" s="633" t="str">
        <f t="shared" ca="1" si="380"/>
        <v>0</v>
      </c>
      <c r="CT581" s="635"/>
      <c r="CU581" s="631"/>
      <c r="CV581" s="638"/>
      <c r="CW581" s="404"/>
      <c r="CX581" s="156"/>
      <c r="CY581" s="156"/>
      <c r="DA581" s="762"/>
      <c r="DS581" s="442" t="s">
        <v>403</v>
      </c>
    </row>
    <row r="582" spans="1:123" customFormat="1" ht="15" customHeight="1" x14ac:dyDescent="0.25">
      <c r="A582" s="242">
        <v>45775</v>
      </c>
      <c r="B582" s="222">
        <v>45776</v>
      </c>
      <c r="C582" s="223"/>
      <c r="D582" s="66" t="s">
        <v>320</v>
      </c>
      <c r="E582" s="404" t="s">
        <v>3086</v>
      </c>
      <c r="F582" s="155" t="s">
        <v>949</v>
      </c>
      <c r="G582" s="95" t="s">
        <v>3087</v>
      </c>
      <c r="H582" s="95" t="s">
        <v>378</v>
      </c>
      <c r="I582" s="95" t="s">
        <v>239</v>
      </c>
      <c r="J582" s="163"/>
      <c r="K582" s="101"/>
      <c r="L582" s="101" t="s">
        <v>288</v>
      </c>
      <c r="M582" s="101" t="s">
        <v>272</v>
      </c>
      <c r="N582" s="442" t="s">
        <v>381</v>
      </c>
      <c r="O582" s="165">
        <v>80.057500000000033</v>
      </c>
      <c r="P582" s="933">
        <v>166.1</v>
      </c>
      <c r="Q582" s="157">
        <v>221</v>
      </c>
      <c r="R582" s="109" t="s">
        <v>244</v>
      </c>
      <c r="S582" s="110">
        <v>923476.79</v>
      </c>
      <c r="T582" s="93">
        <v>125315.52000000002</v>
      </c>
      <c r="U582" s="141"/>
      <c r="V582" s="158">
        <f t="shared" si="357"/>
        <v>0</v>
      </c>
      <c r="W582" s="159">
        <v>45769.638888888891</v>
      </c>
      <c r="X582" s="159">
        <v>45775.619444444441</v>
      </c>
      <c r="Y582" s="160">
        <v>45775</v>
      </c>
      <c r="Z582" s="470"/>
      <c r="AA582" s="470">
        <v>45786</v>
      </c>
      <c r="AB582" s="470"/>
      <c r="AC582" s="161">
        <f t="shared" si="358"/>
        <v>16.361111111109494</v>
      </c>
      <c r="AD582" s="161">
        <f t="shared" si="351"/>
        <v>10.380555555559113</v>
      </c>
      <c r="AE582" s="446">
        <f t="shared" si="346"/>
        <v>-45786</v>
      </c>
      <c r="AF582" s="160">
        <f t="shared" si="352"/>
        <v>45788.146241830065</v>
      </c>
      <c r="AG582" s="160">
        <f t="shared" si="349"/>
        <v>45796.881535947716</v>
      </c>
      <c r="AH582" s="159">
        <f t="shared" si="353"/>
        <v>45819.638888888891</v>
      </c>
      <c r="AI582" s="162">
        <f t="shared" si="359"/>
        <v>0.57054131054125412</v>
      </c>
      <c r="AJ582" s="224">
        <f t="shared" si="354"/>
        <v>-763.1</v>
      </c>
      <c r="AK582" s="225">
        <f t="shared" si="360"/>
        <v>26</v>
      </c>
      <c r="AL582" s="170">
        <f t="shared" si="361"/>
        <v>30</v>
      </c>
      <c r="AM582" s="170">
        <f t="shared" si="362"/>
        <v>21.507352941176471</v>
      </c>
      <c r="AN582" s="170">
        <f t="shared" si="363"/>
        <v>27.242647058823529</v>
      </c>
      <c r="AO582" s="226">
        <f t="shared" si="364"/>
        <v>18.507352941176471</v>
      </c>
      <c r="AP582" s="227">
        <v>60</v>
      </c>
      <c r="AQ582" s="228">
        <f t="shared" si="365"/>
        <v>57</v>
      </c>
      <c r="AR582" s="228">
        <f t="shared" si="350"/>
        <v>52</v>
      </c>
      <c r="AS582" s="229">
        <f t="shared" si="366"/>
        <v>45846</v>
      </c>
      <c r="AT582" s="982">
        <f t="shared" ca="1" si="367"/>
        <v>109</v>
      </c>
      <c r="AU582" s="50"/>
      <c r="AV582" s="51"/>
      <c r="AW582" s="49"/>
      <c r="AX582" s="49"/>
      <c r="AY582" s="49"/>
      <c r="AZ582" s="300"/>
      <c r="BA582" s="52"/>
      <c r="BB582" s="304"/>
      <c r="BC582" s="231" t="s">
        <v>13</v>
      </c>
      <c r="BD582" s="232"/>
      <c r="BE582" s="222">
        <f t="shared" si="347"/>
        <v>45801</v>
      </c>
      <c r="BF582" s="233" t="e">
        <f t="shared" si="355"/>
        <v>#VALUE!</v>
      </c>
      <c r="BG582" s="234"/>
      <c r="BH582" s="235"/>
      <c r="BI582" s="234"/>
      <c r="BJ582" s="236"/>
      <c r="BK582" s="222"/>
      <c r="BL582" s="222"/>
      <c r="BM582" s="238"/>
      <c r="BN582" s="222"/>
      <c r="BO582" s="222"/>
      <c r="BP582" s="243"/>
      <c r="BQ582" s="244" t="s">
        <v>247</v>
      </c>
      <c r="BR582" s="238">
        <v>45784</v>
      </c>
      <c r="BS582" s="68"/>
      <c r="BT582" s="69"/>
      <c r="BU582" s="69"/>
      <c r="BV582" s="69"/>
      <c r="BW582" s="75"/>
      <c r="BX582" s="81"/>
      <c r="BY582" s="66">
        <f>VLOOKUP([4]C1!$BY:$BY,[4]C1!$BY$531:$BY$625,1,FALSE)</f>
        <v>45783</v>
      </c>
      <c r="BZ582" s="944" t="str">
        <f>VLOOKUP([4]C1!$BZ:$BZ,[4]C1!$BZ$531:$BZ$625,1,FALSE)</f>
        <v>CT9-8085,TLN-527431</v>
      </c>
      <c r="CA582" s="42" t="str">
        <f t="shared" si="368"/>
        <v>0</v>
      </c>
      <c r="CB582" s="62">
        <f t="shared" si="369"/>
        <v>16.361111111109494</v>
      </c>
      <c r="CC582" s="42">
        <f t="shared" si="370"/>
        <v>0</v>
      </c>
      <c r="CD582" s="62">
        <f t="shared" si="371"/>
        <v>16.361111111109494</v>
      </c>
      <c r="CE582" s="62">
        <f t="shared" si="372"/>
        <v>0.57054131054125412</v>
      </c>
      <c r="CF582" s="145">
        <f t="shared" si="373"/>
        <v>83</v>
      </c>
      <c r="CG582" s="145"/>
      <c r="CH582" s="443">
        <f t="shared" si="374"/>
        <v>3.4649002849002279</v>
      </c>
      <c r="CI582" s="996">
        <f t="shared" si="375"/>
        <v>3.4649002849002279</v>
      </c>
      <c r="CJ582" s="261">
        <f t="shared" si="376"/>
        <v>1.3833333333333333</v>
      </c>
      <c r="CK582" s="458" t="str">
        <f t="shared" si="377"/>
        <v/>
      </c>
      <c r="CL582" t="str">
        <f t="shared" si="378"/>
        <v>REV</v>
      </c>
      <c r="CM582" t="str">
        <f t="shared" si="379"/>
        <v/>
      </c>
      <c r="CN582" s="635"/>
      <c r="CO582" s="631"/>
      <c r="CP582" s="629" t="str">
        <f t="shared" si="356"/>
        <v>FOR ISSUANCE</v>
      </c>
      <c r="CQ582" s="635"/>
      <c r="CR582" s="697"/>
      <c r="CS582" s="633" t="str">
        <f t="shared" ca="1" si="380"/>
        <v>0</v>
      </c>
      <c r="CT582" s="635"/>
      <c r="CU582" s="631"/>
      <c r="CV582" s="638"/>
      <c r="CW582" s="404"/>
      <c r="CX582" s="156"/>
      <c r="CY582" s="156"/>
      <c r="DA582" s="762"/>
      <c r="DS582" s="442" t="s">
        <v>403</v>
      </c>
    </row>
    <row r="583" spans="1:123" customFormat="1" ht="15" customHeight="1" x14ac:dyDescent="0.25">
      <c r="A583" s="242">
        <v>45785</v>
      </c>
      <c r="B583" s="222">
        <v>45783</v>
      </c>
      <c r="C583" s="223"/>
      <c r="D583" s="66" t="s">
        <v>320</v>
      </c>
      <c r="E583" s="404" t="s">
        <v>3088</v>
      </c>
      <c r="F583" s="155" t="s">
        <v>949</v>
      </c>
      <c r="G583" s="95" t="s">
        <v>3089</v>
      </c>
      <c r="H583" s="95" t="s">
        <v>378</v>
      </c>
      <c r="I583" s="95" t="s">
        <v>239</v>
      </c>
      <c r="J583" s="163" t="s">
        <v>3090</v>
      </c>
      <c r="K583" s="101"/>
      <c r="L583" s="101" t="s">
        <v>288</v>
      </c>
      <c r="M583" s="101" t="s">
        <v>331</v>
      </c>
      <c r="N583" s="442" t="s">
        <v>381</v>
      </c>
      <c r="O583" s="165">
        <v>263.58999999999997</v>
      </c>
      <c r="P583" s="165">
        <v>843.07</v>
      </c>
      <c r="Q583" s="157">
        <v>151</v>
      </c>
      <c r="R583" s="109" t="s">
        <v>244</v>
      </c>
      <c r="S583" s="110">
        <v>1686610.42</v>
      </c>
      <c r="T583" s="93">
        <v>320882.64</v>
      </c>
      <c r="U583" s="141"/>
      <c r="V583" s="158">
        <f t="shared" si="357"/>
        <v>0</v>
      </c>
      <c r="W583" s="159">
        <v>45769.638888888891</v>
      </c>
      <c r="X583" s="159">
        <v>45777.546527777777</v>
      </c>
      <c r="Y583" s="160">
        <v>45779</v>
      </c>
      <c r="Z583" s="470"/>
      <c r="AA583" s="470"/>
      <c r="AB583" s="470"/>
      <c r="AC583" s="161">
        <f t="shared" si="358"/>
        <v>-45769.638888888891</v>
      </c>
      <c r="AD583" s="161">
        <f t="shared" si="351"/>
        <v>-45777.546527777777</v>
      </c>
      <c r="AE583" s="446">
        <f t="shared" si="346"/>
        <v>0</v>
      </c>
      <c r="AF583" s="160">
        <f t="shared" si="352"/>
        <v>45792.170803782508</v>
      </c>
      <c r="AG583" s="160">
        <f t="shared" si="349"/>
        <v>45801.979314420809</v>
      </c>
      <c r="AH583" s="159">
        <f t="shared" si="353"/>
        <v>45819.638888888891</v>
      </c>
      <c r="AI583" s="162">
        <f t="shared" si="359"/>
        <v>-1344.483142361111</v>
      </c>
      <c r="AJ583" s="224">
        <f t="shared" si="354"/>
        <v>0</v>
      </c>
      <c r="AK583" s="225">
        <f t="shared" si="360"/>
        <v>40</v>
      </c>
      <c r="AL583" s="170">
        <f t="shared" si="361"/>
        <v>32</v>
      </c>
      <c r="AM583" s="170">
        <f t="shared" si="362"/>
        <v>25.531914893617024</v>
      </c>
      <c r="AN583" s="170">
        <f t="shared" si="363"/>
        <v>32.340425531914896</v>
      </c>
      <c r="AO583" s="226">
        <f t="shared" si="364"/>
        <v>22.531914893617024</v>
      </c>
      <c r="AP583" s="227">
        <v>60</v>
      </c>
      <c r="AQ583" s="228">
        <f t="shared" si="365"/>
        <v>57</v>
      </c>
      <c r="AR583" s="228">
        <f t="shared" si="350"/>
        <v>52</v>
      </c>
      <c r="AS583" s="229">
        <f t="shared" si="366"/>
        <v>60</v>
      </c>
      <c r="AT583" s="982">
        <f t="shared" ca="1" si="367"/>
        <v>45895</v>
      </c>
      <c r="AU583" s="50" t="s">
        <v>3091</v>
      </c>
      <c r="AV583" s="51" t="s">
        <v>247</v>
      </c>
      <c r="AW583" s="49" t="s">
        <v>247</v>
      </c>
      <c r="AX583" s="49"/>
      <c r="AY583" s="49"/>
      <c r="AZ583" s="300">
        <v>45805</v>
      </c>
      <c r="BA583" s="52">
        <v>42</v>
      </c>
      <c r="BB583" s="304">
        <v>45866</v>
      </c>
      <c r="BC583" s="231"/>
      <c r="BD583" s="232"/>
      <c r="BE583" s="222">
        <f t="shared" si="347"/>
        <v>15</v>
      </c>
      <c r="BF583" s="233">
        <f t="shared" si="355"/>
        <v>0</v>
      </c>
      <c r="BG583" s="234"/>
      <c r="BH583" s="235"/>
      <c r="BI583" s="234"/>
      <c r="BJ583" s="236"/>
      <c r="BK583" s="222"/>
      <c r="BL583" s="222"/>
      <c r="BM583" s="238"/>
      <c r="BN583" s="222"/>
      <c r="BO583" s="222"/>
      <c r="BP583" s="243"/>
      <c r="BQ583" s="244"/>
      <c r="BR583" s="238"/>
      <c r="BS583" s="68"/>
      <c r="BT583" s="69"/>
      <c r="BU583" s="69"/>
      <c r="BV583" s="69"/>
      <c r="BW583" s="75"/>
      <c r="BX583" s="81"/>
      <c r="BY583" s="66" t="e">
        <f>VLOOKUP([4]C1!$BY:$BY,[4]C1!$BY$531:$BY$625,1,FALSE)</f>
        <v>#N/A</v>
      </c>
      <c r="BZ583" s="944" t="e">
        <f>VLOOKUP([4]C1!$BZ:$BZ,[4]C1!$BZ$531:$BZ$625,1,FALSE)</f>
        <v>#N/A</v>
      </c>
      <c r="CA583" s="42" t="str">
        <f t="shared" si="368"/>
        <v>0</v>
      </c>
      <c r="CB583" s="62">
        <f t="shared" si="369"/>
        <v>-45769.638888888891</v>
      </c>
      <c r="CC583" s="42">
        <f t="shared" si="370"/>
        <v>42</v>
      </c>
      <c r="CD583" s="62">
        <f t="shared" si="371"/>
        <v>-45811.638888888891</v>
      </c>
      <c r="CE583" s="62">
        <f t="shared" si="372"/>
        <v>-1345.7168923611111</v>
      </c>
      <c r="CF583" s="145" t="str">
        <f t="shared" si="373"/>
        <v>0</v>
      </c>
      <c r="CG583" s="145">
        <f xml:space="preserve"> (0.3)*(($CF$1-W583-CF583)/AK583)+(0.7)*(($CF$1-W583-CF583)/AL583)</f>
        <v>2.9187326388888413</v>
      </c>
      <c r="CH583" s="443">
        <f t="shared" si="374"/>
        <v>2.9187326388888413</v>
      </c>
      <c r="CI583" s="996">
        <f t="shared" si="375"/>
        <v>0</v>
      </c>
      <c r="CJ583" s="261">
        <f t="shared" si="376"/>
        <v>0</v>
      </c>
      <c r="CK583" s="458">
        <f t="shared" si="377"/>
        <v>86.361111111109494</v>
      </c>
      <c r="CL583" t="str">
        <f t="shared" si="378"/>
        <v>REV</v>
      </c>
      <c r="CM583" t="str">
        <f t="shared" si="379"/>
        <v>0-3 MONTHS</v>
      </c>
      <c r="CN583" s="635"/>
      <c r="CO583" s="631"/>
      <c r="CP583" s="629" t="str">
        <f t="shared" si="356"/>
        <v>FOR ISSUANCE</v>
      </c>
      <c r="CQ583" s="635"/>
      <c r="CR583" s="697"/>
      <c r="CS583" s="633" t="str">
        <f t="shared" ca="1" si="380"/>
        <v>0</v>
      </c>
      <c r="CT583" s="635"/>
      <c r="CU583" s="631"/>
      <c r="CV583" s="638"/>
      <c r="CW583" s="404"/>
      <c r="CX583" s="156"/>
      <c r="CY583" s="156"/>
      <c r="DA583" s="762"/>
      <c r="DS583" s="156" t="s">
        <v>397</v>
      </c>
    </row>
    <row r="584" spans="1:123" ht="15" customHeight="1" x14ac:dyDescent="0.2">
      <c r="A584" s="242">
        <v>45779</v>
      </c>
      <c r="B584" s="222">
        <v>45783</v>
      </c>
      <c r="C584" s="223"/>
      <c r="D584" s="66" t="s">
        <v>320</v>
      </c>
      <c r="E584" s="404" t="s">
        <v>3092</v>
      </c>
      <c r="F584" s="155" t="s">
        <v>3093</v>
      </c>
      <c r="G584" s="95" t="s">
        <v>3094</v>
      </c>
      <c r="H584" s="95" t="s">
        <v>238</v>
      </c>
      <c r="I584" s="95" t="s">
        <v>239</v>
      </c>
      <c r="J584" s="1134" t="s">
        <v>3095</v>
      </c>
      <c r="K584" s="101"/>
      <c r="L584" s="101" t="s">
        <v>255</v>
      </c>
      <c r="M584" s="101" t="s">
        <v>331</v>
      </c>
      <c r="N584" s="442" t="s">
        <v>403</v>
      </c>
      <c r="O584" s="165">
        <v>63.103100000000005</v>
      </c>
      <c r="P584" s="165">
        <v>172.56</v>
      </c>
      <c r="Q584" s="157">
        <v>66.5</v>
      </c>
      <c r="R584" s="109" t="s">
        <v>548</v>
      </c>
      <c r="S584" s="110">
        <v>447247.07</v>
      </c>
      <c r="T584" s="93">
        <v>80599.67</v>
      </c>
      <c r="U584" s="141"/>
      <c r="V584" s="158">
        <f t="shared" si="357"/>
        <v>0</v>
      </c>
      <c r="W584" s="159">
        <v>45769.662499999999</v>
      </c>
      <c r="X584" s="159">
        <v>45777.541666666664</v>
      </c>
      <c r="Y584" s="160">
        <v>45779</v>
      </c>
      <c r="Z584" s="470"/>
      <c r="AA584" s="470"/>
      <c r="AB584" s="470"/>
      <c r="AC584" s="161">
        <f t="shared" si="358"/>
        <v>-45769.662499999999</v>
      </c>
      <c r="AD584" s="161">
        <f t="shared" si="351"/>
        <v>-45777.541666666664</v>
      </c>
      <c r="AE584" s="446">
        <f t="shared" si="346"/>
        <v>0</v>
      </c>
      <c r="AF584" s="160">
        <f t="shared" si="352"/>
        <v>45790.007570422531</v>
      </c>
      <c r="AG584" s="160">
        <f t="shared" si="349"/>
        <v>45799.232922535208</v>
      </c>
      <c r="AH584" s="159">
        <f t="shared" si="353"/>
        <v>45819.662499999999</v>
      </c>
      <c r="AI584" s="162">
        <f t="shared" si="359"/>
        <v>-1470.4280712669683</v>
      </c>
      <c r="AJ584" s="224">
        <f t="shared" si="354"/>
        <v>0</v>
      </c>
      <c r="AK584" s="225">
        <f t="shared" si="360"/>
        <v>26</v>
      </c>
      <c r="AL584" s="170">
        <f t="shared" si="361"/>
        <v>34</v>
      </c>
      <c r="AM584" s="170">
        <f t="shared" si="362"/>
        <v>23.345070422535212</v>
      </c>
      <c r="AN584" s="170">
        <f t="shared" si="363"/>
        <v>29.570422535211268</v>
      </c>
      <c r="AO584" s="226">
        <f t="shared" si="364"/>
        <v>20.345070422535212</v>
      </c>
      <c r="AP584" s="227">
        <v>60</v>
      </c>
      <c r="AQ584" s="228">
        <f t="shared" si="365"/>
        <v>57</v>
      </c>
      <c r="AR584" s="228">
        <f t="shared" si="350"/>
        <v>52</v>
      </c>
      <c r="AS584" s="229">
        <f t="shared" si="366"/>
        <v>60</v>
      </c>
      <c r="AT584" s="982">
        <f t="shared" ca="1" si="367"/>
        <v>45895</v>
      </c>
      <c r="AU584" s="1077"/>
      <c r="AV584" s="1092"/>
      <c r="AW584" s="1079"/>
      <c r="AX584" s="1079"/>
      <c r="AY584" s="1079"/>
      <c r="AZ584" s="1080"/>
      <c r="BA584" s="1101"/>
      <c r="BB584" s="1091"/>
      <c r="BC584" s="231"/>
      <c r="BD584" s="232"/>
      <c r="BE584" s="222">
        <f t="shared" si="347"/>
        <v>15</v>
      </c>
      <c r="BF584" s="233">
        <f t="shared" si="355"/>
        <v>0</v>
      </c>
      <c r="BG584" s="234"/>
      <c r="BH584" s="235"/>
      <c r="BI584" s="234"/>
      <c r="BJ584" s="236"/>
      <c r="BK584" s="222"/>
      <c r="BL584" s="222"/>
      <c r="BM584" s="238"/>
      <c r="BN584" s="222"/>
      <c r="BO584" s="222"/>
      <c r="BP584" s="243"/>
      <c r="BQ584" s="244"/>
      <c r="BR584" s="238"/>
      <c r="BS584" s="68"/>
      <c r="BT584" s="69"/>
      <c r="BU584" s="69"/>
      <c r="BV584" s="69"/>
      <c r="BW584" s="75"/>
      <c r="BX584" s="81"/>
      <c r="BY584" s="66">
        <f>VLOOKUP([4]C1!$BY:$BY,[4]C1!$BY$531:$BY$625,1,FALSE)</f>
        <v>45782</v>
      </c>
      <c r="BZ584" s="944" t="str">
        <f>VLOOKUP([4]C1!$BZ:$BZ,[4]C1!$BZ$531:$BZ$625,1,FALSE)</f>
        <v>CW4-8021-TLN-516593</v>
      </c>
      <c r="CA584" s="42" t="str">
        <f t="shared" si="368"/>
        <v>0</v>
      </c>
      <c r="CB584" s="62">
        <f t="shared" si="369"/>
        <v>-45769.662499999999</v>
      </c>
      <c r="CC584" s="42">
        <f t="shared" si="370"/>
        <v>0</v>
      </c>
      <c r="CD584" s="62">
        <f t="shared" si="371"/>
        <v>-45769.662499999999</v>
      </c>
      <c r="CE584" s="62">
        <f t="shared" si="372"/>
        <v>-1470.4280712669683</v>
      </c>
      <c r="CF584" s="1059" t="str">
        <f t="shared" si="373"/>
        <v>0</v>
      </c>
      <c r="CH584" s="1082">
        <f t="shared" si="374"/>
        <v>3.1913857466063815</v>
      </c>
      <c r="CI584" s="1083">
        <f t="shared" si="375"/>
        <v>3.1913857466063815</v>
      </c>
      <c r="CJ584" s="1084">
        <f t="shared" si="376"/>
        <v>0</v>
      </c>
      <c r="CK584" s="1085">
        <f t="shared" si="377"/>
        <v>86.337500000001455</v>
      </c>
      <c r="CL584" s="1057" t="str">
        <f t="shared" si="378"/>
        <v>NON-REV</v>
      </c>
      <c r="CM584" s="1057" t="str">
        <f t="shared" si="379"/>
        <v>0-3 MONTHS</v>
      </c>
      <c r="CN584" s="1086"/>
      <c r="CO584" s="1087"/>
      <c r="CP584" s="629" t="str">
        <f t="shared" si="356"/>
        <v>FOR ISSUANCE</v>
      </c>
      <c r="CQ584" s="1086"/>
      <c r="CR584" s="1088"/>
      <c r="CS584" s="1089" t="str">
        <f t="shared" ca="1" si="380"/>
        <v>0</v>
      </c>
      <c r="CT584" s="1086"/>
      <c r="CU584" s="1087"/>
      <c r="CV584" s="1090"/>
      <c r="CX584" s="156"/>
      <c r="CY584" s="156"/>
      <c r="DA584" s="1100"/>
      <c r="DS584" s="156" t="s">
        <v>397</v>
      </c>
    </row>
    <row r="585" spans="1:123" customFormat="1" ht="15" customHeight="1" x14ac:dyDescent="0.25">
      <c r="A585" s="242">
        <v>45779</v>
      </c>
      <c r="B585" s="222">
        <v>45783</v>
      </c>
      <c r="C585" s="223"/>
      <c r="D585" s="66" t="s">
        <v>234</v>
      </c>
      <c r="E585" s="404" t="s">
        <v>3096</v>
      </c>
      <c r="F585" s="155" t="s">
        <v>926</v>
      </c>
      <c r="G585" s="95" t="s">
        <v>3097</v>
      </c>
      <c r="H585" s="95" t="s">
        <v>318</v>
      </c>
      <c r="I585" s="95" t="s">
        <v>239</v>
      </c>
      <c r="J585" s="163"/>
      <c r="K585" s="101"/>
      <c r="L585" s="101" t="s">
        <v>5</v>
      </c>
      <c r="M585" s="101" t="s">
        <v>272</v>
      </c>
      <c r="N585" s="442" t="s">
        <v>403</v>
      </c>
      <c r="O585" s="165">
        <v>35.181800000000003</v>
      </c>
      <c r="P585" s="933">
        <v>46.79</v>
      </c>
      <c r="Q585" s="157">
        <v>31</v>
      </c>
      <c r="R585" s="109" t="s">
        <v>244</v>
      </c>
      <c r="S585" s="767" t="s">
        <v>3098</v>
      </c>
      <c r="T585" s="93">
        <v>40203.11</v>
      </c>
      <c r="U585" s="141"/>
      <c r="V585" s="158">
        <f t="shared" si="357"/>
        <v>0</v>
      </c>
      <c r="W585" s="159">
        <v>45769.667361111111</v>
      </c>
      <c r="X585" s="159">
        <v>45777.506249999999</v>
      </c>
      <c r="Y585" s="160">
        <v>45779</v>
      </c>
      <c r="Z585" s="470">
        <v>45800</v>
      </c>
      <c r="AA585" s="470">
        <v>45800</v>
      </c>
      <c r="AB585" s="470"/>
      <c r="AC585" s="161">
        <f t="shared" si="358"/>
        <v>30.332638888889051</v>
      </c>
      <c r="AD585" s="161">
        <f t="shared" si="351"/>
        <v>22.493750000001455</v>
      </c>
      <c r="AE585" s="446">
        <f t="shared" ref="AE585:AE648" si="381">AB585-AA585</f>
        <v>-45800</v>
      </c>
      <c r="AF585" s="160">
        <f t="shared" si="352"/>
        <v>45788.441554659497</v>
      </c>
      <c r="AG585" s="160">
        <f t="shared" si="349"/>
        <v>45797.248006272399</v>
      </c>
      <c r="AH585" s="159">
        <f t="shared" si="353"/>
        <v>45819.667361111111</v>
      </c>
      <c r="AI585" s="162">
        <f t="shared" si="359"/>
        <v>1.0447908950617339</v>
      </c>
      <c r="AJ585" s="224">
        <f t="shared" si="354"/>
        <v>-763.33333333333337</v>
      </c>
      <c r="AK585" s="225">
        <f t="shared" si="360"/>
        <v>20</v>
      </c>
      <c r="AL585" s="170">
        <f t="shared" si="361"/>
        <v>36</v>
      </c>
      <c r="AM585" s="170">
        <f t="shared" si="362"/>
        <v>21.774193548387096</v>
      </c>
      <c r="AN585" s="170">
        <f t="shared" si="363"/>
        <v>27.58064516129032</v>
      </c>
      <c r="AO585" s="226">
        <f t="shared" si="364"/>
        <v>18.774193548387096</v>
      </c>
      <c r="AP585" s="227">
        <v>60</v>
      </c>
      <c r="AQ585" s="228">
        <f t="shared" si="365"/>
        <v>57</v>
      </c>
      <c r="AR585" s="228">
        <f t="shared" si="350"/>
        <v>52</v>
      </c>
      <c r="AS585" s="229">
        <f t="shared" si="366"/>
        <v>45860</v>
      </c>
      <c r="AT585" s="982">
        <f t="shared" ca="1" si="367"/>
        <v>95</v>
      </c>
      <c r="AU585" s="50"/>
      <c r="AV585" s="51"/>
      <c r="AW585" s="49"/>
      <c r="AX585" s="49"/>
      <c r="AY585" s="49"/>
      <c r="AZ585" s="300"/>
      <c r="BA585" s="52"/>
      <c r="BB585" s="304"/>
      <c r="BC585" s="231" t="s">
        <v>12</v>
      </c>
      <c r="BD585" s="232"/>
      <c r="BE585" s="222">
        <f t="shared" si="347"/>
        <v>45815</v>
      </c>
      <c r="BF585" s="233">
        <f t="shared" si="355"/>
        <v>35</v>
      </c>
      <c r="BG585" s="234">
        <v>45800</v>
      </c>
      <c r="BH585" s="235">
        <v>45850</v>
      </c>
      <c r="BI585" s="234"/>
      <c r="BJ585" s="236"/>
      <c r="BK585" s="222"/>
      <c r="BL585" s="222"/>
      <c r="BM585" s="238"/>
      <c r="BN585" s="222"/>
      <c r="BO585" s="222"/>
      <c r="BP585" s="243"/>
      <c r="BQ585" s="244" t="s">
        <v>247</v>
      </c>
      <c r="BR585" s="238">
        <v>45800</v>
      </c>
      <c r="BS585" s="68"/>
      <c r="BT585" s="69"/>
      <c r="BU585" s="69"/>
      <c r="BV585" s="69"/>
      <c r="BW585" s="75"/>
      <c r="BX585" s="81"/>
      <c r="BY585" s="66">
        <f>VLOOKUP([4]C1!$BY:$BY,[4]C1!$BY$531:$BY$625,1,FALSE)</f>
        <v>45776</v>
      </c>
      <c r="BZ585" s="944" t="str">
        <f>VLOOKUP([4]C1!$BZ:$BZ,[4]C1!$BZ$531:$BZ$625,1,FALSE)</f>
        <v>CS7-8160,CS7-8161,CS7-8162,CS7-8163,CS7-8164 - TLN-527319</v>
      </c>
      <c r="CA585" s="42" t="str">
        <f t="shared" si="368"/>
        <v>0</v>
      </c>
      <c r="CB585" s="62">
        <f t="shared" si="369"/>
        <v>30.332638888889051</v>
      </c>
      <c r="CC585" s="42">
        <f t="shared" si="370"/>
        <v>0</v>
      </c>
      <c r="CD585" s="62">
        <f t="shared" si="371"/>
        <v>30.332638888889051</v>
      </c>
      <c r="CE585" s="62">
        <f t="shared" si="372"/>
        <v>1.0447908950617339</v>
      </c>
      <c r="CF585" s="145">
        <f t="shared" si="373"/>
        <v>69</v>
      </c>
      <c r="CG585" s="145"/>
      <c r="CH585" s="443">
        <f t="shared" si="374"/>
        <v>3.4214575617284009</v>
      </c>
      <c r="CI585" s="996">
        <f t="shared" si="375"/>
        <v>3.4214575617284009</v>
      </c>
      <c r="CJ585" s="261">
        <f t="shared" si="376"/>
        <v>1.1499999999999999</v>
      </c>
      <c r="CK585" s="458" t="str">
        <f t="shared" si="377"/>
        <v/>
      </c>
      <c r="CL585" t="str">
        <f t="shared" si="378"/>
        <v>REV</v>
      </c>
      <c r="CM585" t="str">
        <f t="shared" si="379"/>
        <v/>
      </c>
      <c r="CN585" s="635"/>
      <c r="CO585" s="631"/>
      <c r="CP585" s="629" t="str">
        <f t="shared" si="356"/>
        <v>FOR ISSUANCE</v>
      </c>
      <c r="CQ585" s="635"/>
      <c r="CR585" s="697"/>
      <c r="CS585" s="633" t="str">
        <f t="shared" ca="1" si="380"/>
        <v>0</v>
      </c>
      <c r="CT585" s="635"/>
      <c r="CU585" s="631"/>
      <c r="CV585" s="638"/>
      <c r="CW585" s="404"/>
      <c r="CX585" s="156"/>
      <c r="CY585" s="156"/>
      <c r="DA585" s="762"/>
      <c r="DS585" s="156" t="s">
        <v>397</v>
      </c>
    </row>
    <row r="586" spans="1:123" customFormat="1" ht="15" customHeight="1" x14ac:dyDescent="0.25">
      <c r="A586" s="242">
        <v>45782</v>
      </c>
      <c r="B586" s="222">
        <v>45783</v>
      </c>
      <c r="C586" s="223" t="s">
        <v>247</v>
      </c>
      <c r="D586" s="66" t="s">
        <v>284</v>
      </c>
      <c r="E586" s="404" t="s">
        <v>3099</v>
      </c>
      <c r="F586" s="155" t="s">
        <v>3100</v>
      </c>
      <c r="G586" s="95" t="s">
        <v>3101</v>
      </c>
      <c r="H586" s="95" t="s">
        <v>253</v>
      </c>
      <c r="I586" s="95" t="s">
        <v>254</v>
      </c>
      <c r="J586" s="163"/>
      <c r="K586" s="101"/>
      <c r="L586" s="101" t="s">
        <v>263</v>
      </c>
      <c r="M586" s="101" t="s">
        <v>272</v>
      </c>
      <c r="N586" s="442" t="s">
        <v>467</v>
      </c>
      <c r="O586" s="165">
        <v>48.593499999999999</v>
      </c>
      <c r="P586" s="933">
        <v>131.88999999999999</v>
      </c>
      <c r="Q586" s="157">
        <v>28</v>
      </c>
      <c r="R586" s="109" t="s">
        <v>244</v>
      </c>
      <c r="S586" s="110">
        <v>293996.61</v>
      </c>
      <c r="T586" s="93">
        <v>46063.97</v>
      </c>
      <c r="U586" s="141"/>
      <c r="V586" s="158">
        <f t="shared" si="357"/>
        <v>0</v>
      </c>
      <c r="W586" s="159">
        <v>45769.697222222225</v>
      </c>
      <c r="X586" s="159">
        <v>45777.543055555558</v>
      </c>
      <c r="Y586" s="160">
        <v>45779</v>
      </c>
      <c r="Z586" s="470"/>
      <c r="AA586" s="470">
        <v>45801</v>
      </c>
      <c r="AB586" s="470"/>
      <c r="AC586" s="161">
        <f t="shared" si="358"/>
        <v>31.302777777775191</v>
      </c>
      <c r="AD586" s="161">
        <f t="shared" si="351"/>
        <v>23.456944444442343</v>
      </c>
      <c r="AE586" s="446">
        <f t="shared" si="381"/>
        <v>-45801</v>
      </c>
      <c r="AF586" s="160">
        <f t="shared" si="352"/>
        <v>45790.904118773949</v>
      </c>
      <c r="AG586" s="160">
        <f t="shared" si="349"/>
        <v>45800.359291187742</v>
      </c>
      <c r="AH586" s="159">
        <f t="shared" si="353"/>
        <v>45819.697222222225</v>
      </c>
      <c r="AI586" s="162">
        <f t="shared" si="359"/>
        <v>0.96985102089260722</v>
      </c>
      <c r="AJ586" s="224">
        <f t="shared" si="354"/>
        <v>-763.35</v>
      </c>
      <c r="AK586" s="225">
        <f t="shared" si="360"/>
        <v>26</v>
      </c>
      <c r="AL586" s="170">
        <f t="shared" si="361"/>
        <v>36</v>
      </c>
      <c r="AM586" s="170">
        <f t="shared" si="362"/>
        <v>24.206896551724139</v>
      </c>
      <c r="AN586" s="170">
        <f t="shared" si="363"/>
        <v>30.662068965517239</v>
      </c>
      <c r="AO586" s="226">
        <f t="shared" si="364"/>
        <v>21.206896551724139</v>
      </c>
      <c r="AP586" s="227">
        <v>60</v>
      </c>
      <c r="AQ586" s="228">
        <f t="shared" si="365"/>
        <v>57</v>
      </c>
      <c r="AR586" s="228">
        <f t="shared" si="350"/>
        <v>52</v>
      </c>
      <c r="AS586" s="229">
        <f t="shared" si="366"/>
        <v>45861</v>
      </c>
      <c r="AT586" s="982">
        <f t="shared" ca="1" si="367"/>
        <v>94</v>
      </c>
      <c r="AU586" s="50"/>
      <c r="AV586" s="51"/>
      <c r="AW586" s="49"/>
      <c r="AX586" s="49"/>
      <c r="AY586" s="49"/>
      <c r="AZ586" s="300"/>
      <c r="BA586" s="52"/>
      <c r="BB586" s="304"/>
      <c r="BC586" s="231" t="s">
        <v>13</v>
      </c>
      <c r="BD586" s="232"/>
      <c r="BE586" s="222">
        <f t="shared" si="347"/>
        <v>45816</v>
      </c>
      <c r="BF586" s="233" t="e">
        <f t="shared" si="355"/>
        <v>#VALUE!</v>
      </c>
      <c r="BG586" s="234"/>
      <c r="BH586" s="235"/>
      <c r="BI586" s="234"/>
      <c r="BJ586" s="236"/>
      <c r="BK586" s="222"/>
      <c r="BL586" s="222"/>
      <c r="BM586" s="238"/>
      <c r="BN586" s="222"/>
      <c r="BO586" s="222"/>
      <c r="BP586" s="243"/>
      <c r="BQ586" s="244" t="s">
        <v>247</v>
      </c>
      <c r="BR586" s="238">
        <v>45801</v>
      </c>
      <c r="BS586" s="68"/>
      <c r="BT586" s="69"/>
      <c r="BU586" s="69"/>
      <c r="BV586" s="69"/>
      <c r="BW586" s="75"/>
      <c r="BX586" s="81"/>
      <c r="BY586" s="66">
        <f>VLOOKUP([4]C1!$BY:$BY,[4]C1!$BY$531:$BY$625,1,FALSE)</f>
        <v>45782</v>
      </c>
      <c r="BZ586" s="944" t="str">
        <f>VLOOKUP([4]C1!$BZ:$BZ,[4]C1!$BZ$531:$BZ$625,1,FALSE)</f>
        <v>CV7-1408,CV7-1409</v>
      </c>
      <c r="CA586" s="42" t="str">
        <f t="shared" si="368"/>
        <v>0</v>
      </c>
      <c r="CB586" s="62">
        <f t="shared" si="369"/>
        <v>31.302777777775191</v>
      </c>
      <c r="CC586" s="42">
        <f t="shared" si="370"/>
        <v>0</v>
      </c>
      <c r="CD586" s="62">
        <f t="shared" si="371"/>
        <v>31.302777777775191</v>
      </c>
      <c r="CE586" s="62">
        <f t="shared" si="372"/>
        <v>0.96985102089260722</v>
      </c>
      <c r="CF586" s="145">
        <f t="shared" si="373"/>
        <v>68</v>
      </c>
      <c r="CG586" s="145"/>
      <c r="CH586" s="443">
        <f t="shared" si="374"/>
        <v>3.0766886277302143</v>
      </c>
      <c r="CI586" s="996">
        <f t="shared" si="375"/>
        <v>3.0766886277302143</v>
      </c>
      <c r="CJ586" s="261">
        <f t="shared" si="376"/>
        <v>1.1333333333333333</v>
      </c>
      <c r="CK586" s="458" t="str">
        <f t="shared" si="377"/>
        <v/>
      </c>
      <c r="CL586" t="str">
        <f t="shared" si="378"/>
        <v>REV</v>
      </c>
      <c r="CM586" t="str">
        <f t="shared" si="379"/>
        <v/>
      </c>
      <c r="CN586" s="635"/>
      <c r="CO586" s="631"/>
      <c r="CP586" s="629" t="str">
        <f t="shared" si="356"/>
        <v>FOR ISSUANCE</v>
      </c>
      <c r="CQ586" s="635"/>
      <c r="CR586" s="697"/>
      <c r="CS586" s="633" t="str">
        <f t="shared" ca="1" si="380"/>
        <v>0</v>
      </c>
      <c r="CT586" s="635"/>
      <c r="CU586" s="631"/>
      <c r="CV586" s="638"/>
      <c r="CW586" s="404"/>
      <c r="CX586" s="156"/>
      <c r="CY586" s="156"/>
      <c r="DA586" s="762"/>
      <c r="DS586" s="156" t="s">
        <v>397</v>
      </c>
    </row>
    <row r="587" spans="1:123" customFormat="1" ht="15" customHeight="1" x14ac:dyDescent="0.25">
      <c r="A587" s="242">
        <v>45783</v>
      </c>
      <c r="B587" s="222">
        <v>45783</v>
      </c>
      <c r="C587" s="223"/>
      <c r="D587" s="66" t="s">
        <v>234</v>
      </c>
      <c r="E587" s="404" t="s">
        <v>3102</v>
      </c>
      <c r="F587" s="155" t="s">
        <v>926</v>
      </c>
      <c r="G587" s="95" t="s">
        <v>3103</v>
      </c>
      <c r="H587" s="95" t="s">
        <v>318</v>
      </c>
      <c r="I587" s="95" t="s">
        <v>239</v>
      </c>
      <c r="J587" s="163"/>
      <c r="K587" s="101"/>
      <c r="L587" s="101" t="s">
        <v>5</v>
      </c>
      <c r="M587" s="101" t="s">
        <v>272</v>
      </c>
      <c r="N587" s="442" t="s">
        <v>403</v>
      </c>
      <c r="O587" s="165">
        <v>18.102799999999998</v>
      </c>
      <c r="P587" s="933">
        <v>25.69</v>
      </c>
      <c r="Q587" s="157">
        <v>31</v>
      </c>
      <c r="R587" s="109" t="s">
        <v>244</v>
      </c>
      <c r="S587" s="767" t="s">
        <v>3104</v>
      </c>
      <c r="T587" s="93">
        <v>22074.28</v>
      </c>
      <c r="U587" s="141"/>
      <c r="V587" s="158">
        <f t="shared" si="357"/>
        <v>0</v>
      </c>
      <c r="W587" s="159">
        <v>45770.35</v>
      </c>
      <c r="X587" s="159">
        <v>45777.509027777778</v>
      </c>
      <c r="Y587" s="160">
        <v>45779</v>
      </c>
      <c r="Z587" s="470">
        <v>45805</v>
      </c>
      <c r="AA587" s="470">
        <v>45805.606944444444</v>
      </c>
      <c r="AB587" s="470"/>
      <c r="AC587" s="161">
        <f t="shared" si="358"/>
        <v>35.256944444445253</v>
      </c>
      <c r="AD587" s="161">
        <f t="shared" si="351"/>
        <v>28.097916666665697</v>
      </c>
      <c r="AE587" s="446">
        <f t="shared" si="381"/>
        <v>-45805.606944444444</v>
      </c>
      <c r="AF587" s="160">
        <f t="shared" si="352"/>
        <v>45789.124193548385</v>
      </c>
      <c r="AG587" s="160">
        <f t="shared" si="349"/>
        <v>45797.930645161287</v>
      </c>
      <c r="AH587" s="159">
        <f t="shared" si="353"/>
        <v>45820.35</v>
      </c>
      <c r="AI587" s="162">
        <f t="shared" si="359"/>
        <v>1.2144058641975586</v>
      </c>
      <c r="AJ587" s="224">
        <f t="shared" si="354"/>
        <v>-763.42678240740736</v>
      </c>
      <c r="AK587" s="225">
        <f t="shared" si="360"/>
        <v>20</v>
      </c>
      <c r="AL587" s="170">
        <f t="shared" si="361"/>
        <v>36</v>
      </c>
      <c r="AM587" s="170">
        <f t="shared" si="362"/>
        <v>21.774193548387096</v>
      </c>
      <c r="AN587" s="170">
        <f t="shared" si="363"/>
        <v>27.58064516129032</v>
      </c>
      <c r="AO587" s="226">
        <f t="shared" si="364"/>
        <v>18.774193548387096</v>
      </c>
      <c r="AP587" s="227">
        <v>60</v>
      </c>
      <c r="AQ587" s="228">
        <f t="shared" si="365"/>
        <v>57</v>
      </c>
      <c r="AR587" s="228">
        <f t="shared" si="350"/>
        <v>52</v>
      </c>
      <c r="AS587" s="229">
        <f t="shared" si="366"/>
        <v>45865.606944444444</v>
      </c>
      <c r="AT587" s="982">
        <f t="shared" ca="1" si="367"/>
        <v>89.393055555556202</v>
      </c>
      <c r="AU587" s="50"/>
      <c r="AV587" s="51"/>
      <c r="AW587" s="49"/>
      <c r="AX587" s="49"/>
      <c r="AY587" s="49"/>
      <c r="AZ587" s="300"/>
      <c r="BA587" s="52"/>
      <c r="BB587" s="304"/>
      <c r="BC587" s="231" t="s">
        <v>12</v>
      </c>
      <c r="BD587" s="232"/>
      <c r="BE587" s="222">
        <f t="shared" si="347"/>
        <v>45820.606944444444</v>
      </c>
      <c r="BF587" s="233">
        <f t="shared" si="355"/>
        <v>24.393055555556202</v>
      </c>
      <c r="BG587" s="234">
        <v>45805</v>
      </c>
      <c r="BH587" s="235">
        <v>45845</v>
      </c>
      <c r="BI587" s="234"/>
      <c r="BJ587" s="236"/>
      <c r="BK587" s="222"/>
      <c r="BL587" s="222"/>
      <c r="BM587" s="238"/>
      <c r="BN587" s="222"/>
      <c r="BO587" s="222"/>
      <c r="BP587" s="243"/>
      <c r="BQ587" s="244" t="s">
        <v>247</v>
      </c>
      <c r="BR587" s="238">
        <v>45818</v>
      </c>
      <c r="BS587" s="68"/>
      <c r="BT587" s="69"/>
      <c r="BU587" s="69"/>
      <c r="BV587" s="69"/>
      <c r="BW587" s="75"/>
      <c r="BX587" s="81"/>
      <c r="BY587" s="66">
        <f>VLOOKUP([4]C1!$BY:$BY,[4]C1!$BY$531:$BY$625,1,FALSE)</f>
        <v>45782</v>
      </c>
      <c r="BZ587" s="944" t="str">
        <f>VLOOKUP([4]C1!$BZ:$BZ,[4]C1!$BZ$531:$BZ$625,1,FALSE)</f>
        <v>CW5-0031-TLN-526381</v>
      </c>
      <c r="CA587" s="42" t="str">
        <f t="shared" si="368"/>
        <v>0</v>
      </c>
      <c r="CB587" s="62">
        <f t="shared" si="369"/>
        <v>35.256944444445253</v>
      </c>
      <c r="CC587" s="42">
        <f t="shared" si="370"/>
        <v>0</v>
      </c>
      <c r="CD587" s="62">
        <f t="shared" si="371"/>
        <v>35.256944444445253</v>
      </c>
      <c r="CE587" s="62">
        <f t="shared" si="372"/>
        <v>1.2144058641975586</v>
      </c>
      <c r="CF587" s="145">
        <f t="shared" si="373"/>
        <v>63.393055555556202</v>
      </c>
      <c r="CG587" s="145"/>
      <c r="CH587" s="443">
        <f t="shared" si="374"/>
        <v>3.3979444444444944</v>
      </c>
      <c r="CI587" s="996">
        <f t="shared" si="375"/>
        <v>3.3979444444444944</v>
      </c>
      <c r="CJ587" s="261">
        <f t="shared" si="376"/>
        <v>1.0565509259259367</v>
      </c>
      <c r="CK587" s="458" t="str">
        <f t="shared" si="377"/>
        <v/>
      </c>
      <c r="CL587" t="str">
        <f t="shared" si="378"/>
        <v>REV</v>
      </c>
      <c r="CM587" t="str">
        <f t="shared" si="379"/>
        <v/>
      </c>
      <c r="CN587" s="635"/>
      <c r="CO587" s="631"/>
      <c r="CP587" s="629" t="str">
        <f t="shared" si="356"/>
        <v>FOR ISSUANCE</v>
      </c>
      <c r="CQ587" s="635"/>
      <c r="CR587" s="697"/>
      <c r="CS587" s="633" t="str">
        <f t="shared" ca="1" si="380"/>
        <v>0</v>
      </c>
      <c r="CT587" s="635"/>
      <c r="CU587" s="631"/>
      <c r="CV587" s="638"/>
      <c r="CW587" s="404"/>
      <c r="CX587" s="156"/>
      <c r="CY587" s="156"/>
      <c r="DA587" s="762"/>
      <c r="DS587" s="156" t="s">
        <v>397</v>
      </c>
    </row>
    <row r="588" spans="1:123" customFormat="1" ht="15" customHeight="1" x14ac:dyDescent="0.25">
      <c r="A588" s="242">
        <v>45799</v>
      </c>
      <c r="B588" s="222">
        <v>45783</v>
      </c>
      <c r="C588" s="223"/>
      <c r="D588" s="66" t="s">
        <v>320</v>
      </c>
      <c r="E588" s="404" t="s">
        <v>3105</v>
      </c>
      <c r="F588" s="95" t="s">
        <v>3106</v>
      </c>
      <c r="G588" s="95" t="s">
        <v>3107</v>
      </c>
      <c r="H588" s="95" t="s">
        <v>1513</v>
      </c>
      <c r="I588" s="95" t="s">
        <v>239</v>
      </c>
      <c r="J588" s="163"/>
      <c r="K588" s="101"/>
      <c r="L588" s="101" t="s">
        <v>288</v>
      </c>
      <c r="M588" s="101" t="s">
        <v>272</v>
      </c>
      <c r="N588" s="442" t="s">
        <v>381</v>
      </c>
      <c r="O588" s="165">
        <v>3.0632999999999999</v>
      </c>
      <c r="P588" s="933">
        <v>5.15</v>
      </c>
      <c r="Q588" s="157">
        <v>22.4</v>
      </c>
      <c r="R588" s="109" t="s">
        <v>548</v>
      </c>
      <c r="S588" s="110">
        <v>21401.599999999999</v>
      </c>
      <c r="T588" s="93">
        <v>4427.8799999999992</v>
      </c>
      <c r="U588" s="141"/>
      <c r="V588" s="158">
        <f t="shared" si="357"/>
        <v>0</v>
      </c>
      <c r="W588" s="159">
        <v>45770.668749999997</v>
      </c>
      <c r="X588" s="159">
        <v>45777.548611111109</v>
      </c>
      <c r="Y588" s="160">
        <v>45779</v>
      </c>
      <c r="Z588" s="470">
        <v>45806</v>
      </c>
      <c r="AA588" s="470">
        <v>45805.353472222225</v>
      </c>
      <c r="AB588" s="470"/>
      <c r="AC588" s="161">
        <f t="shared" si="358"/>
        <v>34.68472222222772</v>
      </c>
      <c r="AD588" s="161">
        <f t="shared" si="351"/>
        <v>27.804861111115315</v>
      </c>
      <c r="AE588" s="446">
        <f t="shared" si="381"/>
        <v>-45805.353472222225</v>
      </c>
      <c r="AF588" s="160">
        <f t="shared" si="352"/>
        <v>45789.442943548383</v>
      </c>
      <c r="AG588" s="160">
        <f t="shared" si="349"/>
        <v>45798.249395161285</v>
      </c>
      <c r="AH588" s="159">
        <f t="shared" si="353"/>
        <v>45820.668749999997</v>
      </c>
      <c r="AI588" s="162">
        <f t="shared" si="359"/>
        <v>1.1946959876545102</v>
      </c>
      <c r="AJ588" s="224">
        <f t="shared" si="354"/>
        <v>-763.42255787037038</v>
      </c>
      <c r="AK588" s="225">
        <f t="shared" si="360"/>
        <v>20</v>
      </c>
      <c r="AL588" s="170">
        <f t="shared" si="361"/>
        <v>36</v>
      </c>
      <c r="AM588" s="170">
        <f t="shared" si="362"/>
        <v>21.774193548387096</v>
      </c>
      <c r="AN588" s="170">
        <f t="shared" si="363"/>
        <v>27.58064516129032</v>
      </c>
      <c r="AO588" s="226">
        <f t="shared" si="364"/>
        <v>18.774193548387096</v>
      </c>
      <c r="AP588" s="227">
        <v>60</v>
      </c>
      <c r="AQ588" s="228">
        <f t="shared" si="365"/>
        <v>57</v>
      </c>
      <c r="AR588" s="228">
        <f t="shared" si="350"/>
        <v>52</v>
      </c>
      <c r="AS588" s="229">
        <f t="shared" si="366"/>
        <v>45865.353472222225</v>
      </c>
      <c r="AT588" s="982">
        <f t="shared" ca="1" si="367"/>
        <v>89.646527777775191</v>
      </c>
      <c r="AU588" s="50"/>
      <c r="AV588" s="51"/>
      <c r="AW588" s="49"/>
      <c r="AX588" s="49"/>
      <c r="AY588" s="49"/>
      <c r="AZ588" s="300"/>
      <c r="BA588" s="52"/>
      <c r="BB588" s="304"/>
      <c r="BC588" s="231" t="s">
        <v>12</v>
      </c>
      <c r="BD588" s="232"/>
      <c r="BE588" s="222">
        <f t="shared" si="347"/>
        <v>45820.353472222225</v>
      </c>
      <c r="BF588" s="233">
        <f t="shared" si="355"/>
        <v>45.646527777775191</v>
      </c>
      <c r="BG588" s="234">
        <v>45806</v>
      </c>
      <c r="BH588" s="235">
        <v>45866</v>
      </c>
      <c r="BI588" s="234"/>
      <c r="BJ588" s="236"/>
      <c r="BK588" s="222"/>
      <c r="BL588" s="222"/>
      <c r="BM588" s="238"/>
      <c r="BN588" s="222"/>
      <c r="BO588" s="222"/>
      <c r="BP588" s="243"/>
      <c r="BQ588" s="244" t="s">
        <v>247</v>
      </c>
      <c r="BR588" s="238">
        <v>45806</v>
      </c>
      <c r="BS588" s="68"/>
      <c r="BT588" s="69"/>
      <c r="BU588" s="69"/>
      <c r="BV588" s="69"/>
      <c r="BW588" s="75"/>
      <c r="BX588" s="81"/>
      <c r="BY588" s="66">
        <f>VLOOKUP([4]C1!$BY:$BY,[4]C1!$BY$531:$BY$625,1,FALSE)</f>
        <v>45782</v>
      </c>
      <c r="BZ588" s="944" t="str">
        <f>VLOOKUP([4]C1!$BZ:$BZ,[4]C1!$BZ$531:$BZ$625,1,FALSE)</f>
        <v>CU9-8046,CU9-8047,CU9-8048,CU9-8049,TLN-520428</v>
      </c>
      <c r="CA588" s="42" t="str">
        <f t="shared" si="368"/>
        <v>0</v>
      </c>
      <c r="CB588" s="62">
        <f t="shared" si="369"/>
        <v>34.68472222222772</v>
      </c>
      <c r="CC588" s="42">
        <f t="shared" si="370"/>
        <v>0</v>
      </c>
      <c r="CD588" s="62">
        <f t="shared" si="371"/>
        <v>34.68472222222772</v>
      </c>
      <c r="CE588" s="62">
        <f t="shared" si="372"/>
        <v>1.1946959876545102</v>
      </c>
      <c r="CF588" s="145">
        <f t="shared" si="373"/>
        <v>63.646527777775191</v>
      </c>
      <c r="CG588" s="145"/>
      <c r="CH588" s="443">
        <f t="shared" si="374"/>
        <v>3.3869652777778776</v>
      </c>
      <c r="CI588" s="996">
        <f t="shared" si="375"/>
        <v>3.3869652777778776</v>
      </c>
      <c r="CJ588" s="261">
        <f t="shared" si="376"/>
        <v>1.0607754629629198</v>
      </c>
      <c r="CK588" s="458" t="str">
        <f t="shared" si="377"/>
        <v/>
      </c>
      <c r="CL588" t="str">
        <f t="shared" si="378"/>
        <v>NON-REV</v>
      </c>
      <c r="CM588" t="str">
        <f t="shared" si="379"/>
        <v/>
      </c>
      <c r="CN588" s="635"/>
      <c r="CO588" s="631"/>
      <c r="CP588" s="629" t="str">
        <f t="shared" si="356"/>
        <v>FOR ISSUANCE</v>
      </c>
      <c r="CQ588" s="635"/>
      <c r="CR588" s="697"/>
      <c r="CS588" s="633" t="str">
        <f t="shared" ca="1" si="380"/>
        <v>0</v>
      </c>
      <c r="CT588" s="635"/>
      <c r="CU588" s="631"/>
      <c r="CV588" s="638"/>
      <c r="CW588" s="404"/>
      <c r="CX588" s="156"/>
      <c r="CY588" s="156"/>
      <c r="DS588" s="156" t="s">
        <v>397</v>
      </c>
    </row>
    <row r="589" spans="1:123" ht="15" customHeight="1" x14ac:dyDescent="0.2">
      <c r="A589" s="242">
        <v>45782</v>
      </c>
      <c r="B589" s="222">
        <v>45783</v>
      </c>
      <c r="C589" s="223"/>
      <c r="D589" s="66" t="s">
        <v>234</v>
      </c>
      <c r="E589" s="404" t="s">
        <v>3108</v>
      </c>
      <c r="F589" s="95" t="s">
        <v>926</v>
      </c>
      <c r="G589" s="95" t="s">
        <v>3109</v>
      </c>
      <c r="H589" s="95" t="s">
        <v>238</v>
      </c>
      <c r="I589" s="95" t="s">
        <v>239</v>
      </c>
      <c r="J589" s="1134" t="s">
        <v>3110</v>
      </c>
      <c r="K589" s="101"/>
      <c r="L589" s="101" t="s">
        <v>255</v>
      </c>
      <c r="M589" s="101" t="s">
        <v>331</v>
      </c>
      <c r="N589" s="442" t="s">
        <v>403</v>
      </c>
      <c r="O589" s="165">
        <v>55.94</v>
      </c>
      <c r="P589" s="165">
        <v>1002.04</v>
      </c>
      <c r="Q589" s="157">
        <v>22</v>
      </c>
      <c r="R589" s="109" t="s">
        <v>244</v>
      </c>
      <c r="S589" s="110">
        <v>966296.42</v>
      </c>
      <c r="T589" s="93">
        <v>33211.14</v>
      </c>
      <c r="U589" s="141"/>
      <c r="V589" s="158">
        <f t="shared" si="357"/>
        <v>0</v>
      </c>
      <c r="W589" s="159">
        <v>45771.531944444447</v>
      </c>
      <c r="X589" s="159">
        <v>45777.510416666664</v>
      </c>
      <c r="Y589" s="160">
        <v>45779</v>
      </c>
      <c r="Z589" s="470"/>
      <c r="AA589" s="470"/>
      <c r="AB589" s="470"/>
      <c r="AC589" s="161">
        <f t="shared" si="358"/>
        <v>-45771.531944444447</v>
      </c>
      <c r="AD589" s="161">
        <f t="shared" si="351"/>
        <v>-45777.510416666664</v>
      </c>
      <c r="AE589" s="446">
        <f t="shared" si="381"/>
        <v>0</v>
      </c>
      <c r="AF589" s="160">
        <f t="shared" si="352"/>
        <v>45798.007926977196</v>
      </c>
      <c r="AG589" s="160">
        <f t="shared" si="349"/>
        <v>45808.868188985929</v>
      </c>
      <c r="AH589" s="159">
        <f t="shared" si="353"/>
        <v>45821.531944444447</v>
      </c>
      <c r="AI589" s="162">
        <f t="shared" si="359"/>
        <v>-1164.631201697531</v>
      </c>
      <c r="AJ589" s="224">
        <f t="shared" si="354"/>
        <v>0</v>
      </c>
      <c r="AK589" s="225">
        <f t="shared" si="360"/>
        <v>50</v>
      </c>
      <c r="AL589" s="170">
        <f t="shared" si="361"/>
        <v>36</v>
      </c>
      <c r="AM589" s="170">
        <f t="shared" si="362"/>
        <v>29.475982532751093</v>
      </c>
      <c r="AN589" s="170">
        <f t="shared" si="363"/>
        <v>37.336244541484717</v>
      </c>
      <c r="AO589" s="226">
        <f t="shared" si="364"/>
        <v>26.475982532751093</v>
      </c>
      <c r="AP589" s="227">
        <v>60</v>
      </c>
      <c r="AQ589" s="228">
        <f t="shared" si="365"/>
        <v>57</v>
      </c>
      <c r="AR589" s="228">
        <f t="shared" si="350"/>
        <v>52</v>
      </c>
      <c r="AS589" s="229">
        <f t="shared" si="366"/>
        <v>60</v>
      </c>
      <c r="AT589" s="982">
        <f t="shared" ca="1" si="367"/>
        <v>45895</v>
      </c>
      <c r="AU589" s="1077"/>
      <c r="AV589" s="1092"/>
      <c r="AW589" s="1079"/>
      <c r="AX589" s="1079"/>
      <c r="AY589" s="1079"/>
      <c r="AZ589" s="1080"/>
      <c r="BA589" s="1101"/>
      <c r="BB589" s="1091"/>
      <c r="BC589" s="231"/>
      <c r="BD589" s="232"/>
      <c r="BE589" s="222">
        <f t="shared" si="347"/>
        <v>15</v>
      </c>
      <c r="BF589" s="233">
        <f t="shared" si="355"/>
        <v>0</v>
      </c>
      <c r="BG589" s="234"/>
      <c r="BH589" s="235"/>
      <c r="BI589" s="234"/>
      <c r="BJ589" s="236"/>
      <c r="BK589" s="222"/>
      <c r="BL589" s="222"/>
      <c r="BM589" s="238"/>
      <c r="BN589" s="222"/>
      <c r="BO589" s="222"/>
      <c r="BP589" s="243"/>
      <c r="BQ589" s="244"/>
      <c r="BR589" s="238"/>
      <c r="BS589" s="68"/>
      <c r="BT589" s="69"/>
      <c r="BU589" s="69"/>
      <c r="BV589" s="69"/>
      <c r="BW589" s="75"/>
      <c r="BX589" s="81"/>
      <c r="BY589" s="66">
        <f>VLOOKUP([4]C1!$BY:$BY,[4]C1!$BY$531:$BY$625,1,FALSE)</f>
        <v>45782</v>
      </c>
      <c r="BZ589" s="944" t="str">
        <f>VLOOKUP([4]C1!$BZ:$BZ,[4]C1!$BZ$531:$BZ$625,1,FALSE)</f>
        <v>TLN-522965</v>
      </c>
      <c r="CA589" s="42" t="str">
        <f t="shared" si="368"/>
        <v>0</v>
      </c>
      <c r="CB589" s="62">
        <f t="shared" si="369"/>
        <v>-45771.531944444447</v>
      </c>
      <c r="CC589" s="42">
        <f t="shared" si="370"/>
        <v>0</v>
      </c>
      <c r="CD589" s="62">
        <f t="shared" si="371"/>
        <v>-45771.531944444447</v>
      </c>
      <c r="CE589" s="62">
        <f t="shared" si="372"/>
        <v>-1164.631201697531</v>
      </c>
      <c r="CF589" s="1059" t="str">
        <f t="shared" si="373"/>
        <v>0</v>
      </c>
      <c r="CH589" s="1082">
        <f t="shared" si="374"/>
        <v>2.4800205246913003</v>
      </c>
      <c r="CI589" s="1083">
        <f t="shared" si="375"/>
        <v>2.4800205246913003</v>
      </c>
      <c r="CJ589" s="1084">
        <f t="shared" si="376"/>
        <v>0</v>
      </c>
      <c r="CK589" s="1085">
        <f t="shared" si="377"/>
        <v>84.468055555553292</v>
      </c>
      <c r="CL589" s="1057" t="str">
        <f t="shared" si="378"/>
        <v>REV</v>
      </c>
      <c r="CM589" s="1057" t="str">
        <f t="shared" si="379"/>
        <v>0-3 MONTHS</v>
      </c>
      <c r="CN589" s="1086"/>
      <c r="CO589" s="1087"/>
      <c r="CP589" s="629" t="str">
        <f t="shared" si="356"/>
        <v>FOR ISSUANCE</v>
      </c>
      <c r="CQ589" s="1086"/>
      <c r="CR589" s="1088"/>
      <c r="CS589" s="1089" t="str">
        <f t="shared" ca="1" si="380"/>
        <v>0</v>
      </c>
      <c r="CT589" s="1086"/>
      <c r="CU589" s="1087"/>
      <c r="CV589" s="1090"/>
      <c r="CX589" s="156"/>
      <c r="CY589" s="156"/>
      <c r="DS589" s="156" t="s">
        <v>397</v>
      </c>
    </row>
    <row r="590" spans="1:123" customFormat="1" ht="15" customHeight="1" x14ac:dyDescent="0.25">
      <c r="A590" s="242">
        <v>45786</v>
      </c>
      <c r="B590" s="222">
        <v>45783</v>
      </c>
      <c r="C590" s="223"/>
      <c r="D590" s="66" t="s">
        <v>284</v>
      </c>
      <c r="E590" s="404" t="s">
        <v>3111</v>
      </c>
      <c r="F590" s="95" t="s">
        <v>3112</v>
      </c>
      <c r="G590" s="95" t="s">
        <v>3113</v>
      </c>
      <c r="H590" s="95" t="s">
        <v>269</v>
      </c>
      <c r="I590" s="95" t="s">
        <v>239</v>
      </c>
      <c r="J590" s="163" t="s">
        <v>3114</v>
      </c>
      <c r="K590" s="101"/>
      <c r="L590" s="101" t="s">
        <v>263</v>
      </c>
      <c r="M590" s="101" t="s">
        <v>272</v>
      </c>
      <c r="N590" s="442" t="s">
        <v>467</v>
      </c>
      <c r="O590" s="165">
        <v>173.68139999999997</v>
      </c>
      <c r="P590" s="165">
        <v>548.66999999999996</v>
      </c>
      <c r="Q590" s="157">
        <v>69</v>
      </c>
      <c r="R590" s="109" t="s">
        <v>244</v>
      </c>
      <c r="S590" s="110">
        <v>1031830.42</v>
      </c>
      <c r="T590" s="93">
        <v>198660.12000000002</v>
      </c>
      <c r="U590" s="141"/>
      <c r="V590" s="158">
        <f t="shared" si="357"/>
        <v>0</v>
      </c>
      <c r="W590" s="159">
        <v>45771.556944444441</v>
      </c>
      <c r="X590" s="159">
        <v>45777.564583333333</v>
      </c>
      <c r="Y590" s="160">
        <v>45779</v>
      </c>
      <c r="Z590" s="470"/>
      <c r="AA590" s="470">
        <v>45878.353472222225</v>
      </c>
      <c r="AB590" s="470"/>
      <c r="AC590" s="161">
        <f t="shared" si="358"/>
        <v>106.79652777778392</v>
      </c>
      <c r="AD590" s="161">
        <f t="shared" si="351"/>
        <v>100.78888888889196</v>
      </c>
      <c r="AE590" s="446">
        <f t="shared" si="381"/>
        <v>-45878.353472222225</v>
      </c>
      <c r="AF590" s="160">
        <f t="shared" si="352"/>
        <v>45795.258515125068</v>
      </c>
      <c r="AG590" s="160">
        <f t="shared" si="349"/>
        <v>45805.378933973239</v>
      </c>
      <c r="AH590" s="159">
        <f t="shared" si="353"/>
        <v>45821.556944444441</v>
      </c>
      <c r="AI590" s="162">
        <f t="shared" si="359"/>
        <v>2.9997260008171658</v>
      </c>
      <c r="AJ590" s="224">
        <f t="shared" si="354"/>
        <v>-764.63922453703708</v>
      </c>
      <c r="AK590" s="225">
        <f t="shared" si="360"/>
        <v>40</v>
      </c>
      <c r="AL590" s="170">
        <f t="shared" si="361"/>
        <v>34</v>
      </c>
      <c r="AM590" s="170">
        <f t="shared" si="362"/>
        <v>26.701570680628272</v>
      </c>
      <c r="AN590" s="170">
        <f t="shared" si="363"/>
        <v>33.821989528795811</v>
      </c>
      <c r="AO590" s="226">
        <f t="shared" si="364"/>
        <v>23.701570680628272</v>
      </c>
      <c r="AP590" s="227">
        <v>60</v>
      </c>
      <c r="AQ590" s="228">
        <f t="shared" si="365"/>
        <v>57</v>
      </c>
      <c r="AR590" s="228">
        <f t="shared" si="350"/>
        <v>52</v>
      </c>
      <c r="AS590" s="229">
        <f t="shared" si="366"/>
        <v>45938.353472222225</v>
      </c>
      <c r="AT590" s="982">
        <f t="shared" ca="1" si="367"/>
        <v>16.646527777775191</v>
      </c>
      <c r="AU590" s="50" t="s">
        <v>55</v>
      </c>
      <c r="AV590" s="1044" t="s">
        <v>247</v>
      </c>
      <c r="AW590" s="49"/>
      <c r="AX590" s="49"/>
      <c r="AY590" s="49" t="s">
        <v>247</v>
      </c>
      <c r="AZ590" s="300">
        <v>45791</v>
      </c>
      <c r="BA590" s="52"/>
      <c r="BB590" s="304"/>
      <c r="BC590" s="231" t="s">
        <v>13</v>
      </c>
      <c r="BD590" s="232"/>
      <c r="BE590" s="222">
        <f t="shared" si="347"/>
        <v>45893.353472222225</v>
      </c>
      <c r="BF590" s="233" t="e">
        <f t="shared" si="355"/>
        <v>#VALUE!</v>
      </c>
      <c r="BG590" s="234"/>
      <c r="BH590" s="235"/>
      <c r="BI590" s="234"/>
      <c r="BJ590" s="236"/>
      <c r="BK590" s="222"/>
      <c r="BL590" s="222"/>
      <c r="BM590" s="238"/>
      <c r="BN590" s="222"/>
      <c r="BO590" s="222"/>
      <c r="BP590" s="243"/>
      <c r="BQ590" s="244"/>
      <c r="BR590" s="238"/>
      <c r="BS590" s="68"/>
      <c r="BT590" s="69"/>
      <c r="BU590" s="69"/>
      <c r="BV590" s="69"/>
      <c r="BW590" s="75"/>
      <c r="BX590" s="81"/>
      <c r="BY590" s="66">
        <f>VLOOKUP([4]C1!$BY:$BY,[4]C1!$BY$531:$BY$625,1,FALSE)</f>
        <v>45783</v>
      </c>
      <c r="BZ590" s="944" t="str">
        <f>VLOOKUP([4]C1!$BZ:$BZ,[4]C1!$BZ$531:$BZ$625,1,FALSE)</f>
        <v>C5-8074, TLN-523059</v>
      </c>
      <c r="CA590" s="42">
        <f t="shared" si="368"/>
        <v>0</v>
      </c>
      <c r="CB590" s="62">
        <f t="shared" si="369"/>
        <v>106.79652777778392</v>
      </c>
      <c r="CC590" s="42">
        <f t="shared" si="370"/>
        <v>0</v>
      </c>
      <c r="CD590" s="62">
        <f t="shared" si="371"/>
        <v>106.79652777778392</v>
      </c>
      <c r="CE590" s="62">
        <f t="shared" si="372"/>
        <v>2.9997260008171658</v>
      </c>
      <c r="CF590" s="145">
        <f t="shared" si="373"/>
        <v>-9.3534722222248092</v>
      </c>
      <c r="CG590" s="145"/>
      <c r="CH590" s="443">
        <f t="shared" si="374"/>
        <v>2.7370034722223222</v>
      </c>
      <c r="CI590" s="996">
        <f t="shared" si="375"/>
        <v>2.7370034722223222</v>
      </c>
      <c r="CJ590" s="261">
        <f t="shared" si="376"/>
        <v>-0.15589120370374682</v>
      </c>
      <c r="CK590" s="458" t="str">
        <f t="shared" si="377"/>
        <v/>
      </c>
      <c r="CL590" t="str">
        <f t="shared" si="378"/>
        <v>REV</v>
      </c>
      <c r="CM590" t="str">
        <f t="shared" si="379"/>
        <v/>
      </c>
      <c r="CN590" s="635"/>
      <c r="CO590" s="631"/>
      <c r="CP590" s="629" t="str">
        <f t="shared" si="356"/>
        <v>FOR ISSUANCE</v>
      </c>
      <c r="CQ590" s="635"/>
      <c r="CR590" s="697"/>
      <c r="CS590" s="633" t="str">
        <f t="shared" ca="1" si="380"/>
        <v>0</v>
      </c>
      <c r="CT590" s="635"/>
      <c r="CU590" s="631"/>
      <c r="CV590" s="638"/>
      <c r="CW590" s="404"/>
      <c r="CX590" s="156"/>
      <c r="CY590" s="156"/>
      <c r="DS590" s="442" t="s">
        <v>381</v>
      </c>
    </row>
    <row r="591" spans="1:123" customFormat="1" ht="15" customHeight="1" x14ac:dyDescent="0.25">
      <c r="A591" s="242">
        <v>45783</v>
      </c>
      <c r="B591" s="222">
        <v>45783</v>
      </c>
      <c r="C591" s="223"/>
      <c r="D591" s="66" t="s">
        <v>320</v>
      </c>
      <c r="E591" s="404" t="s">
        <v>3115</v>
      </c>
      <c r="F591" s="95" t="s">
        <v>3116</v>
      </c>
      <c r="G591" s="95" t="s">
        <v>3117</v>
      </c>
      <c r="H591" s="95" t="s">
        <v>318</v>
      </c>
      <c r="I591" s="95" t="s">
        <v>239</v>
      </c>
      <c r="J591" s="163"/>
      <c r="K591" s="101"/>
      <c r="L591" s="101" t="s">
        <v>5</v>
      </c>
      <c r="M591" s="101" t="s">
        <v>272</v>
      </c>
      <c r="N591" s="442" t="s">
        <v>403</v>
      </c>
      <c r="O591" s="165">
        <v>53.987700000000004</v>
      </c>
      <c r="P591" s="933">
        <v>64.25</v>
      </c>
      <c r="Q591" s="157">
        <v>80</v>
      </c>
      <c r="R591" s="109" t="s">
        <v>548</v>
      </c>
      <c r="S591" s="110">
        <v>429775.22</v>
      </c>
      <c r="T591" s="93">
        <v>55232.869999999995</v>
      </c>
      <c r="U591" s="141"/>
      <c r="V591" s="158">
        <f t="shared" si="357"/>
        <v>0</v>
      </c>
      <c r="W591" s="159">
        <v>45771.589583333334</v>
      </c>
      <c r="X591" s="159">
        <v>45777.578472222223</v>
      </c>
      <c r="Y591" s="160">
        <v>45779</v>
      </c>
      <c r="Z591" s="470"/>
      <c r="AA591" s="470">
        <v>45807</v>
      </c>
      <c r="AB591" s="470"/>
      <c r="AC591" s="161">
        <f t="shared" si="358"/>
        <v>35.410416666665697</v>
      </c>
      <c r="AD591" s="161">
        <f t="shared" si="351"/>
        <v>29.421527777776646</v>
      </c>
      <c r="AE591" s="446">
        <f t="shared" si="381"/>
        <v>-45807</v>
      </c>
      <c r="AF591" s="160">
        <f t="shared" si="352"/>
        <v>45790.889963561473</v>
      </c>
      <c r="AG591" s="160">
        <f t="shared" si="349"/>
        <v>45799.836731622308</v>
      </c>
      <c r="AH591" s="159">
        <f t="shared" si="353"/>
        <v>45821.589583333334</v>
      </c>
      <c r="AI591" s="162">
        <f t="shared" si="359"/>
        <v>1.1909129901960456</v>
      </c>
      <c r="AJ591" s="224">
        <f t="shared" si="354"/>
        <v>-763.45</v>
      </c>
      <c r="AK591" s="225">
        <f t="shared" si="360"/>
        <v>23</v>
      </c>
      <c r="AL591" s="170">
        <f t="shared" si="361"/>
        <v>34</v>
      </c>
      <c r="AM591" s="170">
        <f t="shared" si="362"/>
        <v>22.300380228136884</v>
      </c>
      <c r="AN591" s="170">
        <f t="shared" si="363"/>
        <v>28.247148288973385</v>
      </c>
      <c r="AO591" s="226">
        <f t="shared" si="364"/>
        <v>19.300380228136884</v>
      </c>
      <c r="AP591" s="227">
        <v>60</v>
      </c>
      <c r="AQ591" s="228">
        <f t="shared" si="365"/>
        <v>57</v>
      </c>
      <c r="AR591" s="228">
        <f t="shared" si="350"/>
        <v>52</v>
      </c>
      <c r="AS591" s="229">
        <f t="shared" si="366"/>
        <v>45867</v>
      </c>
      <c r="AT591" s="982">
        <f t="shared" ca="1" si="367"/>
        <v>88</v>
      </c>
      <c r="AU591" s="50"/>
      <c r="AV591" s="51"/>
      <c r="AW591" s="49"/>
      <c r="AX591" s="49"/>
      <c r="AY591" s="49"/>
      <c r="AZ591" s="300"/>
      <c r="BA591" s="52"/>
      <c r="BB591" s="304"/>
      <c r="BC591" s="231" t="s">
        <v>13</v>
      </c>
      <c r="BD591" s="232"/>
      <c r="BE591" s="222">
        <f t="shared" si="347"/>
        <v>45822</v>
      </c>
      <c r="BF591" s="233" t="e">
        <f t="shared" si="355"/>
        <v>#VALUE!</v>
      </c>
      <c r="BG591" s="234"/>
      <c r="BH591" s="235"/>
      <c r="BI591" s="234"/>
      <c r="BJ591" s="236"/>
      <c r="BK591" s="222"/>
      <c r="BL591" s="222"/>
      <c r="BM591" s="238"/>
      <c r="BN591" s="222"/>
      <c r="BO591" s="222"/>
      <c r="BP591" s="243"/>
      <c r="BQ591" s="244" t="s">
        <v>247</v>
      </c>
      <c r="BR591" s="238">
        <v>45806</v>
      </c>
      <c r="BS591" s="68"/>
      <c r="BT591" s="69"/>
      <c r="BU591" s="69"/>
      <c r="BV591" s="69"/>
      <c r="BW591" s="75"/>
      <c r="BX591" s="81"/>
      <c r="BY591" s="66" t="e">
        <f>VLOOKUP([4]C1!$BY:$BY,[4]C1!$BY$531:$BY$625,1,FALSE)</f>
        <v>#N/A</v>
      </c>
      <c r="BZ591" s="944" t="e">
        <f>VLOOKUP([4]C1!$BZ:$BZ,[4]C1!$BZ$531:$BZ$625,1,FALSE)</f>
        <v>#N/A</v>
      </c>
      <c r="CA591" s="42" t="str">
        <f t="shared" si="368"/>
        <v>0</v>
      </c>
      <c r="CB591" s="62">
        <f t="shared" si="369"/>
        <v>35.410416666665697</v>
      </c>
      <c r="CC591" s="42">
        <f t="shared" si="370"/>
        <v>0</v>
      </c>
      <c r="CD591" s="62">
        <f t="shared" si="371"/>
        <v>35.410416666665697</v>
      </c>
      <c r="CE591" s="62">
        <f t="shared" si="372"/>
        <v>1.1909129901960456</v>
      </c>
      <c r="CF591" s="145">
        <f t="shared" si="373"/>
        <v>62</v>
      </c>
      <c r="CG591" s="145"/>
      <c r="CH591" s="443">
        <f t="shared" si="374"/>
        <v>3.2760792306052529</v>
      </c>
      <c r="CI591" s="996">
        <f t="shared" si="375"/>
        <v>3.2760792306052529</v>
      </c>
      <c r="CJ591" s="261">
        <f t="shared" si="376"/>
        <v>1.0333333333333334</v>
      </c>
      <c r="CK591" s="458" t="str">
        <f t="shared" si="377"/>
        <v/>
      </c>
      <c r="CL591" t="str">
        <f t="shared" si="378"/>
        <v>NON-REV</v>
      </c>
      <c r="CM591" t="str">
        <f t="shared" si="379"/>
        <v/>
      </c>
      <c r="CN591" s="635"/>
      <c r="CO591" s="631"/>
      <c r="CP591" s="629" t="str">
        <f t="shared" si="356"/>
        <v>FOR ISSUANCE</v>
      </c>
      <c r="CQ591" s="635"/>
      <c r="CR591" s="697"/>
      <c r="CS591" s="633" t="str">
        <f t="shared" ca="1" si="380"/>
        <v>0</v>
      </c>
      <c r="CT591" s="635"/>
      <c r="CU591" s="631"/>
      <c r="CV591" s="638"/>
      <c r="CW591" s="404"/>
      <c r="CX591" s="156"/>
      <c r="CY591" s="156"/>
      <c r="DS591" s="442" t="s">
        <v>381</v>
      </c>
    </row>
    <row r="592" spans="1:123" customFormat="1" ht="15" customHeight="1" x14ac:dyDescent="0.25">
      <c r="A592" s="242">
        <v>45799</v>
      </c>
      <c r="B592" s="222">
        <v>45783</v>
      </c>
      <c r="C592" s="223" t="s">
        <v>247</v>
      </c>
      <c r="D592" s="66" t="s">
        <v>284</v>
      </c>
      <c r="E592" s="404" t="s">
        <v>3118</v>
      </c>
      <c r="F592" s="95" t="s">
        <v>3119</v>
      </c>
      <c r="G592" s="108" t="s">
        <v>3120</v>
      </c>
      <c r="H592" s="95" t="s">
        <v>238</v>
      </c>
      <c r="I592" s="95" t="s">
        <v>239</v>
      </c>
      <c r="J592" s="163"/>
      <c r="K592" s="101"/>
      <c r="L592" s="101" t="s">
        <v>288</v>
      </c>
      <c r="M592" s="101" t="s">
        <v>243</v>
      </c>
      <c r="N592" s="442" t="s">
        <v>381</v>
      </c>
      <c r="O592" s="165">
        <v>33.927999999999997</v>
      </c>
      <c r="P592" s="933">
        <v>70.209999999999994</v>
      </c>
      <c r="Q592" s="157">
        <v>135</v>
      </c>
      <c r="R592" s="109" t="s">
        <v>244</v>
      </c>
      <c r="S592" s="110">
        <v>736986.61</v>
      </c>
      <c r="T592" s="93">
        <v>60355.240000000005</v>
      </c>
      <c r="U592" s="141">
        <v>31342.959999999999</v>
      </c>
      <c r="V592" s="158">
        <f t="shared" si="357"/>
        <v>0.51930801700067797</v>
      </c>
      <c r="W592" s="159">
        <v>45771.67291666667</v>
      </c>
      <c r="X592" s="159">
        <v>45777.56527777778</v>
      </c>
      <c r="Y592" s="160">
        <v>45779</v>
      </c>
      <c r="Z592" s="470">
        <v>45827</v>
      </c>
      <c r="AA592" s="470">
        <v>45827</v>
      </c>
      <c r="AB592" s="470">
        <v>45888</v>
      </c>
      <c r="AC592" s="161">
        <f t="shared" si="358"/>
        <v>55.327083333329938</v>
      </c>
      <c r="AD592" s="161">
        <f t="shared" si="351"/>
        <v>49.434722222220444</v>
      </c>
      <c r="AE592" s="446">
        <f t="shared" si="381"/>
        <v>61</v>
      </c>
      <c r="AF592" s="160">
        <f t="shared" si="352"/>
        <v>45790.151515888458</v>
      </c>
      <c r="AG592" s="160">
        <f t="shared" si="349"/>
        <v>45798.879142347607</v>
      </c>
      <c r="AH592" s="159">
        <f t="shared" si="353"/>
        <v>45821.67291666667</v>
      </c>
      <c r="AI592" s="162">
        <f t="shared" si="359"/>
        <v>1.9319375566121999</v>
      </c>
      <c r="AJ592" s="224">
        <f t="shared" si="354"/>
        <v>1.0166666666666666</v>
      </c>
      <c r="AK592" s="225">
        <f t="shared" si="360"/>
        <v>23</v>
      </c>
      <c r="AL592" s="170">
        <f t="shared" si="361"/>
        <v>32</v>
      </c>
      <c r="AM592" s="170">
        <f t="shared" si="362"/>
        <v>21.478599221789885</v>
      </c>
      <c r="AN592" s="170">
        <f t="shared" si="363"/>
        <v>27.206225680933851</v>
      </c>
      <c r="AO592" s="226">
        <f t="shared" si="364"/>
        <v>18.478599221789885</v>
      </c>
      <c r="AP592" s="227">
        <v>60</v>
      </c>
      <c r="AQ592" s="228">
        <f t="shared" si="365"/>
        <v>57</v>
      </c>
      <c r="AR592" s="228">
        <f t="shared" si="350"/>
        <v>52</v>
      </c>
      <c r="AS592" s="229">
        <f t="shared" si="366"/>
        <v>45887</v>
      </c>
      <c r="AT592" s="982">
        <f t="shared" ca="1" si="367"/>
        <v>68</v>
      </c>
      <c r="AU592" s="50" t="s">
        <v>61</v>
      </c>
      <c r="AV592" s="51" t="s">
        <v>247</v>
      </c>
      <c r="AW592" s="49" t="s">
        <v>247</v>
      </c>
      <c r="AX592" s="49"/>
      <c r="AY592" s="49"/>
      <c r="AZ592" s="300">
        <v>45819</v>
      </c>
      <c r="BA592" s="52">
        <f>BB592-AZ592</f>
        <v>7</v>
      </c>
      <c r="BB592" s="304">
        <v>45826</v>
      </c>
      <c r="BC592" s="231" t="s">
        <v>14</v>
      </c>
      <c r="BD592" s="232"/>
      <c r="BE592" s="222">
        <f t="shared" si="347"/>
        <v>45842</v>
      </c>
      <c r="BF592" s="233">
        <f t="shared" si="355"/>
        <v>24</v>
      </c>
      <c r="BG592" s="234">
        <v>45827</v>
      </c>
      <c r="BH592" s="235">
        <v>45866</v>
      </c>
      <c r="BI592" s="234">
        <v>45880</v>
      </c>
      <c r="BJ592" s="236" t="s">
        <v>1598</v>
      </c>
      <c r="BK592" s="222"/>
      <c r="BL592" s="222"/>
      <c r="BM592" s="238"/>
      <c r="BN592" s="222"/>
      <c r="BO592" s="222">
        <v>45885</v>
      </c>
      <c r="BP592" s="243" t="s">
        <v>1084</v>
      </c>
      <c r="BQ592" s="244"/>
      <c r="BR592" s="238"/>
      <c r="BS592" s="68"/>
      <c r="BT592" s="69"/>
      <c r="BU592" s="69"/>
      <c r="BV592" s="69"/>
      <c r="BW592" s="75"/>
      <c r="BX592" s="81"/>
      <c r="BY592" s="66">
        <v>45800</v>
      </c>
      <c r="BZ592" s="944" t="s">
        <v>3121</v>
      </c>
      <c r="CA592" s="42" t="str">
        <f t="shared" si="368"/>
        <v>0</v>
      </c>
      <c r="CB592" s="62">
        <f t="shared" si="369"/>
        <v>55.327083333329938</v>
      </c>
      <c r="CC592" s="42">
        <f t="shared" si="370"/>
        <v>7</v>
      </c>
      <c r="CD592" s="62">
        <f t="shared" si="371"/>
        <v>48.327083333329938</v>
      </c>
      <c r="CE592" s="62">
        <f t="shared" si="372"/>
        <v>1.6875082087861131</v>
      </c>
      <c r="CF592" s="145">
        <f t="shared" si="373"/>
        <v>42</v>
      </c>
      <c r="CG592" s="145"/>
      <c r="CH592" s="443">
        <f t="shared" si="374"/>
        <v>3.3985136435687222</v>
      </c>
      <c r="CI592" s="996">
        <f t="shared" si="375"/>
        <v>3.3985136435687222</v>
      </c>
      <c r="CJ592" s="261">
        <f t="shared" si="376"/>
        <v>0.7</v>
      </c>
      <c r="CK592" s="458" t="str">
        <f t="shared" si="377"/>
        <v/>
      </c>
      <c r="CL592" t="str">
        <f t="shared" si="378"/>
        <v>REV</v>
      </c>
      <c r="CM592" t="str">
        <f t="shared" si="379"/>
        <v/>
      </c>
      <c r="CN592" s="635">
        <v>45887</v>
      </c>
      <c r="CO592" s="631">
        <v>8501.2800000000007</v>
      </c>
      <c r="CP592" s="629" t="str">
        <f t="shared" si="356"/>
        <v>NTC ISSUED</v>
      </c>
      <c r="CQ592" s="635">
        <v>45887</v>
      </c>
      <c r="CR592" s="697"/>
      <c r="CS592" s="633">
        <f t="shared" ca="1" si="380"/>
        <v>8</v>
      </c>
      <c r="CT592" s="635"/>
      <c r="CU592" s="631"/>
      <c r="CV592" s="638"/>
      <c r="CW592" s="404"/>
      <c r="CX592" s="156"/>
      <c r="CY592" s="156"/>
      <c r="DS592" s="442" t="s">
        <v>381</v>
      </c>
    </row>
    <row r="593" spans="1:123" customFormat="1" ht="15" customHeight="1" x14ac:dyDescent="0.25">
      <c r="A593" s="242">
        <v>45782</v>
      </c>
      <c r="B593" s="222">
        <v>45783</v>
      </c>
      <c r="C593" s="223"/>
      <c r="D593" s="66" t="s">
        <v>284</v>
      </c>
      <c r="E593" s="404" t="s">
        <v>3122</v>
      </c>
      <c r="F593" s="95" t="s">
        <v>3123</v>
      </c>
      <c r="G593" s="95" t="s">
        <v>3124</v>
      </c>
      <c r="H593" s="95" t="s">
        <v>253</v>
      </c>
      <c r="I593" s="95" t="s">
        <v>254</v>
      </c>
      <c r="J593" s="163"/>
      <c r="K593" s="101"/>
      <c r="L593" s="101" t="s">
        <v>263</v>
      </c>
      <c r="M593" s="101" t="s">
        <v>331</v>
      </c>
      <c r="N593" s="442" t="s">
        <v>467</v>
      </c>
      <c r="O593" s="165">
        <v>35.295700000000004</v>
      </c>
      <c r="P593" s="165">
        <v>117.49</v>
      </c>
      <c r="Q593" s="157">
        <v>16</v>
      </c>
      <c r="R593" s="109" t="s">
        <v>244</v>
      </c>
      <c r="S593" s="110">
        <v>293645.59000000003</v>
      </c>
      <c r="T593" s="93">
        <v>33690.04</v>
      </c>
      <c r="U593" s="141"/>
      <c r="V593" s="158">
        <f t="shared" si="357"/>
        <v>0</v>
      </c>
      <c r="W593" s="159">
        <v>45771.701388888891</v>
      </c>
      <c r="X593" s="159">
        <v>45777.55</v>
      </c>
      <c r="Y593" s="160">
        <v>45779</v>
      </c>
      <c r="Z593" s="470"/>
      <c r="AA593" s="470"/>
      <c r="AB593" s="470"/>
      <c r="AC593" s="161">
        <f t="shared" si="358"/>
        <v>-45771.701388888891</v>
      </c>
      <c r="AD593" s="161">
        <f t="shared" si="351"/>
        <v>-45777.55</v>
      </c>
      <c r="AE593" s="446">
        <f t="shared" si="381"/>
        <v>0</v>
      </c>
      <c r="AF593" s="160">
        <f t="shared" si="352"/>
        <v>45792.908285440615</v>
      </c>
      <c r="AG593" s="160">
        <f t="shared" si="349"/>
        <v>45802.363457854408</v>
      </c>
      <c r="AH593" s="159">
        <f t="shared" si="353"/>
        <v>45821.701388888891</v>
      </c>
      <c r="AI593" s="162">
        <f t="shared" si="359"/>
        <v>-1418.1403208095917</v>
      </c>
      <c r="AJ593" s="224">
        <f t="shared" si="354"/>
        <v>0</v>
      </c>
      <c r="AK593" s="225">
        <f t="shared" si="360"/>
        <v>26</v>
      </c>
      <c r="AL593" s="170">
        <f t="shared" si="361"/>
        <v>36</v>
      </c>
      <c r="AM593" s="170">
        <f t="shared" si="362"/>
        <v>24.206896551724139</v>
      </c>
      <c r="AN593" s="170">
        <f t="shared" si="363"/>
        <v>30.662068965517239</v>
      </c>
      <c r="AO593" s="226">
        <f t="shared" si="364"/>
        <v>21.206896551724139</v>
      </c>
      <c r="AP593" s="227">
        <v>60</v>
      </c>
      <c r="AQ593" s="228">
        <f t="shared" si="365"/>
        <v>57</v>
      </c>
      <c r="AR593" s="228">
        <f t="shared" si="350"/>
        <v>52</v>
      </c>
      <c r="AS593" s="229">
        <f t="shared" si="366"/>
        <v>60</v>
      </c>
      <c r="AT593" s="982">
        <f t="shared" ca="1" si="367"/>
        <v>45895</v>
      </c>
      <c r="AU593" s="50"/>
      <c r="AV593" s="51"/>
      <c r="AW593" s="49"/>
      <c r="AX593" s="49"/>
      <c r="AY593" s="49"/>
      <c r="AZ593" s="300"/>
      <c r="BA593" s="52"/>
      <c r="BB593" s="304"/>
      <c r="BC593" s="231"/>
      <c r="BD593" s="232"/>
      <c r="BE593" s="222">
        <f t="shared" si="347"/>
        <v>15</v>
      </c>
      <c r="BF593" s="233">
        <f t="shared" si="355"/>
        <v>0</v>
      </c>
      <c r="BG593" s="234"/>
      <c r="BH593" s="235"/>
      <c r="BI593" s="234"/>
      <c r="BJ593" s="236"/>
      <c r="BK593" s="222"/>
      <c r="BL593" s="222"/>
      <c r="BM593" s="238"/>
      <c r="BN593" s="222"/>
      <c r="BO593" s="222"/>
      <c r="BP593" s="243"/>
      <c r="BQ593" s="244"/>
      <c r="BR593" s="238"/>
      <c r="BS593" s="68"/>
      <c r="BT593" s="69"/>
      <c r="BU593" s="69"/>
      <c r="BV593" s="69"/>
      <c r="BW593" s="75"/>
      <c r="BX593" s="81"/>
      <c r="BY593" s="66" t="e">
        <f>VLOOKUP([4]C1!$BY:$BY,[4]C1!$BY$531:$BY$625,1,FALSE)</f>
        <v>#N/A</v>
      </c>
      <c r="BZ593" s="944" t="e">
        <f>VLOOKUP([4]C1!$BZ:$BZ,[4]C1!$BZ$531:$BZ$625,1,FALSE)</f>
        <v>#N/A</v>
      </c>
      <c r="CA593" s="42" t="str">
        <f t="shared" si="368"/>
        <v>0</v>
      </c>
      <c r="CB593" s="62">
        <f t="shared" si="369"/>
        <v>-45771.701388888891</v>
      </c>
      <c r="CC593" s="42">
        <f t="shared" si="370"/>
        <v>0</v>
      </c>
      <c r="CD593" s="62">
        <f t="shared" si="371"/>
        <v>-45771.701388888891</v>
      </c>
      <c r="CE593" s="62">
        <f t="shared" si="372"/>
        <v>-1418.1403208095917</v>
      </c>
      <c r="CF593" s="145" t="str">
        <f t="shared" si="373"/>
        <v>0</v>
      </c>
      <c r="CG593" s="145"/>
      <c r="CH593" s="443">
        <f t="shared" si="374"/>
        <v>3.0145937203228366</v>
      </c>
      <c r="CI593" s="996">
        <f t="shared" si="375"/>
        <v>3.0145937203228366</v>
      </c>
      <c r="CJ593" s="261">
        <f t="shared" si="376"/>
        <v>0</v>
      </c>
      <c r="CK593" s="458">
        <f t="shared" si="377"/>
        <v>84.298611111109494</v>
      </c>
      <c r="CL593" t="str">
        <f t="shared" si="378"/>
        <v>REV</v>
      </c>
      <c r="CM593" t="str">
        <f t="shared" si="379"/>
        <v>0-3 MONTHS</v>
      </c>
      <c r="CN593" s="635"/>
      <c r="CO593" s="631"/>
      <c r="CP593" s="629" t="str">
        <f t="shared" si="356"/>
        <v>FOR ISSUANCE</v>
      </c>
      <c r="CQ593" s="635"/>
      <c r="CR593" s="697"/>
      <c r="CS593" s="633" t="str">
        <f t="shared" ca="1" si="380"/>
        <v>0</v>
      </c>
      <c r="CT593" s="635"/>
      <c r="CU593" s="631"/>
      <c r="CV593" s="638"/>
      <c r="CW593" s="404"/>
      <c r="CX593" s="156"/>
      <c r="CY593" s="156"/>
      <c r="DS593" s="442" t="s">
        <v>381</v>
      </c>
    </row>
    <row r="594" spans="1:123" customFormat="1" ht="15" customHeight="1" x14ac:dyDescent="0.25">
      <c r="A594" s="242">
        <v>45785</v>
      </c>
      <c r="B594" s="222">
        <v>45783</v>
      </c>
      <c r="C594" s="223"/>
      <c r="D594" s="66" t="s">
        <v>234</v>
      </c>
      <c r="E594" s="404" t="s">
        <v>3125</v>
      </c>
      <c r="F594" s="95" t="s">
        <v>926</v>
      </c>
      <c r="G594" s="95" t="s">
        <v>2052</v>
      </c>
      <c r="H594" s="95" t="s">
        <v>378</v>
      </c>
      <c r="I594" s="95" t="s">
        <v>239</v>
      </c>
      <c r="J594" s="163"/>
      <c r="K594" s="101"/>
      <c r="L594" s="101" t="s">
        <v>288</v>
      </c>
      <c r="M594" s="101" t="s">
        <v>272</v>
      </c>
      <c r="N594" s="442" t="s">
        <v>381</v>
      </c>
      <c r="O594" s="165">
        <v>5.4239999999999995</v>
      </c>
      <c r="P594" s="933">
        <v>5.42</v>
      </c>
      <c r="Q594" s="157" t="s">
        <v>2021</v>
      </c>
      <c r="R594" s="109" t="s">
        <v>244</v>
      </c>
      <c r="S594" s="110">
        <v>24329.54</v>
      </c>
      <c r="T594" s="93">
        <v>4660.4399999999996</v>
      </c>
      <c r="U594" s="141"/>
      <c r="V594" s="158">
        <f t="shared" si="357"/>
        <v>0</v>
      </c>
      <c r="W594" s="159">
        <v>45772.593055555553</v>
      </c>
      <c r="X594" s="159">
        <v>45777.511111111111</v>
      </c>
      <c r="Y594" s="160">
        <v>45779</v>
      </c>
      <c r="Z594" s="470">
        <v>45838</v>
      </c>
      <c r="AA594" s="470">
        <v>45838</v>
      </c>
      <c r="AB594" s="470"/>
      <c r="AC594" s="161">
        <f t="shared" si="358"/>
        <v>65.406944444446708</v>
      </c>
      <c r="AD594" s="161">
        <f t="shared" si="351"/>
        <v>60.488888888889051</v>
      </c>
      <c r="AE594" s="446">
        <f t="shared" si="381"/>
        <v>-45838</v>
      </c>
      <c r="AF594" s="160">
        <f t="shared" si="352"/>
        <v>45784.593055555553</v>
      </c>
      <c r="AG594" s="160">
        <f t="shared" si="349"/>
        <v>45791.593055555553</v>
      </c>
      <c r="AH594" s="159">
        <f t="shared" si="353"/>
        <v>45822.593055555553</v>
      </c>
      <c r="AI594" s="162">
        <f t="shared" si="359"/>
        <v>3.2703472222223353</v>
      </c>
      <c r="AJ594" s="224">
        <f t="shared" si="354"/>
        <v>-763.9666666666667</v>
      </c>
      <c r="AK594" s="225">
        <f t="shared" si="360"/>
        <v>20</v>
      </c>
      <c r="AL594" s="170">
        <f t="shared" si="361"/>
        <v>20</v>
      </c>
      <c r="AM594" s="170">
        <f t="shared" si="362"/>
        <v>15.000000000000002</v>
      </c>
      <c r="AN594" s="170">
        <f t="shared" si="363"/>
        <v>19</v>
      </c>
      <c r="AO594" s="226">
        <f t="shared" si="364"/>
        <v>12.000000000000002</v>
      </c>
      <c r="AP594" s="227">
        <v>60</v>
      </c>
      <c r="AQ594" s="228">
        <f t="shared" si="365"/>
        <v>57</v>
      </c>
      <c r="AR594" s="228">
        <f t="shared" si="350"/>
        <v>52</v>
      </c>
      <c r="AS594" s="229">
        <f t="shared" si="366"/>
        <v>45898</v>
      </c>
      <c r="AT594" s="982">
        <f t="shared" ca="1" si="367"/>
        <v>57</v>
      </c>
      <c r="AU594" s="50"/>
      <c r="AV594" s="51"/>
      <c r="AW594" s="49"/>
      <c r="AX594" s="49"/>
      <c r="AY594" s="49"/>
      <c r="AZ594" s="300"/>
      <c r="BA594" s="52"/>
      <c r="BB594" s="304"/>
      <c r="BC594" s="231" t="s">
        <v>12</v>
      </c>
      <c r="BD594" s="232"/>
      <c r="BE594" s="222">
        <f t="shared" si="347"/>
        <v>45853</v>
      </c>
      <c r="BF594" s="233">
        <f t="shared" si="355"/>
        <v>23</v>
      </c>
      <c r="BG594" s="234">
        <v>45838</v>
      </c>
      <c r="BH594" s="235">
        <v>45876</v>
      </c>
      <c r="BI594" s="234"/>
      <c r="BJ594" s="236"/>
      <c r="BK594" s="222"/>
      <c r="BL594" s="222"/>
      <c r="BM594" s="238"/>
      <c r="BN594" s="222"/>
      <c r="BO594" s="222"/>
      <c r="BP594" s="243"/>
      <c r="BQ594" s="244"/>
      <c r="BR594" s="238"/>
      <c r="BS594" s="68"/>
      <c r="BT594" s="69"/>
      <c r="BU594" s="69"/>
      <c r="BV594" s="69"/>
      <c r="BW594" s="75"/>
      <c r="BX594" s="81"/>
      <c r="BY594" s="66">
        <f>VLOOKUP([4]C1!$BY:$BY,[4]C1!$BY$531:$BY$625,1,FALSE)</f>
        <v>45783</v>
      </c>
      <c r="BZ594" s="944" t="str">
        <f>VLOOKUP([4]C1!$BZ:$BZ,[4]C1!$BZ$531:$BZ$625,1,FALSE)</f>
        <v>CR9-8055,TLN-530305</v>
      </c>
      <c r="CA594" s="42" t="str">
        <f t="shared" si="368"/>
        <v>0</v>
      </c>
      <c r="CB594" s="62">
        <f t="shared" si="369"/>
        <v>65.406944444446708</v>
      </c>
      <c r="CC594" s="42">
        <f t="shared" si="370"/>
        <v>0</v>
      </c>
      <c r="CD594" s="62">
        <f t="shared" si="371"/>
        <v>65.406944444446708</v>
      </c>
      <c r="CE594" s="62">
        <f t="shared" si="372"/>
        <v>3.2703472222223353</v>
      </c>
      <c r="CF594" s="145">
        <f t="shared" si="373"/>
        <v>31</v>
      </c>
      <c r="CG594" s="145"/>
      <c r="CH594" s="443">
        <f t="shared" si="374"/>
        <v>4.8203472222223356</v>
      </c>
      <c r="CI594" s="996">
        <f t="shared" si="375"/>
        <v>4.8203472222223356</v>
      </c>
      <c r="CJ594" s="261">
        <f t="shared" si="376"/>
        <v>0.51666666666666672</v>
      </c>
      <c r="CK594" s="458" t="str">
        <f t="shared" si="377"/>
        <v/>
      </c>
      <c r="CL594" t="str">
        <f t="shared" si="378"/>
        <v>REV</v>
      </c>
      <c r="CM594" t="str">
        <f t="shared" si="379"/>
        <v/>
      </c>
      <c r="CN594" s="635"/>
      <c r="CO594" s="631"/>
      <c r="CP594" s="629" t="str">
        <f t="shared" si="356"/>
        <v>FOR ISSUANCE</v>
      </c>
      <c r="CQ594" s="635"/>
      <c r="CR594" s="697"/>
      <c r="CS594" s="633" t="str">
        <f t="shared" ca="1" si="380"/>
        <v>0</v>
      </c>
      <c r="CT594" s="635"/>
      <c r="CU594" s="631"/>
      <c r="CV594" s="638"/>
      <c r="CW594" s="404"/>
      <c r="CX594" s="156"/>
      <c r="CY594" s="156"/>
      <c r="DS594" s="442" t="s">
        <v>403</v>
      </c>
    </row>
    <row r="595" spans="1:123" ht="15" customHeight="1" x14ac:dyDescent="0.2">
      <c r="A595" s="242">
        <v>45784</v>
      </c>
      <c r="B595" s="222">
        <v>45783</v>
      </c>
      <c r="C595" s="223"/>
      <c r="D595" s="66" t="s">
        <v>320</v>
      </c>
      <c r="E595" s="404" t="s">
        <v>3126</v>
      </c>
      <c r="F595" s="95" t="s">
        <v>3127</v>
      </c>
      <c r="G595" s="95" t="s">
        <v>3128</v>
      </c>
      <c r="H595" s="95" t="s">
        <v>238</v>
      </c>
      <c r="I595" s="95" t="s">
        <v>239</v>
      </c>
      <c r="J595" s="1134" t="s">
        <v>3129</v>
      </c>
      <c r="K595" s="101"/>
      <c r="L595" s="101" t="s">
        <v>255</v>
      </c>
      <c r="M595" s="101" t="s">
        <v>331</v>
      </c>
      <c r="N595" s="442" t="s">
        <v>403</v>
      </c>
      <c r="O595" s="165">
        <v>46.357999999999997</v>
      </c>
      <c r="P595" s="165">
        <v>77.97</v>
      </c>
      <c r="Q595" s="157">
        <v>80</v>
      </c>
      <c r="R595" s="109" t="s">
        <v>548</v>
      </c>
      <c r="S595" s="110">
        <v>348292.59</v>
      </c>
      <c r="T595" s="93">
        <v>49186.700000000004</v>
      </c>
      <c r="U595" s="141"/>
      <c r="V595" s="158">
        <f t="shared" si="357"/>
        <v>0</v>
      </c>
      <c r="W595" s="159">
        <v>45774.45416666667</v>
      </c>
      <c r="X595" s="159">
        <v>45777.568055555559</v>
      </c>
      <c r="Y595" s="160">
        <v>45779</v>
      </c>
      <c r="Z595" s="470"/>
      <c r="AA595" s="470"/>
      <c r="AB595" s="470"/>
      <c r="AC595" s="161">
        <f t="shared" si="358"/>
        <v>-45774.45416666667</v>
      </c>
      <c r="AD595" s="161">
        <f t="shared" si="351"/>
        <v>-45777.568055555559</v>
      </c>
      <c r="AE595" s="446">
        <f t="shared" si="381"/>
        <v>0</v>
      </c>
      <c r="AF595" s="160">
        <f t="shared" si="352"/>
        <v>45793.754546894808</v>
      </c>
      <c r="AG595" s="160">
        <f t="shared" si="349"/>
        <v>45802.701314955644</v>
      </c>
      <c r="AH595" s="159">
        <f t="shared" si="353"/>
        <v>45824.45416666667</v>
      </c>
      <c r="AI595" s="162">
        <f t="shared" si="359"/>
        <v>-1539.4733306692242</v>
      </c>
      <c r="AJ595" s="224">
        <f t="shared" si="354"/>
        <v>0</v>
      </c>
      <c r="AK595" s="225">
        <f t="shared" si="360"/>
        <v>23</v>
      </c>
      <c r="AL595" s="170">
        <f t="shared" si="361"/>
        <v>34</v>
      </c>
      <c r="AM595" s="170">
        <f t="shared" si="362"/>
        <v>22.300380228136884</v>
      </c>
      <c r="AN595" s="170">
        <f t="shared" si="363"/>
        <v>28.247148288973385</v>
      </c>
      <c r="AO595" s="226">
        <f t="shared" si="364"/>
        <v>19.300380228136884</v>
      </c>
      <c r="AP595" s="227">
        <v>60</v>
      </c>
      <c r="AQ595" s="228">
        <f t="shared" si="365"/>
        <v>57</v>
      </c>
      <c r="AR595" s="228">
        <f t="shared" si="350"/>
        <v>52</v>
      </c>
      <c r="AS595" s="229">
        <f t="shared" si="366"/>
        <v>60</v>
      </c>
      <c r="AT595" s="982">
        <f t="shared" ca="1" si="367"/>
        <v>45895</v>
      </c>
      <c r="AU595" s="1077"/>
      <c r="AV595" s="1092"/>
      <c r="AW595" s="1079"/>
      <c r="AX595" s="1079"/>
      <c r="AY595" s="1079"/>
      <c r="AZ595" s="1080"/>
      <c r="BA595" s="1101"/>
      <c r="BB595" s="1091"/>
      <c r="BC595" s="231"/>
      <c r="BD595" s="232"/>
      <c r="BE595" s="222">
        <f t="shared" si="347"/>
        <v>15</v>
      </c>
      <c r="BF595" s="233">
        <f t="shared" si="355"/>
        <v>0</v>
      </c>
      <c r="BG595" s="234"/>
      <c r="BH595" s="235"/>
      <c r="BI595" s="234"/>
      <c r="BJ595" s="236"/>
      <c r="BK595" s="222"/>
      <c r="BL595" s="222"/>
      <c r="BM595" s="238"/>
      <c r="BN595" s="222"/>
      <c r="BO595" s="222"/>
      <c r="BP595" s="243"/>
      <c r="BQ595" s="244"/>
      <c r="BR595" s="238"/>
      <c r="BS595" s="68"/>
      <c r="BT595" s="69"/>
      <c r="BU595" s="69"/>
      <c r="BV595" s="69"/>
      <c r="BW595" s="75"/>
      <c r="BX595" s="81"/>
      <c r="BY595" s="66">
        <v>45785</v>
      </c>
      <c r="BZ595" s="944" t="e">
        <f>VLOOKUP([4]C1!$BZ:$BZ,[4]C1!$BZ$531:$BZ$625,1,FALSE)</f>
        <v>#N/A</v>
      </c>
      <c r="CA595" s="42" t="str">
        <f t="shared" si="368"/>
        <v>0</v>
      </c>
      <c r="CB595" s="62">
        <f t="shared" si="369"/>
        <v>-45774.45416666667</v>
      </c>
      <c r="CC595" s="42">
        <f t="shared" si="370"/>
        <v>0</v>
      </c>
      <c r="CD595" s="62">
        <f t="shared" si="371"/>
        <v>-45774.45416666667</v>
      </c>
      <c r="CE595" s="62">
        <f t="shared" si="372"/>
        <v>-1539.4733306692242</v>
      </c>
      <c r="CF595" s="1059" t="str">
        <f t="shared" si="373"/>
        <v>0</v>
      </c>
      <c r="CH595" s="1082">
        <f t="shared" si="374"/>
        <v>3.1797383844841143</v>
      </c>
      <c r="CI595" s="1083">
        <f t="shared" si="375"/>
        <v>3.1797383844841143</v>
      </c>
      <c r="CJ595" s="1084">
        <f t="shared" si="376"/>
        <v>0</v>
      </c>
      <c r="CK595" s="1085">
        <f t="shared" si="377"/>
        <v>81.545833333329938</v>
      </c>
      <c r="CL595" s="1057" t="str">
        <f t="shared" si="378"/>
        <v>NON-REV</v>
      </c>
      <c r="CM595" s="1057" t="str">
        <f t="shared" si="379"/>
        <v>0-3 MONTHS</v>
      </c>
      <c r="CN595" s="1086"/>
      <c r="CO595" s="1087"/>
      <c r="CP595" s="629" t="str">
        <f t="shared" si="356"/>
        <v>FOR ISSUANCE</v>
      </c>
      <c r="CQ595" s="1086"/>
      <c r="CR595" s="1088"/>
      <c r="CS595" s="1089" t="str">
        <f t="shared" ca="1" si="380"/>
        <v>0</v>
      </c>
      <c r="CT595" s="1086"/>
      <c r="CU595" s="1087"/>
      <c r="CV595" s="1090"/>
      <c r="CX595" s="156"/>
      <c r="CY595" s="156"/>
      <c r="DS595" s="442" t="s">
        <v>403</v>
      </c>
    </row>
    <row r="596" spans="1:123" customFormat="1" ht="15" customHeight="1" x14ac:dyDescent="0.25">
      <c r="A596" s="242">
        <v>45783</v>
      </c>
      <c r="B596" s="222">
        <v>45784</v>
      </c>
      <c r="C596" s="223"/>
      <c r="D596" s="66" t="s">
        <v>234</v>
      </c>
      <c r="E596" s="404" t="s">
        <v>3130</v>
      </c>
      <c r="F596" s="95" t="s">
        <v>926</v>
      </c>
      <c r="G596" s="95" t="s">
        <v>3131</v>
      </c>
      <c r="H596" s="95" t="s">
        <v>318</v>
      </c>
      <c r="I596" s="95" t="s">
        <v>239</v>
      </c>
      <c r="J596" s="163"/>
      <c r="K596" s="101"/>
      <c r="L596" s="101" t="s">
        <v>5</v>
      </c>
      <c r="M596" s="101" t="s">
        <v>272</v>
      </c>
      <c r="N596" s="442" t="s">
        <v>403</v>
      </c>
      <c r="O596" s="765">
        <v>22.84</v>
      </c>
      <c r="P596" s="933">
        <v>45.92</v>
      </c>
      <c r="Q596" s="157">
        <v>35</v>
      </c>
      <c r="R596" s="109" t="s">
        <v>244</v>
      </c>
      <c r="S596" s="110">
        <v>366995.92</v>
      </c>
      <c r="T596" s="93">
        <v>39471.53</v>
      </c>
      <c r="U596" s="141"/>
      <c r="V596" s="158">
        <f t="shared" si="357"/>
        <v>0</v>
      </c>
      <c r="W596" s="159">
        <v>45775.556944444441</v>
      </c>
      <c r="X596" s="159">
        <v>45783.525694444441</v>
      </c>
      <c r="Y596" s="160">
        <v>45783</v>
      </c>
      <c r="Z596" s="470">
        <v>45805</v>
      </c>
      <c r="AA596" s="470">
        <v>45805.611805555556</v>
      </c>
      <c r="AB596" s="470"/>
      <c r="AC596" s="161">
        <f t="shared" si="358"/>
        <v>30.054861111115315</v>
      </c>
      <c r="AD596" s="161">
        <f t="shared" si="351"/>
        <v>22.086111111115315</v>
      </c>
      <c r="AE596" s="446">
        <f t="shared" si="381"/>
        <v>-45805.611805555556</v>
      </c>
      <c r="AF596" s="160">
        <f t="shared" si="352"/>
        <v>45794.331137992827</v>
      </c>
      <c r="AG596" s="160">
        <f t="shared" si="349"/>
        <v>45803.137589605729</v>
      </c>
      <c r="AH596" s="159">
        <f t="shared" si="353"/>
        <v>45825.556944444441</v>
      </c>
      <c r="AI596" s="162">
        <f t="shared" si="359"/>
        <v>1.0352229938273052</v>
      </c>
      <c r="AJ596" s="224">
        <f t="shared" si="354"/>
        <v>-763.42686342592594</v>
      </c>
      <c r="AK596" s="225">
        <f t="shared" si="360"/>
        <v>20</v>
      </c>
      <c r="AL596" s="170">
        <f t="shared" si="361"/>
        <v>36</v>
      </c>
      <c r="AM596" s="170">
        <f t="shared" si="362"/>
        <v>21.774193548387096</v>
      </c>
      <c r="AN596" s="170">
        <f t="shared" si="363"/>
        <v>27.58064516129032</v>
      </c>
      <c r="AO596" s="226">
        <f t="shared" si="364"/>
        <v>18.774193548387096</v>
      </c>
      <c r="AP596" s="227">
        <v>60</v>
      </c>
      <c r="AQ596" s="228">
        <f t="shared" si="365"/>
        <v>57</v>
      </c>
      <c r="AR596" s="228">
        <f t="shared" si="350"/>
        <v>52</v>
      </c>
      <c r="AS596" s="229">
        <f t="shared" si="366"/>
        <v>45865.611805555556</v>
      </c>
      <c r="AT596" s="982">
        <f t="shared" ca="1" si="367"/>
        <v>89.388194444443798</v>
      </c>
      <c r="AU596" s="50"/>
      <c r="AV596" s="51"/>
      <c r="AW596" s="49"/>
      <c r="AX596" s="49"/>
      <c r="AY596" s="49"/>
      <c r="AZ596" s="300"/>
      <c r="BA596" s="52"/>
      <c r="BB596" s="304"/>
      <c r="BC596" s="231" t="s">
        <v>12</v>
      </c>
      <c r="BD596" s="232"/>
      <c r="BE596" s="222">
        <f t="shared" si="347"/>
        <v>45820.611805555556</v>
      </c>
      <c r="BF596" s="233">
        <f t="shared" si="355"/>
        <v>24.388194444443798</v>
      </c>
      <c r="BG596" s="234">
        <v>45805</v>
      </c>
      <c r="BH596" s="235">
        <v>45845</v>
      </c>
      <c r="BI596" s="234"/>
      <c r="BJ596" s="236"/>
      <c r="BK596" s="222"/>
      <c r="BL596" s="222"/>
      <c r="BM596" s="238"/>
      <c r="BN596" s="222"/>
      <c r="BO596" s="222"/>
      <c r="BP596" s="243"/>
      <c r="BQ596" s="244" t="s">
        <v>247</v>
      </c>
      <c r="BR596" s="238">
        <v>45818</v>
      </c>
      <c r="BS596" s="68"/>
      <c r="BT596" s="69"/>
      <c r="BU596" s="69"/>
      <c r="BV596" s="69"/>
      <c r="BW596" s="75"/>
      <c r="BX596" s="81"/>
      <c r="BY596" s="66">
        <f>VLOOKUP([4]C1!$BY:$BY,[4]C1!$BY$531:$BY$625,1,FALSE)</f>
        <v>45786</v>
      </c>
      <c r="BZ596" s="944" t="str">
        <f>VLOOKUP([4]C1!$BZ:$BZ,[4]C1!$BZ$531:$BZ$625,1,FALSE)</f>
        <v>DX1-8108,DX1-8109,DX1-8110,DX1-8111,TLN-527024</v>
      </c>
      <c r="CA596" s="42" t="str">
        <f t="shared" si="368"/>
        <v>0</v>
      </c>
      <c r="CB596" s="62">
        <f t="shared" si="369"/>
        <v>30.054861111115315</v>
      </c>
      <c r="CC596" s="42">
        <f t="shared" si="370"/>
        <v>0</v>
      </c>
      <c r="CD596" s="62">
        <f t="shared" si="371"/>
        <v>30.054861111115315</v>
      </c>
      <c r="CE596" s="62">
        <f t="shared" si="372"/>
        <v>1.0352229938273052</v>
      </c>
      <c r="CF596" s="145">
        <f t="shared" si="373"/>
        <v>63.388194444443798</v>
      </c>
      <c r="CG596" s="145"/>
      <c r="CH596" s="443">
        <f t="shared" si="374"/>
        <v>3.2185941358025913</v>
      </c>
      <c r="CI596" s="996">
        <f t="shared" si="375"/>
        <v>3.2185941358025913</v>
      </c>
      <c r="CJ596" s="261">
        <f t="shared" si="376"/>
        <v>1.0564699074073967</v>
      </c>
      <c r="CK596" s="458" t="str">
        <f t="shared" si="377"/>
        <v/>
      </c>
      <c r="CL596" t="str">
        <f t="shared" si="378"/>
        <v>REV</v>
      </c>
      <c r="CM596" t="str">
        <f t="shared" si="379"/>
        <v/>
      </c>
      <c r="CN596" s="635"/>
      <c r="CO596" s="631"/>
      <c r="CP596" s="629" t="str">
        <f t="shared" si="356"/>
        <v>FOR ISSUANCE</v>
      </c>
      <c r="CQ596" s="635"/>
      <c r="CR596" s="697"/>
      <c r="CS596" s="633" t="str">
        <f t="shared" ca="1" si="380"/>
        <v>0</v>
      </c>
      <c r="CT596" s="635"/>
      <c r="CU596" s="631"/>
      <c r="CV596" s="638"/>
      <c r="CW596" s="404"/>
      <c r="CX596" s="156"/>
      <c r="CY596" s="156"/>
      <c r="DS596" s="442" t="s">
        <v>403</v>
      </c>
    </row>
    <row r="597" spans="1:123" customFormat="1" ht="15" customHeight="1" x14ac:dyDescent="0.25">
      <c r="A597" s="242">
        <v>45783</v>
      </c>
      <c r="B597" s="222">
        <v>45784</v>
      </c>
      <c r="C597" s="223"/>
      <c r="D597" s="66" t="s">
        <v>320</v>
      </c>
      <c r="E597" s="404" t="s">
        <v>3132</v>
      </c>
      <c r="F597" s="95" t="s">
        <v>3133</v>
      </c>
      <c r="G597" s="95" t="s">
        <v>3134</v>
      </c>
      <c r="H597" s="95" t="s">
        <v>318</v>
      </c>
      <c r="I597" s="95" t="s">
        <v>239</v>
      </c>
      <c r="J597" s="163"/>
      <c r="K597" s="101"/>
      <c r="L597" s="101" t="s">
        <v>5</v>
      </c>
      <c r="M597" s="101" t="s">
        <v>272</v>
      </c>
      <c r="N597" s="442" t="s">
        <v>403</v>
      </c>
      <c r="O597" s="165">
        <v>171.87729999999999</v>
      </c>
      <c r="P597" s="933">
        <v>231.19</v>
      </c>
      <c r="Q597" s="157">
        <v>45</v>
      </c>
      <c r="R597" s="109" t="s">
        <v>548</v>
      </c>
      <c r="S597" s="110">
        <v>992497.65</v>
      </c>
      <c r="T597" s="110">
        <v>198244.14</v>
      </c>
      <c r="U597" s="141"/>
      <c r="V597" s="158">
        <f t="shared" si="357"/>
        <v>0</v>
      </c>
      <c r="W597" s="159">
        <v>45775.605555555558</v>
      </c>
      <c r="X597" s="159">
        <v>45783.527083333334</v>
      </c>
      <c r="Y597" s="160">
        <v>45783</v>
      </c>
      <c r="Z597" s="470"/>
      <c r="AA597" s="470">
        <v>45806.665972222225</v>
      </c>
      <c r="AB597" s="470"/>
      <c r="AC597" s="161">
        <f t="shared" si="358"/>
        <v>31.060416666667152</v>
      </c>
      <c r="AD597" s="161">
        <f t="shared" si="351"/>
        <v>23.138888888890506</v>
      </c>
      <c r="AE597" s="446">
        <f t="shared" si="381"/>
        <v>-45806.665972222225</v>
      </c>
      <c r="AF597" s="160">
        <f t="shared" si="352"/>
        <v>45797.473976608191</v>
      </c>
      <c r="AG597" s="160">
        <f t="shared" si="349"/>
        <v>45807.105555555558</v>
      </c>
      <c r="AH597" s="159">
        <f t="shared" si="353"/>
        <v>45825.605555555558</v>
      </c>
      <c r="AI597" s="162">
        <f t="shared" si="359"/>
        <v>0.93674272486773935</v>
      </c>
      <c r="AJ597" s="224">
        <f t="shared" si="354"/>
        <v>-763.44443287037041</v>
      </c>
      <c r="AK597" s="225">
        <f t="shared" si="360"/>
        <v>28</v>
      </c>
      <c r="AL597" s="170">
        <f t="shared" si="361"/>
        <v>36</v>
      </c>
      <c r="AM597" s="170">
        <f t="shared" si="362"/>
        <v>24.868421052631579</v>
      </c>
      <c r="AN597" s="170">
        <f t="shared" si="363"/>
        <v>31.499999999999996</v>
      </c>
      <c r="AO597" s="226">
        <f t="shared" si="364"/>
        <v>21.868421052631579</v>
      </c>
      <c r="AP597" s="227">
        <v>60</v>
      </c>
      <c r="AQ597" s="228">
        <f t="shared" si="365"/>
        <v>57</v>
      </c>
      <c r="AR597" s="228">
        <f t="shared" si="350"/>
        <v>52</v>
      </c>
      <c r="AS597" s="229">
        <f t="shared" si="366"/>
        <v>45866.665972222225</v>
      </c>
      <c r="AT597" s="982">
        <f t="shared" ca="1" si="367"/>
        <v>88.334027777775191</v>
      </c>
      <c r="AU597" s="50"/>
      <c r="AV597" s="51"/>
      <c r="AW597" s="49"/>
      <c r="AX597" s="49"/>
      <c r="AY597" s="49"/>
      <c r="AZ597" s="300"/>
      <c r="BA597" s="52"/>
      <c r="BB597" s="304"/>
      <c r="BC597" s="231" t="s">
        <v>13</v>
      </c>
      <c r="BD597" s="232"/>
      <c r="BE597" s="222">
        <f t="shared" ref="BE597:BE660" si="382">AA597+15</f>
        <v>45821.665972222225</v>
      </c>
      <c r="BF597" s="233" t="e">
        <f t="shared" si="355"/>
        <v>#VALUE!</v>
      </c>
      <c r="BG597" s="234"/>
      <c r="BH597" s="235"/>
      <c r="BI597" s="234"/>
      <c r="BJ597" s="236"/>
      <c r="BK597" s="222"/>
      <c r="BL597" s="222"/>
      <c r="BM597" s="238"/>
      <c r="BN597" s="222"/>
      <c r="BO597" s="222"/>
      <c r="BP597" s="243"/>
      <c r="BQ597" s="244" t="s">
        <v>247</v>
      </c>
      <c r="BR597" s="238">
        <v>45806</v>
      </c>
      <c r="BS597" s="68"/>
      <c r="BT597" s="69"/>
      <c r="BU597" s="69"/>
      <c r="BV597" s="69"/>
      <c r="BW597" s="75"/>
      <c r="BX597" s="81"/>
      <c r="BY597" s="66">
        <f>VLOOKUP([4]C1!$BY:$BY,[4]C1!$BY$531:$BY$625,1,FALSE)</f>
        <v>45783</v>
      </c>
      <c r="BZ597" s="944" t="str">
        <f>VLOOKUP([4]C1!$BZ:$BZ,[4]C1!$BZ$531:$BZ$625,1,FALSE)</f>
        <v>CR9-8051,CR9-8052,CR9-8053,CR9-8054,CR9-5905</v>
      </c>
      <c r="CA597" s="42" t="str">
        <f t="shared" si="368"/>
        <v>0</v>
      </c>
      <c r="CB597" s="62">
        <f t="shared" si="369"/>
        <v>31.060416666667152</v>
      </c>
      <c r="CC597" s="42">
        <f t="shared" si="370"/>
        <v>0</v>
      </c>
      <c r="CD597" s="62">
        <f t="shared" si="371"/>
        <v>31.060416666667152</v>
      </c>
      <c r="CE597" s="62">
        <f t="shared" si="372"/>
        <v>0.93674272486773935</v>
      </c>
      <c r="CF597" s="145">
        <f t="shared" si="373"/>
        <v>62.334027777775191</v>
      </c>
      <c r="CG597" s="145"/>
      <c r="CH597" s="443">
        <f t="shared" si="374"/>
        <v>2.8166578483244518</v>
      </c>
      <c r="CI597" s="996">
        <f t="shared" si="375"/>
        <v>2.8166578483244518</v>
      </c>
      <c r="CJ597" s="261">
        <f t="shared" si="376"/>
        <v>1.0389004629629199</v>
      </c>
      <c r="CK597" s="458" t="str">
        <f t="shared" si="377"/>
        <v/>
      </c>
      <c r="CL597" t="str">
        <f t="shared" si="378"/>
        <v>NON-REV</v>
      </c>
      <c r="CM597" t="str">
        <f t="shared" si="379"/>
        <v/>
      </c>
      <c r="CN597" s="635"/>
      <c r="CO597" s="631"/>
      <c r="CP597" s="629" t="str">
        <f t="shared" si="356"/>
        <v>FOR ISSUANCE</v>
      </c>
      <c r="CQ597" s="635"/>
      <c r="CR597" s="697"/>
      <c r="CS597" s="633" t="str">
        <f t="shared" ca="1" si="380"/>
        <v>0</v>
      </c>
      <c r="CT597" s="635"/>
      <c r="CU597" s="631"/>
      <c r="CV597" s="638"/>
      <c r="CW597" s="404"/>
      <c r="CX597" s="156"/>
      <c r="CY597" s="156"/>
      <c r="DS597" s="442" t="s">
        <v>403</v>
      </c>
    </row>
    <row r="598" spans="1:123" customFormat="1" ht="15" customHeight="1" x14ac:dyDescent="0.25">
      <c r="A598" s="242">
        <v>45786</v>
      </c>
      <c r="B598" s="222">
        <v>45784</v>
      </c>
      <c r="C598" s="223" t="s">
        <v>247</v>
      </c>
      <c r="D598" s="66" t="s">
        <v>320</v>
      </c>
      <c r="E598" s="404" t="s">
        <v>3135</v>
      </c>
      <c r="F598" s="95" t="s">
        <v>3136</v>
      </c>
      <c r="G598" s="95" t="s">
        <v>3137</v>
      </c>
      <c r="H598" s="95" t="s">
        <v>238</v>
      </c>
      <c r="I598" s="95" t="s">
        <v>239</v>
      </c>
      <c r="J598" s="163"/>
      <c r="K598" s="101"/>
      <c r="L598" s="101" t="s">
        <v>5</v>
      </c>
      <c r="M598" s="101" t="s">
        <v>272</v>
      </c>
      <c r="N598" s="442" t="s">
        <v>403</v>
      </c>
      <c r="O598" s="765">
        <v>135.69099999999995</v>
      </c>
      <c r="P598" s="933">
        <v>159.18</v>
      </c>
      <c r="Q598" s="157">
        <v>64</v>
      </c>
      <c r="R598" s="109" t="s">
        <v>548</v>
      </c>
      <c r="S598" s="110">
        <v>813670.22</v>
      </c>
      <c r="T598" s="93">
        <v>136773.92000000001</v>
      </c>
      <c r="U598" s="141"/>
      <c r="V598" s="158">
        <f t="shared" si="357"/>
        <v>0</v>
      </c>
      <c r="W598" s="159">
        <v>45775.665972222225</v>
      </c>
      <c r="X598" s="159">
        <v>45783.547222222223</v>
      </c>
      <c r="Y598" s="160">
        <v>45783</v>
      </c>
      <c r="Z598" s="470">
        <v>45811</v>
      </c>
      <c r="AA598" s="470">
        <v>45811</v>
      </c>
      <c r="AB598" s="470"/>
      <c r="AC598" s="161">
        <f t="shared" si="358"/>
        <v>35.334027777775191</v>
      </c>
      <c r="AD598" s="161">
        <f t="shared" si="351"/>
        <v>27.452777777776646</v>
      </c>
      <c r="AE598" s="446">
        <f t="shared" si="381"/>
        <v>-45811</v>
      </c>
      <c r="AF598" s="160">
        <f t="shared" si="352"/>
        <v>45796.011042644757</v>
      </c>
      <c r="AG598" s="160">
        <f t="shared" si="349"/>
        <v>45805.236394757434</v>
      </c>
      <c r="AH598" s="159">
        <f t="shared" si="353"/>
        <v>45825.665972222225</v>
      </c>
      <c r="AI598" s="162">
        <f t="shared" si="359"/>
        <v>1.1351655982905151</v>
      </c>
      <c r="AJ598" s="224">
        <f t="shared" si="354"/>
        <v>-763.51666666666665</v>
      </c>
      <c r="AK598" s="225">
        <f t="shared" si="360"/>
        <v>26</v>
      </c>
      <c r="AL598" s="170">
        <f t="shared" si="361"/>
        <v>34</v>
      </c>
      <c r="AM598" s="170">
        <f t="shared" si="362"/>
        <v>23.345070422535212</v>
      </c>
      <c r="AN598" s="170">
        <f t="shared" si="363"/>
        <v>29.570422535211268</v>
      </c>
      <c r="AO598" s="226">
        <f t="shared" si="364"/>
        <v>20.345070422535212</v>
      </c>
      <c r="AP598" s="227">
        <v>60</v>
      </c>
      <c r="AQ598" s="228">
        <f t="shared" si="365"/>
        <v>57</v>
      </c>
      <c r="AR598" s="228">
        <f t="shared" si="350"/>
        <v>52</v>
      </c>
      <c r="AS598" s="229">
        <f t="shared" si="366"/>
        <v>45871</v>
      </c>
      <c r="AT598" s="982">
        <f t="shared" ca="1" si="367"/>
        <v>84</v>
      </c>
      <c r="AU598" s="50"/>
      <c r="AV598" s="51"/>
      <c r="AW598" s="49"/>
      <c r="AX598" s="49"/>
      <c r="AY598" s="49"/>
      <c r="AZ598" s="300"/>
      <c r="BA598" s="52"/>
      <c r="BB598" s="304"/>
      <c r="BC598" s="231" t="s">
        <v>12</v>
      </c>
      <c r="BD598" s="232"/>
      <c r="BE598" s="222">
        <f t="shared" si="382"/>
        <v>45826</v>
      </c>
      <c r="BF598" s="233">
        <f t="shared" si="355"/>
        <v>19</v>
      </c>
      <c r="BG598" s="234">
        <v>45811</v>
      </c>
      <c r="BH598" s="235">
        <v>45845</v>
      </c>
      <c r="BI598" s="234"/>
      <c r="BJ598" s="236"/>
      <c r="BK598" s="222"/>
      <c r="BL598" s="222"/>
      <c r="BM598" s="238"/>
      <c r="BN598" s="222"/>
      <c r="BO598" s="222"/>
      <c r="BP598" s="243"/>
      <c r="BQ598" s="244"/>
      <c r="BR598" s="238"/>
      <c r="BS598" s="68"/>
      <c r="BT598" s="69"/>
      <c r="BU598" s="69"/>
      <c r="BV598" s="69"/>
      <c r="BW598" s="75"/>
      <c r="BX598" s="81"/>
      <c r="BY598" s="66">
        <f>VLOOKUP([4]C1!$BY:$BY,[4]C1!$BY$531:$BY$625,1,FALSE)</f>
        <v>45786</v>
      </c>
      <c r="BZ598" s="944" t="str">
        <f>VLOOKUP([4]C1!$BZ:$BZ,[4]C1!$BZ$531:$BZ$625,1,FALSE)</f>
        <v>TLN-527665</v>
      </c>
      <c r="CA598" s="42" t="str">
        <f t="shared" si="368"/>
        <v>0</v>
      </c>
      <c r="CB598" s="62">
        <f t="shared" si="369"/>
        <v>35.334027777775191</v>
      </c>
      <c r="CC598" s="42">
        <f t="shared" si="370"/>
        <v>0</v>
      </c>
      <c r="CD598" s="62">
        <f t="shared" si="371"/>
        <v>35.334027777775191</v>
      </c>
      <c r="CE598" s="62">
        <f t="shared" si="372"/>
        <v>1.1351655982905151</v>
      </c>
      <c r="CF598" s="145">
        <f t="shared" si="373"/>
        <v>58</v>
      </c>
      <c r="CG598" s="145"/>
      <c r="CH598" s="443">
        <f t="shared" si="374"/>
        <v>2.9985140145801079</v>
      </c>
      <c r="CI598" s="996">
        <f t="shared" si="375"/>
        <v>2.9985140145801079</v>
      </c>
      <c r="CJ598" s="261">
        <f t="shared" si="376"/>
        <v>0.96666666666666667</v>
      </c>
      <c r="CK598" s="458" t="str">
        <f t="shared" si="377"/>
        <v/>
      </c>
      <c r="CL598" t="str">
        <f t="shared" si="378"/>
        <v>NON-REV</v>
      </c>
      <c r="CM598" t="str">
        <f t="shared" si="379"/>
        <v/>
      </c>
      <c r="CN598" s="635"/>
      <c r="CO598" s="631"/>
      <c r="CP598" s="629" t="str">
        <f t="shared" si="356"/>
        <v>FOR ISSUANCE</v>
      </c>
      <c r="CQ598" s="635"/>
      <c r="CR598" s="697"/>
      <c r="CS598" s="633" t="str">
        <f t="shared" ca="1" si="380"/>
        <v>0</v>
      </c>
      <c r="CT598" s="635"/>
      <c r="CU598" s="631"/>
      <c r="CV598" s="638"/>
      <c r="CW598" s="404"/>
      <c r="CX598" s="156"/>
      <c r="CY598" s="156"/>
      <c r="DS598" s="442" t="s">
        <v>403</v>
      </c>
    </row>
    <row r="599" spans="1:123" customFormat="1" ht="15" customHeight="1" x14ac:dyDescent="0.25">
      <c r="A599" s="242">
        <v>45784</v>
      </c>
      <c r="B599" s="222">
        <v>45784</v>
      </c>
      <c r="C599" s="223" t="s">
        <v>247</v>
      </c>
      <c r="D599" s="66" t="s">
        <v>284</v>
      </c>
      <c r="E599" s="404" t="s">
        <v>3138</v>
      </c>
      <c r="F599" s="95" t="s">
        <v>3139</v>
      </c>
      <c r="G599" s="95" t="s">
        <v>3140</v>
      </c>
      <c r="H599" s="95" t="s">
        <v>238</v>
      </c>
      <c r="I599" s="95" t="s">
        <v>239</v>
      </c>
      <c r="J599" s="163" t="s">
        <v>3141</v>
      </c>
      <c r="K599" s="101"/>
      <c r="L599" s="101" t="s">
        <v>263</v>
      </c>
      <c r="M599" s="101" t="s">
        <v>331</v>
      </c>
      <c r="N599" s="442" t="s">
        <v>467</v>
      </c>
      <c r="O599" s="165">
        <v>117.53489999999999</v>
      </c>
      <c r="P599" s="165">
        <v>275.3</v>
      </c>
      <c r="Q599" s="157">
        <v>526</v>
      </c>
      <c r="R599" s="109" t="s">
        <v>244</v>
      </c>
      <c r="S599" s="110">
        <v>1305014.67</v>
      </c>
      <c r="T599" s="93">
        <v>219118.06</v>
      </c>
      <c r="U599" s="141"/>
      <c r="V599" s="158">
        <f t="shared" si="357"/>
        <v>0</v>
      </c>
      <c r="W599" s="159">
        <v>45775.667361111111</v>
      </c>
      <c r="X599" s="159">
        <v>45783.548611111109</v>
      </c>
      <c r="Y599" s="160">
        <v>45783</v>
      </c>
      <c r="Z599" s="470"/>
      <c r="AA599" s="470"/>
      <c r="AB599" s="470"/>
      <c r="AC599" s="161">
        <f t="shared" si="358"/>
        <v>-45775.667361111111</v>
      </c>
      <c r="AD599" s="161">
        <f t="shared" si="351"/>
        <v>-45783.548611111109</v>
      </c>
      <c r="AE599" s="446">
        <f t="shared" si="381"/>
        <v>0</v>
      </c>
      <c r="AF599" s="160">
        <f t="shared" si="352"/>
        <v>45790.893776205448</v>
      </c>
      <c r="AG599" s="160">
        <f t="shared" si="349"/>
        <v>45798.754153563939</v>
      </c>
      <c r="AH599" s="159">
        <f t="shared" si="353"/>
        <v>45825.667361111111</v>
      </c>
      <c r="AI599" s="162">
        <f t="shared" si="359"/>
        <v>-1883.626063772429</v>
      </c>
      <c r="AJ599" s="224">
        <f t="shared" si="354"/>
        <v>0</v>
      </c>
      <c r="AK599" s="225">
        <f t="shared" si="360"/>
        <v>28</v>
      </c>
      <c r="AL599" s="170">
        <f t="shared" si="361"/>
        <v>23</v>
      </c>
      <c r="AM599" s="170">
        <f t="shared" si="362"/>
        <v>18.226415094339625</v>
      </c>
      <c r="AN599" s="170">
        <f t="shared" si="363"/>
        <v>23.086792452830192</v>
      </c>
      <c r="AO599" s="226">
        <f t="shared" si="364"/>
        <v>15.226415094339625</v>
      </c>
      <c r="AP599" s="227">
        <v>60</v>
      </c>
      <c r="AQ599" s="228">
        <f t="shared" si="365"/>
        <v>57</v>
      </c>
      <c r="AR599" s="228">
        <f t="shared" si="350"/>
        <v>52</v>
      </c>
      <c r="AS599" s="229">
        <f t="shared" si="366"/>
        <v>60</v>
      </c>
      <c r="AT599" s="982">
        <f t="shared" ca="1" si="367"/>
        <v>45895</v>
      </c>
      <c r="AU599" s="50"/>
      <c r="AV599" s="51"/>
      <c r="AW599" s="49"/>
      <c r="AX599" s="49"/>
      <c r="AY599" s="49"/>
      <c r="AZ599" s="300"/>
      <c r="BA599" s="52"/>
      <c r="BB599" s="304"/>
      <c r="BC599" s="231"/>
      <c r="BD599" s="232"/>
      <c r="BE599" s="222">
        <f t="shared" si="382"/>
        <v>15</v>
      </c>
      <c r="BF599" s="233">
        <f t="shared" si="355"/>
        <v>0</v>
      </c>
      <c r="BG599" s="234"/>
      <c r="BH599" s="235"/>
      <c r="BI599" s="234"/>
      <c r="BJ599" s="236"/>
      <c r="BK599" s="222"/>
      <c r="BL599" s="222"/>
      <c r="BM599" s="238"/>
      <c r="BN599" s="222"/>
      <c r="BO599" s="222"/>
      <c r="BP599" s="243"/>
      <c r="BQ599" s="244"/>
      <c r="BR599" s="238"/>
      <c r="BS599" s="68"/>
      <c r="BT599" s="69"/>
      <c r="BU599" s="69"/>
      <c r="BV599" s="69"/>
      <c r="BW599" s="75"/>
      <c r="BX599" s="81"/>
      <c r="BY599" s="66" t="s">
        <v>308</v>
      </c>
      <c r="BZ599" s="944" t="e">
        <f>VLOOKUP([4]C1!$BZ:$BZ,[4]C1!$BZ$531:$BZ$625,1,FALSE)</f>
        <v>#N/A</v>
      </c>
      <c r="CA599" s="42" t="str">
        <f t="shared" si="368"/>
        <v>0</v>
      </c>
      <c r="CB599" s="62">
        <f t="shared" si="369"/>
        <v>-45775.667361111111</v>
      </c>
      <c r="CC599" s="42">
        <f t="shared" si="370"/>
        <v>0</v>
      </c>
      <c r="CD599" s="62">
        <f t="shared" si="371"/>
        <v>-45775.667361111111</v>
      </c>
      <c r="CE599" s="62">
        <f t="shared" si="372"/>
        <v>-1883.626063772429</v>
      </c>
      <c r="CF599" s="145" t="str">
        <f t="shared" si="373"/>
        <v>0</v>
      </c>
      <c r="CG599" s="145"/>
      <c r="CH599" s="443">
        <f t="shared" si="374"/>
        <v>3.840551134403043</v>
      </c>
      <c r="CI599" s="996">
        <f t="shared" si="375"/>
        <v>3.840551134403043</v>
      </c>
      <c r="CJ599" s="261">
        <f t="shared" si="376"/>
        <v>0</v>
      </c>
      <c r="CK599" s="458">
        <f t="shared" si="377"/>
        <v>80.332638888889051</v>
      </c>
      <c r="CL599" t="str">
        <f t="shared" si="378"/>
        <v>REV</v>
      </c>
      <c r="CM599" t="str">
        <f t="shared" si="379"/>
        <v>0-3 MONTHS</v>
      </c>
      <c r="CN599" s="635"/>
      <c r="CO599" s="631"/>
      <c r="CP599" s="629" t="str">
        <f t="shared" si="356"/>
        <v>FOR ISSUANCE</v>
      </c>
      <c r="CQ599" s="635"/>
      <c r="CR599" s="697"/>
      <c r="CS599" s="633" t="str">
        <f t="shared" ca="1" si="380"/>
        <v>0</v>
      </c>
      <c r="CT599" s="635"/>
      <c r="CU599" s="631"/>
      <c r="CV599" s="638"/>
      <c r="CW599" s="404"/>
      <c r="CX599" s="156"/>
      <c r="CY599" s="156"/>
      <c r="DS599" s="442" t="s">
        <v>403</v>
      </c>
    </row>
    <row r="600" spans="1:123" customFormat="1" ht="15" customHeight="1" x14ac:dyDescent="0.25">
      <c r="A600" s="242">
        <v>45786</v>
      </c>
      <c r="B600" s="222">
        <v>45784</v>
      </c>
      <c r="C600" s="223"/>
      <c r="D600" s="66" t="s">
        <v>284</v>
      </c>
      <c r="E600" s="404" t="s">
        <v>3142</v>
      </c>
      <c r="F600" s="95" t="s">
        <v>3143</v>
      </c>
      <c r="G600" s="95" t="s">
        <v>2157</v>
      </c>
      <c r="H600" s="95" t="s">
        <v>238</v>
      </c>
      <c r="I600" s="95" t="s">
        <v>239</v>
      </c>
      <c r="J600" s="163"/>
      <c r="K600" s="101"/>
      <c r="L600" s="101" t="s">
        <v>5</v>
      </c>
      <c r="M600" s="101" t="s">
        <v>272</v>
      </c>
      <c r="N600" s="442" t="s">
        <v>403</v>
      </c>
      <c r="O600" s="165">
        <v>25.4528</v>
      </c>
      <c r="P600" s="933">
        <v>55.96</v>
      </c>
      <c r="Q600" s="157">
        <v>306</v>
      </c>
      <c r="R600" s="109" t="s">
        <v>244</v>
      </c>
      <c r="S600" s="110">
        <v>823914.89</v>
      </c>
      <c r="T600" s="93">
        <v>48086.01</v>
      </c>
      <c r="U600" s="141"/>
      <c r="V600" s="158">
        <f t="shared" si="357"/>
        <v>0</v>
      </c>
      <c r="W600" s="159">
        <v>45775.668749999997</v>
      </c>
      <c r="X600" s="159">
        <v>45783.54791666667</v>
      </c>
      <c r="Y600" s="160">
        <v>45783</v>
      </c>
      <c r="Z600" s="470"/>
      <c r="AA600" s="470">
        <v>45835</v>
      </c>
      <c r="AB600" s="470"/>
      <c r="AC600" s="161">
        <f t="shared" si="358"/>
        <v>59.33125000000291</v>
      </c>
      <c r="AD600" s="161">
        <f t="shared" si="351"/>
        <v>51.452083333329938</v>
      </c>
      <c r="AE600" s="446">
        <f t="shared" si="381"/>
        <v>-45835</v>
      </c>
      <c r="AF600" s="160">
        <f t="shared" si="352"/>
        <v>45792.38303571428</v>
      </c>
      <c r="AG600" s="160">
        <f t="shared" si="349"/>
        <v>45800.640178571426</v>
      </c>
      <c r="AH600" s="159">
        <f t="shared" si="353"/>
        <v>45825.668749999997</v>
      </c>
      <c r="AI600" s="162">
        <f t="shared" si="359"/>
        <v>2.2571671195653282</v>
      </c>
      <c r="AJ600" s="224">
        <f t="shared" si="354"/>
        <v>-763.91666666666663</v>
      </c>
      <c r="AK600" s="225">
        <f t="shared" si="360"/>
        <v>23</v>
      </c>
      <c r="AL600" s="170">
        <f t="shared" si="361"/>
        <v>28</v>
      </c>
      <c r="AM600" s="170">
        <f t="shared" si="362"/>
        <v>19.714285714285715</v>
      </c>
      <c r="AN600" s="170">
        <f t="shared" si="363"/>
        <v>24.971428571428572</v>
      </c>
      <c r="AO600" s="226">
        <f t="shared" si="364"/>
        <v>16.714285714285715</v>
      </c>
      <c r="AP600" s="227">
        <v>60</v>
      </c>
      <c r="AQ600" s="228">
        <f t="shared" si="365"/>
        <v>57</v>
      </c>
      <c r="AR600" s="228">
        <f t="shared" si="350"/>
        <v>52</v>
      </c>
      <c r="AS600" s="229">
        <f t="shared" si="366"/>
        <v>45895</v>
      </c>
      <c r="AT600" s="982">
        <f t="shared" ca="1" si="367"/>
        <v>60</v>
      </c>
      <c r="AU600" s="50"/>
      <c r="AV600" s="51"/>
      <c r="AW600" s="49"/>
      <c r="AX600" s="49"/>
      <c r="AY600" s="49"/>
      <c r="AZ600" s="300"/>
      <c r="BA600" s="52"/>
      <c r="BB600" s="304"/>
      <c r="BC600" s="231" t="s">
        <v>13</v>
      </c>
      <c r="BD600" s="232"/>
      <c r="BE600" s="222">
        <f t="shared" si="382"/>
        <v>45850</v>
      </c>
      <c r="BF600" s="233" t="e">
        <f t="shared" si="355"/>
        <v>#VALUE!</v>
      </c>
      <c r="BG600" s="234"/>
      <c r="BH600" s="235"/>
      <c r="BI600" s="234"/>
      <c r="BJ600" s="236"/>
      <c r="BK600" s="222"/>
      <c r="BL600" s="222"/>
      <c r="BM600" s="238"/>
      <c r="BN600" s="222"/>
      <c r="BO600" s="222"/>
      <c r="BP600" s="243"/>
      <c r="BQ600" s="244" t="s">
        <v>247</v>
      </c>
      <c r="BR600" s="238">
        <v>45833</v>
      </c>
      <c r="BS600" s="68"/>
      <c r="BT600" s="69"/>
      <c r="BU600" s="69"/>
      <c r="BV600" s="69"/>
      <c r="BW600" s="75"/>
      <c r="BX600" s="81"/>
      <c r="BY600" s="66">
        <f>VLOOKUP([4]C1!$BY:$BY,[4]C1!$BY$531:$BY$625,1,FALSE)</f>
        <v>45784</v>
      </c>
      <c r="BZ600" s="944" t="str">
        <f>VLOOKUP([4]C1!$BZ:$BZ,[4]C1!$BZ$531:$BZ$625,1,FALSE)</f>
        <v>A4-8009,TLN-527905</v>
      </c>
      <c r="CA600" s="42" t="str">
        <f t="shared" si="368"/>
        <v>0</v>
      </c>
      <c r="CB600" s="62">
        <f t="shared" si="369"/>
        <v>59.33125000000291</v>
      </c>
      <c r="CC600" s="42">
        <f t="shared" si="370"/>
        <v>0</v>
      </c>
      <c r="CD600" s="62">
        <f t="shared" si="371"/>
        <v>59.33125000000291</v>
      </c>
      <c r="CE600" s="62">
        <f t="shared" si="372"/>
        <v>2.2571671195653282</v>
      </c>
      <c r="CF600" s="145">
        <f t="shared" si="373"/>
        <v>34</v>
      </c>
      <c r="CG600" s="145"/>
      <c r="CH600" s="443">
        <f t="shared" si="374"/>
        <v>3.5506453804348928</v>
      </c>
      <c r="CI600" s="996">
        <f t="shared" si="375"/>
        <v>3.5506453804348928</v>
      </c>
      <c r="CJ600" s="261">
        <f t="shared" si="376"/>
        <v>0.56666666666666665</v>
      </c>
      <c r="CK600" s="458" t="str">
        <f t="shared" si="377"/>
        <v/>
      </c>
      <c r="CL600" t="str">
        <f t="shared" si="378"/>
        <v>REV</v>
      </c>
      <c r="CM600" t="str">
        <f t="shared" si="379"/>
        <v/>
      </c>
      <c r="CN600" s="635"/>
      <c r="CO600" s="631"/>
      <c r="CP600" s="629" t="str">
        <f t="shared" si="356"/>
        <v>FOR ISSUANCE</v>
      </c>
      <c r="CQ600" s="635"/>
      <c r="CR600" s="697"/>
      <c r="CS600" s="633" t="str">
        <f t="shared" ca="1" si="380"/>
        <v>0</v>
      </c>
      <c r="CT600" s="635"/>
      <c r="CU600" s="631"/>
      <c r="CV600" s="638"/>
      <c r="CW600" s="404"/>
      <c r="CX600" s="156"/>
      <c r="CY600" s="156"/>
      <c r="DS600" s="156" t="s">
        <v>397</v>
      </c>
    </row>
    <row r="601" spans="1:123" customFormat="1" ht="15" customHeight="1" x14ac:dyDescent="0.25">
      <c r="A601" s="242">
        <v>45785</v>
      </c>
      <c r="B601" s="222">
        <v>45784</v>
      </c>
      <c r="C601" s="223"/>
      <c r="D601" s="66" t="s">
        <v>320</v>
      </c>
      <c r="E601" s="404" t="s">
        <v>3144</v>
      </c>
      <c r="F601" s="95" t="s">
        <v>3145</v>
      </c>
      <c r="G601" s="95" t="s">
        <v>3146</v>
      </c>
      <c r="H601" s="95" t="s">
        <v>378</v>
      </c>
      <c r="I601" s="95" t="s">
        <v>239</v>
      </c>
      <c r="J601" s="163"/>
      <c r="K601" s="101"/>
      <c r="L601" s="101" t="s">
        <v>288</v>
      </c>
      <c r="M601" s="101" t="s">
        <v>272</v>
      </c>
      <c r="N601" s="442" t="s">
        <v>381</v>
      </c>
      <c r="O601" s="165">
        <v>0.53</v>
      </c>
      <c r="P601" s="933">
        <v>5.15</v>
      </c>
      <c r="Q601" s="157">
        <v>8</v>
      </c>
      <c r="R601" s="109" t="s">
        <v>244</v>
      </c>
      <c r="S601" s="110">
        <v>21339.45</v>
      </c>
      <c r="T601" s="93">
        <v>4424.9500000000007</v>
      </c>
      <c r="U601" s="141"/>
      <c r="V601" s="158">
        <f t="shared" si="357"/>
        <v>0</v>
      </c>
      <c r="W601" s="159">
        <v>45776.34097222222</v>
      </c>
      <c r="X601" s="159">
        <v>45783.55</v>
      </c>
      <c r="Y601" s="160">
        <v>45783</v>
      </c>
      <c r="Z601" s="470">
        <v>45808</v>
      </c>
      <c r="AA601" s="470">
        <v>45808</v>
      </c>
      <c r="AB601" s="470"/>
      <c r="AC601" s="161">
        <f t="shared" si="358"/>
        <v>31.659027777779556</v>
      </c>
      <c r="AD601" s="161">
        <f t="shared" si="351"/>
        <v>24.44999999999709</v>
      </c>
      <c r="AE601" s="446">
        <f t="shared" si="381"/>
        <v>-45808</v>
      </c>
      <c r="AF601" s="160">
        <f t="shared" si="352"/>
        <v>45795.115165770607</v>
      </c>
      <c r="AG601" s="160">
        <f t="shared" si="349"/>
        <v>45803.921617383508</v>
      </c>
      <c r="AH601" s="159">
        <f t="shared" si="353"/>
        <v>45826.34097222222</v>
      </c>
      <c r="AI601" s="162">
        <f t="shared" si="359"/>
        <v>1.0904776234568514</v>
      </c>
      <c r="AJ601" s="224">
        <f t="shared" si="354"/>
        <v>-763.4666666666667</v>
      </c>
      <c r="AK601" s="225">
        <f t="shared" si="360"/>
        <v>20</v>
      </c>
      <c r="AL601" s="170">
        <f t="shared" si="361"/>
        <v>36</v>
      </c>
      <c r="AM601" s="170">
        <f t="shared" si="362"/>
        <v>21.774193548387096</v>
      </c>
      <c r="AN601" s="170">
        <f t="shared" si="363"/>
        <v>27.58064516129032</v>
      </c>
      <c r="AO601" s="226">
        <f t="shared" si="364"/>
        <v>18.774193548387096</v>
      </c>
      <c r="AP601" s="227">
        <v>60</v>
      </c>
      <c r="AQ601" s="228">
        <f t="shared" si="365"/>
        <v>57</v>
      </c>
      <c r="AR601" s="228">
        <f t="shared" si="350"/>
        <v>52</v>
      </c>
      <c r="AS601" s="229">
        <f t="shared" si="366"/>
        <v>45868</v>
      </c>
      <c r="AT601" s="982">
        <f t="shared" ca="1" si="367"/>
        <v>87</v>
      </c>
      <c r="AU601" s="50"/>
      <c r="AV601" s="51"/>
      <c r="AW601" s="49"/>
      <c r="AX601" s="49"/>
      <c r="AY601" s="49"/>
      <c r="AZ601" s="300"/>
      <c r="BA601" s="52"/>
      <c r="BB601" s="304"/>
      <c r="BC601" s="231" t="s">
        <v>12</v>
      </c>
      <c r="BD601" s="232"/>
      <c r="BE601" s="222">
        <f t="shared" si="382"/>
        <v>45823</v>
      </c>
      <c r="BF601" s="233">
        <f t="shared" si="355"/>
        <v>27</v>
      </c>
      <c r="BG601" s="234">
        <v>45808</v>
      </c>
      <c r="BH601" s="235">
        <v>45850</v>
      </c>
      <c r="BI601" s="234"/>
      <c r="BJ601" s="236"/>
      <c r="BK601" s="222"/>
      <c r="BL601" s="222"/>
      <c r="BM601" s="238"/>
      <c r="BN601" s="222"/>
      <c r="BO601" s="222"/>
      <c r="BP601" s="243"/>
      <c r="BQ601" s="244" t="s">
        <v>247</v>
      </c>
      <c r="BR601" s="238">
        <v>45806</v>
      </c>
      <c r="BS601" s="68"/>
      <c r="BT601" s="69"/>
      <c r="BU601" s="69"/>
      <c r="BV601" s="69"/>
      <c r="BW601" s="75"/>
      <c r="BX601" s="81"/>
      <c r="BY601" s="66">
        <f>VLOOKUP([4]C1!$BY:$BY,[4]C1!$BY$531:$BY$625,1,FALSE)</f>
        <v>45783</v>
      </c>
      <c r="BZ601" s="944" t="str">
        <f>VLOOKUP([4]C1!$BZ:$BZ,[4]C1!$BZ$531:$BZ$625,1,FALSE)</f>
        <v>N/A</v>
      </c>
      <c r="CA601" s="42" t="str">
        <f t="shared" si="368"/>
        <v>0</v>
      </c>
      <c r="CB601" s="62">
        <f t="shared" si="369"/>
        <v>31.659027777779556</v>
      </c>
      <c r="CC601" s="42">
        <f t="shared" si="370"/>
        <v>0</v>
      </c>
      <c r="CD601" s="62">
        <f t="shared" si="371"/>
        <v>31.659027777779556</v>
      </c>
      <c r="CE601" s="62">
        <f t="shared" si="372"/>
        <v>1.0904776234568514</v>
      </c>
      <c r="CF601" s="145">
        <f t="shared" si="373"/>
        <v>61</v>
      </c>
      <c r="CG601" s="145"/>
      <c r="CH601" s="443">
        <f t="shared" si="374"/>
        <v>3.1915887345679623</v>
      </c>
      <c r="CI601" s="996">
        <f t="shared" si="375"/>
        <v>3.1915887345679623</v>
      </c>
      <c r="CJ601" s="261">
        <f t="shared" si="376"/>
        <v>1.0166666666666666</v>
      </c>
      <c r="CK601" s="458" t="str">
        <f t="shared" si="377"/>
        <v/>
      </c>
      <c r="CL601" t="str">
        <f t="shared" si="378"/>
        <v>REV</v>
      </c>
      <c r="CM601" t="str">
        <f t="shared" si="379"/>
        <v/>
      </c>
      <c r="CN601" s="635"/>
      <c r="CO601" s="631"/>
      <c r="CP601" s="629" t="str">
        <f t="shared" si="356"/>
        <v>FOR ISSUANCE</v>
      </c>
      <c r="CQ601" s="635"/>
      <c r="CR601" s="697"/>
      <c r="CS601" s="633" t="str">
        <f t="shared" ca="1" si="380"/>
        <v>0</v>
      </c>
      <c r="CT601" s="635"/>
      <c r="CU601" s="631"/>
      <c r="CV601" s="638"/>
      <c r="CW601" s="404"/>
      <c r="CX601" s="156"/>
      <c r="CY601" s="156"/>
      <c r="DS601" s="156" t="s">
        <v>397</v>
      </c>
    </row>
    <row r="602" spans="1:123" ht="15" customHeight="1" x14ac:dyDescent="0.2">
      <c r="A602" s="242">
        <v>45786</v>
      </c>
      <c r="B602" s="222">
        <v>45784</v>
      </c>
      <c r="C602" s="223" t="s">
        <v>247</v>
      </c>
      <c r="D602" s="66" t="s">
        <v>320</v>
      </c>
      <c r="E602" s="404" t="s">
        <v>3147</v>
      </c>
      <c r="F602" s="95" t="s">
        <v>3148</v>
      </c>
      <c r="G602" s="95" t="s">
        <v>3149</v>
      </c>
      <c r="H602" s="95" t="s">
        <v>238</v>
      </c>
      <c r="I602" s="95" t="s">
        <v>239</v>
      </c>
      <c r="J602" s="163"/>
      <c r="K602" s="101"/>
      <c r="L602" s="101" t="s">
        <v>255</v>
      </c>
      <c r="M602" s="101" t="s">
        <v>272</v>
      </c>
      <c r="N602" s="442" t="s">
        <v>403</v>
      </c>
      <c r="O602" s="165">
        <v>115.23949999999999</v>
      </c>
      <c r="P602" s="933">
        <v>387.15</v>
      </c>
      <c r="Q602" s="157">
        <v>42</v>
      </c>
      <c r="R602" s="109" t="s">
        <v>548</v>
      </c>
      <c r="S602" s="110">
        <v>733089.1</v>
      </c>
      <c r="T602" s="93">
        <v>131663.28000000003</v>
      </c>
      <c r="U602" s="141"/>
      <c r="V602" s="158">
        <f t="shared" si="357"/>
        <v>0</v>
      </c>
      <c r="W602" s="159">
        <v>45776.675000000003</v>
      </c>
      <c r="X602" s="159">
        <v>45783.550694444442</v>
      </c>
      <c r="Y602" s="160">
        <v>45783</v>
      </c>
      <c r="Z602" s="470"/>
      <c r="AA602" s="470">
        <v>45842</v>
      </c>
      <c r="AB602" s="470"/>
      <c r="AC602" s="161">
        <f t="shared" si="358"/>
        <v>65.32499999999709</v>
      </c>
      <c r="AD602" s="161">
        <f t="shared" si="351"/>
        <v>58.449305555557657</v>
      </c>
      <c r="AE602" s="446">
        <f t="shared" si="381"/>
        <v>-45842</v>
      </c>
      <c r="AF602" s="160">
        <f t="shared" si="352"/>
        <v>45799.146698113211</v>
      </c>
      <c r="AG602" s="160">
        <f t="shared" si="349"/>
        <v>45808.939150943399</v>
      </c>
      <c r="AH602" s="159">
        <f t="shared" si="353"/>
        <v>45826.675000000003</v>
      </c>
      <c r="AI602" s="162">
        <f t="shared" si="359"/>
        <v>1.9234583333332473</v>
      </c>
      <c r="AJ602" s="224">
        <f t="shared" si="354"/>
        <v>-764.0333333333333</v>
      </c>
      <c r="AK602" s="225">
        <f t="shared" si="360"/>
        <v>30</v>
      </c>
      <c r="AL602" s="170">
        <f t="shared" si="361"/>
        <v>36</v>
      </c>
      <c r="AM602" s="170">
        <f t="shared" si="362"/>
        <v>25.471698113207545</v>
      </c>
      <c r="AN602" s="170">
        <f t="shared" si="363"/>
        <v>32.264150943396224</v>
      </c>
      <c r="AO602" s="226">
        <f t="shared" si="364"/>
        <v>22.471698113207545</v>
      </c>
      <c r="AP602" s="227">
        <v>60</v>
      </c>
      <c r="AQ602" s="228">
        <f t="shared" si="365"/>
        <v>57</v>
      </c>
      <c r="AR602" s="228">
        <f t="shared" si="350"/>
        <v>52</v>
      </c>
      <c r="AS602" s="229">
        <f t="shared" si="366"/>
        <v>45902</v>
      </c>
      <c r="AT602" s="982">
        <f t="shared" ca="1" si="367"/>
        <v>53</v>
      </c>
      <c r="AU602" s="1077" t="s">
        <v>50</v>
      </c>
      <c r="AV602" s="1092" t="s">
        <v>247</v>
      </c>
      <c r="AW602" s="1079" t="s">
        <v>247</v>
      </c>
      <c r="AX602" s="1079"/>
      <c r="AY602" s="1079"/>
      <c r="AZ602" s="1080">
        <v>45832</v>
      </c>
      <c r="BA602" s="1101">
        <v>34</v>
      </c>
      <c r="BB602" s="1091">
        <v>45866</v>
      </c>
      <c r="BC602" s="231" t="s">
        <v>13</v>
      </c>
      <c r="BD602" s="232"/>
      <c r="BE602" s="222">
        <f t="shared" si="382"/>
        <v>45857</v>
      </c>
      <c r="BF602" s="233" t="e">
        <f t="shared" si="355"/>
        <v>#VALUE!</v>
      </c>
      <c r="BG602" s="234"/>
      <c r="BH602" s="235"/>
      <c r="BI602" s="234"/>
      <c r="BJ602" s="236"/>
      <c r="BK602" s="222"/>
      <c r="BL602" s="222"/>
      <c r="BM602" s="238"/>
      <c r="BN602" s="222"/>
      <c r="BO602" s="222"/>
      <c r="BP602" s="243"/>
      <c r="BQ602" s="244" t="s">
        <v>247</v>
      </c>
      <c r="BR602" s="238">
        <v>45835</v>
      </c>
      <c r="BS602" s="68"/>
      <c r="BT602" s="69"/>
      <c r="BU602" s="69"/>
      <c r="BV602" s="69"/>
      <c r="BW602" s="75"/>
      <c r="BX602" s="81"/>
      <c r="BY602" s="66" t="e">
        <f>VLOOKUP([4]C1!$BY:$BY,[4]C1!$BY$531:$BY$625,1,FALSE)</f>
        <v>#N/A</v>
      </c>
      <c r="BZ602" s="944" t="e">
        <f>VLOOKUP([4]C1!$BZ:$BZ,[4]C1!$BZ$531:$BZ$625,1,FALSE)</f>
        <v>#N/A</v>
      </c>
      <c r="CA602" s="42" t="str">
        <f t="shared" si="368"/>
        <v>0</v>
      </c>
      <c r="CB602" s="62">
        <f t="shared" si="369"/>
        <v>65.32499999999709</v>
      </c>
      <c r="CC602" s="42">
        <f t="shared" si="370"/>
        <v>34</v>
      </c>
      <c r="CD602" s="62">
        <f t="shared" si="371"/>
        <v>31.32499999999709</v>
      </c>
      <c r="CE602" s="62">
        <f t="shared" si="372"/>
        <v>0.9223472222221365</v>
      </c>
      <c r="CF602" s="1059">
        <f t="shared" si="373"/>
        <v>27</v>
      </c>
      <c r="CH602" s="1082">
        <f t="shared" si="374"/>
        <v>2.7184583333332473</v>
      </c>
      <c r="CI602" s="1083">
        <f t="shared" si="375"/>
        <v>2.7184583333332473</v>
      </c>
      <c r="CJ602" s="1084">
        <f t="shared" si="376"/>
        <v>0.45</v>
      </c>
      <c r="CK602" s="1085" t="str">
        <f t="shared" si="377"/>
        <v/>
      </c>
      <c r="CL602" s="1057" t="str">
        <f t="shared" si="378"/>
        <v>NON-REV</v>
      </c>
      <c r="CM602" s="1057" t="str">
        <f t="shared" si="379"/>
        <v/>
      </c>
      <c r="CN602" s="1086"/>
      <c r="CO602" s="1087"/>
      <c r="CP602" s="629" t="str">
        <f t="shared" si="356"/>
        <v>FOR ISSUANCE</v>
      </c>
      <c r="CQ602" s="1086"/>
      <c r="CR602" s="1088"/>
      <c r="CS602" s="1089" t="str">
        <f t="shared" ca="1" si="380"/>
        <v>0</v>
      </c>
      <c r="CT602" s="1086"/>
      <c r="CU602" s="1087"/>
      <c r="CV602" s="1090"/>
      <c r="CX602" s="156"/>
      <c r="CY602" s="156"/>
      <c r="DS602" s="156" t="s">
        <v>397</v>
      </c>
    </row>
    <row r="603" spans="1:123" customFormat="1" ht="15" customHeight="1" x14ac:dyDescent="0.25">
      <c r="A603" s="242">
        <v>45783</v>
      </c>
      <c r="B603" s="222">
        <v>45784</v>
      </c>
      <c r="C603" s="223" t="s">
        <v>247</v>
      </c>
      <c r="D603" s="66" t="s">
        <v>320</v>
      </c>
      <c r="E603" s="404" t="s">
        <v>3150</v>
      </c>
      <c r="F603" s="95" t="s">
        <v>3151</v>
      </c>
      <c r="G603" s="95" t="s">
        <v>2984</v>
      </c>
      <c r="H603" s="95" t="s">
        <v>238</v>
      </c>
      <c r="I603" s="95" t="s">
        <v>239</v>
      </c>
      <c r="J603" s="163"/>
      <c r="K603" s="101"/>
      <c r="L603" s="101" t="s">
        <v>263</v>
      </c>
      <c r="M603" s="101" t="s">
        <v>272</v>
      </c>
      <c r="N603" s="442" t="s">
        <v>467</v>
      </c>
      <c r="O603" s="165">
        <v>7.61</v>
      </c>
      <c r="P603" s="933">
        <v>15.61</v>
      </c>
      <c r="Q603" s="157" t="s">
        <v>2021</v>
      </c>
      <c r="R603" s="109" t="s">
        <v>319</v>
      </c>
      <c r="S603" s="110">
        <v>23102.58</v>
      </c>
      <c r="T603" s="93">
        <v>13412.51</v>
      </c>
      <c r="U603" s="141"/>
      <c r="V603" s="158">
        <f t="shared" si="357"/>
        <v>0</v>
      </c>
      <c r="W603" s="159">
        <v>45777.347222222219</v>
      </c>
      <c r="X603" s="159">
        <v>45761</v>
      </c>
      <c r="Y603" s="160">
        <v>45783</v>
      </c>
      <c r="Z603" s="470">
        <v>45782</v>
      </c>
      <c r="AA603" s="470">
        <v>45782</v>
      </c>
      <c r="AB603" s="470"/>
      <c r="AC603" s="161">
        <f t="shared" si="358"/>
        <v>4.6527777777810115</v>
      </c>
      <c r="AD603" s="161">
        <f t="shared" si="351"/>
        <v>21</v>
      </c>
      <c r="AE603" s="446">
        <f t="shared" si="381"/>
        <v>-45782</v>
      </c>
      <c r="AF603" s="160">
        <f t="shared" si="352"/>
        <v>45789.347222222219</v>
      </c>
      <c r="AG603" s="160">
        <f t="shared" si="349"/>
        <v>45796.347222222219</v>
      </c>
      <c r="AH603" s="159">
        <f t="shared" si="353"/>
        <v>45827.347222222219</v>
      </c>
      <c r="AI603" s="162">
        <f t="shared" si="359"/>
        <v>0.23263888888905054</v>
      </c>
      <c r="AJ603" s="224">
        <f t="shared" si="354"/>
        <v>-763.0333333333333</v>
      </c>
      <c r="AK603" s="225">
        <f t="shared" si="360"/>
        <v>20</v>
      </c>
      <c r="AL603" s="170">
        <f t="shared" si="361"/>
        <v>20</v>
      </c>
      <c r="AM603" s="170">
        <f t="shared" si="362"/>
        <v>15.000000000000002</v>
      </c>
      <c r="AN603" s="170">
        <f t="shared" si="363"/>
        <v>19</v>
      </c>
      <c r="AO603" s="226">
        <f t="shared" si="364"/>
        <v>12.000000000000002</v>
      </c>
      <c r="AP603" s="227">
        <v>60</v>
      </c>
      <c r="AQ603" s="228">
        <f t="shared" si="365"/>
        <v>57</v>
      </c>
      <c r="AR603" s="228">
        <f t="shared" si="350"/>
        <v>52</v>
      </c>
      <c r="AS603" s="229">
        <f t="shared" si="366"/>
        <v>45842</v>
      </c>
      <c r="AT603" s="982">
        <f t="shared" ca="1" si="367"/>
        <v>113</v>
      </c>
      <c r="AU603" s="50"/>
      <c r="AV603" s="51"/>
      <c r="AW603" s="49"/>
      <c r="AX603" s="49"/>
      <c r="AY603" s="49"/>
      <c r="AZ603" s="300"/>
      <c r="BA603" s="52"/>
      <c r="BB603" s="304"/>
      <c r="BC603" s="231" t="s">
        <v>13</v>
      </c>
      <c r="BD603" s="232"/>
      <c r="BE603" s="222">
        <f t="shared" si="382"/>
        <v>45797</v>
      </c>
      <c r="BF603" s="233" t="e">
        <f t="shared" si="355"/>
        <v>#VALUE!</v>
      </c>
      <c r="BG603" s="234"/>
      <c r="BH603" s="235"/>
      <c r="BI603" s="234"/>
      <c r="BJ603" s="236"/>
      <c r="BK603" s="222"/>
      <c r="BL603" s="222"/>
      <c r="BM603" s="238"/>
      <c r="BN603" s="222"/>
      <c r="BO603" s="222"/>
      <c r="BP603" s="243"/>
      <c r="BQ603" s="244"/>
      <c r="BR603" s="238"/>
      <c r="BS603" s="68"/>
      <c r="BT603" s="69"/>
      <c r="BU603" s="69"/>
      <c r="BV603" s="69"/>
      <c r="BW603" s="75"/>
      <c r="BX603" s="81"/>
      <c r="BY603" s="66">
        <f>VLOOKUP([4]C1!$BY:$BY,[4]C1!$BY$531:$BY$625,1,FALSE)</f>
        <v>45786</v>
      </c>
      <c r="BZ603" s="944" t="str">
        <f>VLOOKUP([4]C1!$BZ:$BZ,[4]C1!$BZ$531:$BZ$625,1,FALSE)</f>
        <v>CW9-8098,CW9-8099,CW9-8100,TLN-530415</v>
      </c>
      <c r="CA603" s="42" t="str">
        <f t="shared" si="368"/>
        <v>0</v>
      </c>
      <c r="CB603" s="62">
        <f t="shared" si="369"/>
        <v>4.6527777777810115</v>
      </c>
      <c r="CC603" s="42">
        <f t="shared" si="370"/>
        <v>0</v>
      </c>
      <c r="CD603" s="62">
        <f t="shared" si="371"/>
        <v>4.6527777777810115</v>
      </c>
      <c r="CE603" s="62">
        <f t="shared" si="372"/>
        <v>0.23263888888905054</v>
      </c>
      <c r="CF603" s="145">
        <f t="shared" si="373"/>
        <v>87</v>
      </c>
      <c r="CG603" s="145"/>
      <c r="CH603" s="443">
        <f t="shared" si="374"/>
        <v>4.5826388888890506</v>
      </c>
      <c r="CI603" s="996">
        <f t="shared" si="375"/>
        <v>4.5826388888890506</v>
      </c>
      <c r="CJ603" s="261">
        <f t="shared" si="376"/>
        <v>1.45</v>
      </c>
      <c r="CK603" s="458" t="str">
        <f t="shared" si="377"/>
        <v/>
      </c>
      <c r="CL603" t="str">
        <f t="shared" si="378"/>
        <v>NON-REV</v>
      </c>
      <c r="CM603" t="str">
        <f t="shared" si="379"/>
        <v/>
      </c>
      <c r="CN603" s="635"/>
      <c r="CO603" s="631"/>
      <c r="CP603" s="629" t="str">
        <f t="shared" si="356"/>
        <v>FOR ISSUANCE</v>
      </c>
      <c r="CQ603" s="635"/>
      <c r="CR603" s="697"/>
      <c r="CS603" s="633" t="str">
        <f t="shared" ca="1" si="380"/>
        <v>0</v>
      </c>
      <c r="CT603" s="635"/>
      <c r="CU603" s="631"/>
      <c r="CV603" s="638"/>
      <c r="CW603" s="404"/>
      <c r="CX603" s="156"/>
      <c r="CY603" s="156"/>
      <c r="DS603" s="442" t="s">
        <v>381</v>
      </c>
    </row>
    <row r="604" spans="1:123" customFormat="1" ht="15" customHeight="1" x14ac:dyDescent="0.25">
      <c r="A604" s="242">
        <v>45799</v>
      </c>
      <c r="B604" s="222">
        <v>45784</v>
      </c>
      <c r="C604" s="223" t="s">
        <v>247</v>
      </c>
      <c r="D604" s="66" t="s">
        <v>284</v>
      </c>
      <c r="E604" s="404" t="s">
        <v>3152</v>
      </c>
      <c r="F604" s="95" t="s">
        <v>3153</v>
      </c>
      <c r="G604" s="95" t="s">
        <v>3154</v>
      </c>
      <c r="H604" s="95" t="s">
        <v>253</v>
      </c>
      <c r="I604" s="95" t="s">
        <v>254</v>
      </c>
      <c r="J604" s="163"/>
      <c r="K604" s="101"/>
      <c r="L604" s="101" t="s">
        <v>263</v>
      </c>
      <c r="M604" s="101" t="s">
        <v>272</v>
      </c>
      <c r="N604" s="442" t="s">
        <v>467</v>
      </c>
      <c r="O604" s="165">
        <v>43.404699999999998</v>
      </c>
      <c r="P604" s="933">
        <v>85.69</v>
      </c>
      <c r="Q604" s="157">
        <v>25</v>
      </c>
      <c r="R604" s="109" t="s">
        <v>244</v>
      </c>
      <c r="S604" s="110">
        <v>479294.17</v>
      </c>
      <c r="T604" s="93">
        <v>73631.56</v>
      </c>
      <c r="U604" s="141"/>
      <c r="V604" s="158">
        <f t="shared" si="357"/>
        <v>0</v>
      </c>
      <c r="W604" s="159">
        <v>45777.365972222222</v>
      </c>
      <c r="X604" s="159">
        <v>45783.553472222222</v>
      </c>
      <c r="Y604" s="160">
        <v>45783</v>
      </c>
      <c r="Z604" s="470"/>
      <c r="AA604" s="470">
        <v>45804</v>
      </c>
      <c r="AB604" s="470"/>
      <c r="AC604" s="161">
        <f t="shared" si="358"/>
        <v>26.634027777778101</v>
      </c>
      <c r="AD604" s="161">
        <f t="shared" si="351"/>
        <v>20.446527777778101</v>
      </c>
      <c r="AE604" s="446">
        <f t="shared" si="381"/>
        <v>-45804</v>
      </c>
      <c r="AF604" s="160">
        <f t="shared" si="352"/>
        <v>45797.451474080961</v>
      </c>
      <c r="AG604" s="160">
        <f t="shared" si="349"/>
        <v>45806.607607909951</v>
      </c>
      <c r="AH604" s="159">
        <f t="shared" si="353"/>
        <v>45827.365972222222</v>
      </c>
      <c r="AI604" s="162">
        <f t="shared" si="359"/>
        <v>0.86528423577564118</v>
      </c>
      <c r="AJ604" s="224">
        <f t="shared" si="354"/>
        <v>-763.4</v>
      </c>
      <c r="AK604" s="225">
        <f t="shared" si="360"/>
        <v>23</v>
      </c>
      <c r="AL604" s="170">
        <f t="shared" si="361"/>
        <v>36</v>
      </c>
      <c r="AM604" s="170">
        <f t="shared" si="362"/>
        <v>23.085501858736059</v>
      </c>
      <c r="AN604" s="170">
        <f t="shared" si="363"/>
        <v>29.241635687732341</v>
      </c>
      <c r="AO604" s="226">
        <f t="shared" si="364"/>
        <v>20.085501858736059</v>
      </c>
      <c r="AP604" s="227">
        <v>60</v>
      </c>
      <c r="AQ604" s="228">
        <f t="shared" si="365"/>
        <v>57</v>
      </c>
      <c r="AR604" s="228">
        <f t="shared" si="350"/>
        <v>52</v>
      </c>
      <c r="AS604" s="229">
        <f t="shared" si="366"/>
        <v>45864</v>
      </c>
      <c r="AT604" s="982">
        <f t="shared" ca="1" si="367"/>
        <v>91</v>
      </c>
      <c r="AU604" s="50"/>
      <c r="AV604" s="51"/>
      <c r="AW604" s="49"/>
      <c r="AX604" s="49"/>
      <c r="AY604" s="49"/>
      <c r="AZ604" s="300"/>
      <c r="BA604" s="52"/>
      <c r="BB604" s="304"/>
      <c r="BC604" s="231" t="s">
        <v>13</v>
      </c>
      <c r="BD604" s="232"/>
      <c r="BE604" s="222">
        <f t="shared" si="382"/>
        <v>45819</v>
      </c>
      <c r="BF604" s="233" t="e">
        <f t="shared" si="355"/>
        <v>#VALUE!</v>
      </c>
      <c r="BG604" s="234"/>
      <c r="BH604" s="235"/>
      <c r="BI604" s="234"/>
      <c r="BJ604" s="236"/>
      <c r="BK604" s="222"/>
      <c r="BL604" s="222"/>
      <c r="BM604" s="238"/>
      <c r="BN604" s="222"/>
      <c r="BO604" s="222"/>
      <c r="BP604" s="243"/>
      <c r="BQ604" s="244" t="s">
        <v>247</v>
      </c>
      <c r="BR604" s="238">
        <v>45803</v>
      </c>
      <c r="BS604" s="68"/>
      <c r="BT604" s="69"/>
      <c r="BU604" s="69"/>
      <c r="BV604" s="69"/>
      <c r="BW604" s="75"/>
      <c r="BX604" s="81"/>
      <c r="BY604" s="66" t="e">
        <f>VLOOKUP([4]C1!$BY:$BY,[4]C1!$BY$531:$BY$625,1,FALSE)</f>
        <v>#N/A</v>
      </c>
      <c r="BZ604" s="944" t="e">
        <f>VLOOKUP([4]C1!$BZ:$BZ,[4]C1!$BZ$531:$BZ$625,1,FALSE)</f>
        <v>#N/A</v>
      </c>
      <c r="CA604" s="42" t="str">
        <f t="shared" si="368"/>
        <v>0</v>
      </c>
      <c r="CB604" s="62">
        <f t="shared" si="369"/>
        <v>26.634027777778101</v>
      </c>
      <c r="CC604" s="42">
        <f t="shared" si="370"/>
        <v>0</v>
      </c>
      <c r="CD604" s="62">
        <f t="shared" si="371"/>
        <v>26.634027777778101</v>
      </c>
      <c r="CE604" s="62">
        <f t="shared" si="372"/>
        <v>0.86528423577564118</v>
      </c>
      <c r="CF604" s="145">
        <f t="shared" si="373"/>
        <v>65</v>
      </c>
      <c r="CG604" s="145"/>
      <c r="CH604" s="443">
        <f t="shared" si="374"/>
        <v>2.9769992116210515</v>
      </c>
      <c r="CI604" s="996">
        <f t="shared" si="375"/>
        <v>2.9769992116210515</v>
      </c>
      <c r="CJ604" s="261">
        <f t="shared" si="376"/>
        <v>1.0833333333333333</v>
      </c>
      <c r="CK604" s="458" t="str">
        <f t="shared" si="377"/>
        <v/>
      </c>
      <c r="CL604" t="str">
        <f t="shared" si="378"/>
        <v>REV</v>
      </c>
      <c r="CM604" t="str">
        <f t="shared" si="379"/>
        <v/>
      </c>
      <c r="CN604" s="635"/>
      <c r="CO604" s="631"/>
      <c r="CP604" s="629" t="str">
        <f t="shared" si="356"/>
        <v>FOR ISSUANCE</v>
      </c>
      <c r="CQ604" s="635"/>
      <c r="CR604" s="697"/>
      <c r="CS604" s="633" t="str">
        <f t="shared" ca="1" si="380"/>
        <v>0</v>
      </c>
      <c r="CT604" s="635"/>
      <c r="CU604" s="631"/>
      <c r="CV604" s="638"/>
      <c r="CW604" s="404"/>
      <c r="CX604" s="156"/>
      <c r="CY604" s="156"/>
      <c r="DS604" s="442" t="s">
        <v>381</v>
      </c>
    </row>
    <row r="605" spans="1:123" customFormat="1" ht="15" customHeight="1" x14ac:dyDescent="0.25">
      <c r="A605" s="242">
        <v>45786</v>
      </c>
      <c r="B605" s="222">
        <v>45784</v>
      </c>
      <c r="C605" s="223"/>
      <c r="D605" s="66" t="s">
        <v>284</v>
      </c>
      <c r="E605" s="404" t="s">
        <v>3155</v>
      </c>
      <c r="F605" s="95" t="s">
        <v>3156</v>
      </c>
      <c r="G605" s="95" t="s">
        <v>842</v>
      </c>
      <c r="H605" s="95" t="s">
        <v>318</v>
      </c>
      <c r="I605" s="95" t="s">
        <v>239</v>
      </c>
      <c r="J605" s="163"/>
      <c r="K605" s="101"/>
      <c r="L605" s="101" t="s">
        <v>5</v>
      </c>
      <c r="M605" s="101" t="s">
        <v>272</v>
      </c>
      <c r="N605" s="442" t="s">
        <v>403</v>
      </c>
      <c r="O605" s="165">
        <v>3.92</v>
      </c>
      <c r="P605" s="933">
        <v>17.46</v>
      </c>
      <c r="Q605" s="157">
        <v>127</v>
      </c>
      <c r="R605" s="109" t="s">
        <v>244</v>
      </c>
      <c r="S605" s="110">
        <v>48368.01</v>
      </c>
      <c r="T605" s="860">
        <v>15002.04</v>
      </c>
      <c r="U605" s="141"/>
      <c r="V605" s="158">
        <f t="shared" si="357"/>
        <v>0</v>
      </c>
      <c r="W605" s="159">
        <v>45777.522222222222</v>
      </c>
      <c r="X605" s="159">
        <v>45783.554861111108</v>
      </c>
      <c r="Y605" s="160">
        <v>45783</v>
      </c>
      <c r="Z605" s="470"/>
      <c r="AA605" s="470">
        <v>45797</v>
      </c>
      <c r="AB605" s="470"/>
      <c r="AC605" s="161">
        <f t="shared" si="358"/>
        <v>19.477777777778101</v>
      </c>
      <c r="AD605" s="161">
        <f t="shared" si="351"/>
        <v>13.445138888891961</v>
      </c>
      <c r="AE605" s="446">
        <f t="shared" si="381"/>
        <v>-45797</v>
      </c>
      <c r="AF605" s="160">
        <f t="shared" si="352"/>
        <v>45794.861205273068</v>
      </c>
      <c r="AG605" s="160">
        <f t="shared" si="349"/>
        <v>45803.284934086631</v>
      </c>
      <c r="AH605" s="159">
        <f t="shared" si="353"/>
        <v>45827.522222222222</v>
      </c>
      <c r="AI605" s="162">
        <f t="shared" si="359"/>
        <v>0.71824305555556744</v>
      </c>
      <c r="AJ605" s="224">
        <f t="shared" si="354"/>
        <v>-763.2833333333333</v>
      </c>
      <c r="AK605" s="225">
        <f t="shared" si="360"/>
        <v>20</v>
      </c>
      <c r="AL605" s="170">
        <f t="shared" si="361"/>
        <v>32</v>
      </c>
      <c r="AM605" s="170">
        <f t="shared" si="362"/>
        <v>20.33898305084746</v>
      </c>
      <c r="AN605" s="170">
        <f t="shared" si="363"/>
        <v>25.762711864406779</v>
      </c>
      <c r="AO605" s="226">
        <f t="shared" si="364"/>
        <v>17.33898305084746</v>
      </c>
      <c r="AP605" s="227">
        <v>60</v>
      </c>
      <c r="AQ605" s="228">
        <f t="shared" si="365"/>
        <v>57</v>
      </c>
      <c r="AR605" s="228">
        <f t="shared" si="350"/>
        <v>52</v>
      </c>
      <c r="AS605" s="229">
        <f t="shared" si="366"/>
        <v>45857</v>
      </c>
      <c r="AT605" s="982">
        <f t="shared" ca="1" si="367"/>
        <v>98</v>
      </c>
      <c r="AU605" s="50"/>
      <c r="AV605" s="51"/>
      <c r="AW605" s="49"/>
      <c r="AX605" s="49"/>
      <c r="AY605" s="49"/>
      <c r="AZ605" s="300"/>
      <c r="BA605" s="52"/>
      <c r="BB605" s="304"/>
      <c r="BC605" s="231" t="s">
        <v>13</v>
      </c>
      <c r="BD605" s="232"/>
      <c r="BE605" s="222">
        <f t="shared" si="382"/>
        <v>45812</v>
      </c>
      <c r="BF605" s="233" t="e">
        <f t="shared" si="355"/>
        <v>#VALUE!</v>
      </c>
      <c r="BG605" s="234"/>
      <c r="BH605" s="235"/>
      <c r="BI605" s="234"/>
      <c r="BJ605" s="236"/>
      <c r="BK605" s="222"/>
      <c r="BL605" s="222"/>
      <c r="BM605" s="238"/>
      <c r="BN605" s="222"/>
      <c r="BO605" s="222"/>
      <c r="BP605" s="243"/>
      <c r="BQ605" s="244" t="s">
        <v>247</v>
      </c>
      <c r="BR605" s="238">
        <v>45793</v>
      </c>
      <c r="BS605" s="68"/>
      <c r="BT605" s="69"/>
      <c r="BU605" s="69"/>
      <c r="BV605" s="69"/>
      <c r="BW605" s="75"/>
      <c r="BX605" s="81"/>
      <c r="BY605" s="66" t="e">
        <f>VLOOKUP([4]C1!$BY:$BY,[4]C1!$BY$531:$BY$625,1,FALSE)</f>
        <v>#N/A</v>
      </c>
      <c r="BZ605" s="944" t="e">
        <f>VLOOKUP([4]C1!$BZ:$BZ,[4]C1!$BZ$531:$BZ$625,1,FALSE)</f>
        <v>#N/A</v>
      </c>
      <c r="CA605" s="42" t="str">
        <f t="shared" si="368"/>
        <v>0</v>
      </c>
      <c r="CB605" s="62">
        <f t="shared" si="369"/>
        <v>19.477777777778101</v>
      </c>
      <c r="CC605" s="42">
        <f t="shared" si="370"/>
        <v>0</v>
      </c>
      <c r="CD605" s="62">
        <f t="shared" si="371"/>
        <v>19.477777777778101</v>
      </c>
      <c r="CE605" s="62">
        <f t="shared" si="372"/>
        <v>0.71824305555556744</v>
      </c>
      <c r="CF605" s="145">
        <f t="shared" si="373"/>
        <v>72</v>
      </c>
      <c r="CG605" s="145"/>
      <c r="CH605" s="443">
        <f t="shared" si="374"/>
        <v>3.3732430555555677</v>
      </c>
      <c r="CI605" s="996">
        <f t="shared" si="375"/>
        <v>3.3732430555555677</v>
      </c>
      <c r="CJ605" s="261">
        <f t="shared" si="376"/>
        <v>1.2</v>
      </c>
      <c r="CK605" s="458" t="str">
        <f t="shared" si="377"/>
        <v/>
      </c>
      <c r="CL605" t="str">
        <f t="shared" si="378"/>
        <v>REV</v>
      </c>
      <c r="CM605" t="str">
        <f t="shared" si="379"/>
        <v/>
      </c>
      <c r="CN605" s="635"/>
      <c r="CO605" s="631"/>
      <c r="CP605" s="629" t="str">
        <f t="shared" si="356"/>
        <v>FOR ISSUANCE</v>
      </c>
      <c r="CQ605" s="635"/>
      <c r="CR605" s="697"/>
      <c r="CS605" s="633" t="str">
        <f t="shared" ca="1" si="380"/>
        <v>0</v>
      </c>
      <c r="CT605" s="635"/>
      <c r="CU605" s="631"/>
      <c r="CV605" s="638"/>
      <c r="CW605" s="404"/>
      <c r="CX605" s="156"/>
      <c r="CY605" s="156"/>
      <c r="DS605" s="442" t="s">
        <v>381</v>
      </c>
    </row>
    <row r="606" spans="1:123" ht="15" customHeight="1" x14ac:dyDescent="0.2">
      <c r="A606" s="242">
        <v>45796</v>
      </c>
      <c r="B606" s="222">
        <v>45784</v>
      </c>
      <c r="C606" s="223"/>
      <c r="D606" s="66" t="s">
        <v>320</v>
      </c>
      <c r="E606" s="404" t="s">
        <v>3157</v>
      </c>
      <c r="F606" s="95" t="s">
        <v>3158</v>
      </c>
      <c r="G606" s="95" t="s">
        <v>3159</v>
      </c>
      <c r="H606" s="95" t="s">
        <v>269</v>
      </c>
      <c r="I606" s="95" t="s">
        <v>239</v>
      </c>
      <c r="J606" s="163"/>
      <c r="K606" s="101"/>
      <c r="L606" s="101" t="s">
        <v>255</v>
      </c>
      <c r="M606" s="101" t="s">
        <v>272</v>
      </c>
      <c r="N606" s="442" t="s">
        <v>403</v>
      </c>
      <c r="O606" s="165">
        <v>38.218499999999999</v>
      </c>
      <c r="P606" s="933">
        <v>129.49</v>
      </c>
      <c r="Q606" s="157">
        <v>49</v>
      </c>
      <c r="R606" s="109" t="s">
        <v>244</v>
      </c>
      <c r="S606" s="110">
        <v>354540.41</v>
      </c>
      <c r="T606" s="93">
        <v>43995.979999999996</v>
      </c>
      <c r="U606" s="141"/>
      <c r="V606" s="158">
        <f t="shared" si="357"/>
        <v>0</v>
      </c>
      <c r="W606" s="159">
        <v>45777.523611111108</v>
      </c>
      <c r="X606" s="159">
        <v>45783.552083333336</v>
      </c>
      <c r="Y606" s="160">
        <v>45783</v>
      </c>
      <c r="Z606" s="470"/>
      <c r="AA606" s="470">
        <v>45842</v>
      </c>
      <c r="AB606" s="470"/>
      <c r="AC606" s="161">
        <f t="shared" si="358"/>
        <v>64.476388888891961</v>
      </c>
      <c r="AD606" s="161">
        <f t="shared" si="351"/>
        <v>58.447916666664241</v>
      </c>
      <c r="AE606" s="446">
        <f t="shared" si="381"/>
        <v>-45842</v>
      </c>
      <c r="AF606" s="160">
        <f t="shared" si="352"/>
        <v>45798.730507662833</v>
      </c>
      <c r="AG606" s="160">
        <f t="shared" si="349"/>
        <v>45808.185680076625</v>
      </c>
      <c r="AH606" s="159">
        <f t="shared" si="353"/>
        <v>45827.523611111108</v>
      </c>
      <c r="AI606" s="162">
        <f t="shared" si="359"/>
        <v>1.9976658950618233</v>
      </c>
      <c r="AJ606" s="224">
        <f t="shared" si="354"/>
        <v>-764.0333333333333</v>
      </c>
      <c r="AK606" s="225">
        <f t="shared" si="360"/>
        <v>26</v>
      </c>
      <c r="AL606" s="170">
        <f t="shared" si="361"/>
        <v>36</v>
      </c>
      <c r="AM606" s="170">
        <f t="shared" si="362"/>
        <v>24.206896551724139</v>
      </c>
      <c r="AN606" s="170">
        <f t="shared" si="363"/>
        <v>30.662068965517239</v>
      </c>
      <c r="AO606" s="226">
        <f t="shared" si="364"/>
        <v>21.206896551724139</v>
      </c>
      <c r="AP606" s="227">
        <v>60</v>
      </c>
      <c r="AQ606" s="228">
        <f t="shared" si="365"/>
        <v>57</v>
      </c>
      <c r="AR606" s="228">
        <f t="shared" si="350"/>
        <v>52</v>
      </c>
      <c r="AS606" s="229">
        <f t="shared" si="366"/>
        <v>45902</v>
      </c>
      <c r="AT606" s="982">
        <f t="shared" ca="1" si="367"/>
        <v>53</v>
      </c>
      <c r="AU606" s="1077" t="s">
        <v>50</v>
      </c>
      <c r="AV606" s="1092" t="s">
        <v>247</v>
      </c>
      <c r="AW606" s="1079" t="s">
        <v>247</v>
      </c>
      <c r="AX606" s="1079"/>
      <c r="AY606" s="1079"/>
      <c r="AZ606" s="1080">
        <v>45832</v>
      </c>
      <c r="BA606" s="1101">
        <v>34</v>
      </c>
      <c r="BB606" s="1091">
        <v>45866</v>
      </c>
      <c r="BC606" s="231" t="s">
        <v>13</v>
      </c>
      <c r="BD606" s="232"/>
      <c r="BE606" s="222">
        <f t="shared" si="382"/>
        <v>45857</v>
      </c>
      <c r="BF606" s="233" t="e">
        <f t="shared" si="355"/>
        <v>#VALUE!</v>
      </c>
      <c r="BG606" s="234"/>
      <c r="BH606" s="235"/>
      <c r="BI606" s="234"/>
      <c r="BJ606" s="236"/>
      <c r="BK606" s="222"/>
      <c r="BL606" s="222"/>
      <c r="BM606" s="238"/>
      <c r="BN606" s="222"/>
      <c r="BO606" s="222"/>
      <c r="BP606" s="243"/>
      <c r="BQ606" s="244"/>
      <c r="BR606" s="238"/>
      <c r="BS606" s="68"/>
      <c r="BT606" s="69"/>
      <c r="BU606" s="69"/>
      <c r="BV606" s="69"/>
      <c r="BW606" s="75"/>
      <c r="BX606" s="81"/>
      <c r="BY606" s="66">
        <v>45796</v>
      </c>
      <c r="BZ606" s="944" t="s">
        <v>3160</v>
      </c>
      <c r="CA606" s="42" t="str">
        <f t="shared" si="368"/>
        <v>0</v>
      </c>
      <c r="CB606" s="62">
        <f t="shared" si="369"/>
        <v>64.476388888891961</v>
      </c>
      <c r="CC606" s="42">
        <f t="shared" si="370"/>
        <v>34</v>
      </c>
      <c r="CD606" s="62">
        <f t="shared" si="371"/>
        <v>30.476388888891961</v>
      </c>
      <c r="CE606" s="62">
        <f t="shared" si="372"/>
        <v>0.94424709164302001</v>
      </c>
      <c r="CF606" s="1059">
        <f t="shared" si="373"/>
        <v>27</v>
      </c>
      <c r="CH606" s="1082">
        <f t="shared" si="374"/>
        <v>2.834204356600285</v>
      </c>
      <c r="CI606" s="1083">
        <f t="shared" si="375"/>
        <v>2.834204356600285</v>
      </c>
      <c r="CJ606" s="1084">
        <f t="shared" si="376"/>
        <v>0.45</v>
      </c>
      <c r="CK606" s="1085" t="str">
        <f t="shared" si="377"/>
        <v/>
      </c>
      <c r="CL606" s="1057" t="str">
        <f t="shared" si="378"/>
        <v>REV</v>
      </c>
      <c r="CM606" s="1057" t="str">
        <f t="shared" si="379"/>
        <v/>
      </c>
      <c r="CN606" s="1086"/>
      <c r="CO606" s="1087"/>
      <c r="CP606" s="629" t="str">
        <f t="shared" si="356"/>
        <v>FOR ISSUANCE</v>
      </c>
      <c r="CQ606" s="1086"/>
      <c r="CR606" s="1088"/>
      <c r="CS606" s="1089" t="str">
        <f t="shared" ca="1" si="380"/>
        <v>0</v>
      </c>
      <c r="CT606" s="1086"/>
      <c r="CU606" s="1087"/>
      <c r="CV606" s="1090"/>
      <c r="CX606" s="156"/>
      <c r="CY606" s="156"/>
      <c r="DS606" s="442" t="s">
        <v>403</v>
      </c>
    </row>
    <row r="607" spans="1:123" customFormat="1" ht="15" customHeight="1" x14ac:dyDescent="0.25">
      <c r="A607" s="242">
        <v>45790</v>
      </c>
      <c r="B607" s="222">
        <v>45784</v>
      </c>
      <c r="C607" s="223"/>
      <c r="D607" s="66" t="s">
        <v>284</v>
      </c>
      <c r="E607" s="404" t="s">
        <v>3161</v>
      </c>
      <c r="F607" s="95" t="s">
        <v>1567</v>
      </c>
      <c r="G607" s="95" t="s">
        <v>3162</v>
      </c>
      <c r="H607" s="95" t="s">
        <v>238</v>
      </c>
      <c r="I607" s="95" t="s">
        <v>239</v>
      </c>
      <c r="J607" s="163"/>
      <c r="K607" s="101"/>
      <c r="L607" s="101" t="s">
        <v>263</v>
      </c>
      <c r="M607" s="101" t="s">
        <v>272</v>
      </c>
      <c r="N607" s="442" t="s">
        <v>467</v>
      </c>
      <c r="O607" s="165">
        <v>2.73</v>
      </c>
      <c r="P607" s="165">
        <v>33.86</v>
      </c>
      <c r="Q607" s="157">
        <v>34</v>
      </c>
      <c r="R607" s="109" t="s">
        <v>244</v>
      </c>
      <c r="S607" s="110">
        <v>92215.08</v>
      </c>
      <c r="T607" s="93">
        <v>29093.82</v>
      </c>
      <c r="U607" s="141"/>
      <c r="V607" s="158">
        <f t="shared" si="357"/>
        <v>0</v>
      </c>
      <c r="W607" s="159">
        <v>45777.63958333333</v>
      </c>
      <c r="X607" s="159">
        <v>45783.561805555553</v>
      </c>
      <c r="Y607" s="160">
        <v>45783</v>
      </c>
      <c r="Z607" s="470"/>
      <c r="AA607" s="470">
        <v>45866</v>
      </c>
      <c r="AB607" s="470"/>
      <c r="AC607" s="161">
        <f t="shared" si="358"/>
        <v>88.360416666670062</v>
      </c>
      <c r="AD607" s="161">
        <f t="shared" si="351"/>
        <v>82.438194444446708</v>
      </c>
      <c r="AE607" s="446">
        <f t="shared" si="381"/>
        <v>-45866</v>
      </c>
      <c r="AF607" s="160">
        <f t="shared" si="352"/>
        <v>45796.413776881716</v>
      </c>
      <c r="AG607" s="160">
        <f t="shared" si="349"/>
        <v>45805.220228494618</v>
      </c>
      <c r="AH607" s="159">
        <f t="shared" si="353"/>
        <v>45827.63958333333</v>
      </c>
      <c r="AI607" s="162">
        <f t="shared" si="359"/>
        <v>3.0435254629630797</v>
      </c>
      <c r="AJ607" s="224">
        <f t="shared" si="354"/>
        <v>-764.43333333333328</v>
      </c>
      <c r="AK607" s="225">
        <f t="shared" si="360"/>
        <v>20</v>
      </c>
      <c r="AL607" s="170">
        <f t="shared" si="361"/>
        <v>36</v>
      </c>
      <c r="AM607" s="170">
        <f t="shared" si="362"/>
        <v>21.774193548387096</v>
      </c>
      <c r="AN607" s="170">
        <f t="shared" si="363"/>
        <v>27.58064516129032</v>
      </c>
      <c r="AO607" s="226">
        <f t="shared" si="364"/>
        <v>18.774193548387096</v>
      </c>
      <c r="AP607" s="227">
        <v>60</v>
      </c>
      <c r="AQ607" s="228">
        <f t="shared" si="365"/>
        <v>57</v>
      </c>
      <c r="AR607" s="228">
        <f t="shared" si="350"/>
        <v>52</v>
      </c>
      <c r="AS607" s="229">
        <f t="shared" si="366"/>
        <v>45926</v>
      </c>
      <c r="AT607" s="982">
        <f t="shared" ca="1" si="367"/>
        <v>29</v>
      </c>
      <c r="AU607" s="50"/>
      <c r="AV607" s="51"/>
      <c r="AW607" s="49"/>
      <c r="AX607" s="49"/>
      <c r="AY607" s="49"/>
      <c r="AZ607" s="300"/>
      <c r="BA607" s="52"/>
      <c r="BB607" s="304"/>
      <c r="BC607" s="231" t="s">
        <v>13</v>
      </c>
      <c r="BD607" s="232"/>
      <c r="BE607" s="222">
        <f t="shared" si="382"/>
        <v>45881</v>
      </c>
      <c r="BF607" s="233" t="e">
        <f t="shared" si="355"/>
        <v>#VALUE!</v>
      </c>
      <c r="BG607" s="234"/>
      <c r="BH607" s="235"/>
      <c r="BI607" s="234"/>
      <c r="BJ607" s="236"/>
      <c r="BK607" s="222"/>
      <c r="BL607" s="222"/>
      <c r="BM607" s="238"/>
      <c r="BN607" s="222"/>
      <c r="BO607" s="222"/>
      <c r="BP607" s="243"/>
      <c r="BQ607" s="244"/>
      <c r="BR607" s="238"/>
      <c r="BS607" s="68"/>
      <c r="BT607" s="69"/>
      <c r="BU607" s="69"/>
      <c r="BV607" s="69"/>
      <c r="BW607" s="75"/>
      <c r="BX607" s="81"/>
      <c r="BY607" s="66" t="e">
        <f>VLOOKUP([4]C1!$BY:$BY,[4]C1!$BY$531:$BY$625,1,FALSE)</f>
        <v>#N/A</v>
      </c>
      <c r="BZ607" s="944" t="e">
        <f>VLOOKUP([4]C1!$BZ:$BZ,[4]C1!$BZ$531:$BZ$625,1,FALSE)</f>
        <v>#N/A</v>
      </c>
      <c r="CA607" s="42" t="str">
        <f t="shared" si="368"/>
        <v>0</v>
      </c>
      <c r="CB607" s="62">
        <f t="shared" si="369"/>
        <v>88.360416666670062</v>
      </c>
      <c r="CC607" s="42">
        <f t="shared" si="370"/>
        <v>0</v>
      </c>
      <c r="CD607" s="62">
        <f t="shared" si="371"/>
        <v>88.360416666670062</v>
      </c>
      <c r="CE607" s="62">
        <f t="shared" si="372"/>
        <v>3.0435254629630797</v>
      </c>
      <c r="CF607" s="145">
        <f t="shared" si="373"/>
        <v>3</v>
      </c>
      <c r="CG607" s="145"/>
      <c r="CH607" s="443">
        <f t="shared" si="374"/>
        <v>3.1468587962964132</v>
      </c>
      <c r="CI607" s="996">
        <f t="shared" si="375"/>
        <v>3.1468587962964132</v>
      </c>
      <c r="CJ607" s="261">
        <f t="shared" si="376"/>
        <v>0.05</v>
      </c>
      <c r="CK607" s="458" t="str">
        <f t="shared" si="377"/>
        <v/>
      </c>
      <c r="CL607" t="str">
        <f t="shared" si="378"/>
        <v>REV</v>
      </c>
      <c r="CM607" t="str">
        <f t="shared" si="379"/>
        <v/>
      </c>
      <c r="CN607" s="635"/>
      <c r="CO607" s="631"/>
      <c r="CP607" s="629" t="str">
        <f t="shared" si="356"/>
        <v>FOR ISSUANCE</v>
      </c>
      <c r="CQ607" s="635"/>
      <c r="CR607" s="697"/>
      <c r="CS607" s="633" t="str">
        <f t="shared" ca="1" si="380"/>
        <v>0</v>
      </c>
      <c r="CT607" s="635"/>
      <c r="CU607" s="631"/>
      <c r="CV607" s="638"/>
      <c r="CW607" s="404"/>
      <c r="CX607" s="156"/>
      <c r="CY607" s="156"/>
      <c r="DS607" s="442" t="s">
        <v>403</v>
      </c>
    </row>
    <row r="608" spans="1:123" customFormat="1" ht="15" customHeight="1" x14ac:dyDescent="0.25">
      <c r="A608" s="242">
        <v>45790</v>
      </c>
      <c r="B608" s="222">
        <v>45784</v>
      </c>
      <c r="C608" s="223" t="s">
        <v>3163</v>
      </c>
      <c r="D608" s="66" t="s">
        <v>284</v>
      </c>
      <c r="E608" s="404" t="s">
        <v>3164</v>
      </c>
      <c r="F608" s="95" t="s">
        <v>3165</v>
      </c>
      <c r="G608" s="95" t="s">
        <v>3166</v>
      </c>
      <c r="H608" s="95" t="s">
        <v>238</v>
      </c>
      <c r="I608" s="95" t="s">
        <v>239</v>
      </c>
      <c r="J608" s="163" t="s">
        <v>3167</v>
      </c>
      <c r="K608" s="101"/>
      <c r="L608" s="101" t="s">
        <v>263</v>
      </c>
      <c r="M608" s="101" t="s">
        <v>331</v>
      </c>
      <c r="N608" s="442" t="s">
        <v>467</v>
      </c>
      <c r="O608" s="165">
        <v>717.29960000000051</v>
      </c>
      <c r="P608" s="165">
        <v>883.64</v>
      </c>
      <c r="Q608" s="157">
        <v>358</v>
      </c>
      <c r="R608" s="109" t="s">
        <v>244</v>
      </c>
      <c r="S608" s="110">
        <v>2507240.06</v>
      </c>
      <c r="T608" s="93">
        <v>774008.20999999926</v>
      </c>
      <c r="U608" s="141"/>
      <c r="V608" s="158">
        <f t="shared" si="357"/>
        <v>0</v>
      </c>
      <c r="W608" s="159">
        <v>45777.761805555558</v>
      </c>
      <c r="X608" s="159">
        <v>45783.556944444441</v>
      </c>
      <c r="Y608" s="160">
        <v>45783</v>
      </c>
      <c r="Z608" s="470"/>
      <c r="AA608" s="470"/>
      <c r="AB608" s="470"/>
      <c r="AC608" s="161">
        <f t="shared" si="358"/>
        <v>-45777.761805555558</v>
      </c>
      <c r="AD608" s="161">
        <f t="shared" si="351"/>
        <v>-45783.556944444441</v>
      </c>
      <c r="AE608" s="446">
        <f t="shared" si="381"/>
        <v>0</v>
      </c>
      <c r="AF608" s="160">
        <f t="shared" si="352"/>
        <v>45797.83872863248</v>
      </c>
      <c r="AG608" s="160">
        <f t="shared" si="349"/>
        <v>45806.992574786324</v>
      </c>
      <c r="AH608" s="159">
        <f t="shared" si="353"/>
        <v>45827.761805555558</v>
      </c>
      <c r="AI608" s="162">
        <f t="shared" si="359"/>
        <v>-1487.7772586805556</v>
      </c>
      <c r="AJ608" s="224">
        <f t="shared" si="354"/>
        <v>0</v>
      </c>
      <c r="AK608" s="225">
        <f t="shared" si="360"/>
        <v>40</v>
      </c>
      <c r="AL608" s="170">
        <f t="shared" si="361"/>
        <v>28</v>
      </c>
      <c r="AM608" s="170">
        <f t="shared" si="362"/>
        <v>23.076923076923077</v>
      </c>
      <c r="AN608" s="170">
        <f t="shared" si="363"/>
        <v>29.23076923076923</v>
      </c>
      <c r="AO608" s="226">
        <f t="shared" si="364"/>
        <v>20.076923076923077</v>
      </c>
      <c r="AP608" s="227">
        <v>60</v>
      </c>
      <c r="AQ608" s="228">
        <f t="shared" si="365"/>
        <v>57</v>
      </c>
      <c r="AR608" s="228">
        <f t="shared" si="350"/>
        <v>52</v>
      </c>
      <c r="AS608" s="229">
        <f t="shared" si="366"/>
        <v>60</v>
      </c>
      <c r="AT608" s="982">
        <f t="shared" ca="1" si="367"/>
        <v>45895</v>
      </c>
      <c r="AU608" s="50"/>
      <c r="AV608" s="51"/>
      <c r="AW608" s="49"/>
      <c r="AX608" s="49"/>
      <c r="AY608" s="49"/>
      <c r="AZ608" s="300"/>
      <c r="BA608" s="52"/>
      <c r="BB608" s="304"/>
      <c r="BC608" s="231"/>
      <c r="BD608" s="232"/>
      <c r="BE608" s="222">
        <f t="shared" si="382"/>
        <v>15</v>
      </c>
      <c r="BF608" s="233">
        <f t="shared" si="355"/>
        <v>0</v>
      </c>
      <c r="BG608" s="234"/>
      <c r="BH608" s="235"/>
      <c r="BI608" s="234"/>
      <c r="BJ608" s="236"/>
      <c r="BK608" s="222"/>
      <c r="BL608" s="222"/>
      <c r="BM608" s="238"/>
      <c r="BN608" s="222"/>
      <c r="BO608" s="222"/>
      <c r="BP608" s="243"/>
      <c r="BQ608" s="244"/>
      <c r="BR608" s="238"/>
      <c r="BS608" s="68"/>
      <c r="BT608" s="69"/>
      <c r="BU608" s="69"/>
      <c r="BV608" s="69"/>
      <c r="BW608" s="75"/>
      <c r="BX608" s="81"/>
      <c r="BY608" s="66" t="e">
        <f>VLOOKUP([4]C1!$BY:$BY,[4]C1!$BY$531:$BY$625,1,FALSE)</f>
        <v>#N/A</v>
      </c>
      <c r="BZ608" s="944" t="e">
        <f>VLOOKUP([4]C1!$BZ:$BZ,[4]C1!$BZ$531:$BZ$625,1,FALSE)</f>
        <v>#N/A</v>
      </c>
      <c r="CA608" s="42" t="str">
        <f t="shared" si="368"/>
        <v>0</v>
      </c>
      <c r="CB608" s="62">
        <f t="shared" si="369"/>
        <v>-45777.761805555558</v>
      </c>
      <c r="CC608" s="42">
        <f t="shared" si="370"/>
        <v>0</v>
      </c>
      <c r="CD608" s="62">
        <f t="shared" si="371"/>
        <v>-45777.761805555558</v>
      </c>
      <c r="CE608" s="62">
        <f t="shared" si="372"/>
        <v>-1487.7772586805556</v>
      </c>
      <c r="CF608" s="145" t="str">
        <f t="shared" si="373"/>
        <v>0</v>
      </c>
      <c r="CG608" s="145"/>
      <c r="CH608" s="443">
        <f t="shared" si="374"/>
        <v>2.9652413194443756</v>
      </c>
      <c r="CI608" s="996">
        <f t="shared" si="375"/>
        <v>2.9652413194443756</v>
      </c>
      <c r="CJ608" s="261">
        <f t="shared" si="376"/>
        <v>0</v>
      </c>
      <c r="CK608" s="458">
        <f t="shared" si="377"/>
        <v>78.238194444442343</v>
      </c>
      <c r="CL608" t="str">
        <f t="shared" si="378"/>
        <v>REV</v>
      </c>
      <c r="CM608" t="str">
        <f t="shared" si="379"/>
        <v>0-3 MONTHS</v>
      </c>
      <c r="CN608" s="635"/>
      <c r="CO608" s="631"/>
      <c r="CP608" s="629" t="str">
        <f t="shared" si="356"/>
        <v>FOR ISSUANCE</v>
      </c>
      <c r="CQ608" s="635"/>
      <c r="CR608" s="697"/>
      <c r="CS608" s="633" t="str">
        <f t="shared" ca="1" si="380"/>
        <v>0</v>
      </c>
      <c r="CT608" s="635"/>
      <c r="CU608" s="631"/>
      <c r="CV608" s="638"/>
      <c r="CW608" s="404"/>
      <c r="CX608" s="156"/>
      <c r="CY608" s="156"/>
      <c r="DS608" s="442" t="s">
        <v>403</v>
      </c>
    </row>
    <row r="609" spans="1:123" customFormat="1" ht="15" customHeight="1" x14ac:dyDescent="0.25">
      <c r="A609" s="242">
        <v>45799</v>
      </c>
      <c r="B609" s="222">
        <v>45791</v>
      </c>
      <c r="C609" s="223"/>
      <c r="D609" s="66" t="s">
        <v>284</v>
      </c>
      <c r="E609" s="404" t="s">
        <v>3168</v>
      </c>
      <c r="F609" s="95" t="s">
        <v>1567</v>
      </c>
      <c r="G609" s="95" t="s">
        <v>3169</v>
      </c>
      <c r="H609" s="95" t="s">
        <v>318</v>
      </c>
      <c r="I609" s="95" t="s">
        <v>239</v>
      </c>
      <c r="J609" s="163"/>
      <c r="K609" s="101"/>
      <c r="L609" s="101" t="s">
        <v>5</v>
      </c>
      <c r="M609" s="101" t="s">
        <v>272</v>
      </c>
      <c r="N609" s="442" t="s">
        <v>403</v>
      </c>
      <c r="O609" s="165">
        <v>2.73</v>
      </c>
      <c r="P609" s="933">
        <v>8.4499999999999993</v>
      </c>
      <c r="Q609" s="157">
        <v>46</v>
      </c>
      <c r="R609" s="109" t="s">
        <v>244</v>
      </c>
      <c r="S609" s="110">
        <v>36093.360000000001</v>
      </c>
      <c r="T609" s="93">
        <v>7260.5400000000009</v>
      </c>
      <c r="U609" s="141"/>
      <c r="V609" s="158">
        <f t="shared" si="357"/>
        <v>0</v>
      </c>
      <c r="W609" s="159">
        <v>45779.42083333333</v>
      </c>
      <c r="X609" s="159">
        <v>45786.607638888891</v>
      </c>
      <c r="Y609" s="160">
        <v>45786</v>
      </c>
      <c r="Z609" s="470">
        <v>45797</v>
      </c>
      <c r="AA609" s="470">
        <v>45797</v>
      </c>
      <c r="AB609" s="470"/>
      <c r="AC609" s="161">
        <f t="shared" si="358"/>
        <v>17.579166666670062</v>
      </c>
      <c r="AD609" s="161">
        <f t="shared" si="351"/>
        <v>10.392361111109494</v>
      </c>
      <c r="AE609" s="446">
        <f t="shared" si="381"/>
        <v>-45797</v>
      </c>
      <c r="AF609" s="160">
        <f t="shared" si="352"/>
        <v>45798.195026881716</v>
      </c>
      <c r="AG609" s="160">
        <f t="shared" si="349"/>
        <v>45807.001478494618</v>
      </c>
      <c r="AH609" s="159">
        <f t="shared" si="353"/>
        <v>45829.42083333333</v>
      </c>
      <c r="AI609" s="162">
        <f t="shared" si="359"/>
        <v>0.6055046296297466</v>
      </c>
      <c r="AJ609" s="224">
        <f t="shared" si="354"/>
        <v>-763.2833333333333</v>
      </c>
      <c r="AK609" s="225">
        <f t="shared" si="360"/>
        <v>20</v>
      </c>
      <c r="AL609" s="170">
        <f t="shared" si="361"/>
        <v>36</v>
      </c>
      <c r="AM609" s="170">
        <f t="shared" si="362"/>
        <v>21.774193548387096</v>
      </c>
      <c r="AN609" s="170">
        <f t="shared" si="363"/>
        <v>27.58064516129032</v>
      </c>
      <c r="AO609" s="226">
        <f t="shared" si="364"/>
        <v>18.774193548387096</v>
      </c>
      <c r="AP609" s="227">
        <v>60</v>
      </c>
      <c r="AQ609" s="228">
        <f t="shared" si="365"/>
        <v>57</v>
      </c>
      <c r="AR609" s="228">
        <f t="shared" si="350"/>
        <v>52</v>
      </c>
      <c r="AS609" s="229">
        <f t="shared" si="366"/>
        <v>45857</v>
      </c>
      <c r="AT609" s="982">
        <f t="shared" ca="1" si="367"/>
        <v>98</v>
      </c>
      <c r="AU609" s="50"/>
      <c r="AV609" s="51"/>
      <c r="AW609" s="49"/>
      <c r="AX609" s="49"/>
      <c r="AY609" s="49"/>
      <c r="AZ609" s="300"/>
      <c r="BA609" s="52"/>
      <c r="BB609" s="304"/>
      <c r="BC609" s="231" t="s">
        <v>12</v>
      </c>
      <c r="BD609" s="232"/>
      <c r="BE609" s="222">
        <f t="shared" si="382"/>
        <v>45812</v>
      </c>
      <c r="BF609" s="233">
        <f t="shared" si="355"/>
        <v>61</v>
      </c>
      <c r="BG609" s="234">
        <v>45797</v>
      </c>
      <c r="BH609" s="235">
        <v>45873</v>
      </c>
      <c r="BI609" s="234"/>
      <c r="BJ609" s="236"/>
      <c r="BK609" s="222"/>
      <c r="BL609" s="222"/>
      <c r="BM609" s="238"/>
      <c r="BN609" s="222"/>
      <c r="BO609" s="222"/>
      <c r="BP609" s="243"/>
      <c r="BQ609" s="244" t="s">
        <v>247</v>
      </c>
      <c r="BR609" s="238">
        <v>45793</v>
      </c>
      <c r="BS609" s="68"/>
      <c r="BT609" s="69"/>
      <c r="BU609" s="69"/>
      <c r="BV609" s="69"/>
      <c r="BW609" s="75"/>
      <c r="BX609" s="81"/>
      <c r="BY609" s="66" t="s">
        <v>308</v>
      </c>
      <c r="BZ609" s="944">
        <v>158613</v>
      </c>
      <c r="CA609" s="42" t="str">
        <f t="shared" si="368"/>
        <v>0</v>
      </c>
      <c r="CB609" s="62">
        <f t="shared" si="369"/>
        <v>17.579166666670062</v>
      </c>
      <c r="CC609" s="42">
        <f t="shared" si="370"/>
        <v>0</v>
      </c>
      <c r="CD609" s="62">
        <f t="shared" si="371"/>
        <v>17.579166666670062</v>
      </c>
      <c r="CE609" s="62">
        <f t="shared" si="372"/>
        <v>0.6055046296297466</v>
      </c>
      <c r="CF609" s="145">
        <f t="shared" si="373"/>
        <v>72</v>
      </c>
      <c r="CG609" s="145"/>
      <c r="CH609" s="443">
        <f t="shared" si="374"/>
        <v>3.0855046296297464</v>
      </c>
      <c r="CI609" s="996">
        <f t="shared" si="375"/>
        <v>3.0855046296297464</v>
      </c>
      <c r="CJ609" s="261">
        <f t="shared" si="376"/>
        <v>1.2</v>
      </c>
      <c r="CK609" s="458" t="str">
        <f t="shared" si="377"/>
        <v/>
      </c>
      <c r="CL609" t="str">
        <f t="shared" si="378"/>
        <v>REV</v>
      </c>
      <c r="CM609" t="str">
        <f t="shared" si="379"/>
        <v/>
      </c>
      <c r="CN609" s="635"/>
      <c r="CO609" s="631"/>
      <c r="CP609" s="629" t="str">
        <f t="shared" si="356"/>
        <v>FOR ISSUANCE</v>
      </c>
      <c r="CQ609" s="635"/>
      <c r="CR609" s="697"/>
      <c r="CS609" s="633" t="str">
        <f t="shared" ca="1" si="380"/>
        <v>0</v>
      </c>
      <c r="CT609" s="635"/>
      <c r="CU609" s="631"/>
      <c r="CV609" s="638"/>
      <c r="CW609" s="404"/>
      <c r="CX609" s="156"/>
      <c r="CY609" s="156"/>
      <c r="DS609" s="156" t="s">
        <v>397</v>
      </c>
    </row>
    <row r="610" spans="1:123" customFormat="1" ht="15" customHeight="1" x14ac:dyDescent="0.25">
      <c r="A610" s="242">
        <v>45798</v>
      </c>
      <c r="B610" s="222">
        <v>45791</v>
      </c>
      <c r="C610" s="223"/>
      <c r="D610" s="66" t="s">
        <v>320</v>
      </c>
      <c r="E610" s="404" t="s">
        <v>3170</v>
      </c>
      <c r="F610" s="95" t="s">
        <v>2354</v>
      </c>
      <c r="G610" s="95" t="s">
        <v>3171</v>
      </c>
      <c r="H610" s="95" t="s">
        <v>318</v>
      </c>
      <c r="I610" s="95" t="s">
        <v>239</v>
      </c>
      <c r="J610" s="163" t="s">
        <v>3172</v>
      </c>
      <c r="K610" s="101"/>
      <c r="L610" s="101" t="s">
        <v>5</v>
      </c>
      <c r="M610" s="101" t="s">
        <v>272</v>
      </c>
      <c r="N610" s="442" t="s">
        <v>403</v>
      </c>
      <c r="O610" s="165">
        <v>498.6333999999996</v>
      </c>
      <c r="P610" s="165">
        <v>1676.24</v>
      </c>
      <c r="Q610" s="157">
        <v>460</v>
      </c>
      <c r="R610" s="109" t="s">
        <v>244</v>
      </c>
      <c r="S610" s="110">
        <v>3706759.37</v>
      </c>
      <c r="T610" s="93">
        <v>634240.71999999951</v>
      </c>
      <c r="U610" s="141"/>
      <c r="V610" s="158">
        <f t="shared" si="357"/>
        <v>0</v>
      </c>
      <c r="W610" s="159">
        <v>45779.427777777775</v>
      </c>
      <c r="X610" s="159">
        <v>45786.609027777777</v>
      </c>
      <c r="Y610" s="160">
        <v>45786</v>
      </c>
      <c r="Z610" s="470"/>
      <c r="AA610" s="470">
        <v>45885.365277777775</v>
      </c>
      <c r="AB610" s="470"/>
      <c r="AC610" s="161">
        <f t="shared" si="358"/>
        <v>105.9375</v>
      </c>
      <c r="AD610" s="161">
        <f t="shared" si="351"/>
        <v>98.756249999998545</v>
      </c>
      <c r="AE610" s="446">
        <f t="shared" si="381"/>
        <v>-45885.365277777775</v>
      </c>
      <c r="AF610" s="160">
        <f t="shared" si="352"/>
        <v>45799.20815160955</v>
      </c>
      <c r="AG610" s="160">
        <f t="shared" si="349"/>
        <v>45808.282917964694</v>
      </c>
      <c r="AH610" s="159">
        <f t="shared" si="353"/>
        <v>45829.427777777775</v>
      </c>
      <c r="AI610" s="162">
        <f t="shared" si="359"/>
        <v>3.4877884615384613</v>
      </c>
      <c r="AJ610" s="224">
        <f t="shared" si="354"/>
        <v>-764.75608796296297</v>
      </c>
      <c r="AK610" s="225">
        <f t="shared" si="360"/>
        <v>50</v>
      </c>
      <c r="AL610" s="170">
        <f t="shared" si="361"/>
        <v>26</v>
      </c>
      <c r="AM610" s="170">
        <f t="shared" si="362"/>
        <v>22.780373831775702</v>
      </c>
      <c r="AN610" s="170">
        <f t="shared" si="363"/>
        <v>28.855140186915886</v>
      </c>
      <c r="AO610" s="226">
        <f t="shared" si="364"/>
        <v>19.780373831775702</v>
      </c>
      <c r="AP610" s="227">
        <v>60</v>
      </c>
      <c r="AQ610" s="228">
        <f t="shared" si="365"/>
        <v>57</v>
      </c>
      <c r="AR610" s="228">
        <f t="shared" si="350"/>
        <v>52</v>
      </c>
      <c r="AS610" s="229">
        <f t="shared" si="366"/>
        <v>45945.365277777775</v>
      </c>
      <c r="AT610" s="982">
        <f t="shared" ca="1" si="367"/>
        <v>9.6347222222248092</v>
      </c>
      <c r="AU610" s="50" t="s">
        <v>50</v>
      </c>
      <c r="AV610" s="51" t="s">
        <v>247</v>
      </c>
      <c r="AW610" s="49" t="s">
        <v>247</v>
      </c>
      <c r="AX610" s="49"/>
      <c r="AY610" s="49"/>
      <c r="AZ610" s="300">
        <v>45832</v>
      </c>
      <c r="BA610" s="52">
        <v>34</v>
      </c>
      <c r="BB610" s="304">
        <v>45866</v>
      </c>
      <c r="BC610" s="231" t="s">
        <v>13</v>
      </c>
      <c r="BD610" s="232"/>
      <c r="BE610" s="222">
        <f t="shared" si="382"/>
        <v>45900.365277777775</v>
      </c>
      <c r="BF610" s="233" t="e">
        <f t="shared" si="355"/>
        <v>#VALUE!</v>
      </c>
      <c r="BG610" s="234"/>
      <c r="BH610" s="235"/>
      <c r="BI610" s="234"/>
      <c r="BJ610" s="236"/>
      <c r="BK610" s="222"/>
      <c r="BL610" s="222"/>
      <c r="BM610" s="238"/>
      <c r="BN610" s="222"/>
      <c r="BO610" s="222"/>
      <c r="BP610" s="243"/>
      <c r="BQ610" s="244"/>
      <c r="BR610" s="238"/>
      <c r="BS610" s="68"/>
      <c r="BT610" s="69"/>
      <c r="BU610" s="69"/>
      <c r="BV610" s="69"/>
      <c r="BW610" s="75"/>
      <c r="BX610" s="81"/>
      <c r="BY610" s="66" t="e">
        <f>VLOOKUP([4]C1!$BY:$BY,[4]C1!$BY$531:$BY$625,1,FALSE)</f>
        <v>#N/A</v>
      </c>
      <c r="BZ610" s="944" t="e">
        <f>VLOOKUP([4]C1!$BZ:$BZ,[4]C1!$BZ$531:$BZ$625,1,FALSE)</f>
        <v>#N/A</v>
      </c>
      <c r="CA610" s="42" t="str">
        <f t="shared" si="368"/>
        <v>0</v>
      </c>
      <c r="CB610" s="62">
        <f t="shared" si="369"/>
        <v>105.9375</v>
      </c>
      <c r="CC610" s="42">
        <f t="shared" si="370"/>
        <v>34</v>
      </c>
      <c r="CD610" s="62">
        <f t="shared" si="371"/>
        <v>71.9375</v>
      </c>
      <c r="CE610" s="62">
        <f t="shared" si="372"/>
        <v>2.3684038461538459</v>
      </c>
      <c r="CF610" s="145">
        <f t="shared" si="373"/>
        <v>-16.365277777775191</v>
      </c>
      <c r="CG610" s="145"/>
      <c r="CH610" s="443">
        <f t="shared" si="374"/>
        <v>2.9489931623932475</v>
      </c>
      <c r="CI610" s="996">
        <f t="shared" si="375"/>
        <v>2.9489931623932475</v>
      </c>
      <c r="CJ610" s="261">
        <f t="shared" si="376"/>
        <v>-0.27275462962958652</v>
      </c>
      <c r="CK610" s="458" t="str">
        <f t="shared" si="377"/>
        <v/>
      </c>
      <c r="CL610" t="str">
        <f t="shared" si="378"/>
        <v>REV</v>
      </c>
      <c r="CM610" t="str">
        <f t="shared" si="379"/>
        <v/>
      </c>
      <c r="CN610" s="635"/>
      <c r="CO610" s="631"/>
      <c r="CP610" s="629" t="str">
        <f t="shared" si="356"/>
        <v>FOR ISSUANCE</v>
      </c>
      <c r="CQ610" s="635"/>
      <c r="CR610" s="697"/>
      <c r="CS610" s="633" t="str">
        <f t="shared" ca="1" si="380"/>
        <v>0</v>
      </c>
      <c r="CT610" s="635"/>
      <c r="CU610" s="631"/>
      <c r="CV610" s="638"/>
      <c r="CW610" s="404"/>
      <c r="CX610" s="156"/>
      <c r="CY610" s="156"/>
      <c r="DS610" s="156" t="s">
        <v>397</v>
      </c>
    </row>
    <row r="611" spans="1:123" customFormat="1" ht="15" customHeight="1" x14ac:dyDescent="0.25">
      <c r="A611" s="242">
        <v>45799</v>
      </c>
      <c r="B611" s="222">
        <v>45791</v>
      </c>
      <c r="C611" s="223" t="s">
        <v>247</v>
      </c>
      <c r="D611" s="66" t="s">
        <v>284</v>
      </c>
      <c r="E611" s="404" t="s">
        <v>3173</v>
      </c>
      <c r="F611" s="95" t="s">
        <v>3174</v>
      </c>
      <c r="G611" s="95" t="s">
        <v>3175</v>
      </c>
      <c r="H611" s="95" t="s">
        <v>1513</v>
      </c>
      <c r="I611" s="95" t="s">
        <v>239</v>
      </c>
      <c r="J611" s="163"/>
      <c r="K611" s="101"/>
      <c r="L611" s="101" t="s">
        <v>288</v>
      </c>
      <c r="M611" s="101" t="s">
        <v>272</v>
      </c>
      <c r="N611" s="442" t="s">
        <v>381</v>
      </c>
      <c r="O611" s="165">
        <v>153.19200000000006</v>
      </c>
      <c r="P611" s="933">
        <v>402.96</v>
      </c>
      <c r="Q611" s="157">
        <v>378.94</v>
      </c>
      <c r="R611" s="109" t="s">
        <v>548</v>
      </c>
      <c r="S611" s="110">
        <v>1682589.76</v>
      </c>
      <c r="T611" s="93">
        <v>212028.41000000003</v>
      </c>
      <c r="U611" s="141"/>
      <c r="V611" s="158">
        <f t="shared" si="357"/>
        <v>0</v>
      </c>
      <c r="W611" s="159">
        <v>45779.697222222225</v>
      </c>
      <c r="X611" s="159">
        <v>45786.612500000003</v>
      </c>
      <c r="Y611" s="160">
        <v>45786</v>
      </c>
      <c r="Z611" s="470"/>
      <c r="AA611" s="470">
        <v>45805.425694444442</v>
      </c>
      <c r="AB611" s="470"/>
      <c r="AC611" s="161">
        <f t="shared" si="358"/>
        <v>25.728472222217533</v>
      </c>
      <c r="AD611" s="161">
        <f t="shared" si="351"/>
        <v>18.813194444439432</v>
      </c>
      <c r="AE611" s="446">
        <f t="shared" si="381"/>
        <v>-45805.425694444442</v>
      </c>
      <c r="AF611" s="160">
        <f t="shared" si="352"/>
        <v>45798.515404040409</v>
      </c>
      <c r="AG611" s="160">
        <f t="shared" si="349"/>
        <v>45807.333585858585</v>
      </c>
      <c r="AH611" s="159">
        <f t="shared" si="353"/>
        <v>45829.697222222225</v>
      </c>
      <c r="AI611" s="162">
        <f t="shared" si="359"/>
        <v>0.8844162326387276</v>
      </c>
      <c r="AJ611" s="224">
        <f t="shared" si="354"/>
        <v>-763.42376157407409</v>
      </c>
      <c r="AK611" s="225">
        <f t="shared" si="360"/>
        <v>32</v>
      </c>
      <c r="AL611" s="170">
        <f t="shared" si="361"/>
        <v>28</v>
      </c>
      <c r="AM611" s="170">
        <f t="shared" si="362"/>
        <v>21.81818181818182</v>
      </c>
      <c r="AN611" s="170">
        <f t="shared" si="363"/>
        <v>27.636363636363637</v>
      </c>
      <c r="AO611" s="226">
        <f t="shared" si="364"/>
        <v>18.81818181818182</v>
      </c>
      <c r="AP611" s="227">
        <v>60</v>
      </c>
      <c r="AQ611" s="228">
        <f t="shared" si="365"/>
        <v>57</v>
      </c>
      <c r="AR611" s="228">
        <f t="shared" si="350"/>
        <v>52</v>
      </c>
      <c r="AS611" s="229">
        <f t="shared" si="366"/>
        <v>45865.425694444442</v>
      </c>
      <c r="AT611" s="982">
        <f t="shared" ca="1" si="367"/>
        <v>89.574305555557657</v>
      </c>
      <c r="AU611" s="50"/>
      <c r="AV611" s="51"/>
      <c r="AW611" s="49"/>
      <c r="AX611" s="49"/>
      <c r="AY611" s="49"/>
      <c r="AZ611" s="300"/>
      <c r="BA611" s="52"/>
      <c r="BB611" s="304"/>
      <c r="BC611" s="231" t="s">
        <v>13</v>
      </c>
      <c r="BD611" s="232"/>
      <c r="BE611" s="222">
        <f t="shared" si="382"/>
        <v>45820.425694444442</v>
      </c>
      <c r="BF611" s="233" t="e">
        <f t="shared" si="355"/>
        <v>#VALUE!</v>
      </c>
      <c r="BG611" s="234"/>
      <c r="BH611" s="235"/>
      <c r="BI611" s="234"/>
      <c r="BJ611" s="236"/>
      <c r="BK611" s="222"/>
      <c r="BL611" s="222"/>
      <c r="BM611" s="238"/>
      <c r="BN611" s="222"/>
      <c r="BO611" s="222"/>
      <c r="BP611" s="243"/>
      <c r="BQ611" s="244"/>
      <c r="BR611" s="238"/>
      <c r="BS611" s="68"/>
      <c r="BT611" s="69"/>
      <c r="BU611" s="69"/>
      <c r="BV611" s="69"/>
      <c r="BW611" s="75"/>
      <c r="BX611" s="81"/>
      <c r="BY611" s="66" t="e">
        <f>VLOOKUP([4]C1!$BY:$BY,[4]C1!$BY$531:$BY$625,1,FALSE)</f>
        <v>#N/A</v>
      </c>
      <c r="BZ611" s="944" t="e">
        <f>VLOOKUP([4]C1!$BZ:$BZ,[4]C1!$BZ$531:$BZ$625,1,FALSE)</f>
        <v>#N/A</v>
      </c>
      <c r="CA611" s="42" t="str">
        <f t="shared" si="368"/>
        <v>0</v>
      </c>
      <c r="CB611" s="62">
        <f t="shared" si="369"/>
        <v>25.728472222217533</v>
      </c>
      <c r="CC611" s="42">
        <f t="shared" si="370"/>
        <v>0</v>
      </c>
      <c r="CD611" s="62">
        <f t="shared" si="371"/>
        <v>25.728472222217533</v>
      </c>
      <c r="CE611" s="62">
        <f t="shared" si="372"/>
        <v>0.8844162326387276</v>
      </c>
      <c r="CF611" s="145">
        <f t="shared" si="373"/>
        <v>63.574305555557657</v>
      </c>
      <c r="CG611" s="145"/>
      <c r="CH611" s="443">
        <f t="shared" si="374"/>
        <v>3.0697829861110222</v>
      </c>
      <c r="CI611" s="996">
        <f t="shared" si="375"/>
        <v>3.0697829861110222</v>
      </c>
      <c r="CJ611" s="261">
        <f t="shared" si="376"/>
        <v>1.0595717592592944</v>
      </c>
      <c r="CK611" s="458" t="str">
        <f t="shared" si="377"/>
        <v/>
      </c>
      <c r="CL611" t="str">
        <f t="shared" si="378"/>
        <v>NON-REV</v>
      </c>
      <c r="CM611" t="str">
        <f t="shared" si="379"/>
        <v/>
      </c>
      <c r="CN611" s="635"/>
      <c r="CO611" s="631"/>
      <c r="CP611" s="629" t="str">
        <f t="shared" si="356"/>
        <v>FOR ISSUANCE</v>
      </c>
      <c r="CQ611" s="635"/>
      <c r="CR611" s="697"/>
      <c r="CS611" s="633" t="str">
        <f t="shared" ca="1" si="380"/>
        <v>0</v>
      </c>
      <c r="CT611" s="635"/>
      <c r="CU611" s="631"/>
      <c r="CV611" s="638"/>
      <c r="CW611" s="404"/>
      <c r="CX611" s="156"/>
      <c r="CY611" s="156"/>
      <c r="DS611" s="156" t="s">
        <v>397</v>
      </c>
    </row>
    <row r="612" spans="1:123" customFormat="1" ht="15" customHeight="1" x14ac:dyDescent="0.25">
      <c r="A612" s="242">
        <v>45792</v>
      </c>
      <c r="B612" s="222">
        <v>45791</v>
      </c>
      <c r="C612" s="223"/>
      <c r="D612" s="66" t="s">
        <v>320</v>
      </c>
      <c r="E612" s="404" t="s">
        <v>3176</v>
      </c>
      <c r="F612" s="95" t="s">
        <v>608</v>
      </c>
      <c r="G612" s="95" t="s">
        <v>609</v>
      </c>
      <c r="H612" s="95" t="s">
        <v>238</v>
      </c>
      <c r="I612" s="95" t="s">
        <v>239</v>
      </c>
      <c r="J612" s="163" t="s">
        <v>3177</v>
      </c>
      <c r="K612" s="101"/>
      <c r="L612" s="101" t="s">
        <v>288</v>
      </c>
      <c r="M612" s="101" t="s">
        <v>331</v>
      </c>
      <c r="N612" s="442" t="s">
        <v>381</v>
      </c>
      <c r="O612" s="165">
        <v>198.77860000000004</v>
      </c>
      <c r="P612" s="165">
        <v>442.65</v>
      </c>
      <c r="Q612" s="157">
        <v>45.08</v>
      </c>
      <c r="R612" s="109" t="s">
        <v>548</v>
      </c>
      <c r="S612" s="110">
        <v>980637.8</v>
      </c>
      <c r="T612" s="93">
        <v>244599.77999999997</v>
      </c>
      <c r="U612" s="141"/>
      <c r="V612" s="158">
        <f t="shared" si="357"/>
        <v>0</v>
      </c>
      <c r="W612" s="159">
        <v>45779.697916666664</v>
      </c>
      <c r="X612" s="159">
        <v>45786.606249999997</v>
      </c>
      <c r="Y612" s="160">
        <v>45786</v>
      </c>
      <c r="Z612" s="470"/>
      <c r="AA612" s="470"/>
      <c r="AB612" s="470"/>
      <c r="AC612" s="161">
        <f t="shared" si="358"/>
        <v>-45779.697916666664</v>
      </c>
      <c r="AD612" s="161">
        <f t="shared" si="351"/>
        <v>-45786.606249999997</v>
      </c>
      <c r="AE612" s="446">
        <f t="shared" si="381"/>
        <v>0</v>
      </c>
      <c r="AF612" s="160">
        <f t="shared" si="352"/>
        <v>45802.722013052204</v>
      </c>
      <c r="AG612" s="160">
        <f t="shared" si="349"/>
        <v>45812.661772088351</v>
      </c>
      <c r="AH612" s="159">
        <f t="shared" si="353"/>
        <v>45829.697916666664</v>
      </c>
      <c r="AI612" s="162">
        <f t="shared" si="359"/>
        <v>-1319.3454607928238</v>
      </c>
      <c r="AJ612" s="224">
        <f t="shared" si="354"/>
        <v>0</v>
      </c>
      <c r="AK612" s="225">
        <f t="shared" si="360"/>
        <v>32</v>
      </c>
      <c r="AL612" s="170">
        <f t="shared" si="361"/>
        <v>36</v>
      </c>
      <c r="AM612" s="170">
        <f t="shared" si="362"/>
        <v>26.024096385542165</v>
      </c>
      <c r="AN612" s="170">
        <f t="shared" si="363"/>
        <v>32.963855421686745</v>
      </c>
      <c r="AO612" s="226">
        <f t="shared" si="364"/>
        <v>23.024096385542165</v>
      </c>
      <c r="AP612" s="227">
        <v>60</v>
      </c>
      <c r="AQ612" s="228">
        <f t="shared" si="365"/>
        <v>57</v>
      </c>
      <c r="AR612" s="228">
        <f t="shared" si="350"/>
        <v>52</v>
      </c>
      <c r="AS612" s="229">
        <f t="shared" si="366"/>
        <v>60</v>
      </c>
      <c r="AT612" s="982">
        <f t="shared" ca="1" si="367"/>
        <v>45895</v>
      </c>
      <c r="AU612" s="50"/>
      <c r="AV612" s="51"/>
      <c r="AW612" s="49"/>
      <c r="AX612" s="49"/>
      <c r="AY612" s="49"/>
      <c r="AZ612" s="300"/>
      <c r="BA612" s="52"/>
      <c r="BB612" s="304"/>
      <c r="BC612" s="231"/>
      <c r="BD612" s="232"/>
      <c r="BE612" s="222">
        <f t="shared" si="382"/>
        <v>15</v>
      </c>
      <c r="BF612" s="233">
        <f t="shared" si="355"/>
        <v>0</v>
      </c>
      <c r="BG612" s="234"/>
      <c r="BH612" s="235"/>
      <c r="BI612" s="234"/>
      <c r="BJ612" s="236"/>
      <c r="BK612" s="222"/>
      <c r="BL612" s="222"/>
      <c r="BM612" s="238"/>
      <c r="BN612" s="222"/>
      <c r="BO612" s="222"/>
      <c r="BP612" s="243"/>
      <c r="BQ612" s="244"/>
      <c r="BR612" s="238"/>
      <c r="BS612" s="68"/>
      <c r="BT612" s="69"/>
      <c r="BU612" s="69"/>
      <c r="BV612" s="69"/>
      <c r="BW612" s="75"/>
      <c r="BX612" s="81"/>
      <c r="BY612" s="66" t="e">
        <f>VLOOKUP([4]C1!$BY:$BY,[4]C1!$BY$531:$BY$625,1,FALSE)</f>
        <v>#N/A</v>
      </c>
      <c r="BZ612" s="944" t="e">
        <f>VLOOKUP([4]C1!$BZ:$BZ,[4]C1!$BZ$531:$BZ$625,1,FALSE)</f>
        <v>#N/A</v>
      </c>
      <c r="CA612" s="42" t="str">
        <f t="shared" si="368"/>
        <v>0</v>
      </c>
      <c r="CB612" s="62">
        <f t="shared" si="369"/>
        <v>-45779.697916666664</v>
      </c>
      <c r="CC612" s="42">
        <f t="shared" si="370"/>
        <v>0</v>
      </c>
      <c r="CD612" s="62">
        <f t="shared" si="371"/>
        <v>-45779.697916666664</v>
      </c>
      <c r="CE612" s="62">
        <f t="shared" si="372"/>
        <v>-1319.3454607928238</v>
      </c>
      <c r="CF612" s="145" t="str">
        <f t="shared" si="373"/>
        <v>0</v>
      </c>
      <c r="CG612" s="145"/>
      <c r="CH612" s="443">
        <f t="shared" si="374"/>
        <v>2.5736364293982179</v>
      </c>
      <c r="CI612" s="996">
        <f t="shared" si="375"/>
        <v>2.5736364293982179</v>
      </c>
      <c r="CJ612" s="261">
        <f t="shared" si="376"/>
        <v>0</v>
      </c>
      <c r="CK612" s="458">
        <f t="shared" si="377"/>
        <v>76.302083333335759</v>
      </c>
      <c r="CL612" t="str">
        <f t="shared" si="378"/>
        <v>NON-REV</v>
      </c>
      <c r="CM612" t="str">
        <f t="shared" si="379"/>
        <v>0-3 MONTHS</v>
      </c>
      <c r="CN612" s="635"/>
      <c r="CO612" s="631"/>
      <c r="CP612" s="629" t="str">
        <f t="shared" si="356"/>
        <v>FOR ISSUANCE</v>
      </c>
      <c r="CQ612" s="635"/>
      <c r="CR612" s="697"/>
      <c r="CS612" s="633" t="str">
        <f t="shared" ca="1" si="380"/>
        <v>0</v>
      </c>
      <c r="CT612" s="635"/>
      <c r="CU612" s="631"/>
      <c r="CV612" s="638"/>
      <c r="CW612" s="404"/>
      <c r="CX612" s="156"/>
      <c r="CY612" s="156"/>
      <c r="DS612" s="156" t="s">
        <v>397</v>
      </c>
    </row>
    <row r="613" spans="1:123" ht="15" customHeight="1" x14ac:dyDescent="0.2">
      <c r="A613" s="242">
        <v>45792</v>
      </c>
      <c r="B613" s="222">
        <v>45791</v>
      </c>
      <c r="C613" s="223"/>
      <c r="D613" s="66" t="s">
        <v>320</v>
      </c>
      <c r="E613" s="404" t="s">
        <v>3178</v>
      </c>
      <c r="F613" s="95" t="s">
        <v>3179</v>
      </c>
      <c r="G613" s="95" t="s">
        <v>3180</v>
      </c>
      <c r="H613" s="95" t="s">
        <v>238</v>
      </c>
      <c r="I613" s="95" t="s">
        <v>239</v>
      </c>
      <c r="J613" s="163" t="s">
        <v>410</v>
      </c>
      <c r="K613" s="101"/>
      <c r="L613" s="101" t="s">
        <v>255</v>
      </c>
      <c r="M613" s="101" t="s">
        <v>331</v>
      </c>
      <c r="N613" s="442" t="s">
        <v>403</v>
      </c>
      <c r="O613" s="165">
        <v>1.73</v>
      </c>
      <c r="P613" s="165">
        <v>4.03</v>
      </c>
      <c r="Q613" s="157">
        <v>23</v>
      </c>
      <c r="R613" s="109" t="s">
        <v>244</v>
      </c>
      <c r="S613" s="110">
        <v>20007.810000000001</v>
      </c>
      <c r="T613" s="93">
        <v>3462.72</v>
      </c>
      <c r="U613" s="141"/>
      <c r="V613" s="158">
        <f t="shared" si="357"/>
        <v>0</v>
      </c>
      <c r="W613" s="159">
        <v>45779.703472222223</v>
      </c>
      <c r="X613" s="159">
        <v>45786.61041666667</v>
      </c>
      <c r="Y613" s="160">
        <v>45786</v>
      </c>
      <c r="Z613" s="470"/>
      <c r="AA613" s="470"/>
      <c r="AB613" s="470"/>
      <c r="AC613" s="161">
        <f t="shared" si="358"/>
        <v>-45779.703472222223</v>
      </c>
      <c r="AD613" s="161">
        <f t="shared" si="351"/>
        <v>-45786.61041666667</v>
      </c>
      <c r="AE613" s="446">
        <f t="shared" si="381"/>
        <v>0</v>
      </c>
      <c r="AF613" s="160">
        <f t="shared" si="352"/>
        <v>45798.47766577061</v>
      </c>
      <c r="AG613" s="160">
        <f t="shared" si="349"/>
        <v>45807.284117383511</v>
      </c>
      <c r="AH613" s="159">
        <f t="shared" si="353"/>
        <v>45829.703472222223</v>
      </c>
      <c r="AI613" s="162">
        <f t="shared" si="359"/>
        <v>-1576.8564529320988</v>
      </c>
      <c r="AJ613" s="224">
        <f t="shared" si="354"/>
        <v>0</v>
      </c>
      <c r="AK613" s="225">
        <f t="shared" si="360"/>
        <v>20</v>
      </c>
      <c r="AL613" s="170">
        <f t="shared" si="361"/>
        <v>36</v>
      </c>
      <c r="AM613" s="170">
        <f t="shared" si="362"/>
        <v>21.774193548387096</v>
      </c>
      <c r="AN613" s="170">
        <f t="shared" si="363"/>
        <v>27.58064516129032</v>
      </c>
      <c r="AO613" s="226">
        <f t="shared" si="364"/>
        <v>18.774193548387096</v>
      </c>
      <c r="AP613" s="227">
        <v>60</v>
      </c>
      <c r="AQ613" s="228">
        <f t="shared" si="365"/>
        <v>57</v>
      </c>
      <c r="AR613" s="228">
        <f t="shared" si="350"/>
        <v>52</v>
      </c>
      <c r="AS613" s="229">
        <f t="shared" si="366"/>
        <v>60</v>
      </c>
      <c r="AT613" s="982">
        <f t="shared" ca="1" si="367"/>
        <v>45895</v>
      </c>
      <c r="AU613" s="1077"/>
      <c r="AV613" s="1092"/>
      <c r="AW613" s="1079"/>
      <c r="AX613" s="1079"/>
      <c r="AY613" s="1079"/>
      <c r="AZ613" s="1080"/>
      <c r="BA613" s="1101"/>
      <c r="BB613" s="1091"/>
      <c r="BC613" s="231"/>
      <c r="BD613" s="232"/>
      <c r="BE613" s="222">
        <f t="shared" si="382"/>
        <v>15</v>
      </c>
      <c r="BF613" s="233">
        <f t="shared" si="355"/>
        <v>0</v>
      </c>
      <c r="BG613" s="234"/>
      <c r="BH613" s="235"/>
      <c r="BI613" s="234"/>
      <c r="BJ613" s="236"/>
      <c r="BK613" s="222"/>
      <c r="BL613" s="222"/>
      <c r="BM613" s="238"/>
      <c r="BN613" s="222"/>
      <c r="BO613" s="222"/>
      <c r="BP613" s="243"/>
      <c r="BQ613" s="244"/>
      <c r="BR613" s="238"/>
      <c r="BS613" s="68"/>
      <c r="BT613" s="69"/>
      <c r="BU613" s="69"/>
      <c r="BV613" s="69"/>
      <c r="BW613" s="75"/>
      <c r="BX613" s="81"/>
      <c r="BY613" s="66" t="e">
        <f>VLOOKUP([4]C1!$BY:$BY,[4]C1!$BY$531:$BY$625,1,FALSE)</f>
        <v>#N/A</v>
      </c>
      <c r="BZ613" s="944" t="e">
        <f>VLOOKUP([4]C1!$BZ:$BZ,[4]C1!$BZ$531:$BZ$625,1,FALSE)</f>
        <v>#N/A</v>
      </c>
      <c r="CA613" s="42" t="str">
        <f t="shared" si="368"/>
        <v>0</v>
      </c>
      <c r="CB613" s="62">
        <f t="shared" si="369"/>
        <v>-45779.703472222223</v>
      </c>
      <c r="CC613" s="42">
        <f t="shared" si="370"/>
        <v>0</v>
      </c>
      <c r="CD613" s="62">
        <f t="shared" si="371"/>
        <v>-45779.703472222223</v>
      </c>
      <c r="CE613" s="62">
        <f t="shared" si="372"/>
        <v>-1576.8564529320988</v>
      </c>
      <c r="CF613" s="1059" t="str">
        <f t="shared" si="373"/>
        <v>0</v>
      </c>
      <c r="CH613" s="1082">
        <f t="shared" si="374"/>
        <v>3.0757692901234179</v>
      </c>
      <c r="CI613" s="1083">
        <f t="shared" si="375"/>
        <v>3.0757692901234179</v>
      </c>
      <c r="CJ613" s="1084">
        <f t="shared" si="376"/>
        <v>0</v>
      </c>
      <c r="CK613" s="1085">
        <f t="shared" si="377"/>
        <v>76.296527777776646</v>
      </c>
      <c r="CL613" s="1057" t="str">
        <f t="shared" si="378"/>
        <v>REV</v>
      </c>
      <c r="CM613" s="1057" t="str">
        <f t="shared" si="379"/>
        <v>0-3 MONTHS</v>
      </c>
      <c r="CN613" s="1086"/>
      <c r="CO613" s="1087"/>
      <c r="CP613" s="629" t="str">
        <f t="shared" si="356"/>
        <v>FOR ISSUANCE</v>
      </c>
      <c r="CQ613" s="1086"/>
      <c r="CR613" s="1088"/>
      <c r="CS613" s="1089" t="str">
        <f t="shared" ca="1" si="380"/>
        <v>0</v>
      </c>
      <c r="CT613" s="1086"/>
      <c r="CU613" s="1087"/>
      <c r="CV613" s="1090"/>
      <c r="CX613" s="156"/>
      <c r="CY613" s="156"/>
      <c r="DS613" s="442" t="s">
        <v>381</v>
      </c>
    </row>
    <row r="614" spans="1:123" ht="15" customHeight="1" x14ac:dyDescent="0.2">
      <c r="A614" s="242">
        <v>45792</v>
      </c>
      <c r="B614" s="222">
        <v>45791</v>
      </c>
      <c r="C614" s="223"/>
      <c r="D614" s="66" t="s">
        <v>320</v>
      </c>
      <c r="E614" s="404" t="s">
        <v>3181</v>
      </c>
      <c r="F614" s="95" t="s">
        <v>3179</v>
      </c>
      <c r="G614" s="95" t="s">
        <v>3180</v>
      </c>
      <c r="H614" s="95" t="s">
        <v>238</v>
      </c>
      <c r="I614" s="95" t="s">
        <v>239</v>
      </c>
      <c r="J614" s="163" t="s">
        <v>410</v>
      </c>
      <c r="K614" s="101"/>
      <c r="L614" s="101" t="s">
        <v>255</v>
      </c>
      <c r="M614" s="101" t="s">
        <v>331</v>
      </c>
      <c r="N614" s="442" t="s">
        <v>403</v>
      </c>
      <c r="O614" s="165">
        <v>147.28259999999995</v>
      </c>
      <c r="P614" s="165">
        <v>253.71</v>
      </c>
      <c r="Q614" s="157">
        <v>23</v>
      </c>
      <c r="R614" s="109" t="s">
        <v>244</v>
      </c>
      <c r="S614" s="110">
        <v>654716.53</v>
      </c>
      <c r="T614" s="93">
        <v>167431.29000000007</v>
      </c>
      <c r="U614" s="141"/>
      <c r="V614" s="158">
        <f t="shared" si="357"/>
        <v>0</v>
      </c>
      <c r="W614" s="159">
        <v>45779.70416666667</v>
      </c>
      <c r="X614" s="159">
        <v>45786.61041666667</v>
      </c>
      <c r="Y614" s="160">
        <v>45786</v>
      </c>
      <c r="Z614" s="470"/>
      <c r="AA614" s="470"/>
      <c r="AB614" s="470"/>
      <c r="AC614" s="161">
        <f t="shared" si="358"/>
        <v>-45779.70416666667</v>
      </c>
      <c r="AD614" s="161">
        <f t="shared" si="351"/>
        <v>-45786.61041666667</v>
      </c>
      <c r="AE614" s="446">
        <f t="shared" si="381"/>
        <v>0</v>
      </c>
      <c r="AF614" s="160">
        <f t="shared" si="352"/>
        <v>45801.572587719304</v>
      </c>
      <c r="AG614" s="160">
        <f t="shared" si="349"/>
        <v>45811.20416666667</v>
      </c>
      <c r="AH614" s="159">
        <f t="shared" si="353"/>
        <v>45829.70416666667</v>
      </c>
      <c r="AI614" s="162">
        <f t="shared" si="359"/>
        <v>-1380.6577447089949</v>
      </c>
      <c r="AJ614" s="224">
        <f t="shared" si="354"/>
        <v>0</v>
      </c>
      <c r="AK614" s="225">
        <f t="shared" si="360"/>
        <v>28</v>
      </c>
      <c r="AL614" s="170">
        <f t="shared" si="361"/>
        <v>36</v>
      </c>
      <c r="AM614" s="170">
        <f t="shared" si="362"/>
        <v>24.868421052631579</v>
      </c>
      <c r="AN614" s="170">
        <f t="shared" si="363"/>
        <v>31.499999999999996</v>
      </c>
      <c r="AO614" s="226">
        <f t="shared" si="364"/>
        <v>21.868421052631579</v>
      </c>
      <c r="AP614" s="227">
        <v>60</v>
      </c>
      <c r="AQ614" s="228">
        <f t="shared" si="365"/>
        <v>57</v>
      </c>
      <c r="AR614" s="228">
        <f t="shared" si="350"/>
        <v>52</v>
      </c>
      <c r="AS614" s="229">
        <f t="shared" si="366"/>
        <v>60</v>
      </c>
      <c r="AT614" s="982">
        <f t="shared" ca="1" si="367"/>
        <v>45895</v>
      </c>
      <c r="AU614" s="1077"/>
      <c r="AV614" s="1092"/>
      <c r="AW614" s="1079"/>
      <c r="AX614" s="1079"/>
      <c r="AY614" s="1079"/>
      <c r="AZ614" s="1080"/>
      <c r="BA614" s="1101"/>
      <c r="BB614" s="1091"/>
      <c r="BC614" s="231"/>
      <c r="BD614" s="232"/>
      <c r="BE614" s="222">
        <f t="shared" si="382"/>
        <v>15</v>
      </c>
      <c r="BF614" s="233">
        <f t="shared" si="355"/>
        <v>0</v>
      </c>
      <c r="BG614" s="234"/>
      <c r="BH614" s="235"/>
      <c r="BI614" s="234"/>
      <c r="BJ614" s="236"/>
      <c r="BK614" s="222"/>
      <c r="BL614" s="222"/>
      <c r="BM614" s="238"/>
      <c r="BN614" s="222"/>
      <c r="BO614" s="222"/>
      <c r="BP614" s="243"/>
      <c r="BQ614" s="244"/>
      <c r="BR614" s="238"/>
      <c r="BS614" s="68"/>
      <c r="BT614" s="69"/>
      <c r="BU614" s="69"/>
      <c r="BV614" s="69"/>
      <c r="BW614" s="75"/>
      <c r="BX614" s="81"/>
      <c r="BY614" s="66" t="e">
        <f>VLOOKUP([4]C1!$BY:$BY,[4]C1!$BY$531:$BY$625,1,FALSE)</f>
        <v>#N/A</v>
      </c>
      <c r="BZ614" s="944" t="e">
        <f>VLOOKUP([4]C1!$BZ:$BZ,[4]C1!$BZ$531:$BZ$625,1,FALSE)</f>
        <v>#N/A</v>
      </c>
      <c r="CA614" s="42" t="str">
        <f t="shared" si="368"/>
        <v>0</v>
      </c>
      <c r="CB614" s="62">
        <f t="shared" si="369"/>
        <v>-45779.70416666667</v>
      </c>
      <c r="CC614" s="42">
        <f t="shared" si="370"/>
        <v>0</v>
      </c>
      <c r="CD614" s="62">
        <f t="shared" si="371"/>
        <v>-45779.70416666667</v>
      </c>
      <c r="CE614" s="62">
        <f t="shared" si="372"/>
        <v>-1380.6577447089949</v>
      </c>
      <c r="CF614" s="1059" t="str">
        <f t="shared" si="373"/>
        <v>0</v>
      </c>
      <c r="CH614" s="1082">
        <f t="shared" si="374"/>
        <v>2.6930489417988395</v>
      </c>
      <c r="CI614" s="1083">
        <f t="shared" si="375"/>
        <v>2.6930489417988395</v>
      </c>
      <c r="CJ614" s="1084">
        <f t="shared" si="376"/>
        <v>0</v>
      </c>
      <c r="CK614" s="1085">
        <f t="shared" si="377"/>
        <v>76.295833333329938</v>
      </c>
      <c r="CL614" s="1057" t="str">
        <f t="shared" si="378"/>
        <v>REV</v>
      </c>
      <c r="CM614" s="1057" t="str">
        <f t="shared" si="379"/>
        <v>0-3 MONTHS</v>
      </c>
      <c r="CN614" s="1086"/>
      <c r="CO614" s="1087"/>
      <c r="CP614" s="629" t="str">
        <f t="shared" si="356"/>
        <v>FOR ISSUANCE</v>
      </c>
      <c r="CQ614" s="1086"/>
      <c r="CR614" s="1088"/>
      <c r="CS614" s="1089" t="str">
        <f t="shared" ca="1" si="380"/>
        <v>0</v>
      </c>
      <c r="CT614" s="1086"/>
      <c r="CU614" s="1087"/>
      <c r="CV614" s="1090"/>
      <c r="CX614" s="156"/>
      <c r="CY614" s="156"/>
      <c r="DS614" s="442" t="s">
        <v>381</v>
      </c>
    </row>
    <row r="615" spans="1:123" customFormat="1" ht="15" customHeight="1" x14ac:dyDescent="0.25">
      <c r="A615" s="242">
        <v>45792</v>
      </c>
      <c r="B615" s="222">
        <v>45791</v>
      </c>
      <c r="C615" s="223"/>
      <c r="D615" s="66" t="s">
        <v>320</v>
      </c>
      <c r="E615" s="404" t="s">
        <v>3182</v>
      </c>
      <c r="F615" s="95" t="s">
        <v>3183</v>
      </c>
      <c r="G615" s="95" t="s">
        <v>3184</v>
      </c>
      <c r="H615" s="95" t="s">
        <v>238</v>
      </c>
      <c r="I615" s="95" t="s">
        <v>239</v>
      </c>
      <c r="J615" s="163"/>
      <c r="K615" s="101"/>
      <c r="L615" s="101" t="s">
        <v>263</v>
      </c>
      <c r="M615" s="101" t="s">
        <v>331</v>
      </c>
      <c r="N615" s="442" t="s">
        <v>467</v>
      </c>
      <c r="O615" s="165">
        <v>87.700400000000002</v>
      </c>
      <c r="P615" s="165">
        <v>405.28</v>
      </c>
      <c r="Q615" s="157">
        <v>5</v>
      </c>
      <c r="R615" s="109" t="s">
        <v>244</v>
      </c>
      <c r="S615" s="110">
        <v>507884.07</v>
      </c>
      <c r="T615" s="93">
        <v>83989.75</v>
      </c>
      <c r="U615" s="141"/>
      <c r="V615" s="158">
        <f t="shared" si="357"/>
        <v>0</v>
      </c>
      <c r="W615" s="159">
        <v>45779.706944444442</v>
      </c>
      <c r="X615" s="159">
        <v>45786.611111111109</v>
      </c>
      <c r="Y615" s="160">
        <v>45786</v>
      </c>
      <c r="Z615" s="470"/>
      <c r="AA615" s="470"/>
      <c r="AB615" s="470"/>
      <c r="AC615" s="161">
        <f t="shared" si="358"/>
        <v>-45779.706944444442</v>
      </c>
      <c r="AD615" s="161">
        <f t="shared" si="351"/>
        <v>-45786.611111111109</v>
      </c>
      <c r="AE615" s="446">
        <f t="shared" si="381"/>
        <v>0</v>
      </c>
      <c r="AF615" s="160">
        <f t="shared" si="352"/>
        <v>45802.731040829982</v>
      </c>
      <c r="AG615" s="160">
        <f t="shared" si="349"/>
        <v>45812.67079986613</v>
      </c>
      <c r="AH615" s="159">
        <f t="shared" si="353"/>
        <v>45829.706944444442</v>
      </c>
      <c r="AI615" s="162">
        <f t="shared" si="359"/>
        <v>-1319.3457209683643</v>
      </c>
      <c r="AJ615" s="224">
        <f t="shared" si="354"/>
        <v>0</v>
      </c>
      <c r="AK615" s="225">
        <f t="shared" si="360"/>
        <v>32</v>
      </c>
      <c r="AL615" s="170">
        <f t="shared" si="361"/>
        <v>36</v>
      </c>
      <c r="AM615" s="170">
        <f t="shared" si="362"/>
        <v>26.024096385542165</v>
      </c>
      <c r="AN615" s="170">
        <f t="shared" si="363"/>
        <v>32.963855421686745</v>
      </c>
      <c r="AO615" s="226">
        <f t="shared" si="364"/>
        <v>23.024096385542165</v>
      </c>
      <c r="AP615" s="227">
        <v>60</v>
      </c>
      <c r="AQ615" s="228">
        <f t="shared" si="365"/>
        <v>57</v>
      </c>
      <c r="AR615" s="228">
        <f t="shared" si="350"/>
        <v>52</v>
      </c>
      <c r="AS615" s="229">
        <f t="shared" si="366"/>
        <v>60</v>
      </c>
      <c r="AT615" s="982">
        <f t="shared" ca="1" si="367"/>
        <v>45895</v>
      </c>
      <c r="AU615" s="50"/>
      <c r="AV615" s="51"/>
      <c r="AW615" s="49"/>
      <c r="AX615" s="49"/>
      <c r="AY615" s="49"/>
      <c r="AZ615" s="300"/>
      <c r="BA615" s="52"/>
      <c r="BB615" s="304"/>
      <c r="BC615" s="231"/>
      <c r="BD615" s="232"/>
      <c r="BE615" s="222">
        <f t="shared" si="382"/>
        <v>15</v>
      </c>
      <c r="BF615" s="233">
        <f t="shared" si="355"/>
        <v>0</v>
      </c>
      <c r="BG615" s="234"/>
      <c r="BH615" s="235"/>
      <c r="BI615" s="234"/>
      <c r="BJ615" s="236"/>
      <c r="BK615" s="222"/>
      <c r="BL615" s="222"/>
      <c r="BM615" s="238"/>
      <c r="BN615" s="222"/>
      <c r="BO615" s="222"/>
      <c r="BP615" s="243"/>
      <c r="BQ615" s="244"/>
      <c r="BR615" s="238"/>
      <c r="BS615" s="68"/>
      <c r="BT615" s="69"/>
      <c r="BU615" s="69"/>
      <c r="BV615" s="69"/>
      <c r="BW615" s="75"/>
      <c r="BX615" s="81"/>
      <c r="BY615" s="66">
        <v>45793</v>
      </c>
      <c r="BZ615" s="944" t="s">
        <v>3185</v>
      </c>
      <c r="CA615" s="42" t="str">
        <f t="shared" si="368"/>
        <v>0</v>
      </c>
      <c r="CB615" s="62">
        <f t="shared" si="369"/>
        <v>-45779.706944444442</v>
      </c>
      <c r="CC615" s="42">
        <f t="shared" si="370"/>
        <v>0</v>
      </c>
      <c r="CD615" s="62">
        <f t="shared" si="371"/>
        <v>-45779.706944444442</v>
      </c>
      <c r="CE615" s="62">
        <f t="shared" si="372"/>
        <v>-1319.3457209683643</v>
      </c>
      <c r="CF615" s="145" t="str">
        <f t="shared" si="373"/>
        <v>0</v>
      </c>
      <c r="CG615" s="145"/>
      <c r="CH615" s="443">
        <f t="shared" si="374"/>
        <v>2.5733762538580853</v>
      </c>
      <c r="CI615" s="996">
        <f t="shared" si="375"/>
        <v>2.5733762538580853</v>
      </c>
      <c r="CJ615" s="261">
        <f t="shared" si="376"/>
        <v>0</v>
      </c>
      <c r="CK615" s="458">
        <f t="shared" si="377"/>
        <v>76.293055555557657</v>
      </c>
      <c r="CL615" t="str">
        <f t="shared" si="378"/>
        <v>REV</v>
      </c>
      <c r="CM615" t="str">
        <f t="shared" si="379"/>
        <v>0-3 MONTHS</v>
      </c>
      <c r="CN615" s="635"/>
      <c r="CO615" s="631"/>
      <c r="CP615" s="629" t="str">
        <f t="shared" si="356"/>
        <v>FOR ISSUANCE</v>
      </c>
      <c r="CQ615" s="635"/>
      <c r="CR615" s="697"/>
      <c r="CS615" s="633" t="str">
        <f t="shared" ca="1" si="380"/>
        <v>0</v>
      </c>
      <c r="CT615" s="635"/>
      <c r="CU615" s="631"/>
      <c r="CV615" s="638"/>
      <c r="CW615" s="404"/>
      <c r="CX615" s="156"/>
      <c r="CY615" s="156"/>
      <c r="DS615" s="442" t="s">
        <v>381</v>
      </c>
    </row>
    <row r="616" spans="1:123" customFormat="1" ht="15" customHeight="1" x14ac:dyDescent="0.25">
      <c r="A616" s="242">
        <v>45799</v>
      </c>
      <c r="B616" s="222">
        <v>45791</v>
      </c>
      <c r="C616" s="223"/>
      <c r="D616" s="66" t="s">
        <v>320</v>
      </c>
      <c r="E616" s="404" t="s">
        <v>3186</v>
      </c>
      <c r="F616" s="95" t="s">
        <v>3187</v>
      </c>
      <c r="G616" s="95" t="s">
        <v>3188</v>
      </c>
      <c r="H616" s="95" t="s">
        <v>318</v>
      </c>
      <c r="I616" s="95" t="s">
        <v>239</v>
      </c>
      <c r="J616" s="163"/>
      <c r="K616" s="101"/>
      <c r="L616" s="101" t="s">
        <v>5</v>
      </c>
      <c r="M616" s="101" t="s">
        <v>272</v>
      </c>
      <c r="N616" s="442" t="s">
        <v>403</v>
      </c>
      <c r="O616" s="165">
        <v>133.1267</v>
      </c>
      <c r="P616" s="165">
        <v>141.24</v>
      </c>
      <c r="Q616" s="157">
        <v>36</v>
      </c>
      <c r="R616" s="109" t="s">
        <v>548</v>
      </c>
      <c r="S616" s="110">
        <v>340226.15</v>
      </c>
      <c r="T616" s="93">
        <v>87755.27</v>
      </c>
      <c r="U616" s="141"/>
      <c r="V616" s="158">
        <f t="shared" si="357"/>
        <v>0</v>
      </c>
      <c r="W616" s="159">
        <v>45782.364583333336</v>
      </c>
      <c r="X616" s="159">
        <v>45791.520138888889</v>
      </c>
      <c r="Y616" s="160">
        <v>45791</v>
      </c>
      <c r="Z616" s="470"/>
      <c r="AA616" s="470">
        <v>45878.375694444447</v>
      </c>
      <c r="AB616" s="470"/>
      <c r="AC616" s="161">
        <f t="shared" si="358"/>
        <v>96.011111111110949</v>
      </c>
      <c r="AD616" s="161">
        <f t="shared" si="351"/>
        <v>86.855555555557657</v>
      </c>
      <c r="AE616" s="446">
        <f t="shared" si="381"/>
        <v>-45878.375694444447</v>
      </c>
      <c r="AF616" s="160">
        <f t="shared" si="352"/>
        <v>45803.57147988506</v>
      </c>
      <c r="AG616" s="160">
        <f t="shared" si="349"/>
        <v>45813.026652298853</v>
      </c>
      <c r="AH616" s="159">
        <f t="shared" si="353"/>
        <v>45832.364583333336</v>
      </c>
      <c r="AI616" s="162">
        <f t="shared" si="359"/>
        <v>2.9747032288698905</v>
      </c>
      <c r="AJ616" s="224">
        <f t="shared" si="354"/>
        <v>-764.6395949074074</v>
      </c>
      <c r="AK616" s="225">
        <f t="shared" si="360"/>
        <v>26</v>
      </c>
      <c r="AL616" s="170">
        <f t="shared" si="361"/>
        <v>36</v>
      </c>
      <c r="AM616" s="170">
        <f t="shared" si="362"/>
        <v>24.206896551724139</v>
      </c>
      <c r="AN616" s="170">
        <f t="shared" si="363"/>
        <v>30.662068965517239</v>
      </c>
      <c r="AO616" s="226">
        <f t="shared" si="364"/>
        <v>21.206896551724139</v>
      </c>
      <c r="AP616" s="227">
        <v>60</v>
      </c>
      <c r="AQ616" s="228">
        <f t="shared" si="365"/>
        <v>57</v>
      </c>
      <c r="AR616" s="228">
        <f t="shared" si="350"/>
        <v>52</v>
      </c>
      <c r="AS616" s="229">
        <f t="shared" si="366"/>
        <v>45938.375694444447</v>
      </c>
      <c r="AT616" s="982">
        <f t="shared" ca="1" si="367"/>
        <v>16.624305555553292</v>
      </c>
      <c r="AU616" s="50"/>
      <c r="AV616" s="51"/>
      <c r="AW616" s="49"/>
      <c r="AX616" s="49"/>
      <c r="AY616" s="49"/>
      <c r="AZ616" s="300"/>
      <c r="BA616" s="52"/>
      <c r="BB616" s="304"/>
      <c r="BC616" s="231" t="s">
        <v>13</v>
      </c>
      <c r="BD616" s="232"/>
      <c r="BE616" s="222">
        <f t="shared" si="382"/>
        <v>45893.375694444447</v>
      </c>
      <c r="BF616" s="233" t="e">
        <f t="shared" si="355"/>
        <v>#VALUE!</v>
      </c>
      <c r="BG616" s="234"/>
      <c r="BH616" s="235"/>
      <c r="BI616" s="234"/>
      <c r="BJ616" s="236"/>
      <c r="BK616" s="222"/>
      <c r="BL616" s="222"/>
      <c r="BM616" s="238"/>
      <c r="BN616" s="222"/>
      <c r="BO616" s="222"/>
      <c r="BP616" s="243"/>
      <c r="BQ616" s="244"/>
      <c r="BR616" s="238"/>
      <c r="BS616" s="68"/>
      <c r="BT616" s="69"/>
      <c r="BU616" s="69"/>
      <c r="BV616" s="69"/>
      <c r="BW616" s="75"/>
      <c r="BX616" s="81"/>
      <c r="BY616" s="66" t="e">
        <f>VLOOKUP([4]C1!$BY:$BY,[4]C1!$BY$531:$BY$625,1,FALSE)</f>
        <v>#N/A</v>
      </c>
      <c r="BZ616" s="944" t="s">
        <v>3189</v>
      </c>
      <c r="CA616" s="42" t="str">
        <f t="shared" si="368"/>
        <v>0</v>
      </c>
      <c r="CB616" s="62">
        <f t="shared" si="369"/>
        <v>96.011111111110949</v>
      </c>
      <c r="CC616" s="42">
        <f t="shared" si="370"/>
        <v>0</v>
      </c>
      <c r="CD616" s="62">
        <f t="shared" si="371"/>
        <v>96.011111111110949</v>
      </c>
      <c r="CE616" s="62">
        <f t="shared" si="372"/>
        <v>2.9747032288698905</v>
      </c>
      <c r="CF616" s="145">
        <f t="shared" si="373"/>
        <v>-9.3756944444467081</v>
      </c>
      <c r="CG616" s="145"/>
      <c r="CH616" s="443">
        <f t="shared" si="374"/>
        <v>2.6842169693731441</v>
      </c>
      <c r="CI616" s="996">
        <f t="shared" si="375"/>
        <v>2.6842169693731441</v>
      </c>
      <c r="CJ616" s="261">
        <f t="shared" si="376"/>
        <v>-0.15626157407411181</v>
      </c>
      <c r="CK616" s="458" t="str">
        <f t="shared" si="377"/>
        <v/>
      </c>
      <c r="CL616" t="str">
        <f t="shared" si="378"/>
        <v>NON-REV</v>
      </c>
      <c r="CM616" t="str">
        <f t="shared" si="379"/>
        <v/>
      </c>
      <c r="CN616" s="635"/>
      <c r="CO616" s="631"/>
      <c r="CP616" s="629" t="str">
        <f t="shared" si="356"/>
        <v>FOR ISSUANCE</v>
      </c>
      <c r="CQ616" s="635"/>
      <c r="CR616" s="697"/>
      <c r="CS616" s="633" t="str">
        <f t="shared" ca="1" si="380"/>
        <v>0</v>
      </c>
      <c r="CT616" s="635"/>
      <c r="CU616" s="631"/>
      <c r="CV616" s="638"/>
      <c r="CW616" s="404"/>
      <c r="CX616" s="156"/>
      <c r="CY616" s="156"/>
      <c r="DS616" s="442" t="s">
        <v>381</v>
      </c>
    </row>
    <row r="617" spans="1:123" customFormat="1" ht="15" customHeight="1" x14ac:dyDescent="0.25">
      <c r="A617" s="242">
        <v>45799</v>
      </c>
      <c r="B617" s="222">
        <v>45791</v>
      </c>
      <c r="C617" s="223"/>
      <c r="D617" s="66" t="s">
        <v>320</v>
      </c>
      <c r="E617" s="404" t="s">
        <v>3190</v>
      </c>
      <c r="F617" s="95" t="s">
        <v>949</v>
      </c>
      <c r="G617" s="95" t="s">
        <v>3191</v>
      </c>
      <c r="H617" s="95" t="s">
        <v>378</v>
      </c>
      <c r="I617" s="95" t="s">
        <v>239</v>
      </c>
      <c r="J617" s="163"/>
      <c r="K617" s="101"/>
      <c r="L617" s="101" t="s">
        <v>288</v>
      </c>
      <c r="M617" s="101" t="s">
        <v>272</v>
      </c>
      <c r="N617" s="442" t="s">
        <v>381</v>
      </c>
      <c r="O617" s="165">
        <v>11.9833</v>
      </c>
      <c r="P617" s="933">
        <v>12.9</v>
      </c>
      <c r="Q617" s="157">
        <v>7</v>
      </c>
      <c r="R617" s="109" t="s">
        <v>244</v>
      </c>
      <c r="S617" s="110">
        <v>148625.41</v>
      </c>
      <c r="T617" s="93">
        <v>11086.840000000002</v>
      </c>
      <c r="U617" s="141"/>
      <c r="V617" s="158">
        <f t="shared" si="357"/>
        <v>0</v>
      </c>
      <c r="W617" s="159">
        <v>45782.368055555555</v>
      </c>
      <c r="X617" s="159">
        <v>45789.573611111111</v>
      </c>
      <c r="Y617" s="160">
        <v>45790</v>
      </c>
      <c r="Z617" s="470">
        <v>45812</v>
      </c>
      <c r="AA617" s="470">
        <v>45812</v>
      </c>
      <c r="AB617" s="470"/>
      <c r="AC617" s="161">
        <f t="shared" si="358"/>
        <v>29.631944444445253</v>
      </c>
      <c r="AD617" s="161">
        <f t="shared" si="351"/>
        <v>22.426388888889051</v>
      </c>
      <c r="AE617" s="446">
        <f t="shared" si="381"/>
        <v>-45812</v>
      </c>
      <c r="AF617" s="160">
        <f t="shared" si="352"/>
        <v>45801.142249103941</v>
      </c>
      <c r="AG617" s="160">
        <f t="shared" si="349"/>
        <v>45809.948700716843</v>
      </c>
      <c r="AH617" s="159">
        <f t="shared" si="353"/>
        <v>45832.368055555555</v>
      </c>
      <c r="AI617" s="162">
        <f t="shared" si="359"/>
        <v>1.0206558641975587</v>
      </c>
      <c r="AJ617" s="224">
        <f t="shared" si="354"/>
        <v>-763.5333333333333</v>
      </c>
      <c r="AK617" s="225">
        <f t="shared" si="360"/>
        <v>20</v>
      </c>
      <c r="AL617" s="170">
        <f t="shared" si="361"/>
        <v>36</v>
      </c>
      <c r="AM617" s="170">
        <f t="shared" si="362"/>
        <v>21.774193548387096</v>
      </c>
      <c r="AN617" s="170">
        <f t="shared" si="363"/>
        <v>27.58064516129032</v>
      </c>
      <c r="AO617" s="226">
        <f t="shared" si="364"/>
        <v>18.774193548387096</v>
      </c>
      <c r="AP617" s="227">
        <v>60</v>
      </c>
      <c r="AQ617" s="228">
        <f t="shared" si="365"/>
        <v>57</v>
      </c>
      <c r="AR617" s="228">
        <f t="shared" si="350"/>
        <v>52</v>
      </c>
      <c r="AS617" s="229">
        <f t="shared" si="366"/>
        <v>45872</v>
      </c>
      <c r="AT617" s="982">
        <f t="shared" ca="1" si="367"/>
        <v>83</v>
      </c>
      <c r="AU617" s="50"/>
      <c r="AV617" s="51"/>
      <c r="AW617" s="49"/>
      <c r="AX617" s="49"/>
      <c r="AY617" s="49"/>
      <c r="AZ617" s="300"/>
      <c r="BA617" s="52"/>
      <c r="BB617" s="304"/>
      <c r="BC617" s="231" t="s">
        <v>12</v>
      </c>
      <c r="BD617" s="232"/>
      <c r="BE617" s="222">
        <f t="shared" si="382"/>
        <v>45827</v>
      </c>
      <c r="BF617" s="233">
        <f t="shared" si="355"/>
        <v>29</v>
      </c>
      <c r="BG617" s="234">
        <v>45812</v>
      </c>
      <c r="BH617" s="235">
        <v>45856</v>
      </c>
      <c r="BI617" s="234"/>
      <c r="BJ617" s="236"/>
      <c r="BK617" s="222"/>
      <c r="BL617" s="222"/>
      <c r="BM617" s="238"/>
      <c r="BN617" s="222"/>
      <c r="BO617" s="222"/>
      <c r="BP617" s="243"/>
      <c r="BQ617" s="244" t="s">
        <v>247</v>
      </c>
      <c r="BR617" s="238">
        <v>45818</v>
      </c>
      <c r="BS617" s="68"/>
      <c r="BT617" s="69"/>
      <c r="BU617" s="69"/>
      <c r="BV617" s="69"/>
      <c r="BW617" s="75"/>
      <c r="BX617" s="81"/>
      <c r="BY617" s="66">
        <v>45799</v>
      </c>
      <c r="BZ617" s="944" t="s">
        <v>3192</v>
      </c>
      <c r="CA617" s="42" t="str">
        <f t="shared" si="368"/>
        <v>0</v>
      </c>
      <c r="CB617" s="62">
        <f t="shared" si="369"/>
        <v>29.631944444445253</v>
      </c>
      <c r="CC617" s="42">
        <f t="shared" si="370"/>
        <v>0</v>
      </c>
      <c r="CD617" s="62">
        <f t="shared" si="371"/>
        <v>29.631944444445253</v>
      </c>
      <c r="CE617" s="62">
        <f t="shared" si="372"/>
        <v>1.0206558641975587</v>
      </c>
      <c r="CF617" s="145">
        <f t="shared" si="373"/>
        <v>57</v>
      </c>
      <c r="CG617" s="145"/>
      <c r="CH617" s="443">
        <f t="shared" si="374"/>
        <v>2.9839891975308919</v>
      </c>
      <c r="CI617" s="996">
        <f t="shared" si="375"/>
        <v>2.9839891975308919</v>
      </c>
      <c r="CJ617" s="261">
        <f t="shared" si="376"/>
        <v>0.95</v>
      </c>
      <c r="CK617" s="458" t="str">
        <f t="shared" si="377"/>
        <v/>
      </c>
      <c r="CL617" t="str">
        <f t="shared" si="378"/>
        <v>REV</v>
      </c>
      <c r="CM617" t="str">
        <f t="shared" si="379"/>
        <v/>
      </c>
      <c r="CN617" s="635"/>
      <c r="CO617" s="631"/>
      <c r="CP617" s="629" t="str">
        <f t="shared" si="356"/>
        <v>FOR ISSUANCE</v>
      </c>
      <c r="CQ617" s="635"/>
      <c r="CR617" s="697"/>
      <c r="CS617" s="633" t="str">
        <f t="shared" ca="1" si="380"/>
        <v>0</v>
      </c>
      <c r="CT617" s="635"/>
      <c r="CU617" s="631"/>
      <c r="CV617" s="638"/>
      <c r="CW617" s="404"/>
      <c r="CX617" s="156"/>
      <c r="CY617" s="156"/>
      <c r="DS617" s="442" t="s">
        <v>381</v>
      </c>
    </row>
    <row r="618" spans="1:123" customFormat="1" ht="15" customHeight="1" x14ac:dyDescent="0.25">
      <c r="A618" s="242">
        <v>45799</v>
      </c>
      <c r="B618" s="222">
        <v>45791</v>
      </c>
      <c r="C618" s="223"/>
      <c r="D618" s="66" t="s">
        <v>234</v>
      </c>
      <c r="E618" s="404" t="s">
        <v>3193</v>
      </c>
      <c r="F618" s="95" t="s">
        <v>926</v>
      </c>
      <c r="G618" s="95" t="s">
        <v>3194</v>
      </c>
      <c r="H618" s="95" t="s">
        <v>238</v>
      </c>
      <c r="I618" s="95" t="s">
        <v>239</v>
      </c>
      <c r="J618" s="163"/>
      <c r="K618" s="101"/>
      <c r="L618" s="101" t="s">
        <v>263</v>
      </c>
      <c r="M618" s="101" t="s">
        <v>331</v>
      </c>
      <c r="N618" s="442" t="s">
        <v>467</v>
      </c>
      <c r="O618" s="165">
        <v>77.110299999999995</v>
      </c>
      <c r="P618" s="165">
        <v>226.68</v>
      </c>
      <c r="Q618" s="157">
        <v>22</v>
      </c>
      <c r="R618" s="109" t="s">
        <v>244</v>
      </c>
      <c r="S618" s="110">
        <v>463503.11</v>
      </c>
      <c r="T618" s="93">
        <v>82828.499999999985</v>
      </c>
      <c r="U618" s="141"/>
      <c r="V618" s="158">
        <f t="shared" si="357"/>
        <v>0</v>
      </c>
      <c r="W618" s="159">
        <v>45782.469444444447</v>
      </c>
      <c r="X618" s="159">
        <v>45789.570138888892</v>
      </c>
      <c r="Y618" s="160">
        <v>45790</v>
      </c>
      <c r="Z618" s="470"/>
      <c r="AA618" s="470"/>
      <c r="AB618" s="470"/>
      <c r="AC618" s="161">
        <f t="shared" si="358"/>
        <v>-45782.469444444447</v>
      </c>
      <c r="AD618" s="161">
        <f t="shared" si="351"/>
        <v>-45789.570138888892</v>
      </c>
      <c r="AE618" s="446">
        <f t="shared" si="381"/>
        <v>0</v>
      </c>
      <c r="AF618" s="160">
        <f t="shared" si="352"/>
        <v>45804.33786549708</v>
      </c>
      <c r="AG618" s="160">
        <f t="shared" si="349"/>
        <v>45813.969444444447</v>
      </c>
      <c r="AH618" s="159">
        <f t="shared" si="353"/>
        <v>45832.469444444447</v>
      </c>
      <c r="AI618" s="162">
        <f t="shared" si="359"/>
        <v>-1380.7411419753087</v>
      </c>
      <c r="AJ618" s="224">
        <f t="shared" si="354"/>
        <v>0</v>
      </c>
      <c r="AK618" s="225">
        <f t="shared" si="360"/>
        <v>28</v>
      </c>
      <c r="AL618" s="170">
        <f t="shared" si="361"/>
        <v>36</v>
      </c>
      <c r="AM618" s="170">
        <f t="shared" si="362"/>
        <v>24.868421052631579</v>
      </c>
      <c r="AN618" s="170">
        <f t="shared" si="363"/>
        <v>31.499999999999996</v>
      </c>
      <c r="AO618" s="226">
        <f t="shared" si="364"/>
        <v>21.868421052631579</v>
      </c>
      <c r="AP618" s="227">
        <v>60</v>
      </c>
      <c r="AQ618" s="228">
        <f t="shared" si="365"/>
        <v>57</v>
      </c>
      <c r="AR618" s="228">
        <f t="shared" si="350"/>
        <v>52</v>
      </c>
      <c r="AS618" s="229">
        <f t="shared" si="366"/>
        <v>60</v>
      </c>
      <c r="AT618" s="982">
        <f t="shared" ca="1" si="367"/>
        <v>45895</v>
      </c>
      <c r="AU618" s="50"/>
      <c r="AV618" s="51"/>
      <c r="AW618" s="49"/>
      <c r="AX618" s="49"/>
      <c r="AY618" s="49"/>
      <c r="AZ618" s="300"/>
      <c r="BA618" s="52"/>
      <c r="BB618" s="304"/>
      <c r="BC618" s="231"/>
      <c r="BD618" s="232"/>
      <c r="BE618" s="222">
        <f t="shared" si="382"/>
        <v>15</v>
      </c>
      <c r="BF618" s="233">
        <f t="shared" si="355"/>
        <v>0</v>
      </c>
      <c r="BG618" s="234"/>
      <c r="BH618" s="235"/>
      <c r="BI618" s="234"/>
      <c r="BJ618" s="236"/>
      <c r="BK618" s="222"/>
      <c r="BL618" s="222"/>
      <c r="BM618" s="238"/>
      <c r="BN618" s="222"/>
      <c r="BO618" s="222"/>
      <c r="BP618" s="243"/>
      <c r="BQ618" s="244"/>
      <c r="BR618" s="238"/>
      <c r="BS618" s="68"/>
      <c r="BT618" s="69"/>
      <c r="BU618" s="69"/>
      <c r="BV618" s="69"/>
      <c r="BW618" s="75"/>
      <c r="BX618" s="81"/>
      <c r="BY618" s="66">
        <v>45800</v>
      </c>
      <c r="BZ618" s="944" t="s">
        <v>3195</v>
      </c>
      <c r="CA618" s="42" t="str">
        <f t="shared" si="368"/>
        <v>0</v>
      </c>
      <c r="CB618" s="62">
        <f t="shared" si="369"/>
        <v>-45782.469444444447</v>
      </c>
      <c r="CC618" s="42">
        <f t="shared" si="370"/>
        <v>0</v>
      </c>
      <c r="CD618" s="62">
        <f t="shared" si="371"/>
        <v>-45782.469444444447</v>
      </c>
      <c r="CE618" s="62">
        <f t="shared" si="372"/>
        <v>-1380.7411419753087</v>
      </c>
      <c r="CF618" s="145" t="str">
        <f t="shared" si="373"/>
        <v>0</v>
      </c>
      <c r="CG618" s="145"/>
      <c r="CH618" s="443">
        <f t="shared" si="374"/>
        <v>2.6096516754849404</v>
      </c>
      <c r="CI618" s="996">
        <f t="shared" si="375"/>
        <v>2.6096516754849404</v>
      </c>
      <c r="CJ618" s="261">
        <f t="shared" si="376"/>
        <v>0</v>
      </c>
      <c r="CK618" s="458">
        <f t="shared" si="377"/>
        <v>73.530555555553292</v>
      </c>
      <c r="CL618" t="str">
        <f t="shared" si="378"/>
        <v>REV</v>
      </c>
      <c r="CM618" t="str">
        <f t="shared" si="379"/>
        <v>0-3 MONTHS</v>
      </c>
      <c r="CN618" s="635"/>
      <c r="CO618" s="631"/>
      <c r="CP618" s="629" t="str">
        <f t="shared" si="356"/>
        <v>FOR ISSUANCE</v>
      </c>
      <c r="CQ618" s="635"/>
      <c r="CR618" s="697"/>
      <c r="CS618" s="633" t="str">
        <f t="shared" ca="1" si="380"/>
        <v>0</v>
      </c>
      <c r="CT618" s="635"/>
      <c r="CU618" s="631"/>
      <c r="CV618" s="638"/>
      <c r="CW618" s="404"/>
      <c r="CX618" s="156"/>
      <c r="CY618" s="156"/>
      <c r="DS618" s="156" t="s">
        <v>397</v>
      </c>
    </row>
    <row r="619" spans="1:123" customFormat="1" ht="15" customHeight="1" x14ac:dyDescent="0.25">
      <c r="A619" s="242">
        <v>45791</v>
      </c>
      <c r="B619" s="222">
        <v>45791</v>
      </c>
      <c r="C619" s="223" t="s">
        <v>247</v>
      </c>
      <c r="D619" s="66" t="s">
        <v>320</v>
      </c>
      <c r="E619" s="404" t="s">
        <v>3196</v>
      </c>
      <c r="F619" s="95" t="s">
        <v>3197</v>
      </c>
      <c r="G619" s="95" t="s">
        <v>3198</v>
      </c>
      <c r="H619" s="95" t="s">
        <v>253</v>
      </c>
      <c r="I619" s="95" t="s">
        <v>254</v>
      </c>
      <c r="J619" s="163"/>
      <c r="K619" s="101"/>
      <c r="L619" s="101" t="s">
        <v>263</v>
      </c>
      <c r="M619" s="101" t="s">
        <v>272</v>
      </c>
      <c r="N619" s="442" t="s">
        <v>467</v>
      </c>
      <c r="O619" s="165">
        <v>160.30519999999993</v>
      </c>
      <c r="P619" s="933">
        <v>451.25</v>
      </c>
      <c r="Q619" s="157">
        <v>25</v>
      </c>
      <c r="R619" s="109" t="s">
        <v>244</v>
      </c>
      <c r="S619" s="110">
        <v>802915.53</v>
      </c>
      <c r="T619" s="93">
        <v>185129.56000000003</v>
      </c>
      <c r="U619" s="141"/>
      <c r="V619" s="158">
        <f t="shared" si="357"/>
        <v>0</v>
      </c>
      <c r="W619" s="159">
        <v>45782.617361111108</v>
      </c>
      <c r="X619" s="159">
        <v>45791.519444444442</v>
      </c>
      <c r="Y619" s="160">
        <v>45791</v>
      </c>
      <c r="Z619" s="470"/>
      <c r="AA619" s="470">
        <v>45842</v>
      </c>
      <c r="AB619" s="470"/>
      <c r="AC619" s="161">
        <f t="shared" si="358"/>
        <v>59.382638888891961</v>
      </c>
      <c r="AD619" s="161">
        <f t="shared" si="351"/>
        <v>50.480555555557657</v>
      </c>
      <c r="AE619" s="446">
        <f t="shared" si="381"/>
        <v>-45842</v>
      </c>
      <c r="AF619" s="160">
        <f t="shared" si="352"/>
        <v>45805.641457496647</v>
      </c>
      <c r="AG619" s="160">
        <f t="shared" si="349"/>
        <v>45815.581216532795</v>
      </c>
      <c r="AH619" s="159">
        <f t="shared" si="353"/>
        <v>45832.617361111108</v>
      </c>
      <c r="AI619" s="162">
        <f t="shared" si="359"/>
        <v>1.7113746624229278</v>
      </c>
      <c r="AJ619" s="224">
        <f t="shared" si="354"/>
        <v>-764.0333333333333</v>
      </c>
      <c r="AK619" s="225">
        <f t="shared" si="360"/>
        <v>32</v>
      </c>
      <c r="AL619" s="170">
        <f t="shared" si="361"/>
        <v>36</v>
      </c>
      <c r="AM619" s="170">
        <f t="shared" si="362"/>
        <v>26.024096385542165</v>
      </c>
      <c r="AN619" s="170">
        <f t="shared" si="363"/>
        <v>32.963855421686745</v>
      </c>
      <c r="AO619" s="226">
        <f t="shared" si="364"/>
        <v>23.024096385542165</v>
      </c>
      <c r="AP619" s="227">
        <v>60</v>
      </c>
      <c r="AQ619" s="228">
        <f t="shared" si="365"/>
        <v>57</v>
      </c>
      <c r="AR619" s="228">
        <f t="shared" si="350"/>
        <v>52</v>
      </c>
      <c r="AS619" s="229">
        <f t="shared" si="366"/>
        <v>45902</v>
      </c>
      <c r="AT619" s="982">
        <f t="shared" ca="1" si="367"/>
        <v>53</v>
      </c>
      <c r="AU619" s="50"/>
      <c r="AV619" s="51"/>
      <c r="AW619" s="49"/>
      <c r="AX619" s="49"/>
      <c r="AY619" s="49"/>
      <c r="AZ619" s="300"/>
      <c r="BA619" s="52"/>
      <c r="BB619" s="304"/>
      <c r="BC619" s="231" t="s">
        <v>13</v>
      </c>
      <c r="BD619" s="232"/>
      <c r="BE619" s="222">
        <f t="shared" si="382"/>
        <v>45857</v>
      </c>
      <c r="BF619" s="233" t="e">
        <f t="shared" si="355"/>
        <v>#VALUE!</v>
      </c>
      <c r="BG619" s="234"/>
      <c r="BH619" s="235"/>
      <c r="BI619" s="234"/>
      <c r="BJ619" s="236"/>
      <c r="BK619" s="222"/>
      <c r="BL619" s="222"/>
      <c r="BM619" s="238"/>
      <c r="BN619" s="222"/>
      <c r="BO619" s="222"/>
      <c r="BP619" s="243"/>
      <c r="BQ619" s="244"/>
      <c r="BR619" s="238"/>
      <c r="BS619" s="68"/>
      <c r="BT619" s="69"/>
      <c r="BU619" s="69"/>
      <c r="BV619" s="69"/>
      <c r="BW619" s="75"/>
      <c r="BX619" s="81"/>
      <c r="BY619" s="66" t="e">
        <f>VLOOKUP([4]C1!$BY:$BY,[4]C1!$BY$531:$BY$625,1,FALSE)</f>
        <v>#N/A</v>
      </c>
      <c r="BZ619" s="944" t="e">
        <f>VLOOKUP([4]C1!$BZ:$BZ,[4]C1!$BZ$531:$BZ$625,1,FALSE)</f>
        <v>#N/A</v>
      </c>
      <c r="CA619" s="42" t="str">
        <f t="shared" si="368"/>
        <v>0</v>
      </c>
      <c r="CB619" s="62">
        <f t="shared" si="369"/>
        <v>59.382638888891961</v>
      </c>
      <c r="CC619" s="42">
        <f t="shared" si="370"/>
        <v>0</v>
      </c>
      <c r="CD619" s="62">
        <f t="shared" si="371"/>
        <v>59.382638888891961</v>
      </c>
      <c r="CE619" s="62">
        <f t="shared" si="372"/>
        <v>1.7113746624229278</v>
      </c>
      <c r="CF619" s="145">
        <f t="shared" si="373"/>
        <v>27</v>
      </c>
      <c r="CG619" s="145"/>
      <c r="CH619" s="443">
        <f t="shared" si="374"/>
        <v>2.489499662422928</v>
      </c>
      <c r="CI619" s="996">
        <f t="shared" si="375"/>
        <v>2.489499662422928</v>
      </c>
      <c r="CJ619" s="261">
        <f t="shared" si="376"/>
        <v>0.45</v>
      </c>
      <c r="CK619" s="458" t="str">
        <f t="shared" si="377"/>
        <v/>
      </c>
      <c r="CL619" t="str">
        <f t="shared" si="378"/>
        <v>REV</v>
      </c>
      <c r="CM619" t="str">
        <f t="shared" si="379"/>
        <v/>
      </c>
      <c r="CN619" s="635"/>
      <c r="CO619" s="631"/>
      <c r="CP619" s="629" t="str">
        <f t="shared" si="356"/>
        <v>FOR ISSUANCE</v>
      </c>
      <c r="CQ619" s="635"/>
      <c r="CR619" s="697"/>
      <c r="CS619" s="633" t="str">
        <f t="shared" ca="1" si="380"/>
        <v>0</v>
      </c>
      <c r="CT619" s="635"/>
      <c r="CU619" s="631"/>
      <c r="CV619" s="638"/>
      <c r="CW619" s="404"/>
      <c r="CX619" s="156"/>
      <c r="CY619" s="156"/>
      <c r="DS619" s="156" t="s">
        <v>397</v>
      </c>
    </row>
    <row r="620" spans="1:123" customFormat="1" ht="15" customHeight="1" x14ac:dyDescent="0.25">
      <c r="A620" s="242">
        <v>45784</v>
      </c>
      <c r="B620" s="222">
        <v>45785</v>
      </c>
      <c r="C620" s="223" t="s">
        <v>247</v>
      </c>
      <c r="D620" s="66" t="s">
        <v>284</v>
      </c>
      <c r="E620" s="404" t="s">
        <v>3199</v>
      </c>
      <c r="F620" s="95" t="s">
        <v>3200</v>
      </c>
      <c r="G620" s="95" t="s">
        <v>1222</v>
      </c>
      <c r="H620" s="95" t="s">
        <v>238</v>
      </c>
      <c r="I620" s="95" t="s">
        <v>239</v>
      </c>
      <c r="J620" s="163"/>
      <c r="K620" s="101"/>
      <c r="L620" s="101" t="s">
        <v>5</v>
      </c>
      <c r="M620" s="101" t="s">
        <v>272</v>
      </c>
      <c r="N620" s="442" t="s">
        <v>403</v>
      </c>
      <c r="O620" s="165">
        <v>27.502800000000001</v>
      </c>
      <c r="P620" s="933">
        <v>53.43</v>
      </c>
      <c r="Q620" s="157">
        <v>131</v>
      </c>
      <c r="R620" s="109" t="s">
        <v>244</v>
      </c>
      <c r="S620" s="110">
        <v>676674.86</v>
      </c>
      <c r="T620" s="93">
        <v>45931.94000000001</v>
      </c>
      <c r="U620" s="141"/>
      <c r="V620" s="158">
        <f t="shared" si="357"/>
        <v>0</v>
      </c>
      <c r="W620" s="159">
        <v>45782.619444444441</v>
      </c>
      <c r="X620" s="159">
        <v>45784.555555555555</v>
      </c>
      <c r="Y620" s="160">
        <v>45785</v>
      </c>
      <c r="Z620" s="470">
        <v>45792</v>
      </c>
      <c r="AA620" s="470">
        <v>45792</v>
      </c>
      <c r="AB620" s="470"/>
      <c r="AC620" s="161">
        <f t="shared" si="358"/>
        <v>9.3805555555591127</v>
      </c>
      <c r="AD620" s="161">
        <f t="shared" si="351"/>
        <v>7.4444444444452529</v>
      </c>
      <c r="AE620" s="446">
        <f t="shared" si="381"/>
        <v>-45792</v>
      </c>
      <c r="AF620" s="160">
        <f t="shared" si="352"/>
        <v>45801.098043666228</v>
      </c>
      <c r="AG620" s="160">
        <f t="shared" si="349"/>
        <v>45809.825670125378</v>
      </c>
      <c r="AH620" s="159">
        <f t="shared" si="353"/>
        <v>45832.619444444441</v>
      </c>
      <c r="AI620" s="162">
        <f t="shared" si="359"/>
        <v>0.32755472524167006</v>
      </c>
      <c r="AJ620" s="224">
        <f t="shared" si="354"/>
        <v>-763.2</v>
      </c>
      <c r="AK620" s="225">
        <f t="shared" si="360"/>
        <v>23</v>
      </c>
      <c r="AL620" s="170">
        <f t="shared" si="361"/>
        <v>32</v>
      </c>
      <c r="AM620" s="170">
        <f t="shared" si="362"/>
        <v>21.478599221789885</v>
      </c>
      <c r="AN620" s="170">
        <f t="shared" si="363"/>
        <v>27.206225680933851</v>
      </c>
      <c r="AO620" s="226">
        <f t="shared" si="364"/>
        <v>18.478599221789885</v>
      </c>
      <c r="AP620" s="227">
        <v>60</v>
      </c>
      <c r="AQ620" s="228">
        <f t="shared" si="365"/>
        <v>57</v>
      </c>
      <c r="AR620" s="228">
        <f t="shared" si="350"/>
        <v>52</v>
      </c>
      <c r="AS620" s="229">
        <f t="shared" si="366"/>
        <v>45852</v>
      </c>
      <c r="AT620" s="982">
        <f t="shared" ca="1" si="367"/>
        <v>103</v>
      </c>
      <c r="AU620" s="50"/>
      <c r="AV620" s="51"/>
      <c r="AW620" s="49"/>
      <c r="AX620" s="49"/>
      <c r="AY620" s="49"/>
      <c r="AZ620" s="300"/>
      <c r="BA620" s="52"/>
      <c r="BB620" s="304"/>
      <c r="BC620" s="231" t="s">
        <v>12</v>
      </c>
      <c r="BD620" s="232"/>
      <c r="BE620" s="222">
        <f t="shared" si="382"/>
        <v>45807</v>
      </c>
      <c r="BF620" s="233">
        <f t="shared" si="355"/>
        <v>38</v>
      </c>
      <c r="BG620" s="234">
        <v>45792</v>
      </c>
      <c r="BH620" s="235">
        <v>45845</v>
      </c>
      <c r="BI620" s="234"/>
      <c r="BJ620" s="236"/>
      <c r="BK620" s="222"/>
      <c r="BL620" s="222"/>
      <c r="BM620" s="238"/>
      <c r="BN620" s="222"/>
      <c r="BO620" s="222"/>
      <c r="BP620" s="243"/>
      <c r="BQ620" s="244" t="s">
        <v>247</v>
      </c>
      <c r="BR620" s="238">
        <v>45791</v>
      </c>
      <c r="BS620" s="68"/>
      <c r="BT620" s="69"/>
      <c r="BU620" s="69"/>
      <c r="BV620" s="69"/>
      <c r="BW620" s="75"/>
      <c r="BX620" s="81"/>
      <c r="BY620" s="66">
        <f>VLOOKUP([4]C1!$BY:$BY,[4]C1!$BY$531:$BY$625,1,FALSE)</f>
        <v>45785</v>
      </c>
      <c r="BZ620" s="944" t="str">
        <f>VLOOKUP([4]C1!$BZ:$BZ,[4]C1!$BZ$531:$BZ$625,1,FALSE)</f>
        <v>TLN-527785</v>
      </c>
      <c r="CA620" s="42" t="str">
        <f t="shared" si="368"/>
        <v>0</v>
      </c>
      <c r="CB620" s="62">
        <f t="shared" si="369"/>
        <v>9.3805555555591127</v>
      </c>
      <c r="CC620" s="42">
        <f t="shared" si="370"/>
        <v>0</v>
      </c>
      <c r="CD620" s="62">
        <f t="shared" si="371"/>
        <v>9.3805555555591127</v>
      </c>
      <c r="CE620" s="62">
        <f t="shared" si="372"/>
        <v>0.32755472524167006</v>
      </c>
      <c r="CF620" s="145">
        <f t="shared" si="373"/>
        <v>77</v>
      </c>
      <c r="CG620" s="145"/>
      <c r="CH620" s="443">
        <f t="shared" si="374"/>
        <v>3.0162775513286264</v>
      </c>
      <c r="CI620" s="996">
        <f t="shared" si="375"/>
        <v>3.0162775513286264</v>
      </c>
      <c r="CJ620" s="261">
        <f t="shared" si="376"/>
        <v>1.2833333333333334</v>
      </c>
      <c r="CK620" s="458" t="str">
        <f t="shared" si="377"/>
        <v/>
      </c>
      <c r="CL620" t="str">
        <f t="shared" si="378"/>
        <v>REV</v>
      </c>
      <c r="CM620" t="str">
        <f t="shared" si="379"/>
        <v/>
      </c>
      <c r="CN620" s="635"/>
      <c r="CO620" s="631"/>
      <c r="CP620" s="629" t="str">
        <f t="shared" si="356"/>
        <v>FOR ISSUANCE</v>
      </c>
      <c r="CQ620" s="635"/>
      <c r="CR620" s="697"/>
      <c r="CS620" s="633" t="str">
        <f t="shared" ca="1" si="380"/>
        <v>0</v>
      </c>
      <c r="CT620" s="635"/>
      <c r="CU620" s="631"/>
      <c r="CV620" s="638"/>
      <c r="CW620" s="404"/>
      <c r="CX620" s="156"/>
      <c r="CY620" s="156"/>
      <c r="DS620" s="442" t="s">
        <v>403</v>
      </c>
    </row>
    <row r="621" spans="1:123" customFormat="1" ht="15" customHeight="1" x14ac:dyDescent="0.25">
      <c r="A621" s="242">
        <v>45784</v>
      </c>
      <c r="B621" s="222">
        <v>45785</v>
      </c>
      <c r="C621" s="223" t="s">
        <v>247</v>
      </c>
      <c r="D621" s="66" t="s">
        <v>284</v>
      </c>
      <c r="E621" s="404" t="s">
        <v>3201</v>
      </c>
      <c r="F621" s="95" t="s">
        <v>3200</v>
      </c>
      <c r="G621" s="95" t="s">
        <v>1222</v>
      </c>
      <c r="H621" s="95" t="s">
        <v>238</v>
      </c>
      <c r="I621" s="95" t="s">
        <v>239</v>
      </c>
      <c r="J621" s="163"/>
      <c r="K621" s="101"/>
      <c r="L621" s="101" t="s">
        <v>5</v>
      </c>
      <c r="M621" s="101" t="s">
        <v>272</v>
      </c>
      <c r="N621" s="442" t="s">
        <v>403</v>
      </c>
      <c r="O621" s="165">
        <v>79.048499999999976</v>
      </c>
      <c r="P621" s="933">
        <v>172.85</v>
      </c>
      <c r="Q621" s="157">
        <v>131</v>
      </c>
      <c r="R621" s="109" t="s">
        <v>244</v>
      </c>
      <c r="S621" s="110">
        <v>482774.42</v>
      </c>
      <c r="T621" s="93">
        <v>148527.47999999998</v>
      </c>
      <c r="U621" s="141"/>
      <c r="V621" s="158">
        <f t="shared" si="357"/>
        <v>0</v>
      </c>
      <c r="W621" s="159">
        <v>45782.620833333334</v>
      </c>
      <c r="X621" s="159">
        <v>45784.556250000001</v>
      </c>
      <c r="Y621" s="160">
        <v>45785</v>
      </c>
      <c r="Z621" s="470">
        <v>45792</v>
      </c>
      <c r="AA621" s="470">
        <v>45792</v>
      </c>
      <c r="AB621" s="470"/>
      <c r="AC621" s="161">
        <f t="shared" si="358"/>
        <v>9.3791666666656965</v>
      </c>
      <c r="AD621" s="161">
        <f t="shared" si="351"/>
        <v>7.4437499999985448</v>
      </c>
      <c r="AE621" s="446">
        <f t="shared" si="381"/>
        <v>-45792</v>
      </c>
      <c r="AF621" s="160">
        <f t="shared" si="352"/>
        <v>45802.0668764988</v>
      </c>
      <c r="AG621" s="160">
        <f t="shared" ref="AG621:AG684" si="383">W621+AN621</f>
        <v>45811.052488009591</v>
      </c>
      <c r="AH621" s="159">
        <f t="shared" si="353"/>
        <v>45832.620833333334</v>
      </c>
      <c r="AI621" s="162">
        <f t="shared" si="359"/>
        <v>0.31339042467945477</v>
      </c>
      <c r="AJ621" s="224">
        <f t="shared" si="354"/>
        <v>-763.2</v>
      </c>
      <c r="AK621" s="225">
        <f t="shared" si="360"/>
        <v>26</v>
      </c>
      <c r="AL621" s="170">
        <f t="shared" si="361"/>
        <v>32</v>
      </c>
      <c r="AM621" s="170">
        <f t="shared" si="362"/>
        <v>22.446043165467625</v>
      </c>
      <c r="AN621" s="170">
        <f t="shared" si="363"/>
        <v>28.431654676258994</v>
      </c>
      <c r="AO621" s="226">
        <f t="shared" si="364"/>
        <v>19.446043165467625</v>
      </c>
      <c r="AP621" s="227">
        <v>60</v>
      </c>
      <c r="AQ621" s="228">
        <f t="shared" si="365"/>
        <v>57</v>
      </c>
      <c r="AR621" s="228">
        <f t="shared" ref="AR621:AR684" si="384">AQ621-5</f>
        <v>52</v>
      </c>
      <c r="AS621" s="229">
        <f t="shared" si="366"/>
        <v>45852</v>
      </c>
      <c r="AT621" s="982">
        <f t="shared" ca="1" si="367"/>
        <v>103</v>
      </c>
      <c r="AU621" s="50"/>
      <c r="AV621" s="51"/>
      <c r="AW621" s="49"/>
      <c r="AX621" s="49"/>
      <c r="AY621" s="49"/>
      <c r="AZ621" s="300"/>
      <c r="BA621" s="52"/>
      <c r="BB621" s="304"/>
      <c r="BC621" s="231" t="s">
        <v>12</v>
      </c>
      <c r="BD621" s="232"/>
      <c r="BE621" s="222">
        <f t="shared" si="382"/>
        <v>45807</v>
      </c>
      <c r="BF621" s="233">
        <f t="shared" si="355"/>
        <v>49</v>
      </c>
      <c r="BG621" s="234">
        <v>45792</v>
      </c>
      <c r="BH621" s="235">
        <v>45856</v>
      </c>
      <c r="BI621" s="234"/>
      <c r="BJ621" s="236"/>
      <c r="BK621" s="222"/>
      <c r="BL621" s="222"/>
      <c r="BM621" s="238"/>
      <c r="BN621" s="222"/>
      <c r="BO621" s="222"/>
      <c r="BP621" s="243"/>
      <c r="BQ621" s="244"/>
      <c r="BR621" s="238"/>
      <c r="BS621" s="68"/>
      <c r="BT621" s="69"/>
      <c r="BU621" s="69"/>
      <c r="BV621" s="69"/>
      <c r="BW621" s="75"/>
      <c r="BX621" s="81"/>
      <c r="BY621" s="66">
        <f>VLOOKUP([4]C1!$BY:$BY,[4]C1!$BY$531:$BY$625,1,FALSE)</f>
        <v>45785</v>
      </c>
      <c r="BZ621" s="944" t="str">
        <f>VLOOKUP([4]C1!$BZ:$BZ,[4]C1!$BZ$531:$BZ$625,1,FALSE)</f>
        <v>C5-8239,C5-5002</v>
      </c>
      <c r="CA621" s="42" t="str">
        <f t="shared" si="368"/>
        <v>0</v>
      </c>
      <c r="CB621" s="62">
        <f t="shared" si="369"/>
        <v>9.3791666666656965</v>
      </c>
      <c r="CC621" s="42">
        <f t="shared" si="370"/>
        <v>0</v>
      </c>
      <c r="CD621" s="62">
        <f t="shared" si="371"/>
        <v>9.3791666666656965</v>
      </c>
      <c r="CE621" s="62">
        <f t="shared" si="372"/>
        <v>0.31339042467945477</v>
      </c>
      <c r="CF621" s="145">
        <f t="shared" si="373"/>
        <v>77</v>
      </c>
      <c r="CG621" s="145"/>
      <c r="CH621" s="443">
        <f t="shared" si="374"/>
        <v>2.8862269631409929</v>
      </c>
      <c r="CI621" s="996">
        <f t="shared" si="375"/>
        <v>2.8862269631409929</v>
      </c>
      <c r="CJ621" s="261">
        <f t="shared" si="376"/>
        <v>1.2833333333333334</v>
      </c>
      <c r="CK621" s="458" t="str">
        <f t="shared" si="377"/>
        <v/>
      </c>
      <c r="CL621" t="str">
        <f t="shared" si="378"/>
        <v>REV</v>
      </c>
      <c r="CM621" t="str">
        <f t="shared" si="379"/>
        <v/>
      </c>
      <c r="CN621" s="635"/>
      <c r="CO621" s="631"/>
      <c r="CP621" s="629" t="str">
        <f t="shared" si="356"/>
        <v>FOR ISSUANCE</v>
      </c>
      <c r="CQ621" s="635"/>
      <c r="CR621" s="697"/>
      <c r="CS621" s="633" t="str">
        <f t="shared" ca="1" si="380"/>
        <v>0</v>
      </c>
      <c r="CT621" s="635"/>
      <c r="CU621" s="631"/>
      <c r="CV621" s="638"/>
      <c r="CW621" s="404"/>
      <c r="CX621" s="156"/>
      <c r="CY621" s="156"/>
      <c r="DS621" s="442" t="s">
        <v>403</v>
      </c>
    </row>
    <row r="622" spans="1:123" customFormat="1" ht="15" customHeight="1" x14ac:dyDescent="0.25">
      <c r="A622" s="242">
        <v>45791</v>
      </c>
      <c r="B622" s="222">
        <v>45785</v>
      </c>
      <c r="C622" s="223" t="s">
        <v>247</v>
      </c>
      <c r="D622" s="66" t="s">
        <v>234</v>
      </c>
      <c r="E622" s="404" t="s">
        <v>3202</v>
      </c>
      <c r="F622" s="95" t="s">
        <v>3203</v>
      </c>
      <c r="G622" s="95" t="s">
        <v>3204</v>
      </c>
      <c r="H622" s="95" t="s">
        <v>253</v>
      </c>
      <c r="I622" s="95" t="s">
        <v>254</v>
      </c>
      <c r="J622" s="854"/>
      <c r="K622" s="101"/>
      <c r="L622" s="101" t="s">
        <v>263</v>
      </c>
      <c r="M622" s="101" t="s">
        <v>272</v>
      </c>
      <c r="N622" s="442" t="s">
        <v>467</v>
      </c>
      <c r="O622" s="165">
        <v>18.652799999999996</v>
      </c>
      <c r="P622" s="933">
        <v>31.3</v>
      </c>
      <c r="Q622" s="157">
        <v>31</v>
      </c>
      <c r="R622" s="109" t="s">
        <v>244</v>
      </c>
      <c r="S622" s="110">
        <v>263217.11</v>
      </c>
      <c r="T622" s="93">
        <v>26892.84</v>
      </c>
      <c r="U622" s="141"/>
      <c r="V622" s="158">
        <f t="shared" si="357"/>
        <v>0</v>
      </c>
      <c r="W622" s="159">
        <v>45783.396527777775</v>
      </c>
      <c r="X622" s="159">
        <v>45784.556944444441</v>
      </c>
      <c r="Y622" s="160">
        <v>45785</v>
      </c>
      <c r="Z622" s="470"/>
      <c r="AA622" s="470">
        <v>45799</v>
      </c>
      <c r="AB622" s="470"/>
      <c r="AC622" s="161">
        <f t="shared" si="358"/>
        <v>15.603472222224809</v>
      </c>
      <c r="AD622" s="161">
        <f t="shared" ref="AD622:AD685" si="385">AA622-X622</f>
        <v>14.443055555559113</v>
      </c>
      <c r="AE622" s="446">
        <f t="shared" si="381"/>
        <v>-45799</v>
      </c>
      <c r="AF622" s="160">
        <f t="shared" ref="AF622:AF685" si="386">W622+AO622</f>
        <v>45802.170721326162</v>
      </c>
      <c r="AG622" s="160">
        <f t="shared" si="383"/>
        <v>45810.977172939063</v>
      </c>
      <c r="AH622" s="159">
        <f t="shared" ref="AH622:AH685" si="387">W622+50</f>
        <v>45833.396527777775</v>
      </c>
      <c r="AI622" s="162">
        <f t="shared" si="359"/>
        <v>0.53745293209885459</v>
      </c>
      <c r="AJ622" s="224">
        <f t="shared" ref="AJ622:AJ685" si="388">AE622/AP622</f>
        <v>-763.31666666666672</v>
      </c>
      <c r="AK622" s="225">
        <f t="shared" si="360"/>
        <v>20</v>
      </c>
      <c r="AL622" s="170">
        <f t="shared" si="361"/>
        <v>36</v>
      </c>
      <c r="AM622" s="170">
        <f t="shared" si="362"/>
        <v>21.774193548387096</v>
      </c>
      <c r="AN622" s="170">
        <f t="shared" si="363"/>
        <v>27.58064516129032</v>
      </c>
      <c r="AO622" s="226">
        <f t="shared" si="364"/>
        <v>18.774193548387096</v>
      </c>
      <c r="AP622" s="227">
        <v>60</v>
      </c>
      <c r="AQ622" s="228">
        <f t="shared" si="365"/>
        <v>57</v>
      </c>
      <c r="AR622" s="228">
        <f t="shared" si="384"/>
        <v>52</v>
      </c>
      <c r="AS622" s="229">
        <f t="shared" si="366"/>
        <v>45859</v>
      </c>
      <c r="AT622" s="982">
        <f t="shared" ca="1" si="367"/>
        <v>96</v>
      </c>
      <c r="AU622" s="50"/>
      <c r="AV622" s="51"/>
      <c r="AW622" s="49"/>
      <c r="AX622" s="49"/>
      <c r="AY622" s="49"/>
      <c r="AZ622" s="300"/>
      <c r="BA622" s="52"/>
      <c r="BB622" s="304"/>
      <c r="BC622" s="231" t="s">
        <v>13</v>
      </c>
      <c r="BD622" s="232"/>
      <c r="BE622" s="222">
        <f t="shared" si="382"/>
        <v>45814</v>
      </c>
      <c r="BF622" s="233" t="e">
        <f t="shared" si="355"/>
        <v>#VALUE!</v>
      </c>
      <c r="BG622" s="234"/>
      <c r="BH622" s="235"/>
      <c r="BI622" s="234"/>
      <c r="BJ622" s="236"/>
      <c r="BK622" s="222"/>
      <c r="BL622" s="222"/>
      <c r="BM622" s="238"/>
      <c r="BN622" s="222"/>
      <c r="BO622" s="222"/>
      <c r="BP622" s="243"/>
      <c r="BQ622" s="244" t="s">
        <v>247</v>
      </c>
      <c r="BR622" s="238">
        <v>45799</v>
      </c>
      <c r="BS622" s="68"/>
      <c r="BT622" s="69"/>
      <c r="BU622" s="69"/>
      <c r="BV622" s="69"/>
      <c r="BW622" s="75"/>
      <c r="BX622" s="81"/>
      <c r="BY622" s="66" t="e">
        <f>VLOOKUP([4]C1!$BY:$BY,[4]C1!$BY$531:$BY$625,1,FALSE)</f>
        <v>#N/A</v>
      </c>
      <c r="BZ622" s="944" t="e">
        <f>VLOOKUP([4]C1!$BZ:$BZ,[4]C1!$BZ$531:$BZ$625,1,FALSE)</f>
        <v>#N/A</v>
      </c>
      <c r="CA622" s="42" t="str">
        <f t="shared" si="368"/>
        <v>0</v>
      </c>
      <c r="CB622" s="62">
        <f t="shared" si="369"/>
        <v>15.603472222224809</v>
      </c>
      <c r="CC622" s="42">
        <f t="shared" si="370"/>
        <v>0</v>
      </c>
      <c r="CD622" s="62">
        <f t="shared" si="371"/>
        <v>15.603472222224809</v>
      </c>
      <c r="CE622" s="62">
        <f t="shared" si="372"/>
        <v>0.53745293209885459</v>
      </c>
      <c r="CF622" s="145">
        <f t="shared" si="373"/>
        <v>70</v>
      </c>
      <c r="CG622" s="145"/>
      <c r="CH622" s="443">
        <f t="shared" si="374"/>
        <v>2.9485640432099656</v>
      </c>
      <c r="CI622" s="996">
        <f t="shared" si="375"/>
        <v>2.9485640432099656</v>
      </c>
      <c r="CJ622" s="261">
        <f t="shared" si="376"/>
        <v>1.1666666666666667</v>
      </c>
      <c r="CK622" s="458" t="str">
        <f t="shared" si="377"/>
        <v/>
      </c>
      <c r="CL622" t="str">
        <f t="shared" si="378"/>
        <v>REV</v>
      </c>
      <c r="CM622" t="str">
        <f t="shared" si="379"/>
        <v/>
      </c>
      <c r="CN622" s="635"/>
      <c r="CO622" s="631"/>
      <c r="CP622" s="629" t="str">
        <f t="shared" si="356"/>
        <v>FOR ISSUANCE</v>
      </c>
      <c r="CQ622" s="635"/>
      <c r="CR622" s="697"/>
      <c r="CS622" s="633" t="str">
        <f t="shared" ca="1" si="380"/>
        <v>0</v>
      </c>
      <c r="CT622" s="635"/>
      <c r="CU622" s="631"/>
      <c r="CV622" s="638"/>
      <c r="CW622" s="404"/>
      <c r="CX622" s="156"/>
      <c r="CY622" s="156"/>
      <c r="DS622" s="442" t="s">
        <v>381</v>
      </c>
    </row>
    <row r="623" spans="1:123" customFormat="1" ht="15" customHeight="1" x14ac:dyDescent="0.25">
      <c r="A623" s="242">
        <v>45799</v>
      </c>
      <c r="B623" s="222">
        <v>45791</v>
      </c>
      <c r="C623" s="223"/>
      <c r="D623" s="66" t="s">
        <v>234</v>
      </c>
      <c r="E623" s="404" t="s">
        <v>3205</v>
      </c>
      <c r="F623" s="95" t="s">
        <v>926</v>
      </c>
      <c r="G623" s="95" t="s">
        <v>3206</v>
      </c>
      <c r="H623" s="95" t="s">
        <v>378</v>
      </c>
      <c r="I623" s="95" t="s">
        <v>239</v>
      </c>
      <c r="J623" s="163"/>
      <c r="K623" s="101"/>
      <c r="L623" s="101" t="s">
        <v>288</v>
      </c>
      <c r="M623" s="101" t="s">
        <v>272</v>
      </c>
      <c r="N623" s="442" t="s">
        <v>381</v>
      </c>
      <c r="O623" s="165">
        <v>37.536800000000007</v>
      </c>
      <c r="P623" s="165">
        <v>67.400000000000006</v>
      </c>
      <c r="Q623" s="157">
        <v>31</v>
      </c>
      <c r="R623" s="109" t="s">
        <v>244</v>
      </c>
      <c r="S623" s="110">
        <v>304675.26</v>
      </c>
      <c r="T623" s="93">
        <v>40481</v>
      </c>
      <c r="U623" s="141"/>
      <c r="V623" s="158">
        <f t="shared" si="357"/>
        <v>0</v>
      </c>
      <c r="W623" s="159">
        <v>45783.426388888889</v>
      </c>
      <c r="X623" s="159">
        <v>45789.572916666664</v>
      </c>
      <c r="Y623" s="160">
        <v>45790</v>
      </c>
      <c r="Z623" s="470"/>
      <c r="AA623" s="470">
        <v>45872</v>
      </c>
      <c r="AB623" s="470"/>
      <c r="AC623" s="161">
        <f t="shared" si="358"/>
        <v>88.573611111110949</v>
      </c>
      <c r="AD623" s="161">
        <f t="shared" si="385"/>
        <v>82.427083333335759</v>
      </c>
      <c r="AE623" s="446">
        <f t="shared" si="381"/>
        <v>-45872</v>
      </c>
      <c r="AF623" s="160">
        <f t="shared" si="386"/>
        <v>45803.511890747628</v>
      </c>
      <c r="AG623" s="160">
        <f t="shared" si="383"/>
        <v>45812.668024576618</v>
      </c>
      <c r="AH623" s="159">
        <f t="shared" si="387"/>
        <v>45833.426388888889</v>
      </c>
      <c r="AI623" s="162">
        <f t="shared" si="359"/>
        <v>2.8775726315083143</v>
      </c>
      <c r="AJ623" s="224">
        <f t="shared" si="388"/>
        <v>-764.5333333333333</v>
      </c>
      <c r="AK623" s="225">
        <f t="shared" si="360"/>
        <v>23</v>
      </c>
      <c r="AL623" s="170">
        <f t="shared" si="361"/>
        <v>36</v>
      </c>
      <c r="AM623" s="170">
        <f t="shared" si="362"/>
        <v>23.085501858736059</v>
      </c>
      <c r="AN623" s="170">
        <f t="shared" si="363"/>
        <v>29.241635687732341</v>
      </c>
      <c r="AO623" s="226">
        <f t="shared" si="364"/>
        <v>20.085501858736059</v>
      </c>
      <c r="AP623" s="227">
        <v>60</v>
      </c>
      <c r="AQ623" s="228">
        <f t="shared" si="365"/>
        <v>57</v>
      </c>
      <c r="AR623" s="228">
        <f t="shared" si="384"/>
        <v>52</v>
      </c>
      <c r="AS623" s="229">
        <f t="shared" si="366"/>
        <v>45932</v>
      </c>
      <c r="AT623" s="982">
        <f t="shared" ca="1" si="367"/>
        <v>23</v>
      </c>
      <c r="AU623" s="50" t="s">
        <v>55</v>
      </c>
      <c r="AV623" s="51" t="s">
        <v>247</v>
      </c>
      <c r="AW623" s="49" t="s">
        <v>247</v>
      </c>
      <c r="AX623" s="49"/>
      <c r="AY623" s="49"/>
      <c r="AZ623" s="300">
        <v>45812</v>
      </c>
      <c r="BA623" s="52">
        <f>BB623-AZ623</f>
        <v>27</v>
      </c>
      <c r="BB623" s="304">
        <v>45839</v>
      </c>
      <c r="BC623" s="231" t="s">
        <v>13</v>
      </c>
      <c r="BD623" s="232" t="s">
        <v>9</v>
      </c>
      <c r="BE623" s="222">
        <f t="shared" si="382"/>
        <v>45887</v>
      </c>
      <c r="BF623" s="233" t="e">
        <f t="shared" si="355"/>
        <v>#VALUE!</v>
      </c>
      <c r="BG623" s="234"/>
      <c r="BH623" s="235"/>
      <c r="BI623" s="234">
        <v>45882</v>
      </c>
      <c r="BJ623" s="236" t="s">
        <v>1598</v>
      </c>
      <c r="BK623" s="222"/>
      <c r="BL623" s="222"/>
      <c r="BM623" s="238"/>
      <c r="BN623" s="222"/>
      <c r="BO623" s="222"/>
      <c r="BP623" s="243"/>
      <c r="BQ623" s="244"/>
      <c r="BR623" s="238"/>
      <c r="BS623" s="68"/>
      <c r="BT623" s="69"/>
      <c r="BU623" s="69"/>
      <c r="BV623" s="69"/>
      <c r="BW623" s="75"/>
      <c r="BX623" s="81"/>
      <c r="BY623" s="66">
        <v>45799</v>
      </c>
      <c r="BZ623" s="944" t="s">
        <v>3207</v>
      </c>
      <c r="CA623" s="42" t="str">
        <f t="shared" si="368"/>
        <v>0</v>
      </c>
      <c r="CB623" s="62">
        <f t="shared" si="369"/>
        <v>88.573611111110949</v>
      </c>
      <c r="CC623" s="42">
        <f t="shared" si="370"/>
        <v>27</v>
      </c>
      <c r="CD623" s="62">
        <f t="shared" si="371"/>
        <v>61.573611111110949</v>
      </c>
      <c r="CE623" s="62">
        <f t="shared" si="372"/>
        <v>2.0003987184648362</v>
      </c>
      <c r="CF623" s="145">
        <f t="shared" si="373"/>
        <v>-3</v>
      </c>
      <c r="CG623" s="145">
        <f xml:space="preserve"> (0.3)*(($CF$1-W623-CF623)/AK623)+(0.7)*(($CF$1-W623-CF623)/AL623)</f>
        <v>2.8775726315083143</v>
      </c>
      <c r="CH623" s="443">
        <f t="shared" si="374"/>
        <v>2.7801088633923725</v>
      </c>
      <c r="CI623" s="996">
        <f t="shared" si="375"/>
        <v>-9.7463768115941818E-2</v>
      </c>
      <c r="CJ623" s="261">
        <f t="shared" si="376"/>
        <v>-0.05</v>
      </c>
      <c r="CK623" s="458" t="str">
        <f t="shared" si="377"/>
        <v/>
      </c>
      <c r="CL623" t="str">
        <f t="shared" si="378"/>
        <v>REV</v>
      </c>
      <c r="CM623" t="str">
        <f t="shared" si="379"/>
        <v/>
      </c>
      <c r="CN623" s="635"/>
      <c r="CO623" s="631"/>
      <c r="CP623" s="629" t="str">
        <f t="shared" si="356"/>
        <v>FOR ISSUANCE</v>
      </c>
      <c r="CQ623" s="635"/>
      <c r="CR623" s="697"/>
      <c r="CS623" s="633" t="str">
        <f t="shared" ca="1" si="380"/>
        <v>0</v>
      </c>
      <c r="CT623" s="635"/>
      <c r="CU623" s="631"/>
      <c r="CV623" s="638"/>
      <c r="CW623" s="404"/>
      <c r="CX623" s="156"/>
      <c r="CY623" s="156"/>
      <c r="DS623" s="442" t="s">
        <v>381</v>
      </c>
    </row>
    <row r="624" spans="1:123" customFormat="1" ht="15" customHeight="1" x14ac:dyDescent="0.25">
      <c r="A624" s="242">
        <v>45790</v>
      </c>
      <c r="B624" s="222">
        <v>45791</v>
      </c>
      <c r="C624" s="223" t="s">
        <v>247</v>
      </c>
      <c r="D624" s="66" t="s">
        <v>284</v>
      </c>
      <c r="E624" s="404" t="s">
        <v>3208</v>
      </c>
      <c r="F624" s="95" t="s">
        <v>3209</v>
      </c>
      <c r="G624" s="95" t="s">
        <v>842</v>
      </c>
      <c r="H624" s="95" t="s">
        <v>318</v>
      </c>
      <c r="I624" s="95" t="s">
        <v>239</v>
      </c>
      <c r="J624" s="163"/>
      <c r="K624" s="101"/>
      <c r="L624" s="101" t="s">
        <v>288</v>
      </c>
      <c r="M624" s="101" t="s">
        <v>272</v>
      </c>
      <c r="N624" s="442" t="s">
        <v>381</v>
      </c>
      <c r="O624" s="165">
        <v>64.236800000000017</v>
      </c>
      <c r="P624" s="933">
        <v>141.79</v>
      </c>
      <c r="Q624" s="157">
        <v>280</v>
      </c>
      <c r="R624" s="109" t="s">
        <v>244</v>
      </c>
      <c r="S624" s="110">
        <v>955389.18</v>
      </c>
      <c r="T624" s="93">
        <v>104026.11999999998</v>
      </c>
      <c r="U624" s="141"/>
      <c r="V624" s="158">
        <f t="shared" si="357"/>
        <v>0</v>
      </c>
      <c r="W624" s="159">
        <v>45783.589583333334</v>
      </c>
      <c r="X624" s="159">
        <v>45786.6</v>
      </c>
      <c r="Y624" s="160">
        <v>45786</v>
      </c>
      <c r="Z624" s="470"/>
      <c r="AA624" s="470">
        <v>45829</v>
      </c>
      <c r="AB624" s="470"/>
      <c r="AC624" s="161">
        <f t="shared" si="358"/>
        <v>45.410416666665697</v>
      </c>
      <c r="AD624" s="161">
        <f t="shared" si="385"/>
        <v>42.400000000001455</v>
      </c>
      <c r="AE624" s="446">
        <f t="shared" si="381"/>
        <v>-45829</v>
      </c>
      <c r="AF624" s="160">
        <f t="shared" si="386"/>
        <v>45802.096936274509</v>
      </c>
      <c r="AG624" s="160">
        <f t="shared" si="383"/>
        <v>45810.83223039216</v>
      </c>
      <c r="AH624" s="159">
        <f t="shared" si="387"/>
        <v>45833.589583333334</v>
      </c>
      <c r="AI624" s="162">
        <f t="shared" si="359"/>
        <v>1.5835427350427014</v>
      </c>
      <c r="AJ624" s="224">
        <f t="shared" si="388"/>
        <v>-763.81666666666672</v>
      </c>
      <c r="AK624" s="225">
        <f t="shared" si="360"/>
        <v>26</v>
      </c>
      <c r="AL624" s="170">
        <f t="shared" si="361"/>
        <v>30</v>
      </c>
      <c r="AM624" s="170">
        <f t="shared" si="362"/>
        <v>21.507352941176471</v>
      </c>
      <c r="AN624" s="170">
        <f t="shared" si="363"/>
        <v>27.242647058823529</v>
      </c>
      <c r="AO624" s="226">
        <f t="shared" si="364"/>
        <v>18.507352941176471</v>
      </c>
      <c r="AP624" s="227">
        <v>60</v>
      </c>
      <c r="AQ624" s="228">
        <f t="shared" si="365"/>
        <v>57</v>
      </c>
      <c r="AR624" s="228">
        <f t="shared" si="384"/>
        <v>52</v>
      </c>
      <c r="AS624" s="229">
        <f t="shared" si="366"/>
        <v>45889</v>
      </c>
      <c r="AT624" s="982">
        <f t="shared" ca="1" si="367"/>
        <v>66</v>
      </c>
      <c r="AU624" s="50" t="s">
        <v>53</v>
      </c>
      <c r="AV624" s="51" t="s">
        <v>247</v>
      </c>
      <c r="AW624" s="49" t="s">
        <v>247</v>
      </c>
      <c r="AX624" s="49"/>
      <c r="AY624" s="49"/>
      <c r="AZ624" s="300">
        <v>45811</v>
      </c>
      <c r="BA624" s="52">
        <f>BB624-AZ624</f>
        <v>2</v>
      </c>
      <c r="BB624" s="304">
        <v>45813</v>
      </c>
      <c r="BC624" s="231" t="s">
        <v>13</v>
      </c>
      <c r="BD624" s="232"/>
      <c r="BE624" s="222">
        <f t="shared" si="382"/>
        <v>45844</v>
      </c>
      <c r="BF624" s="233" t="e">
        <f t="shared" si="355"/>
        <v>#VALUE!</v>
      </c>
      <c r="BG624" s="234"/>
      <c r="BH624" s="235"/>
      <c r="BI624" s="234"/>
      <c r="BJ624" s="236"/>
      <c r="BK624" s="222"/>
      <c r="BL624" s="222"/>
      <c r="BM624" s="238"/>
      <c r="BN624" s="222"/>
      <c r="BO624" s="222"/>
      <c r="BP624" s="243"/>
      <c r="BQ624" s="244" t="s">
        <v>247</v>
      </c>
      <c r="BR624" s="238">
        <v>45826</v>
      </c>
      <c r="BS624" s="68"/>
      <c r="BT624" s="69"/>
      <c r="BU624" s="69"/>
      <c r="BV624" s="69"/>
      <c r="BW624" s="75"/>
      <c r="BX624" s="81"/>
      <c r="BY624" s="66">
        <v>45791</v>
      </c>
      <c r="BZ624" s="944" t="s">
        <v>3210</v>
      </c>
      <c r="CA624" s="42" t="str">
        <f t="shared" si="368"/>
        <v>0</v>
      </c>
      <c r="CB624" s="62">
        <f t="shared" si="369"/>
        <v>45.410416666665697</v>
      </c>
      <c r="CC624" s="42">
        <f t="shared" si="370"/>
        <v>2</v>
      </c>
      <c r="CD624" s="62">
        <f t="shared" si="371"/>
        <v>43.410416666665697</v>
      </c>
      <c r="CE624" s="62">
        <f t="shared" si="372"/>
        <v>1.5137991452991115</v>
      </c>
      <c r="CF624" s="145">
        <f t="shared" si="373"/>
        <v>40</v>
      </c>
      <c r="CG624" s="145">
        <f xml:space="preserve"> (0.3)*(($CF$1-W624-CF624)/AK624)+(0.7)*(($CF$1-W624-CF624)/AL624)</f>
        <v>1.5835427350427014</v>
      </c>
      <c r="CH624" s="443">
        <f t="shared" si="374"/>
        <v>2.9784145299144962</v>
      </c>
      <c r="CI624" s="996">
        <f t="shared" si="375"/>
        <v>1.3948717948717948</v>
      </c>
      <c r="CJ624" s="261">
        <f t="shared" si="376"/>
        <v>0.66666666666666663</v>
      </c>
      <c r="CK624" s="458" t="str">
        <f t="shared" si="377"/>
        <v/>
      </c>
      <c r="CL624" t="str">
        <f t="shared" si="378"/>
        <v>REV</v>
      </c>
      <c r="CM624" t="str">
        <f t="shared" si="379"/>
        <v/>
      </c>
      <c r="CN624" s="635"/>
      <c r="CO624" s="631"/>
      <c r="CP624" s="629" t="str">
        <f t="shared" si="356"/>
        <v>FOR ISSUANCE</v>
      </c>
      <c r="CQ624" s="635"/>
      <c r="CR624" s="697"/>
      <c r="CS624" s="633" t="str">
        <f t="shared" ca="1" si="380"/>
        <v>0</v>
      </c>
      <c r="CT624" s="635"/>
      <c r="CU624" s="631"/>
      <c r="CV624" s="638"/>
      <c r="CW624" s="404"/>
      <c r="CX624" s="156"/>
      <c r="CY624" s="156"/>
      <c r="DS624" s="442" t="s">
        <v>403</v>
      </c>
    </row>
    <row r="625" spans="1:123" customFormat="1" ht="15" customHeight="1" x14ac:dyDescent="0.25">
      <c r="A625" s="242">
        <v>45800</v>
      </c>
      <c r="B625" s="222">
        <v>45803</v>
      </c>
      <c r="C625" s="852"/>
      <c r="D625" s="66" t="s">
        <v>361</v>
      </c>
      <c r="E625" s="404" t="s">
        <v>3211</v>
      </c>
      <c r="F625" s="95" t="s">
        <v>3212</v>
      </c>
      <c r="G625" s="95" t="s">
        <v>3213</v>
      </c>
      <c r="H625" s="95" t="s">
        <v>253</v>
      </c>
      <c r="I625" s="95" t="s">
        <v>254</v>
      </c>
      <c r="J625" s="854" t="s">
        <v>3214</v>
      </c>
      <c r="K625" s="855"/>
      <c r="L625" s="101" t="s">
        <v>263</v>
      </c>
      <c r="M625" s="101" t="s">
        <v>331</v>
      </c>
      <c r="N625" s="442" t="s">
        <v>467</v>
      </c>
      <c r="O625" s="165">
        <v>1756</v>
      </c>
      <c r="P625" s="165">
        <v>10030.65</v>
      </c>
      <c r="Q625" s="157" t="s">
        <v>2021</v>
      </c>
      <c r="R625" s="109" t="s">
        <v>327</v>
      </c>
      <c r="S625" s="110">
        <v>8140554.0800000001</v>
      </c>
      <c r="T625" s="93">
        <v>1508048.68</v>
      </c>
      <c r="U625" s="857"/>
      <c r="V625" s="158">
        <f t="shared" si="357"/>
        <v>0</v>
      </c>
      <c r="W625" s="159">
        <v>45783.779861111114</v>
      </c>
      <c r="X625" s="159">
        <v>45789.729166666664</v>
      </c>
      <c r="Y625" s="160">
        <v>45803</v>
      </c>
      <c r="Z625" s="470"/>
      <c r="AA625" s="470"/>
      <c r="AB625" s="942"/>
      <c r="AC625" s="161">
        <f t="shared" si="358"/>
        <v>-45783.779861111114</v>
      </c>
      <c r="AD625" s="161">
        <f t="shared" si="385"/>
        <v>-45789.729166666664</v>
      </c>
      <c r="AE625" s="446">
        <f t="shared" si="381"/>
        <v>0</v>
      </c>
      <c r="AF625" s="160">
        <f t="shared" si="386"/>
        <v>45799.072544037946</v>
      </c>
      <c r="AG625" s="160">
        <f t="shared" si="383"/>
        <v>45806.95059281843</v>
      </c>
      <c r="AH625" s="159">
        <f t="shared" si="387"/>
        <v>45833.779861111114</v>
      </c>
      <c r="AI625" s="162">
        <f t="shared" si="359"/>
        <v>-1877.1349743055557</v>
      </c>
      <c r="AJ625" s="224">
        <f t="shared" si="388"/>
        <v>0</v>
      </c>
      <c r="AK625" s="225">
        <f t="shared" si="360"/>
        <v>50</v>
      </c>
      <c r="AL625" s="170">
        <f t="shared" si="361"/>
        <v>20</v>
      </c>
      <c r="AM625" s="170">
        <f t="shared" si="362"/>
        <v>18.292682926829272</v>
      </c>
      <c r="AN625" s="170">
        <f t="shared" si="363"/>
        <v>23.170731707317074</v>
      </c>
      <c r="AO625" s="226">
        <f t="shared" si="364"/>
        <v>15.292682926829272</v>
      </c>
      <c r="AP625" s="227">
        <v>60</v>
      </c>
      <c r="AQ625" s="228">
        <f t="shared" si="365"/>
        <v>57</v>
      </c>
      <c r="AR625" s="228">
        <f t="shared" si="384"/>
        <v>52</v>
      </c>
      <c r="AS625" s="229">
        <f t="shared" si="366"/>
        <v>60</v>
      </c>
      <c r="AT625" s="982">
        <f t="shared" ca="1" si="367"/>
        <v>45895</v>
      </c>
      <c r="AU625" s="50"/>
      <c r="AV625" s="51"/>
      <c r="AW625" s="49"/>
      <c r="AX625" s="49"/>
      <c r="AY625" s="49"/>
      <c r="AZ625" s="300"/>
      <c r="BA625" s="52"/>
      <c r="BB625" s="304"/>
      <c r="BC625" s="231"/>
      <c r="BD625" s="232"/>
      <c r="BE625" s="222">
        <f t="shared" si="382"/>
        <v>15</v>
      </c>
      <c r="BF625" s="233">
        <f t="shared" si="355"/>
        <v>0</v>
      </c>
      <c r="BG625" s="234"/>
      <c r="BH625" s="235"/>
      <c r="BI625" s="234"/>
      <c r="BJ625" s="236"/>
      <c r="BK625" s="222"/>
      <c r="BL625" s="222"/>
      <c r="BM625" s="238"/>
      <c r="BN625" s="222"/>
      <c r="BO625" s="222"/>
      <c r="BP625" s="243"/>
      <c r="BQ625" s="244"/>
      <c r="BR625" s="238"/>
      <c r="BS625" s="68"/>
      <c r="BT625" s="69"/>
      <c r="BU625" s="69"/>
      <c r="BV625" s="69"/>
      <c r="BW625" s="75"/>
      <c r="BX625" s="81"/>
      <c r="BY625" s="66">
        <v>45803</v>
      </c>
      <c r="BZ625" s="944" t="s">
        <v>3215</v>
      </c>
      <c r="CA625" s="42" t="str">
        <f t="shared" si="368"/>
        <v>0</v>
      </c>
      <c r="CB625" s="62">
        <f t="shared" si="369"/>
        <v>-45783.779861111114</v>
      </c>
      <c r="CC625" s="42">
        <f t="shared" si="370"/>
        <v>0</v>
      </c>
      <c r="CD625" s="62">
        <f t="shared" si="371"/>
        <v>-45783.779861111114</v>
      </c>
      <c r="CE625" s="62">
        <f t="shared" si="372"/>
        <v>-1877.1349743055557</v>
      </c>
      <c r="CF625" s="145" t="str">
        <f t="shared" si="373"/>
        <v>0</v>
      </c>
      <c r="CG625" s="145"/>
      <c r="CH625" s="443">
        <f t="shared" si="374"/>
        <v>3.4940256944443311</v>
      </c>
      <c r="CI625" s="996">
        <f t="shared" si="375"/>
        <v>3.4940256944443311</v>
      </c>
      <c r="CJ625" s="261">
        <f t="shared" si="376"/>
        <v>0</v>
      </c>
      <c r="CK625" s="458">
        <f t="shared" si="377"/>
        <v>72.22013888888614</v>
      </c>
      <c r="CL625" t="str">
        <f t="shared" si="378"/>
        <v>NON-REV</v>
      </c>
      <c r="CM625" t="str">
        <f t="shared" si="379"/>
        <v>0-3 MONTHS</v>
      </c>
      <c r="CN625" s="635"/>
      <c r="CO625" s="631"/>
      <c r="CP625" s="629"/>
      <c r="CQ625" s="635"/>
      <c r="CR625" s="697"/>
      <c r="CS625" s="633"/>
      <c r="CT625" s="635"/>
      <c r="CU625" s="631"/>
      <c r="CV625" s="638"/>
      <c r="CW625" s="853"/>
      <c r="CX625" s="856"/>
      <c r="CY625" s="856"/>
      <c r="CZ625" s="359"/>
      <c r="DA625" s="359"/>
      <c r="DS625" s="442"/>
    </row>
    <row r="626" spans="1:123" customFormat="1" ht="15" customHeight="1" x14ac:dyDescent="0.25">
      <c r="A626" s="242">
        <v>45799</v>
      </c>
      <c r="B626" s="222">
        <v>45791</v>
      </c>
      <c r="C626" s="223"/>
      <c r="D626" s="66" t="s">
        <v>234</v>
      </c>
      <c r="E626" s="404" t="s">
        <v>3216</v>
      </c>
      <c r="F626" s="95" t="s">
        <v>926</v>
      </c>
      <c r="G626" s="95" t="s">
        <v>3217</v>
      </c>
      <c r="H626" s="95" t="s">
        <v>378</v>
      </c>
      <c r="I626" s="95" t="s">
        <v>239</v>
      </c>
      <c r="J626" s="163"/>
      <c r="K626" s="101"/>
      <c r="L626" s="101" t="s">
        <v>5</v>
      </c>
      <c r="M626" s="101" t="s">
        <v>331</v>
      </c>
      <c r="N626" s="442" t="s">
        <v>403</v>
      </c>
      <c r="O626" s="165">
        <v>154.58429999999998</v>
      </c>
      <c r="P626" s="165">
        <v>891.66</v>
      </c>
      <c r="Q626" s="157">
        <v>31</v>
      </c>
      <c r="R626" s="109" t="s">
        <v>244</v>
      </c>
      <c r="S626" s="110">
        <v>1183894.26</v>
      </c>
      <c r="T626" s="93">
        <v>164844.18000000005</v>
      </c>
      <c r="U626" s="141"/>
      <c r="V626" s="158">
        <f t="shared" si="357"/>
        <v>0</v>
      </c>
      <c r="W626" s="159">
        <v>45784.311111111114</v>
      </c>
      <c r="X626" s="159">
        <v>45789.572222222225</v>
      </c>
      <c r="Y626" s="160">
        <v>45790</v>
      </c>
      <c r="Z626" s="470"/>
      <c r="AA626" s="470"/>
      <c r="AB626" s="470"/>
      <c r="AC626" s="161">
        <f t="shared" si="358"/>
        <v>-45784.311111111114</v>
      </c>
      <c r="AD626" s="161">
        <f t="shared" si="385"/>
        <v>-45789.572222222225</v>
      </c>
      <c r="AE626" s="446">
        <f t="shared" si="381"/>
        <v>0</v>
      </c>
      <c r="AF626" s="160">
        <f t="shared" si="386"/>
        <v>45809.146162657504</v>
      </c>
      <c r="AG626" s="160">
        <f t="shared" si="383"/>
        <v>45819.568843069879</v>
      </c>
      <c r="AH626" s="159">
        <f t="shared" si="387"/>
        <v>45834.311111111114</v>
      </c>
      <c r="AI626" s="162">
        <f t="shared" si="359"/>
        <v>-1233.6328271604937</v>
      </c>
      <c r="AJ626" s="224">
        <f t="shared" si="388"/>
        <v>0</v>
      </c>
      <c r="AK626" s="225">
        <f t="shared" si="360"/>
        <v>40</v>
      </c>
      <c r="AL626" s="170">
        <f t="shared" si="361"/>
        <v>36</v>
      </c>
      <c r="AM626" s="170">
        <f t="shared" si="362"/>
        <v>27.835051546391753</v>
      </c>
      <c r="AN626" s="170">
        <f t="shared" si="363"/>
        <v>35.257731958762882</v>
      </c>
      <c r="AO626" s="226">
        <f t="shared" si="364"/>
        <v>24.835051546391753</v>
      </c>
      <c r="AP626" s="227">
        <v>60</v>
      </c>
      <c r="AQ626" s="228">
        <f t="shared" si="365"/>
        <v>57</v>
      </c>
      <c r="AR626" s="228">
        <f t="shared" si="384"/>
        <v>52</v>
      </c>
      <c r="AS626" s="229">
        <f t="shared" si="366"/>
        <v>60</v>
      </c>
      <c r="AT626" s="982">
        <f t="shared" ca="1" si="367"/>
        <v>45895</v>
      </c>
      <c r="AU626" s="50"/>
      <c r="AV626" s="51"/>
      <c r="AW626" s="49"/>
      <c r="AX626" s="49"/>
      <c r="AY626" s="49"/>
      <c r="AZ626" s="300"/>
      <c r="BA626" s="52"/>
      <c r="BB626" s="304"/>
      <c r="BC626" s="231"/>
      <c r="BD626" s="232"/>
      <c r="BE626" s="222">
        <f t="shared" si="382"/>
        <v>15</v>
      </c>
      <c r="BF626" s="233">
        <f t="shared" si="355"/>
        <v>0</v>
      </c>
      <c r="BG626" s="234"/>
      <c r="BH626" s="235"/>
      <c r="BI626" s="234"/>
      <c r="BJ626" s="236"/>
      <c r="BK626" s="222"/>
      <c r="BL626" s="222"/>
      <c r="BM626" s="238"/>
      <c r="BN626" s="222"/>
      <c r="BO626" s="222"/>
      <c r="BP626" s="243"/>
      <c r="BQ626" s="244"/>
      <c r="BR626" s="238"/>
      <c r="BS626" s="68"/>
      <c r="BT626" s="69"/>
      <c r="BU626" s="69"/>
      <c r="BV626" s="69"/>
      <c r="BW626" s="75"/>
      <c r="BX626" s="81"/>
      <c r="BY626" s="66">
        <v>45799</v>
      </c>
      <c r="BZ626" s="944" t="s">
        <v>3218</v>
      </c>
      <c r="CA626" s="42" t="str">
        <f t="shared" si="368"/>
        <v>0</v>
      </c>
      <c r="CB626" s="62">
        <f t="shared" si="369"/>
        <v>-45784.311111111114</v>
      </c>
      <c r="CC626" s="42">
        <f t="shared" si="370"/>
        <v>0</v>
      </c>
      <c r="CD626" s="62">
        <f t="shared" si="371"/>
        <v>-45784.311111111114</v>
      </c>
      <c r="CE626" s="62">
        <f t="shared" si="372"/>
        <v>-1233.6328271604937</v>
      </c>
      <c r="CF626" s="145" t="str">
        <f t="shared" si="373"/>
        <v>0</v>
      </c>
      <c r="CG626" s="145"/>
      <c r="CH626" s="443">
        <f t="shared" si="374"/>
        <v>2.2818950617283207</v>
      </c>
      <c r="CI626" s="996">
        <f t="shared" si="375"/>
        <v>2.2818950617283207</v>
      </c>
      <c r="CJ626" s="261">
        <f t="shared" si="376"/>
        <v>0</v>
      </c>
      <c r="CK626" s="458">
        <f t="shared" si="377"/>
        <v>71.68888888888614</v>
      </c>
      <c r="CL626" t="str">
        <f t="shared" si="378"/>
        <v>REV</v>
      </c>
      <c r="CM626" t="str">
        <f t="shared" si="379"/>
        <v>0-3 MONTHS</v>
      </c>
      <c r="CN626" s="635"/>
      <c r="CO626" s="631"/>
      <c r="CP626" s="629" t="str">
        <f>IF(CQ626,"NTC ISSUED","FOR ISSUANCE")</f>
        <v>FOR ISSUANCE</v>
      </c>
      <c r="CQ626" s="635"/>
      <c r="CR626" s="697"/>
      <c r="CS626" s="633" t="str">
        <f ca="1">IF(AND(CQ626=0,CR626=0), "0",IF(CR626,(CR626-CQ626),TODAY()-CQ626))</f>
        <v>0</v>
      </c>
      <c r="CT626" s="635"/>
      <c r="CU626" s="631"/>
      <c r="CV626" s="638"/>
      <c r="CW626" s="404"/>
      <c r="CX626" s="156"/>
      <c r="CY626" s="156"/>
      <c r="DS626" s="442"/>
    </row>
    <row r="627" spans="1:123" customFormat="1" ht="15" customHeight="1" x14ac:dyDescent="0.25">
      <c r="A627" s="242">
        <v>45800</v>
      </c>
      <c r="B627" s="222">
        <v>45803</v>
      </c>
      <c r="C627" s="852"/>
      <c r="D627" s="66" t="s">
        <v>361</v>
      </c>
      <c r="E627" s="404" t="s">
        <v>3219</v>
      </c>
      <c r="F627" s="95" t="s">
        <v>3220</v>
      </c>
      <c r="G627" s="95" t="s">
        <v>3221</v>
      </c>
      <c r="H627" s="95" t="s">
        <v>253</v>
      </c>
      <c r="I627" s="95" t="s">
        <v>254</v>
      </c>
      <c r="J627" s="854" t="s">
        <v>3222</v>
      </c>
      <c r="K627" s="855"/>
      <c r="L627" s="101" t="s">
        <v>263</v>
      </c>
      <c r="M627" s="101" t="s">
        <v>331</v>
      </c>
      <c r="N627" s="442" t="s">
        <v>467</v>
      </c>
      <c r="O627" s="165">
        <v>975.49</v>
      </c>
      <c r="P627" s="165">
        <v>7332.1</v>
      </c>
      <c r="Q627" s="157" t="s">
        <v>2021</v>
      </c>
      <c r="R627" s="109" t="s">
        <v>327</v>
      </c>
      <c r="S627" s="110">
        <v>6557578.8399999999</v>
      </c>
      <c r="T627" s="93">
        <v>837772.58</v>
      </c>
      <c r="U627" s="857"/>
      <c r="V627" s="158">
        <f t="shared" si="357"/>
        <v>0</v>
      </c>
      <c r="W627" s="159">
        <v>45784.322916666664</v>
      </c>
      <c r="X627" s="159">
        <v>45790.410416666666</v>
      </c>
      <c r="Y627" s="160">
        <v>45803</v>
      </c>
      <c r="Z627" s="470"/>
      <c r="AA627" s="470"/>
      <c r="AB627" s="942"/>
      <c r="AC627" s="161">
        <f t="shared" si="358"/>
        <v>-45784.322916666664</v>
      </c>
      <c r="AD627" s="161">
        <f t="shared" si="385"/>
        <v>-45790.410416666666</v>
      </c>
      <c r="AE627" s="446">
        <f t="shared" si="381"/>
        <v>0</v>
      </c>
      <c r="AF627" s="160">
        <f t="shared" si="386"/>
        <v>45799.615599593497</v>
      </c>
      <c r="AG627" s="160">
        <f t="shared" si="383"/>
        <v>45807.49364837398</v>
      </c>
      <c r="AH627" s="159">
        <f t="shared" si="387"/>
        <v>45834.322916666664</v>
      </c>
      <c r="AI627" s="162">
        <f t="shared" si="359"/>
        <v>-1877.157239583333</v>
      </c>
      <c r="AJ627" s="224">
        <f t="shared" si="388"/>
        <v>0</v>
      </c>
      <c r="AK627" s="225">
        <f t="shared" si="360"/>
        <v>50</v>
      </c>
      <c r="AL627" s="170">
        <f t="shared" si="361"/>
        <v>20</v>
      </c>
      <c r="AM627" s="170">
        <f t="shared" si="362"/>
        <v>18.292682926829272</v>
      </c>
      <c r="AN627" s="170">
        <f t="shared" si="363"/>
        <v>23.170731707317074</v>
      </c>
      <c r="AO627" s="226">
        <f t="shared" si="364"/>
        <v>15.292682926829272</v>
      </c>
      <c r="AP627" s="227">
        <v>60</v>
      </c>
      <c r="AQ627" s="228">
        <f t="shared" si="365"/>
        <v>57</v>
      </c>
      <c r="AR627" s="228">
        <f t="shared" si="384"/>
        <v>52</v>
      </c>
      <c r="AS627" s="229">
        <f t="shared" si="366"/>
        <v>60</v>
      </c>
      <c r="AT627" s="982">
        <f t="shared" ca="1" si="367"/>
        <v>45895</v>
      </c>
      <c r="AU627" s="50"/>
      <c r="AV627" s="51"/>
      <c r="AW627" s="49"/>
      <c r="AX627" s="49"/>
      <c r="AY627" s="49"/>
      <c r="AZ627" s="300"/>
      <c r="BA627" s="52"/>
      <c r="BB627" s="304"/>
      <c r="BC627" s="231"/>
      <c r="BD627" s="232"/>
      <c r="BE627" s="222">
        <f t="shared" si="382"/>
        <v>15</v>
      </c>
      <c r="BF627" s="233">
        <f t="shared" si="355"/>
        <v>0</v>
      </c>
      <c r="BG627" s="234"/>
      <c r="BH627" s="235"/>
      <c r="BI627" s="234"/>
      <c r="BJ627" s="236"/>
      <c r="BK627" s="222"/>
      <c r="BL627" s="222"/>
      <c r="BM627" s="238"/>
      <c r="BN627" s="222"/>
      <c r="BO627" s="222"/>
      <c r="BP627" s="243"/>
      <c r="BQ627" s="244"/>
      <c r="BR627" s="238"/>
      <c r="BS627" s="68"/>
      <c r="BT627" s="69"/>
      <c r="BU627" s="69"/>
      <c r="BV627" s="69"/>
      <c r="BW627" s="75"/>
      <c r="BX627" s="81"/>
      <c r="BY627" s="66">
        <v>45803</v>
      </c>
      <c r="BZ627" s="944" t="s">
        <v>3223</v>
      </c>
      <c r="CA627" s="42" t="str">
        <f t="shared" si="368"/>
        <v>0</v>
      </c>
      <c r="CB627" s="62">
        <f t="shared" si="369"/>
        <v>-45784.322916666664</v>
      </c>
      <c r="CC627" s="42">
        <f t="shared" si="370"/>
        <v>0</v>
      </c>
      <c r="CD627" s="62">
        <f t="shared" si="371"/>
        <v>-45784.322916666664</v>
      </c>
      <c r="CE627" s="62">
        <f t="shared" si="372"/>
        <v>-1877.157239583333</v>
      </c>
      <c r="CF627" s="145" t="str">
        <f t="shared" si="373"/>
        <v>0</v>
      </c>
      <c r="CG627" s="145"/>
      <c r="CH627" s="443">
        <f t="shared" si="374"/>
        <v>3.4717604166667657</v>
      </c>
      <c r="CI627" s="996">
        <f t="shared" si="375"/>
        <v>3.4717604166667657</v>
      </c>
      <c r="CJ627" s="261">
        <f t="shared" si="376"/>
        <v>0</v>
      </c>
      <c r="CK627" s="458">
        <f t="shared" si="377"/>
        <v>71.677083333335759</v>
      </c>
      <c r="CL627" t="str">
        <f t="shared" si="378"/>
        <v>NON-REV</v>
      </c>
      <c r="CM627" t="str">
        <f t="shared" si="379"/>
        <v>0-3 MONTHS</v>
      </c>
      <c r="CN627" s="635"/>
      <c r="CO627" s="631"/>
      <c r="CP627" s="629"/>
      <c r="CQ627" s="635"/>
      <c r="CR627" s="697"/>
      <c r="CS627" s="633"/>
      <c r="CT627" s="635"/>
      <c r="CU627" s="631"/>
      <c r="CV627" s="638"/>
      <c r="CW627" s="853"/>
      <c r="CX627" s="856"/>
      <c r="CY627" s="856"/>
      <c r="CZ627" s="359"/>
      <c r="DA627" s="359"/>
      <c r="DS627" s="442"/>
    </row>
    <row r="628" spans="1:123" customFormat="1" ht="15" customHeight="1" x14ac:dyDescent="0.25">
      <c r="A628" s="242">
        <v>45799</v>
      </c>
      <c r="B628" s="222">
        <v>45792</v>
      </c>
      <c r="C628" s="223"/>
      <c r="D628" s="66" t="s">
        <v>320</v>
      </c>
      <c r="E628" s="404" t="s">
        <v>3224</v>
      </c>
      <c r="F628" s="95" t="s">
        <v>3225</v>
      </c>
      <c r="G628" s="95" t="s">
        <v>1865</v>
      </c>
      <c r="H628" s="95" t="s">
        <v>378</v>
      </c>
      <c r="I628" s="95" t="s">
        <v>239</v>
      </c>
      <c r="J628" s="163"/>
      <c r="K628" s="101"/>
      <c r="L628" s="101" t="s">
        <v>288</v>
      </c>
      <c r="M628" s="101" t="s">
        <v>272</v>
      </c>
      <c r="N628" s="442" t="s">
        <v>381</v>
      </c>
      <c r="O628" s="165">
        <v>18.2728</v>
      </c>
      <c r="P628" s="933">
        <v>68.19</v>
      </c>
      <c r="Q628" s="157">
        <v>195.8</v>
      </c>
      <c r="R628" s="109" t="s">
        <v>244</v>
      </c>
      <c r="S628" s="110">
        <v>504632.65</v>
      </c>
      <c r="T628" s="93">
        <v>58620.960000000006</v>
      </c>
      <c r="U628" s="141"/>
      <c r="V628" s="158">
        <f t="shared" si="357"/>
        <v>0</v>
      </c>
      <c r="W628" s="159">
        <v>45784.413888888892</v>
      </c>
      <c r="X628" s="159">
        <v>45791.522916666669</v>
      </c>
      <c r="Y628" s="160">
        <v>45791</v>
      </c>
      <c r="Z628" s="470">
        <v>45822</v>
      </c>
      <c r="AA628" s="470">
        <v>45822.353472222225</v>
      </c>
      <c r="AB628" s="470"/>
      <c r="AC628" s="161">
        <f t="shared" si="358"/>
        <v>37.939583333332848</v>
      </c>
      <c r="AD628" s="161">
        <f t="shared" si="385"/>
        <v>30.830555555556202</v>
      </c>
      <c r="AE628" s="446">
        <f t="shared" si="381"/>
        <v>-45822.353472222225</v>
      </c>
      <c r="AF628" s="160">
        <f t="shared" si="386"/>
        <v>45802.89248811068</v>
      </c>
      <c r="AG628" s="160">
        <f t="shared" si="383"/>
        <v>45811.620114569829</v>
      </c>
      <c r="AH628" s="159">
        <f t="shared" si="387"/>
        <v>45834.413888888892</v>
      </c>
      <c r="AI628" s="162">
        <f t="shared" si="359"/>
        <v>1.3247925158514322</v>
      </c>
      <c r="AJ628" s="224">
        <f t="shared" si="388"/>
        <v>-763.7058912037038</v>
      </c>
      <c r="AK628" s="225">
        <f t="shared" si="360"/>
        <v>23</v>
      </c>
      <c r="AL628" s="170">
        <f t="shared" si="361"/>
        <v>32</v>
      </c>
      <c r="AM628" s="170">
        <f t="shared" si="362"/>
        <v>21.478599221789885</v>
      </c>
      <c r="AN628" s="170">
        <f t="shared" si="363"/>
        <v>27.206225680933851</v>
      </c>
      <c r="AO628" s="226">
        <f t="shared" si="364"/>
        <v>18.478599221789885</v>
      </c>
      <c r="AP628" s="227">
        <v>60</v>
      </c>
      <c r="AQ628" s="228">
        <f t="shared" si="365"/>
        <v>57</v>
      </c>
      <c r="AR628" s="228">
        <f t="shared" si="384"/>
        <v>52</v>
      </c>
      <c r="AS628" s="229">
        <f t="shared" si="366"/>
        <v>45882.353472222225</v>
      </c>
      <c r="AT628" s="982">
        <f t="shared" ca="1" si="367"/>
        <v>72.646527777775191</v>
      </c>
      <c r="AU628" s="50"/>
      <c r="AV628" s="51"/>
      <c r="AW628" s="49"/>
      <c r="AX628" s="49"/>
      <c r="AY628" s="49"/>
      <c r="AZ628" s="300"/>
      <c r="BA628" s="52"/>
      <c r="BB628" s="304"/>
      <c r="BC628" s="231" t="s">
        <v>12</v>
      </c>
      <c r="BD628" s="232"/>
      <c r="BE628" s="222">
        <f t="shared" si="382"/>
        <v>45837.353472222225</v>
      </c>
      <c r="BF628" s="233">
        <f t="shared" ref="BF628:BF691" si="389">IF(ISBLANK(AA628),0,IF(ISBLANK(BH628),(BE628-$L$1),(BH628-BE628)))</f>
        <v>38.646527777775191</v>
      </c>
      <c r="BG628" s="234">
        <v>45822</v>
      </c>
      <c r="BH628" s="235">
        <v>45876</v>
      </c>
      <c r="BI628" s="234"/>
      <c r="BJ628" s="236"/>
      <c r="BK628" s="222"/>
      <c r="BL628" s="222"/>
      <c r="BM628" s="238"/>
      <c r="BN628" s="222"/>
      <c r="BO628" s="222"/>
      <c r="BP628" s="243"/>
      <c r="BQ628" s="244" t="s">
        <v>247</v>
      </c>
      <c r="BR628" s="238">
        <v>45819</v>
      </c>
      <c r="BS628" s="68"/>
      <c r="BT628" s="69"/>
      <c r="BU628" s="69"/>
      <c r="BV628" s="69"/>
      <c r="BW628" s="75"/>
      <c r="BX628" s="81"/>
      <c r="BY628" s="66">
        <v>45799</v>
      </c>
      <c r="BZ628" s="944" t="s">
        <v>3226</v>
      </c>
      <c r="CA628" s="42" t="str">
        <f t="shared" si="368"/>
        <v>0</v>
      </c>
      <c r="CB628" s="62">
        <f t="shared" si="369"/>
        <v>37.939583333332848</v>
      </c>
      <c r="CC628" s="42">
        <f t="shared" si="370"/>
        <v>0</v>
      </c>
      <c r="CD628" s="62">
        <f t="shared" si="371"/>
        <v>37.939583333332848</v>
      </c>
      <c r="CE628" s="62">
        <f t="shared" si="372"/>
        <v>1.3247925158514322</v>
      </c>
      <c r="CF628" s="145">
        <f t="shared" si="373"/>
        <v>46.646527777775191</v>
      </c>
      <c r="CG628" s="145"/>
      <c r="CH628" s="443">
        <f t="shared" si="374"/>
        <v>2.9536182820047232</v>
      </c>
      <c r="CI628" s="996">
        <f t="shared" si="375"/>
        <v>2.9536182820047232</v>
      </c>
      <c r="CJ628" s="261">
        <f t="shared" si="376"/>
        <v>0.77744212962958648</v>
      </c>
      <c r="CK628" s="458" t="str">
        <f t="shared" si="377"/>
        <v/>
      </c>
      <c r="CL628" t="str">
        <f t="shared" si="378"/>
        <v>REV</v>
      </c>
      <c r="CM628" t="str">
        <f t="shared" si="379"/>
        <v/>
      </c>
      <c r="CN628" s="635"/>
      <c r="CO628" s="631"/>
      <c r="CP628" s="629" t="s">
        <v>3227</v>
      </c>
      <c r="CQ628" s="635"/>
      <c r="CR628" s="697"/>
      <c r="CS628" s="633" t="s">
        <v>3228</v>
      </c>
      <c r="CT628" s="635"/>
      <c r="CU628" s="631"/>
      <c r="CV628" s="638"/>
      <c r="CW628" s="404"/>
      <c r="CX628" s="156"/>
      <c r="CY628" s="156"/>
      <c r="DS628" s="442"/>
    </row>
    <row r="629" spans="1:123" customFormat="1" ht="15" customHeight="1" x14ac:dyDescent="0.25">
      <c r="A629" s="242">
        <v>45791</v>
      </c>
      <c r="B629" s="222">
        <v>45791</v>
      </c>
      <c r="C629" s="223"/>
      <c r="D629" s="66" t="s">
        <v>284</v>
      </c>
      <c r="E629" s="404" t="s">
        <v>3229</v>
      </c>
      <c r="F629" s="95" t="s">
        <v>3230</v>
      </c>
      <c r="G629" s="95" t="s">
        <v>933</v>
      </c>
      <c r="H629" s="95" t="s">
        <v>253</v>
      </c>
      <c r="I629" s="95" t="s">
        <v>254</v>
      </c>
      <c r="J629" s="163"/>
      <c r="K629" s="101"/>
      <c r="L629" s="101" t="s">
        <v>263</v>
      </c>
      <c r="M629" s="101" t="s">
        <v>272</v>
      </c>
      <c r="N629" s="442" t="s">
        <v>467</v>
      </c>
      <c r="O629" s="165">
        <v>77.352099999999993</v>
      </c>
      <c r="P629" s="933">
        <v>234.77</v>
      </c>
      <c r="Q629" s="157">
        <v>270</v>
      </c>
      <c r="R629" s="109" t="s">
        <v>244</v>
      </c>
      <c r="S629" s="110">
        <v>1131856.17</v>
      </c>
      <c r="T629" s="93">
        <v>134482.26999999996</v>
      </c>
      <c r="U629" s="141"/>
      <c r="V629" s="158">
        <f t="shared" si="357"/>
        <v>0</v>
      </c>
      <c r="W629" s="159">
        <v>45784.417361111111</v>
      </c>
      <c r="X629" s="159">
        <v>45791.521527777775</v>
      </c>
      <c r="Y629" s="160">
        <v>45791</v>
      </c>
      <c r="Z629" s="470"/>
      <c r="AA629" s="470">
        <v>45815</v>
      </c>
      <c r="AB629" s="470"/>
      <c r="AC629" s="161">
        <f t="shared" si="358"/>
        <v>30.582638888889051</v>
      </c>
      <c r="AD629" s="161">
        <f t="shared" si="385"/>
        <v>23.478472222224809</v>
      </c>
      <c r="AE629" s="446">
        <f t="shared" si="381"/>
        <v>-45815</v>
      </c>
      <c r="AF629" s="160">
        <f t="shared" si="386"/>
        <v>45803.445333139083</v>
      </c>
      <c r="AG629" s="160">
        <f t="shared" si="383"/>
        <v>45812.319459013212</v>
      </c>
      <c r="AH629" s="159">
        <f t="shared" si="387"/>
        <v>45834.417361111111</v>
      </c>
      <c r="AI629" s="162">
        <f t="shared" si="359"/>
        <v>1.0412660383597938</v>
      </c>
      <c r="AJ629" s="224">
        <f t="shared" si="388"/>
        <v>-763.58333333333337</v>
      </c>
      <c r="AK629" s="225">
        <f t="shared" si="360"/>
        <v>28</v>
      </c>
      <c r="AL629" s="170">
        <f t="shared" si="361"/>
        <v>30</v>
      </c>
      <c r="AM629" s="170">
        <f t="shared" si="362"/>
        <v>22.027972027972027</v>
      </c>
      <c r="AN629" s="170">
        <f t="shared" si="363"/>
        <v>27.9020979020979</v>
      </c>
      <c r="AO629" s="226">
        <f t="shared" si="364"/>
        <v>19.027972027972027</v>
      </c>
      <c r="AP629" s="227">
        <v>60</v>
      </c>
      <c r="AQ629" s="228">
        <f t="shared" si="365"/>
        <v>57</v>
      </c>
      <c r="AR629" s="228">
        <f t="shared" si="384"/>
        <v>52</v>
      </c>
      <c r="AS629" s="229">
        <f t="shared" si="366"/>
        <v>45875</v>
      </c>
      <c r="AT629" s="982">
        <f t="shared" ca="1" si="367"/>
        <v>80</v>
      </c>
      <c r="AU629" s="50"/>
      <c r="AV629" s="51"/>
      <c r="AW629" s="49"/>
      <c r="AX629" s="49"/>
      <c r="AY629" s="49"/>
      <c r="AZ629" s="300"/>
      <c r="BA629" s="52"/>
      <c r="BB629" s="304"/>
      <c r="BC629" s="231" t="s">
        <v>13</v>
      </c>
      <c r="BD629" s="232"/>
      <c r="BE629" s="222">
        <f t="shared" si="382"/>
        <v>45830</v>
      </c>
      <c r="BF629" s="233" t="e">
        <f t="shared" si="389"/>
        <v>#VALUE!</v>
      </c>
      <c r="BG629" s="234"/>
      <c r="BH629" s="235"/>
      <c r="BI629" s="234"/>
      <c r="BJ629" s="236"/>
      <c r="BK629" s="222"/>
      <c r="BL629" s="222"/>
      <c r="BM629" s="238"/>
      <c r="BN629" s="222"/>
      <c r="BO629" s="222"/>
      <c r="BP629" s="243"/>
      <c r="BQ629" s="244" t="s">
        <v>247</v>
      </c>
      <c r="BR629" s="238">
        <v>45813</v>
      </c>
      <c r="BS629" s="68"/>
      <c r="BT629" s="69"/>
      <c r="BU629" s="69"/>
      <c r="BV629" s="69"/>
      <c r="BW629" s="75"/>
      <c r="BX629" s="81"/>
      <c r="BY629" s="66" t="e">
        <f>VLOOKUP([4]C1!$BY:$BY,[4]C1!$BY$531:$BY$625,1,FALSE)</f>
        <v>#N/A</v>
      </c>
      <c r="BZ629" s="944" t="e">
        <f>VLOOKUP([4]C1!$BZ:$BZ,[4]C1!$BZ$531:$BZ$625,1,FALSE)</f>
        <v>#N/A</v>
      </c>
      <c r="CA629" s="42" t="str">
        <f t="shared" si="368"/>
        <v>0</v>
      </c>
      <c r="CB629" s="62">
        <f t="shared" si="369"/>
        <v>30.582638888889051</v>
      </c>
      <c r="CC629" s="42">
        <f t="shared" si="370"/>
        <v>0</v>
      </c>
      <c r="CD629" s="62">
        <f t="shared" si="371"/>
        <v>30.582638888889051</v>
      </c>
      <c r="CE629" s="62">
        <f t="shared" si="372"/>
        <v>1.0412660383597938</v>
      </c>
      <c r="CF629" s="145">
        <f t="shared" si="373"/>
        <v>54</v>
      </c>
      <c r="CG629" s="145"/>
      <c r="CH629" s="443">
        <f t="shared" si="374"/>
        <v>2.8798374669312228</v>
      </c>
      <c r="CI629" s="996">
        <f t="shared" si="375"/>
        <v>2.8798374669312228</v>
      </c>
      <c r="CJ629" s="261">
        <f t="shared" si="376"/>
        <v>0.9</v>
      </c>
      <c r="CK629" s="458" t="str">
        <f t="shared" si="377"/>
        <v/>
      </c>
      <c r="CL629" t="str">
        <f t="shared" si="378"/>
        <v>REV</v>
      </c>
      <c r="CM629" t="str">
        <f t="shared" si="379"/>
        <v/>
      </c>
      <c r="CN629" s="635"/>
      <c r="CO629" s="631"/>
      <c r="CP629" s="629" t="s">
        <v>3227</v>
      </c>
      <c r="CQ629" s="635"/>
      <c r="CR629" s="697"/>
      <c r="CS629" s="633" t="s">
        <v>3228</v>
      </c>
      <c r="CT629" s="635"/>
      <c r="CU629" s="631"/>
      <c r="CV629" s="638"/>
      <c r="CW629" s="404"/>
      <c r="CX629" s="156"/>
      <c r="CY629" s="156"/>
      <c r="DS629" s="442"/>
    </row>
    <row r="630" spans="1:123" customFormat="1" ht="15" customHeight="1" x14ac:dyDescent="0.25">
      <c r="A630" s="242">
        <v>45791</v>
      </c>
      <c r="B630" s="222">
        <v>45791</v>
      </c>
      <c r="C630" s="223"/>
      <c r="D630" s="66" t="s">
        <v>320</v>
      </c>
      <c r="E630" s="404" t="s">
        <v>3231</v>
      </c>
      <c r="F630" s="95" t="s">
        <v>3232</v>
      </c>
      <c r="G630" s="95" t="s">
        <v>3233</v>
      </c>
      <c r="H630" s="95" t="s">
        <v>253</v>
      </c>
      <c r="I630" s="95" t="s">
        <v>254</v>
      </c>
      <c r="J630" s="163"/>
      <c r="K630" s="101"/>
      <c r="L630" s="101" t="s">
        <v>263</v>
      </c>
      <c r="M630" s="101" t="s">
        <v>331</v>
      </c>
      <c r="N630" s="442" t="s">
        <v>467</v>
      </c>
      <c r="O630" s="165">
        <v>65.848799999999997</v>
      </c>
      <c r="P630" s="165">
        <v>162.88999999999999</v>
      </c>
      <c r="Q630" s="157">
        <v>23.5</v>
      </c>
      <c r="R630" s="109" t="s">
        <v>244</v>
      </c>
      <c r="S630" s="110">
        <v>383498.61</v>
      </c>
      <c r="T630" s="93">
        <v>72698.26999999999</v>
      </c>
      <c r="U630" s="141"/>
      <c r="V630" s="158">
        <f t="shared" si="357"/>
        <v>0</v>
      </c>
      <c r="W630" s="159">
        <v>45784.611111111109</v>
      </c>
      <c r="X630" s="159">
        <v>45791.521527777775</v>
      </c>
      <c r="Y630" s="160">
        <v>45791</v>
      </c>
      <c r="Z630" s="470"/>
      <c r="AA630" s="470"/>
      <c r="AB630" s="470"/>
      <c r="AC630" s="161">
        <f t="shared" si="358"/>
        <v>-45784.611111111109</v>
      </c>
      <c r="AD630" s="161">
        <f t="shared" si="385"/>
        <v>-45791.521527777775</v>
      </c>
      <c r="AE630" s="446">
        <f t="shared" si="381"/>
        <v>0</v>
      </c>
      <c r="AF630" s="160">
        <f t="shared" si="386"/>
        <v>45805.818007662834</v>
      </c>
      <c r="AG630" s="160">
        <f t="shared" si="383"/>
        <v>45815.273180076627</v>
      </c>
      <c r="AH630" s="159">
        <f t="shared" si="387"/>
        <v>45834.611111111109</v>
      </c>
      <c r="AI630" s="162">
        <f t="shared" si="359"/>
        <v>-1418.5403015194679</v>
      </c>
      <c r="AJ630" s="224">
        <f t="shared" si="388"/>
        <v>0</v>
      </c>
      <c r="AK630" s="225">
        <f t="shared" si="360"/>
        <v>26</v>
      </c>
      <c r="AL630" s="170">
        <f t="shared" si="361"/>
        <v>36</v>
      </c>
      <c r="AM630" s="170">
        <f t="shared" si="362"/>
        <v>24.206896551724139</v>
      </c>
      <c r="AN630" s="170">
        <f t="shared" si="363"/>
        <v>30.662068965517239</v>
      </c>
      <c r="AO630" s="226">
        <f t="shared" si="364"/>
        <v>21.206896551724139</v>
      </c>
      <c r="AP630" s="227">
        <v>60</v>
      </c>
      <c r="AQ630" s="228">
        <f t="shared" si="365"/>
        <v>57</v>
      </c>
      <c r="AR630" s="228">
        <f t="shared" si="384"/>
        <v>52</v>
      </c>
      <c r="AS630" s="229">
        <f t="shared" si="366"/>
        <v>60</v>
      </c>
      <c r="AT630" s="982">
        <f t="shared" ca="1" si="367"/>
        <v>45895</v>
      </c>
      <c r="AU630" s="50"/>
      <c r="AV630" s="51"/>
      <c r="AW630" s="49"/>
      <c r="AX630" s="49"/>
      <c r="AY630" s="49"/>
      <c r="AZ630" s="300"/>
      <c r="BA630" s="52"/>
      <c r="BB630" s="304"/>
      <c r="BC630" s="231"/>
      <c r="BD630" s="232"/>
      <c r="BE630" s="222">
        <f t="shared" si="382"/>
        <v>15</v>
      </c>
      <c r="BF630" s="233">
        <f t="shared" si="389"/>
        <v>0</v>
      </c>
      <c r="BG630" s="234"/>
      <c r="BH630" s="235"/>
      <c r="BI630" s="234"/>
      <c r="BJ630" s="236"/>
      <c r="BK630" s="222"/>
      <c r="BL630" s="222"/>
      <c r="BM630" s="238"/>
      <c r="BN630" s="222"/>
      <c r="BO630" s="222"/>
      <c r="BP630" s="243"/>
      <c r="BQ630" s="244"/>
      <c r="BR630" s="238"/>
      <c r="BS630" s="68"/>
      <c r="BT630" s="69"/>
      <c r="BU630" s="69"/>
      <c r="BV630" s="69"/>
      <c r="BW630" s="75"/>
      <c r="BX630" s="81"/>
      <c r="BY630" s="66" t="e">
        <f>VLOOKUP([4]C1!$BY:$BY,[4]C1!$BY$531:$BY$625,1,FALSE)</f>
        <v>#N/A</v>
      </c>
      <c r="BZ630" s="108" t="e">
        <f>VLOOKUP([4]C1!$BZ:$BZ,[4]C1!$BZ$531:$BZ$625,1,FALSE)</f>
        <v>#N/A</v>
      </c>
      <c r="CA630" s="42" t="str">
        <f t="shared" si="368"/>
        <v>0</v>
      </c>
      <c r="CB630" s="62">
        <f t="shared" si="369"/>
        <v>-45784.611111111109</v>
      </c>
      <c r="CC630" s="42">
        <f t="shared" si="370"/>
        <v>0</v>
      </c>
      <c r="CD630" s="62">
        <f t="shared" si="371"/>
        <v>-45784.611111111109</v>
      </c>
      <c r="CE630" s="62">
        <f t="shared" si="372"/>
        <v>-1418.5403015194679</v>
      </c>
      <c r="CF630" s="145" t="str">
        <f t="shared" si="373"/>
        <v>0</v>
      </c>
      <c r="CG630" s="145"/>
      <c r="CH630" s="443">
        <f t="shared" si="374"/>
        <v>2.6146130104463938</v>
      </c>
      <c r="CI630" s="996">
        <f t="shared" si="375"/>
        <v>2.6146130104463938</v>
      </c>
      <c r="CJ630" s="261">
        <f t="shared" si="376"/>
        <v>0</v>
      </c>
      <c r="CK630" s="458">
        <f t="shared" si="377"/>
        <v>71.388888888890506</v>
      </c>
      <c r="CL630" t="str">
        <f t="shared" si="378"/>
        <v>REV</v>
      </c>
      <c r="CM630" t="str">
        <f t="shared" si="379"/>
        <v>0-3 MONTHS</v>
      </c>
      <c r="CN630" s="635"/>
      <c r="CO630" s="631"/>
      <c r="CP630" s="629" t="s">
        <v>3227</v>
      </c>
      <c r="CQ630" s="635"/>
      <c r="CR630" s="697"/>
      <c r="CS630" s="633" t="s">
        <v>3228</v>
      </c>
      <c r="CT630" s="635"/>
      <c r="CU630" s="631"/>
      <c r="CV630" s="638"/>
      <c r="CW630" s="404"/>
      <c r="CX630" s="156"/>
      <c r="CY630" s="156"/>
      <c r="DS630" s="442"/>
    </row>
    <row r="631" spans="1:123" s="359" customFormat="1" ht="15" customHeight="1" x14ac:dyDescent="0.25">
      <c r="A631" s="242">
        <v>45786</v>
      </c>
      <c r="B631" s="222">
        <v>45791</v>
      </c>
      <c r="C631" s="223"/>
      <c r="D631" s="66" t="s">
        <v>320</v>
      </c>
      <c r="E631" s="407" t="s">
        <v>3234</v>
      </c>
      <c r="F631" s="95" t="s">
        <v>949</v>
      </c>
      <c r="G631" s="95" t="s">
        <v>969</v>
      </c>
      <c r="H631" s="95" t="s">
        <v>378</v>
      </c>
      <c r="I631" s="95" t="s">
        <v>239</v>
      </c>
      <c r="J631" s="163"/>
      <c r="K631" s="101"/>
      <c r="L631" s="101" t="s">
        <v>288</v>
      </c>
      <c r="M631" s="101" t="s">
        <v>272</v>
      </c>
      <c r="N631" s="442" t="s">
        <v>381</v>
      </c>
      <c r="O631" s="165">
        <v>13.23</v>
      </c>
      <c r="P631" s="933">
        <v>31.51</v>
      </c>
      <c r="Q631" s="157">
        <v>896</v>
      </c>
      <c r="R631" s="109" t="s">
        <v>244</v>
      </c>
      <c r="S631" s="110">
        <v>57603.09</v>
      </c>
      <c r="T631" s="93">
        <v>11367.57</v>
      </c>
      <c r="U631" s="141"/>
      <c r="V631" s="158">
        <f t="shared" si="357"/>
        <v>0</v>
      </c>
      <c r="W631" s="159">
        <v>45785.741666666669</v>
      </c>
      <c r="X631" s="159">
        <v>45786.303472222222</v>
      </c>
      <c r="Y631" s="160">
        <v>45786</v>
      </c>
      <c r="Z631" s="470">
        <v>45790</v>
      </c>
      <c r="AA631" s="470">
        <v>45790</v>
      </c>
      <c r="AB631" s="470"/>
      <c r="AC631" s="161">
        <f t="shared" si="358"/>
        <v>4.2583333333313931</v>
      </c>
      <c r="AD631" s="161">
        <f t="shared" si="385"/>
        <v>3.6965277777781012</v>
      </c>
      <c r="AE631" s="446">
        <f t="shared" si="381"/>
        <v>-45790</v>
      </c>
      <c r="AF631" s="160">
        <f t="shared" si="386"/>
        <v>45799.248843700159</v>
      </c>
      <c r="AG631" s="160">
        <f t="shared" si="383"/>
        <v>45806.650757575757</v>
      </c>
      <c r="AH631" s="159">
        <f t="shared" si="387"/>
        <v>45835.741666666669</v>
      </c>
      <c r="AI631" s="162">
        <f t="shared" si="359"/>
        <v>0.19347644927527416</v>
      </c>
      <c r="AJ631" s="224">
        <f t="shared" si="388"/>
        <v>-763.16666666666663</v>
      </c>
      <c r="AK631" s="225">
        <f t="shared" si="360"/>
        <v>20</v>
      </c>
      <c r="AL631" s="170">
        <f t="shared" si="361"/>
        <v>23</v>
      </c>
      <c r="AM631" s="170">
        <f t="shared" si="362"/>
        <v>16.507177033492823</v>
      </c>
      <c r="AN631" s="170">
        <f t="shared" si="363"/>
        <v>20.90909090909091</v>
      </c>
      <c r="AO631" s="226">
        <f t="shared" si="364"/>
        <v>13.507177033492823</v>
      </c>
      <c r="AP631" s="227">
        <v>60</v>
      </c>
      <c r="AQ631" s="228">
        <f t="shared" si="365"/>
        <v>57</v>
      </c>
      <c r="AR631" s="228">
        <f t="shared" si="384"/>
        <v>52</v>
      </c>
      <c r="AS631" s="229">
        <f t="shared" si="366"/>
        <v>45850</v>
      </c>
      <c r="AT631" s="982">
        <f t="shared" ca="1" si="367"/>
        <v>105</v>
      </c>
      <c r="AU631" s="50"/>
      <c r="AV631" s="51"/>
      <c r="AW631" s="49"/>
      <c r="AX631" s="49"/>
      <c r="AY631" s="49"/>
      <c r="AZ631" s="300"/>
      <c r="BA631" s="52"/>
      <c r="BB631" s="304"/>
      <c r="BC631" s="231" t="s">
        <v>12</v>
      </c>
      <c r="BD631" s="907"/>
      <c r="BE631" s="222">
        <f t="shared" si="382"/>
        <v>45805</v>
      </c>
      <c r="BF631" s="233">
        <f t="shared" si="389"/>
        <v>71</v>
      </c>
      <c r="BG631" s="234">
        <v>45790</v>
      </c>
      <c r="BH631" s="235">
        <v>45876</v>
      </c>
      <c r="BI631" s="234"/>
      <c r="BJ631" s="236"/>
      <c r="BK631" s="222"/>
      <c r="BL631" s="222"/>
      <c r="BM631" s="238"/>
      <c r="BN631" s="222"/>
      <c r="BO631" s="222"/>
      <c r="BP631" s="243"/>
      <c r="BQ631" s="244"/>
      <c r="BR631" s="238"/>
      <c r="BS631" s="68"/>
      <c r="BT631" s="69"/>
      <c r="BU631" s="69"/>
      <c r="BV631" s="69"/>
      <c r="BW631" s="75"/>
      <c r="BX631" s="81"/>
      <c r="BY631" s="66" t="e">
        <f>VLOOKUP([4]C1!$BY:$BY,[4]C1!$BY$531:$BY$625,1,FALSE)</f>
        <v>#N/A</v>
      </c>
      <c r="BZ631" s="108" t="e">
        <f>VLOOKUP([4]C1!$BZ:$BZ,[4]C1!$BZ$531:$BZ$625,1,FALSE)</f>
        <v>#N/A</v>
      </c>
      <c r="CA631" s="42" t="str">
        <f t="shared" si="368"/>
        <v>0</v>
      </c>
      <c r="CB631" s="62">
        <f t="shared" si="369"/>
        <v>4.2583333333313931</v>
      </c>
      <c r="CC631" s="42">
        <f t="shared" si="370"/>
        <v>0</v>
      </c>
      <c r="CD631" s="62">
        <f t="shared" si="371"/>
        <v>4.2583333333313931</v>
      </c>
      <c r="CE631" s="62">
        <f t="shared" si="372"/>
        <v>0.19347644927527416</v>
      </c>
      <c r="CF631" s="145">
        <f t="shared" si="373"/>
        <v>79</v>
      </c>
      <c r="CG631" s="145"/>
      <c r="CH631" s="443">
        <f t="shared" si="374"/>
        <v>3.7828242753622305</v>
      </c>
      <c r="CI631" s="996">
        <f t="shared" si="375"/>
        <v>3.7828242753622305</v>
      </c>
      <c r="CJ631" s="261">
        <f t="shared" si="376"/>
        <v>1.3166666666666667</v>
      </c>
      <c r="CK631" s="458" t="str">
        <f t="shared" si="377"/>
        <v/>
      </c>
      <c r="CL631" t="str">
        <f t="shared" si="378"/>
        <v>REV</v>
      </c>
      <c r="CM631" t="str">
        <f t="shared" si="379"/>
        <v/>
      </c>
      <c r="CN631" s="635"/>
      <c r="CO631" s="631"/>
      <c r="CP631" s="629" t="s">
        <v>3227</v>
      </c>
      <c r="CQ631" s="635"/>
      <c r="CR631" s="697"/>
      <c r="CS631" s="633" t="s">
        <v>3228</v>
      </c>
      <c r="CT631" s="635"/>
      <c r="CU631" s="631"/>
      <c r="CV631" s="638"/>
      <c r="CW631" s="404"/>
      <c r="CX631" s="156"/>
      <c r="CY631" s="156"/>
      <c r="CZ631"/>
      <c r="DA631"/>
      <c r="DS631" s="858"/>
    </row>
    <row r="632" spans="1:123" s="359" customFormat="1" ht="15" customHeight="1" x14ac:dyDescent="0.25">
      <c r="A632" s="242">
        <v>45797</v>
      </c>
      <c r="B632" s="222">
        <v>45791</v>
      </c>
      <c r="C632" s="223"/>
      <c r="D632" s="66" t="s">
        <v>234</v>
      </c>
      <c r="E632" s="404" t="s">
        <v>3235</v>
      </c>
      <c r="F632" s="95" t="s">
        <v>926</v>
      </c>
      <c r="G632" s="95" t="s">
        <v>3236</v>
      </c>
      <c r="H632" s="95" t="s">
        <v>318</v>
      </c>
      <c r="I632" s="95" t="s">
        <v>239</v>
      </c>
      <c r="J632" s="163"/>
      <c r="K632" s="101"/>
      <c r="L632" s="101" t="s">
        <v>5</v>
      </c>
      <c r="M632" s="101" t="s">
        <v>272</v>
      </c>
      <c r="N632" s="442" t="s">
        <v>403</v>
      </c>
      <c r="O632" s="165">
        <v>17.322799999999997</v>
      </c>
      <c r="P632" s="933">
        <v>25.12</v>
      </c>
      <c r="Q632" s="157">
        <v>31</v>
      </c>
      <c r="R632" s="109" t="s">
        <v>244</v>
      </c>
      <c r="S632" s="110">
        <v>202562.28</v>
      </c>
      <c r="T632" s="93">
        <v>21584.090000000004</v>
      </c>
      <c r="U632" s="141"/>
      <c r="V632" s="158">
        <f t="shared" si="357"/>
        <v>0</v>
      </c>
      <c r="W632" s="159">
        <v>45786.356249999997</v>
      </c>
      <c r="X632" s="159">
        <v>45789.571527777778</v>
      </c>
      <c r="Y632" s="160">
        <v>45790</v>
      </c>
      <c r="Z632" s="470">
        <v>45805</v>
      </c>
      <c r="AA632" s="470">
        <v>45805.602083333331</v>
      </c>
      <c r="AB632" s="470"/>
      <c r="AC632" s="161">
        <f t="shared" si="358"/>
        <v>19.245833333334303</v>
      </c>
      <c r="AD632" s="161">
        <f t="shared" si="385"/>
        <v>16.030555555553292</v>
      </c>
      <c r="AE632" s="446">
        <f t="shared" si="381"/>
        <v>-45805.602083333331</v>
      </c>
      <c r="AF632" s="160">
        <f t="shared" si="386"/>
        <v>45805.130443548383</v>
      </c>
      <c r="AG632" s="160">
        <f t="shared" si="383"/>
        <v>45813.936895161285</v>
      </c>
      <c r="AH632" s="159">
        <f t="shared" si="387"/>
        <v>45836.356249999997</v>
      </c>
      <c r="AI632" s="162">
        <f t="shared" si="359"/>
        <v>0.66291203703707047</v>
      </c>
      <c r="AJ632" s="224">
        <f t="shared" si="388"/>
        <v>-763.42670138888889</v>
      </c>
      <c r="AK632" s="225">
        <f t="shared" si="360"/>
        <v>20</v>
      </c>
      <c r="AL632" s="170">
        <f t="shared" si="361"/>
        <v>36</v>
      </c>
      <c r="AM632" s="170">
        <f t="shared" si="362"/>
        <v>21.774193548387096</v>
      </c>
      <c r="AN632" s="170">
        <f t="shared" si="363"/>
        <v>27.58064516129032</v>
      </c>
      <c r="AO632" s="226">
        <f t="shared" si="364"/>
        <v>18.774193548387096</v>
      </c>
      <c r="AP632" s="227">
        <v>60</v>
      </c>
      <c r="AQ632" s="228">
        <f t="shared" si="365"/>
        <v>57</v>
      </c>
      <c r="AR632" s="228">
        <f t="shared" si="384"/>
        <v>52</v>
      </c>
      <c r="AS632" s="229">
        <f t="shared" si="366"/>
        <v>45865.602083333331</v>
      </c>
      <c r="AT632" s="982">
        <f t="shared" ca="1" si="367"/>
        <v>89.397916666668607</v>
      </c>
      <c r="AU632" s="50"/>
      <c r="AV632" s="51"/>
      <c r="AW632" s="49"/>
      <c r="AX632" s="49"/>
      <c r="AY632" s="49"/>
      <c r="AZ632" s="300"/>
      <c r="BA632" s="52"/>
      <c r="BB632" s="304"/>
      <c r="BC632" s="231" t="s">
        <v>12</v>
      </c>
      <c r="BD632" s="232"/>
      <c r="BE632" s="222">
        <f t="shared" si="382"/>
        <v>45820.602083333331</v>
      </c>
      <c r="BF632" s="233">
        <f t="shared" si="389"/>
        <v>24.397916666668607</v>
      </c>
      <c r="BG632" s="234">
        <v>45805</v>
      </c>
      <c r="BH632" s="235">
        <v>45845</v>
      </c>
      <c r="BI632" s="234"/>
      <c r="BJ632" s="236"/>
      <c r="BK632" s="222"/>
      <c r="BL632" s="222"/>
      <c r="BM632" s="238"/>
      <c r="BN632" s="222"/>
      <c r="BO632" s="222"/>
      <c r="BP632" s="243"/>
      <c r="BQ632" s="244" t="s">
        <v>247</v>
      </c>
      <c r="BR632" s="238">
        <v>45819</v>
      </c>
      <c r="BS632" s="68"/>
      <c r="BT632" s="69"/>
      <c r="BU632" s="69"/>
      <c r="BV632" s="69"/>
      <c r="BW632" s="75"/>
      <c r="BX632" s="81"/>
      <c r="BY632" s="66" t="s">
        <v>308</v>
      </c>
      <c r="BZ632" s="124" t="s">
        <v>308</v>
      </c>
      <c r="CA632" s="42" t="str">
        <f t="shared" si="368"/>
        <v>0</v>
      </c>
      <c r="CB632" s="62">
        <f t="shared" si="369"/>
        <v>19.245833333334303</v>
      </c>
      <c r="CC632" s="42">
        <f t="shared" si="370"/>
        <v>0</v>
      </c>
      <c r="CD632" s="62">
        <f t="shared" si="371"/>
        <v>19.245833333334303</v>
      </c>
      <c r="CE632" s="62">
        <f t="shared" si="372"/>
        <v>0.66291203703707047</v>
      </c>
      <c r="CF632" s="145">
        <f t="shared" si="373"/>
        <v>63.397916666668607</v>
      </c>
      <c r="CG632" s="145"/>
      <c r="CH632" s="443">
        <f t="shared" si="374"/>
        <v>2.8466180555556555</v>
      </c>
      <c r="CI632" s="996">
        <f t="shared" si="375"/>
        <v>2.8466180555556555</v>
      </c>
      <c r="CJ632" s="261">
        <f t="shared" si="376"/>
        <v>1.0566319444444767</v>
      </c>
      <c r="CK632" s="458" t="str">
        <f t="shared" si="377"/>
        <v/>
      </c>
      <c r="CL632" t="str">
        <f t="shared" si="378"/>
        <v>REV</v>
      </c>
      <c r="CM632" t="str">
        <f t="shared" si="379"/>
        <v/>
      </c>
      <c r="CN632" s="635"/>
      <c r="CO632" s="631"/>
      <c r="CP632" s="629" t="s">
        <v>3227</v>
      </c>
      <c r="CQ632" s="635"/>
      <c r="CR632" s="697"/>
      <c r="CS632" s="633" t="s">
        <v>3228</v>
      </c>
      <c r="CT632" s="635"/>
      <c r="CU632" s="631"/>
      <c r="CV632" s="638"/>
      <c r="CW632" s="404"/>
      <c r="CX632" s="156"/>
      <c r="CY632" s="156"/>
      <c r="CZ632"/>
      <c r="DA632"/>
      <c r="DS632" s="858"/>
    </row>
    <row r="633" spans="1:123" s="359" customFormat="1" ht="15" customHeight="1" x14ac:dyDescent="0.25">
      <c r="A633" s="222"/>
      <c r="B633" s="222" t="s">
        <v>470</v>
      </c>
      <c r="C633" s="852"/>
      <c r="D633" s="66" t="s">
        <v>361</v>
      </c>
      <c r="E633" s="404" t="s">
        <v>3237</v>
      </c>
      <c r="F633" s="95" t="s">
        <v>3238</v>
      </c>
      <c r="G633" s="95" t="s">
        <v>3239</v>
      </c>
      <c r="H633" s="95" t="s">
        <v>318</v>
      </c>
      <c r="I633" s="95" t="s">
        <v>239</v>
      </c>
      <c r="J633" s="854"/>
      <c r="K633" s="855"/>
      <c r="L633" s="101" t="s">
        <v>5</v>
      </c>
      <c r="M633" s="101" t="s">
        <v>402</v>
      </c>
      <c r="N633" s="442" t="s">
        <v>3240</v>
      </c>
      <c r="O633" s="165">
        <v>447.34</v>
      </c>
      <c r="P633" s="165">
        <v>474.14</v>
      </c>
      <c r="Q633" s="157">
        <v>0</v>
      </c>
      <c r="R633" s="109" t="s">
        <v>327</v>
      </c>
      <c r="S633" s="110">
        <v>864852.9</v>
      </c>
      <c r="T633" s="93">
        <v>362673.97000000009</v>
      </c>
      <c r="U633" s="857"/>
      <c r="V633" s="158">
        <f t="shared" si="357"/>
        <v>0</v>
      </c>
      <c r="W633" s="159">
        <v>45786.397916666669</v>
      </c>
      <c r="X633" s="159">
        <v>45803.354166666664</v>
      </c>
      <c r="Y633" s="160">
        <v>45803</v>
      </c>
      <c r="Z633" s="470"/>
      <c r="AA633" s="470"/>
      <c r="AB633" s="942"/>
      <c r="AC633" s="161">
        <f t="shared" si="358"/>
        <v>-45786.397916666669</v>
      </c>
      <c r="AD633" s="161">
        <f t="shared" si="385"/>
        <v>-45803.354166666664</v>
      </c>
      <c r="AE633" s="446">
        <f t="shared" si="381"/>
        <v>0</v>
      </c>
      <c r="AF633" s="160">
        <f t="shared" si="386"/>
        <v>45809.422013052208</v>
      </c>
      <c r="AG633" s="160">
        <f t="shared" si="383"/>
        <v>45819.361772088356</v>
      </c>
      <c r="AH633" s="159">
        <f t="shared" si="387"/>
        <v>45836.397916666669</v>
      </c>
      <c r="AI633" s="162">
        <f t="shared" si="359"/>
        <v>-1319.5385510706019</v>
      </c>
      <c r="AJ633" s="224">
        <f t="shared" si="388"/>
        <v>0</v>
      </c>
      <c r="AK633" s="225">
        <f t="shared" si="360"/>
        <v>32</v>
      </c>
      <c r="AL633" s="170">
        <f t="shared" si="361"/>
        <v>36</v>
      </c>
      <c r="AM633" s="170">
        <f t="shared" si="362"/>
        <v>26.024096385542165</v>
      </c>
      <c r="AN633" s="170">
        <f t="shared" si="363"/>
        <v>32.963855421686745</v>
      </c>
      <c r="AO633" s="226">
        <f t="shared" si="364"/>
        <v>23.024096385542165</v>
      </c>
      <c r="AP633" s="227">
        <v>60</v>
      </c>
      <c r="AQ633" s="228">
        <f t="shared" si="365"/>
        <v>57</v>
      </c>
      <c r="AR633" s="228">
        <f t="shared" si="384"/>
        <v>52</v>
      </c>
      <c r="AS633" s="229">
        <f t="shared" si="366"/>
        <v>60</v>
      </c>
      <c r="AT633" s="982">
        <f t="shared" ca="1" si="367"/>
        <v>45895</v>
      </c>
      <c r="AU633" s="50"/>
      <c r="AV633" s="51"/>
      <c r="AW633" s="49"/>
      <c r="AX633" s="49"/>
      <c r="AY633" s="49"/>
      <c r="AZ633" s="300"/>
      <c r="BA633" s="52"/>
      <c r="BB633" s="304"/>
      <c r="BC633" s="231"/>
      <c r="BD633" s="232"/>
      <c r="BE633" s="222">
        <f t="shared" si="382"/>
        <v>15</v>
      </c>
      <c r="BF633" s="233">
        <f t="shared" si="389"/>
        <v>0</v>
      </c>
      <c r="BG633" s="234"/>
      <c r="BH633" s="235"/>
      <c r="BI633" s="234"/>
      <c r="BJ633" s="236"/>
      <c r="BK633" s="222"/>
      <c r="BL633" s="222"/>
      <c r="BM633" s="238"/>
      <c r="BN633" s="222"/>
      <c r="BO633" s="222"/>
      <c r="BP633" s="243"/>
      <c r="BQ633" s="244" t="s">
        <v>246</v>
      </c>
      <c r="BR633" s="238"/>
      <c r="BS633" s="68"/>
      <c r="BT633" s="69"/>
      <c r="BU633" s="69"/>
      <c r="BV633" s="69"/>
      <c r="BW633" s="75"/>
      <c r="BX633" s="81"/>
      <c r="BY633" s="66"/>
      <c r="BZ633" s="944" t="s">
        <v>3241</v>
      </c>
      <c r="CA633" s="42" t="str">
        <f t="shared" si="368"/>
        <v>0</v>
      </c>
      <c r="CB633" s="62">
        <f t="shared" si="369"/>
        <v>-45786.397916666669</v>
      </c>
      <c r="CC633" s="42">
        <f t="shared" si="370"/>
        <v>0</v>
      </c>
      <c r="CD633" s="62">
        <f t="shared" si="371"/>
        <v>-45786.397916666669</v>
      </c>
      <c r="CE633" s="62">
        <f t="shared" si="372"/>
        <v>-1319.5385510706019</v>
      </c>
      <c r="CF633" s="145" t="str">
        <f t="shared" si="373"/>
        <v>0</v>
      </c>
      <c r="CG633" s="145"/>
      <c r="CH633" s="443">
        <f t="shared" si="374"/>
        <v>2.3805461516203144</v>
      </c>
      <c r="CI633" s="996">
        <f t="shared" si="375"/>
        <v>2.3805461516203144</v>
      </c>
      <c r="CJ633" s="261">
        <f t="shared" si="376"/>
        <v>0</v>
      </c>
      <c r="CK633" s="458">
        <f t="shared" si="377"/>
        <v>69.602083333331393</v>
      </c>
      <c r="CL633" t="str">
        <f t="shared" si="378"/>
        <v>NON-REV</v>
      </c>
      <c r="CM633" t="str">
        <f t="shared" si="379"/>
        <v>0-3 MONTHS</v>
      </c>
      <c r="CN633" s="635"/>
      <c r="CO633" s="631"/>
      <c r="CP633" s="629"/>
      <c r="CQ633" s="635"/>
      <c r="CR633" s="697"/>
      <c r="CS633" s="633"/>
      <c r="CT633" s="635"/>
      <c r="CU633" s="631"/>
      <c r="CV633" s="638"/>
      <c r="CW633" s="853"/>
      <c r="CX633" s="856"/>
      <c r="CY633" s="856"/>
      <c r="DS633" s="858"/>
    </row>
    <row r="634" spans="1:123" s="359" customFormat="1" ht="15" customHeight="1" x14ac:dyDescent="0.25">
      <c r="A634" s="222">
        <v>45799</v>
      </c>
      <c r="B634" s="222">
        <v>45793</v>
      </c>
      <c r="C634" s="223"/>
      <c r="D634" s="66" t="s">
        <v>320</v>
      </c>
      <c r="E634" s="404" t="s">
        <v>3242</v>
      </c>
      <c r="F634" s="95" t="s">
        <v>1074</v>
      </c>
      <c r="G634" s="95" t="s">
        <v>1075</v>
      </c>
      <c r="H634" s="95" t="s">
        <v>318</v>
      </c>
      <c r="I634" s="95" t="s">
        <v>239</v>
      </c>
      <c r="J634" s="163"/>
      <c r="K634" s="101"/>
      <c r="L634" s="101" t="s">
        <v>242</v>
      </c>
      <c r="M634" s="101" t="s">
        <v>272</v>
      </c>
      <c r="N634" s="442" t="s">
        <v>467</v>
      </c>
      <c r="O634" s="165">
        <v>65.444700000000026</v>
      </c>
      <c r="P634" s="933">
        <v>132.4</v>
      </c>
      <c r="Q634" s="157">
        <v>80</v>
      </c>
      <c r="R634" s="109" t="s">
        <v>244</v>
      </c>
      <c r="S634" s="110">
        <v>447937.96</v>
      </c>
      <c r="T634" s="93">
        <v>96360.01</v>
      </c>
      <c r="U634" s="141"/>
      <c r="V634" s="158">
        <f t="shared" si="357"/>
        <v>0</v>
      </c>
      <c r="W634" s="159">
        <v>45786.417361111111</v>
      </c>
      <c r="X634" s="159">
        <v>45793.449305555558</v>
      </c>
      <c r="Y634" s="160">
        <v>45793</v>
      </c>
      <c r="Z634" s="470"/>
      <c r="AA634" s="470">
        <v>45793.479861111111</v>
      </c>
      <c r="AB634" s="470"/>
      <c r="AC634" s="161">
        <f t="shared" si="358"/>
        <v>7.0625</v>
      </c>
      <c r="AD634" s="161">
        <f t="shared" si="385"/>
        <v>3.0555555553291924E-2</v>
      </c>
      <c r="AE634" s="446">
        <f t="shared" si="381"/>
        <v>-45793.479861111111</v>
      </c>
      <c r="AF634" s="160">
        <f t="shared" si="386"/>
        <v>45806.762431533643</v>
      </c>
      <c r="AG634" s="160">
        <f t="shared" si="383"/>
        <v>45815.98778364632</v>
      </c>
      <c r="AH634" s="159">
        <f t="shared" si="387"/>
        <v>45836.417361111111</v>
      </c>
      <c r="AI634" s="162">
        <f t="shared" si="359"/>
        <v>0.2268947963800905</v>
      </c>
      <c r="AJ634" s="224">
        <f t="shared" si="388"/>
        <v>-763.22466435185186</v>
      </c>
      <c r="AK634" s="225">
        <f t="shared" si="360"/>
        <v>26</v>
      </c>
      <c r="AL634" s="170">
        <f t="shared" si="361"/>
        <v>34</v>
      </c>
      <c r="AM634" s="170">
        <f t="shared" si="362"/>
        <v>23.345070422535212</v>
      </c>
      <c r="AN634" s="170">
        <f t="shared" si="363"/>
        <v>29.570422535211268</v>
      </c>
      <c r="AO634" s="226">
        <f t="shared" si="364"/>
        <v>20.345070422535212</v>
      </c>
      <c r="AP634" s="227">
        <v>60</v>
      </c>
      <c r="AQ634" s="228">
        <f t="shared" si="365"/>
        <v>57</v>
      </c>
      <c r="AR634" s="228">
        <f t="shared" si="384"/>
        <v>52</v>
      </c>
      <c r="AS634" s="229">
        <f t="shared" si="366"/>
        <v>45853.479861111111</v>
      </c>
      <c r="AT634" s="982">
        <f t="shared" ca="1" si="367"/>
        <v>101.52013888888905</v>
      </c>
      <c r="AU634" s="50"/>
      <c r="AV634" s="51"/>
      <c r="AW634" s="49"/>
      <c r="AX634" s="49"/>
      <c r="AY634" s="49"/>
      <c r="AZ634" s="300"/>
      <c r="BA634" s="52"/>
      <c r="BB634" s="304"/>
      <c r="BC634" s="231" t="s">
        <v>12</v>
      </c>
      <c r="BD634" s="247" t="s">
        <v>3243</v>
      </c>
      <c r="BE634" s="222">
        <f t="shared" si="382"/>
        <v>45808.479861111111</v>
      </c>
      <c r="BF634" s="233">
        <f t="shared" si="389"/>
        <v>-4.4798611111109494</v>
      </c>
      <c r="BG634" s="234">
        <v>45792</v>
      </c>
      <c r="BH634" s="235">
        <v>45804</v>
      </c>
      <c r="BI634" s="234"/>
      <c r="BJ634" s="236"/>
      <c r="BK634" s="222"/>
      <c r="BL634" s="222"/>
      <c r="BM634" s="238"/>
      <c r="BN634" s="222"/>
      <c r="BO634" s="222"/>
      <c r="BP634" s="243"/>
      <c r="BQ634" s="244" t="s">
        <v>247</v>
      </c>
      <c r="BR634" s="238">
        <v>45790</v>
      </c>
      <c r="BS634" s="68"/>
      <c r="BT634" s="69"/>
      <c r="BU634" s="69"/>
      <c r="BV634" s="69"/>
      <c r="BW634" s="75"/>
      <c r="BX634" s="81"/>
      <c r="BY634" s="66" t="s">
        <v>308</v>
      </c>
      <c r="BZ634" s="124" t="s">
        <v>308</v>
      </c>
      <c r="CA634" s="42" t="str">
        <f t="shared" si="368"/>
        <v>0</v>
      </c>
      <c r="CB634" s="62">
        <f t="shared" si="369"/>
        <v>7.0625</v>
      </c>
      <c r="CC634" s="42">
        <f t="shared" si="370"/>
        <v>0</v>
      </c>
      <c r="CD634" s="62">
        <f t="shared" si="371"/>
        <v>7.0625</v>
      </c>
      <c r="CE634" s="62">
        <f t="shared" si="372"/>
        <v>0.2268947963800905</v>
      </c>
      <c r="CF634" s="145">
        <f t="shared" si="373"/>
        <v>75.520138888889051</v>
      </c>
      <c r="CG634" s="145"/>
      <c r="CH634" s="443">
        <f t="shared" si="374"/>
        <v>2.6531074032177022</v>
      </c>
      <c r="CI634" s="996">
        <f t="shared" si="375"/>
        <v>2.6531074032177022</v>
      </c>
      <c r="CJ634" s="261">
        <f t="shared" si="376"/>
        <v>1.2586689814814842</v>
      </c>
      <c r="CK634" s="458" t="str">
        <f t="shared" si="377"/>
        <v/>
      </c>
      <c r="CL634" t="str">
        <f t="shared" si="378"/>
        <v>REV</v>
      </c>
      <c r="CM634" t="str">
        <f t="shared" si="379"/>
        <v/>
      </c>
      <c r="CN634" s="635"/>
      <c r="CO634" s="631"/>
      <c r="CP634" s="629" t="s">
        <v>3227</v>
      </c>
      <c r="CQ634" s="635"/>
      <c r="CR634" s="697"/>
      <c r="CS634" s="633" t="s">
        <v>3228</v>
      </c>
      <c r="CT634" s="635"/>
      <c r="CU634" s="631"/>
      <c r="CV634" s="638"/>
      <c r="CW634" s="404"/>
      <c r="CX634" s="156"/>
      <c r="CY634" s="156"/>
      <c r="CZ634"/>
      <c r="DA634"/>
      <c r="DS634" s="858"/>
    </row>
    <row r="635" spans="1:123" s="359" customFormat="1" ht="15" customHeight="1" x14ac:dyDescent="0.25">
      <c r="A635" s="222">
        <v>45796</v>
      </c>
      <c r="B635" s="222">
        <v>45793</v>
      </c>
      <c r="C635" s="852"/>
      <c r="D635" s="66" t="s">
        <v>320</v>
      </c>
      <c r="E635" s="404" t="s">
        <v>3244</v>
      </c>
      <c r="F635" s="95" t="s">
        <v>3245</v>
      </c>
      <c r="G635" s="95" t="s">
        <v>282</v>
      </c>
      <c r="H635" s="95" t="s">
        <v>238</v>
      </c>
      <c r="I635" s="95" t="s">
        <v>239</v>
      </c>
      <c r="J635" s="854"/>
      <c r="K635" s="855"/>
      <c r="L635" s="101" t="s">
        <v>242</v>
      </c>
      <c r="M635" s="101" t="s">
        <v>331</v>
      </c>
      <c r="N635" s="442" t="s">
        <v>467</v>
      </c>
      <c r="O635" s="165">
        <v>81.11</v>
      </c>
      <c r="P635" s="165">
        <v>139.81</v>
      </c>
      <c r="Q635" s="157">
        <v>90</v>
      </c>
      <c r="R635" s="109" t="s">
        <v>548</v>
      </c>
      <c r="S635" s="110">
        <v>423863.1</v>
      </c>
      <c r="T635" s="93">
        <v>52201.72</v>
      </c>
      <c r="U635" s="857"/>
      <c r="V635" s="158">
        <f t="shared" si="357"/>
        <v>0</v>
      </c>
      <c r="W635" s="159">
        <v>45786.722222222219</v>
      </c>
      <c r="X635" s="159">
        <v>45793.450694444444</v>
      </c>
      <c r="Y635" s="160">
        <v>45793</v>
      </c>
      <c r="Z635" s="470"/>
      <c r="AA635" s="470"/>
      <c r="AB635" s="942"/>
      <c r="AC635" s="161">
        <f t="shared" si="358"/>
        <v>-45786.722222222219</v>
      </c>
      <c r="AD635" s="161">
        <f t="shared" si="385"/>
        <v>-45793.450694444444</v>
      </c>
      <c r="AE635" s="446">
        <f t="shared" si="381"/>
        <v>0</v>
      </c>
      <c r="AF635" s="160">
        <f t="shared" si="386"/>
        <v>45807.067292644751</v>
      </c>
      <c r="AG635" s="160">
        <f t="shared" si="383"/>
        <v>45816.292644757428</v>
      </c>
      <c r="AH635" s="159">
        <f t="shared" si="387"/>
        <v>45836.722222222219</v>
      </c>
      <c r="AI635" s="162">
        <f t="shared" si="359"/>
        <v>-1470.9761437908496</v>
      </c>
      <c r="AJ635" s="224">
        <f t="shared" si="388"/>
        <v>0</v>
      </c>
      <c r="AK635" s="225">
        <f t="shared" si="360"/>
        <v>26</v>
      </c>
      <c r="AL635" s="170">
        <f t="shared" si="361"/>
        <v>34</v>
      </c>
      <c r="AM635" s="170">
        <f t="shared" si="362"/>
        <v>23.345070422535212</v>
      </c>
      <c r="AN635" s="170">
        <f t="shared" si="363"/>
        <v>29.570422535211268</v>
      </c>
      <c r="AO635" s="226">
        <f t="shared" si="364"/>
        <v>20.345070422535212</v>
      </c>
      <c r="AP635" s="227">
        <v>60</v>
      </c>
      <c r="AQ635" s="228">
        <f t="shared" si="365"/>
        <v>57</v>
      </c>
      <c r="AR635" s="228">
        <f t="shared" si="384"/>
        <v>52</v>
      </c>
      <c r="AS635" s="229">
        <f t="shared" si="366"/>
        <v>60</v>
      </c>
      <c r="AT635" s="982">
        <f t="shared" ca="1" si="367"/>
        <v>45895</v>
      </c>
      <c r="AU635" s="50"/>
      <c r="AV635" s="51"/>
      <c r="AW635" s="49"/>
      <c r="AX635" s="49"/>
      <c r="AY635" s="49"/>
      <c r="AZ635" s="300"/>
      <c r="BA635" s="52"/>
      <c r="BB635" s="304"/>
      <c r="BC635" s="231"/>
      <c r="BD635" s="232"/>
      <c r="BE635" s="222">
        <f t="shared" si="382"/>
        <v>15</v>
      </c>
      <c r="BF635" s="233">
        <f t="shared" si="389"/>
        <v>0</v>
      </c>
      <c r="BG635" s="234"/>
      <c r="BH635" s="235"/>
      <c r="BI635" s="234"/>
      <c r="BJ635" s="236"/>
      <c r="BK635" s="222"/>
      <c r="BL635" s="222"/>
      <c r="BM635" s="238"/>
      <c r="BN635" s="222"/>
      <c r="BO635" s="222"/>
      <c r="BP635" s="243"/>
      <c r="BQ635" s="244"/>
      <c r="BR635" s="238"/>
      <c r="BS635" s="68"/>
      <c r="BT635" s="69"/>
      <c r="BU635" s="69"/>
      <c r="BV635" s="69"/>
      <c r="BW635" s="75"/>
      <c r="BX635" s="81"/>
      <c r="BY635" s="66" t="e">
        <f>VLOOKUP([4]C1!$BY:$BY,[4]C1!$BY$531:$BY$625,1,FALSE)</f>
        <v>#N/A</v>
      </c>
      <c r="BZ635" s="944" t="e">
        <f>VLOOKUP([4]C1!$BZ:$BZ,[4]C1!$BZ$531:$BZ$625,1,FALSE)</f>
        <v>#N/A</v>
      </c>
      <c r="CA635" s="42" t="str">
        <f t="shared" si="368"/>
        <v>0</v>
      </c>
      <c r="CB635" s="62">
        <f t="shared" si="369"/>
        <v>-45786.722222222219</v>
      </c>
      <c r="CC635" s="42">
        <f t="shared" si="370"/>
        <v>0</v>
      </c>
      <c r="CD635" s="62">
        <f t="shared" si="371"/>
        <v>-45786.722222222219</v>
      </c>
      <c r="CE635" s="62">
        <f t="shared" si="372"/>
        <v>-1470.9761437908496</v>
      </c>
      <c r="CF635" s="145" t="str">
        <f t="shared" si="373"/>
        <v>0</v>
      </c>
      <c r="CG635" s="145"/>
      <c r="CH635" s="443">
        <f t="shared" si="374"/>
        <v>2.6433132227250913</v>
      </c>
      <c r="CI635" s="996">
        <f t="shared" si="375"/>
        <v>2.6433132227250913</v>
      </c>
      <c r="CJ635" s="261">
        <f t="shared" si="376"/>
        <v>0</v>
      </c>
      <c r="CK635" s="458">
        <f t="shared" si="377"/>
        <v>69.277777777781012</v>
      </c>
      <c r="CL635" t="str">
        <f t="shared" si="378"/>
        <v>NON-REV</v>
      </c>
      <c r="CM635" t="str">
        <f t="shared" si="379"/>
        <v>0-3 MONTHS</v>
      </c>
      <c r="CN635" s="635"/>
      <c r="CO635" s="631"/>
      <c r="CP635" s="629" t="s">
        <v>3227</v>
      </c>
      <c r="CQ635" s="635"/>
      <c r="CR635" s="697"/>
      <c r="CS635" s="633" t="s">
        <v>3228</v>
      </c>
      <c r="CT635" s="635"/>
      <c r="CU635" s="631"/>
      <c r="CV635" s="638"/>
      <c r="CW635" s="853"/>
      <c r="CX635" s="856"/>
      <c r="CY635" s="856"/>
      <c r="DS635" s="858"/>
    </row>
    <row r="636" spans="1:123" s="359" customFormat="1" ht="15" customHeight="1" x14ac:dyDescent="0.25">
      <c r="A636" s="222">
        <v>45791</v>
      </c>
      <c r="B636" s="222">
        <v>45791</v>
      </c>
      <c r="C636" s="223" t="s">
        <v>247</v>
      </c>
      <c r="D636" s="66" t="s">
        <v>284</v>
      </c>
      <c r="E636" s="404" t="s">
        <v>3246</v>
      </c>
      <c r="F636" s="95" t="s">
        <v>3247</v>
      </c>
      <c r="G636" s="95" t="s">
        <v>3248</v>
      </c>
      <c r="H636" s="95" t="s">
        <v>253</v>
      </c>
      <c r="I636" s="95" t="s">
        <v>254</v>
      </c>
      <c r="J636" s="854"/>
      <c r="K636" s="855"/>
      <c r="L636" s="101" t="s">
        <v>263</v>
      </c>
      <c r="M636" s="101" t="s">
        <v>272</v>
      </c>
      <c r="N636" s="442" t="s">
        <v>467</v>
      </c>
      <c r="O636" s="165">
        <v>111.5933</v>
      </c>
      <c r="P636" s="933">
        <v>340.66</v>
      </c>
      <c r="Q636" s="157">
        <v>106</v>
      </c>
      <c r="R636" s="109" t="s">
        <v>244</v>
      </c>
      <c r="S636" s="110">
        <v>961200.12</v>
      </c>
      <c r="T636" s="93">
        <v>158218.30000000002</v>
      </c>
      <c r="U636" s="857"/>
      <c r="V636" s="158">
        <f t="shared" si="357"/>
        <v>0</v>
      </c>
      <c r="W636" s="159">
        <v>45786.724305555559</v>
      </c>
      <c r="X636" s="159">
        <v>45789.561111111114</v>
      </c>
      <c r="Y636" s="160">
        <v>45790</v>
      </c>
      <c r="Z636" s="470"/>
      <c r="AA636" s="470">
        <v>45799</v>
      </c>
      <c r="AB636" s="942"/>
      <c r="AC636" s="161">
        <f t="shared" si="358"/>
        <v>12.275694444440887</v>
      </c>
      <c r="AD636" s="161">
        <f t="shared" si="385"/>
        <v>9.4388888888861402</v>
      </c>
      <c r="AE636" s="446">
        <f t="shared" si="381"/>
        <v>-45799</v>
      </c>
      <c r="AF636" s="160">
        <f t="shared" si="386"/>
        <v>45807.253717320265</v>
      </c>
      <c r="AG636" s="160">
        <f t="shared" si="383"/>
        <v>45816.528227124189</v>
      </c>
      <c r="AH636" s="159">
        <f t="shared" si="387"/>
        <v>45836.724305555559</v>
      </c>
      <c r="AI636" s="162">
        <f t="shared" si="359"/>
        <v>0.39128776041655328</v>
      </c>
      <c r="AJ636" s="224">
        <f t="shared" si="388"/>
        <v>-763.31666666666672</v>
      </c>
      <c r="AK636" s="225">
        <f t="shared" si="360"/>
        <v>30</v>
      </c>
      <c r="AL636" s="170">
        <f t="shared" si="361"/>
        <v>32</v>
      </c>
      <c r="AM636" s="170">
        <f t="shared" si="362"/>
        <v>23.52941176470588</v>
      </c>
      <c r="AN636" s="170">
        <f t="shared" si="363"/>
        <v>29.803921568627448</v>
      </c>
      <c r="AO636" s="226">
        <f t="shared" si="364"/>
        <v>20.52941176470588</v>
      </c>
      <c r="AP636" s="227">
        <v>60</v>
      </c>
      <c r="AQ636" s="228">
        <f t="shared" si="365"/>
        <v>57</v>
      </c>
      <c r="AR636" s="228">
        <f t="shared" si="384"/>
        <v>52</v>
      </c>
      <c r="AS636" s="229">
        <f t="shared" si="366"/>
        <v>45859</v>
      </c>
      <c r="AT636" s="982">
        <f t="shared" ca="1" si="367"/>
        <v>96</v>
      </c>
      <c r="AU636" s="50"/>
      <c r="AV636" s="51"/>
      <c r="AW636" s="49"/>
      <c r="AX636" s="49"/>
      <c r="AY636" s="49"/>
      <c r="AZ636" s="300"/>
      <c r="BA636" s="52"/>
      <c r="BB636" s="304"/>
      <c r="BC636" s="231" t="s">
        <v>13</v>
      </c>
      <c r="BD636" s="232"/>
      <c r="BE636" s="222">
        <f t="shared" si="382"/>
        <v>45814</v>
      </c>
      <c r="BF636" s="233" t="e">
        <f t="shared" si="389"/>
        <v>#VALUE!</v>
      </c>
      <c r="BG636" s="234"/>
      <c r="BH636" s="235"/>
      <c r="BI636" s="234"/>
      <c r="BJ636" s="236"/>
      <c r="BK636" s="222"/>
      <c r="BL636" s="222"/>
      <c r="BM636" s="238"/>
      <c r="BN636" s="222"/>
      <c r="BO636" s="222"/>
      <c r="BP636" s="243"/>
      <c r="BQ636" s="244" t="s">
        <v>247</v>
      </c>
      <c r="BR636" s="238">
        <v>45792</v>
      </c>
      <c r="BS636" s="68"/>
      <c r="BT636" s="69"/>
      <c r="BU636" s="69"/>
      <c r="BV636" s="69"/>
      <c r="BW636" s="75"/>
      <c r="BX636" s="81"/>
      <c r="BY636" s="66" t="e">
        <f>VLOOKUP([4]C1!$BY:$BY,[4]C1!$BY$531:$BY$625,1,FALSE)</f>
        <v>#N/A</v>
      </c>
      <c r="BZ636" s="108" t="e">
        <f>VLOOKUP([4]C1!$BZ:$BZ,[4]C1!$BZ$531:$BZ$625,1,FALSE)</f>
        <v>#N/A</v>
      </c>
      <c r="CA636" s="42" t="str">
        <f t="shared" si="368"/>
        <v>0</v>
      </c>
      <c r="CB636" s="62">
        <f t="shared" si="369"/>
        <v>12.275694444440887</v>
      </c>
      <c r="CC636" s="42">
        <f t="shared" si="370"/>
        <v>0</v>
      </c>
      <c r="CD636" s="62">
        <f t="shared" si="371"/>
        <v>12.275694444440887</v>
      </c>
      <c r="CE636" s="62">
        <f t="shared" si="372"/>
        <v>0.39128776041655328</v>
      </c>
      <c r="CF636" s="145">
        <f t="shared" si="373"/>
        <v>70</v>
      </c>
      <c r="CG636" s="145"/>
      <c r="CH636" s="443">
        <f t="shared" si="374"/>
        <v>2.6225377604165532</v>
      </c>
      <c r="CI636" s="996">
        <f t="shared" si="375"/>
        <v>2.6225377604165532</v>
      </c>
      <c r="CJ636" s="261">
        <f t="shared" si="376"/>
        <v>1.1666666666666667</v>
      </c>
      <c r="CK636" s="458" t="str">
        <f t="shared" si="377"/>
        <v/>
      </c>
      <c r="CL636" t="str">
        <f t="shared" si="378"/>
        <v>REV</v>
      </c>
      <c r="CM636" t="str">
        <f t="shared" si="379"/>
        <v/>
      </c>
      <c r="CN636" s="635"/>
      <c r="CO636" s="631"/>
      <c r="CP636" s="629" t="s">
        <v>3227</v>
      </c>
      <c r="CQ636" s="635"/>
      <c r="CR636" s="697"/>
      <c r="CS636" s="633" t="s">
        <v>3228</v>
      </c>
      <c r="CT636" s="635"/>
      <c r="CU636" s="631"/>
      <c r="CV636" s="638"/>
      <c r="CW636" s="853"/>
      <c r="CX636" s="856"/>
      <c r="CY636" s="856"/>
      <c r="DB636"/>
      <c r="DC636"/>
      <c r="DD636"/>
      <c r="DE636"/>
      <c r="DF636"/>
      <c r="DG636"/>
      <c r="DH636"/>
      <c r="DI636"/>
      <c r="DJ636"/>
      <c r="DK636"/>
      <c r="DL636"/>
      <c r="DM636"/>
      <c r="DN636"/>
      <c r="DO636"/>
      <c r="DP636"/>
      <c r="DQ636"/>
      <c r="DR636"/>
      <c r="DS636" s="156" t="s">
        <v>397</v>
      </c>
    </row>
    <row r="637" spans="1:123" s="1103" customFormat="1" ht="15" customHeight="1" x14ac:dyDescent="0.2">
      <c r="A637" s="242">
        <v>45796</v>
      </c>
      <c r="B637" s="222">
        <v>45793</v>
      </c>
      <c r="C637" s="852"/>
      <c r="D637" s="66" t="s">
        <v>320</v>
      </c>
      <c r="E637" s="404" t="s">
        <v>3249</v>
      </c>
      <c r="F637" s="95" t="s">
        <v>876</v>
      </c>
      <c r="G637" s="95" t="s">
        <v>3250</v>
      </c>
      <c r="H637" s="95" t="s">
        <v>238</v>
      </c>
      <c r="I637" s="95" t="s">
        <v>239</v>
      </c>
      <c r="J637" s="1134" t="s">
        <v>3251</v>
      </c>
      <c r="K637" s="855"/>
      <c r="L637" s="101" t="s">
        <v>255</v>
      </c>
      <c r="M637" s="101" t="s">
        <v>331</v>
      </c>
      <c r="N637" s="442" t="s">
        <v>403</v>
      </c>
      <c r="O637" s="165">
        <v>119.5912</v>
      </c>
      <c r="P637" s="165">
        <v>319.56</v>
      </c>
      <c r="Q637" s="157">
        <v>184</v>
      </c>
      <c r="R637" s="109" t="s">
        <v>244</v>
      </c>
      <c r="S637" s="110">
        <v>1207733.8999999999</v>
      </c>
      <c r="T637" s="93">
        <v>206131.04</v>
      </c>
      <c r="U637" s="857"/>
      <c r="V637" s="158">
        <f t="shared" si="357"/>
        <v>0</v>
      </c>
      <c r="W637" s="159">
        <v>45786.727083333331</v>
      </c>
      <c r="X637" s="159">
        <v>45793.45208333333</v>
      </c>
      <c r="Y637" s="160">
        <v>45793</v>
      </c>
      <c r="Z637" s="470"/>
      <c r="AA637" s="470"/>
      <c r="AB637" s="942"/>
      <c r="AC637" s="161">
        <f t="shared" si="358"/>
        <v>-45786.727083333331</v>
      </c>
      <c r="AD637" s="161">
        <f t="shared" si="385"/>
        <v>-45793.45208333333</v>
      </c>
      <c r="AE637" s="446">
        <f t="shared" si="381"/>
        <v>0</v>
      </c>
      <c r="AF637" s="160">
        <f t="shared" si="386"/>
        <v>45807.256495098038</v>
      </c>
      <c r="AG637" s="160">
        <f t="shared" si="383"/>
        <v>45816.531004901961</v>
      </c>
      <c r="AH637" s="159">
        <f t="shared" si="387"/>
        <v>45836.727083333331</v>
      </c>
      <c r="AI637" s="162">
        <f t="shared" si="359"/>
        <v>-1459.4519257812499</v>
      </c>
      <c r="AJ637" s="224">
        <f t="shared" si="388"/>
        <v>0</v>
      </c>
      <c r="AK637" s="225">
        <f t="shared" si="360"/>
        <v>30</v>
      </c>
      <c r="AL637" s="170">
        <f t="shared" si="361"/>
        <v>32</v>
      </c>
      <c r="AM637" s="170">
        <f t="shared" si="362"/>
        <v>23.52941176470588</v>
      </c>
      <c r="AN637" s="170">
        <f t="shared" si="363"/>
        <v>29.803921568627448</v>
      </c>
      <c r="AO637" s="226">
        <f t="shared" si="364"/>
        <v>20.52941176470588</v>
      </c>
      <c r="AP637" s="227">
        <v>60</v>
      </c>
      <c r="AQ637" s="228">
        <f t="shared" si="365"/>
        <v>57</v>
      </c>
      <c r="AR637" s="228">
        <f t="shared" si="384"/>
        <v>52</v>
      </c>
      <c r="AS637" s="229">
        <f t="shared" si="366"/>
        <v>60</v>
      </c>
      <c r="AT637" s="982">
        <f t="shared" ca="1" si="367"/>
        <v>45895</v>
      </c>
      <c r="AU637" s="1077"/>
      <c r="AV637" s="1092"/>
      <c r="AW637" s="1079"/>
      <c r="AX637" s="1079"/>
      <c r="AY637" s="1079"/>
      <c r="AZ637" s="1080"/>
      <c r="BA637" s="1101"/>
      <c r="BB637" s="1091"/>
      <c r="BC637" s="231"/>
      <c r="BD637" s="232"/>
      <c r="BE637" s="222">
        <f t="shared" si="382"/>
        <v>15</v>
      </c>
      <c r="BF637" s="233">
        <f t="shared" si="389"/>
        <v>0</v>
      </c>
      <c r="BG637" s="234"/>
      <c r="BH637" s="235"/>
      <c r="BI637" s="234"/>
      <c r="BJ637" s="236"/>
      <c r="BK637" s="222"/>
      <c r="BL637" s="222"/>
      <c r="BM637" s="238"/>
      <c r="BN637" s="222"/>
      <c r="BO637" s="222"/>
      <c r="BP637" s="243"/>
      <c r="BQ637" s="244"/>
      <c r="BR637" s="238"/>
      <c r="BS637" s="68"/>
      <c r="BT637" s="69"/>
      <c r="BU637" s="69"/>
      <c r="BV637" s="69"/>
      <c r="BW637" s="75"/>
      <c r="BX637" s="81"/>
      <c r="BY637" s="66" t="e">
        <f>VLOOKUP([4]C1!$BY:$BY,[4]C1!$BY$531:$BY$625,1,FALSE)</f>
        <v>#N/A</v>
      </c>
      <c r="BZ637" s="944" t="e">
        <f>VLOOKUP([4]C1!$BZ:$BZ,[4]C1!$BZ$531:$BZ$625,1,FALSE)</f>
        <v>#N/A</v>
      </c>
      <c r="CA637" s="42" t="str">
        <f t="shared" si="368"/>
        <v>0</v>
      </c>
      <c r="CB637" s="62">
        <f t="shared" si="369"/>
        <v>-45786.727083333331</v>
      </c>
      <c r="CC637" s="42">
        <f t="shared" si="370"/>
        <v>0</v>
      </c>
      <c r="CD637" s="62">
        <f t="shared" si="371"/>
        <v>-45786.727083333331</v>
      </c>
      <c r="CE637" s="62">
        <f t="shared" si="372"/>
        <v>-1459.4519257812499</v>
      </c>
      <c r="CF637" s="1059" t="str">
        <f t="shared" si="373"/>
        <v>0</v>
      </c>
      <c r="CG637" s="1059"/>
      <c r="CH637" s="1082">
        <f t="shared" si="374"/>
        <v>2.6224492187500617</v>
      </c>
      <c r="CI637" s="1083">
        <f t="shared" si="375"/>
        <v>2.6224492187500617</v>
      </c>
      <c r="CJ637" s="1084">
        <f t="shared" si="376"/>
        <v>0</v>
      </c>
      <c r="CK637" s="1085">
        <f t="shared" si="377"/>
        <v>69.272916666668607</v>
      </c>
      <c r="CL637" s="1057" t="str">
        <f t="shared" si="378"/>
        <v>REV</v>
      </c>
      <c r="CM637" s="1057" t="str">
        <f t="shared" si="379"/>
        <v>0-3 MONTHS</v>
      </c>
      <c r="CN637" s="1086"/>
      <c r="CO637" s="1087"/>
      <c r="CP637" s="629" t="s">
        <v>3227</v>
      </c>
      <c r="CQ637" s="1086"/>
      <c r="CR637" s="1088"/>
      <c r="CS637" s="1089" t="s">
        <v>3228</v>
      </c>
      <c r="CT637" s="1086"/>
      <c r="CU637" s="1087"/>
      <c r="CV637" s="1090"/>
      <c r="CW637" s="853"/>
      <c r="CX637" s="856"/>
      <c r="CY637" s="856"/>
    </row>
    <row r="638" spans="1:123" s="1103" customFormat="1" ht="15" customHeight="1" x14ac:dyDescent="0.2">
      <c r="A638" s="242">
        <v>45796</v>
      </c>
      <c r="B638" s="222">
        <v>45793</v>
      </c>
      <c r="C638" s="852"/>
      <c r="D638" s="66" t="s">
        <v>320</v>
      </c>
      <c r="E638" s="404" t="s">
        <v>3252</v>
      </c>
      <c r="F638" s="95" t="s">
        <v>876</v>
      </c>
      <c r="G638" s="95" t="s">
        <v>3253</v>
      </c>
      <c r="H638" s="95" t="s">
        <v>238</v>
      </c>
      <c r="I638" s="95" t="s">
        <v>239</v>
      </c>
      <c r="J638" s="854"/>
      <c r="K638" s="855"/>
      <c r="L638" s="101" t="s">
        <v>255</v>
      </c>
      <c r="M638" s="101" t="s">
        <v>272</v>
      </c>
      <c r="N638" s="442" t="s">
        <v>403</v>
      </c>
      <c r="O638" s="165">
        <v>82.274700000000024</v>
      </c>
      <c r="P638" s="165">
        <v>144.47999999999999</v>
      </c>
      <c r="Q638" s="157">
        <v>200</v>
      </c>
      <c r="R638" s="109" t="s">
        <v>548</v>
      </c>
      <c r="S638" s="110">
        <v>870200.65</v>
      </c>
      <c r="T638" s="93">
        <v>106747.8</v>
      </c>
      <c r="U638" s="857"/>
      <c r="V638" s="158">
        <f t="shared" si="357"/>
        <v>0</v>
      </c>
      <c r="W638" s="159">
        <v>45786.728472222225</v>
      </c>
      <c r="X638" s="159">
        <v>45793.45416666667</v>
      </c>
      <c r="Y638" s="160">
        <v>45793</v>
      </c>
      <c r="Z638" s="470"/>
      <c r="AA638" s="470">
        <v>45850</v>
      </c>
      <c r="AB638" s="942"/>
      <c r="AC638" s="161">
        <f t="shared" si="358"/>
        <v>63.271527777775191</v>
      </c>
      <c r="AD638" s="161">
        <f t="shared" si="385"/>
        <v>56.545833333329938</v>
      </c>
      <c r="AE638" s="446">
        <f t="shared" si="381"/>
        <v>-45850</v>
      </c>
      <c r="AF638" s="160">
        <f t="shared" si="386"/>
        <v>45806.174515387691</v>
      </c>
      <c r="AG638" s="160">
        <f t="shared" si="383"/>
        <v>45815.160126898481</v>
      </c>
      <c r="AH638" s="159">
        <f t="shared" si="387"/>
        <v>45836.728472222225</v>
      </c>
      <c r="AI638" s="162">
        <f t="shared" si="359"/>
        <v>2.1141207598823923</v>
      </c>
      <c r="AJ638" s="224">
        <f t="shared" si="388"/>
        <v>-764.16666666666663</v>
      </c>
      <c r="AK638" s="225">
        <f t="shared" si="360"/>
        <v>26</v>
      </c>
      <c r="AL638" s="170">
        <f t="shared" si="361"/>
        <v>32</v>
      </c>
      <c r="AM638" s="170">
        <f t="shared" si="362"/>
        <v>22.446043165467625</v>
      </c>
      <c r="AN638" s="170">
        <f t="shared" si="363"/>
        <v>28.431654676258994</v>
      </c>
      <c r="AO638" s="226">
        <f t="shared" si="364"/>
        <v>19.446043165467625</v>
      </c>
      <c r="AP638" s="227">
        <v>60</v>
      </c>
      <c r="AQ638" s="228">
        <f t="shared" si="365"/>
        <v>57</v>
      </c>
      <c r="AR638" s="228">
        <f t="shared" si="384"/>
        <v>52</v>
      </c>
      <c r="AS638" s="229">
        <f t="shared" si="366"/>
        <v>45910</v>
      </c>
      <c r="AT638" s="982">
        <f t="shared" ca="1" si="367"/>
        <v>45</v>
      </c>
      <c r="AU638" s="1077" t="s">
        <v>3254</v>
      </c>
      <c r="AV638" s="1092" t="s">
        <v>247</v>
      </c>
      <c r="AW638" s="1079" t="s">
        <v>247</v>
      </c>
      <c r="AX638" s="1079"/>
      <c r="AY638" s="1079"/>
      <c r="AZ638" s="1080">
        <v>45832</v>
      </c>
      <c r="BA638" s="1101">
        <f>BB638-AZ638</f>
        <v>14</v>
      </c>
      <c r="BB638" s="1104">
        <v>45846</v>
      </c>
      <c r="BC638" s="231" t="s">
        <v>13</v>
      </c>
      <c r="BD638" s="232"/>
      <c r="BE638" s="222">
        <f t="shared" si="382"/>
        <v>45865</v>
      </c>
      <c r="BF638" s="233" t="e">
        <f t="shared" si="389"/>
        <v>#VALUE!</v>
      </c>
      <c r="BG638" s="234"/>
      <c r="BH638" s="235"/>
      <c r="BI638" s="234"/>
      <c r="BJ638" s="236"/>
      <c r="BK638" s="222"/>
      <c r="BL638" s="222"/>
      <c r="BM638" s="238"/>
      <c r="BN638" s="222"/>
      <c r="BO638" s="222"/>
      <c r="BP638" s="243"/>
      <c r="BQ638" s="244"/>
      <c r="BR638" s="238"/>
      <c r="BS638" s="68"/>
      <c r="BT638" s="69"/>
      <c r="BU638" s="69"/>
      <c r="BV638" s="69"/>
      <c r="BW638" s="75"/>
      <c r="BX638" s="81"/>
      <c r="BY638" s="66">
        <v>45796</v>
      </c>
      <c r="BZ638" s="944" t="s">
        <v>3255</v>
      </c>
      <c r="CA638" s="42" t="str">
        <f>IF(AY638="Y",BB638,"0")</f>
        <v>0</v>
      </c>
      <c r="CB638" s="62">
        <f t="shared" si="369"/>
        <v>63.271527777775191</v>
      </c>
      <c r="CC638" s="42">
        <f>BB638</f>
        <v>45846</v>
      </c>
      <c r="CD638" s="62">
        <f t="shared" si="371"/>
        <v>49.271527777775191</v>
      </c>
      <c r="CE638" s="62">
        <f t="shared" si="372"/>
        <v>1.6463322983439306</v>
      </c>
      <c r="CF638" s="1059">
        <f t="shared" si="373"/>
        <v>19</v>
      </c>
      <c r="CG638" s="1059"/>
      <c r="CH638" s="1082">
        <f t="shared" si="374"/>
        <v>2.7489765291131611</v>
      </c>
      <c r="CI638" s="1083">
        <f t="shared" si="375"/>
        <v>2.7489765291131611</v>
      </c>
      <c r="CJ638" s="1084">
        <f t="shared" si="376"/>
        <v>0.31666666666666665</v>
      </c>
      <c r="CK638" s="1085" t="str">
        <f t="shared" si="377"/>
        <v/>
      </c>
      <c r="CL638" s="1057" t="str">
        <f t="shared" si="378"/>
        <v>NON-REV</v>
      </c>
      <c r="CM638" s="1057" t="str">
        <f t="shared" si="379"/>
        <v/>
      </c>
      <c r="CN638" s="1086"/>
      <c r="CO638" s="1087"/>
      <c r="CP638" s="629" t="s">
        <v>3227</v>
      </c>
      <c r="CQ638" s="1086"/>
      <c r="CR638" s="1088"/>
      <c r="CS638" s="1089" t="s">
        <v>3228</v>
      </c>
      <c r="CT638" s="1086"/>
      <c r="CU638" s="1087"/>
      <c r="CV638" s="1090"/>
      <c r="CW638" s="853"/>
      <c r="CX638" s="856"/>
      <c r="CY638" s="856"/>
    </row>
    <row r="639" spans="1:123" s="359" customFormat="1" ht="15" customHeight="1" x14ac:dyDescent="0.25">
      <c r="A639" s="222">
        <v>45799</v>
      </c>
      <c r="B639" s="222">
        <v>45793</v>
      </c>
      <c r="C639" s="852"/>
      <c r="D639" s="66" t="s">
        <v>320</v>
      </c>
      <c r="E639" s="404" t="s">
        <v>3256</v>
      </c>
      <c r="F639" s="95" t="s">
        <v>876</v>
      </c>
      <c r="G639" s="95" t="s">
        <v>2425</v>
      </c>
      <c r="H639" s="95" t="s">
        <v>238</v>
      </c>
      <c r="I639" s="95" t="s">
        <v>239</v>
      </c>
      <c r="J639" s="854"/>
      <c r="K639" s="855"/>
      <c r="L639" s="101" t="s">
        <v>242</v>
      </c>
      <c r="M639" s="101" t="s">
        <v>272</v>
      </c>
      <c r="N639" s="442" t="s">
        <v>467</v>
      </c>
      <c r="O639" s="165">
        <v>35.842799999999997</v>
      </c>
      <c r="P639" s="933">
        <v>115.24</v>
      </c>
      <c r="Q639" s="157">
        <v>176</v>
      </c>
      <c r="R639" s="109" t="s">
        <v>548</v>
      </c>
      <c r="S639" s="110">
        <v>792216.4</v>
      </c>
      <c r="T639" s="93">
        <v>99055.28</v>
      </c>
      <c r="U639" s="857"/>
      <c r="V639" s="158">
        <f t="shared" si="357"/>
        <v>0</v>
      </c>
      <c r="W639" s="159">
        <v>45786.730555555558</v>
      </c>
      <c r="X639" s="159">
        <v>45793.452777777777</v>
      </c>
      <c r="Y639" s="160">
        <v>45793</v>
      </c>
      <c r="Z639" s="470"/>
      <c r="AA639" s="470">
        <v>45829</v>
      </c>
      <c r="AB639" s="942"/>
      <c r="AC639" s="161">
        <f t="shared" si="358"/>
        <v>42.269444444442343</v>
      </c>
      <c r="AD639" s="161">
        <f t="shared" si="385"/>
        <v>35.547222222223354</v>
      </c>
      <c r="AE639" s="446">
        <f t="shared" si="381"/>
        <v>-45829</v>
      </c>
      <c r="AF639" s="160">
        <f t="shared" si="386"/>
        <v>45806.176598721024</v>
      </c>
      <c r="AG639" s="160">
        <f t="shared" si="383"/>
        <v>45815.162210231814</v>
      </c>
      <c r="AH639" s="159">
        <f t="shared" si="387"/>
        <v>45836.730555555558</v>
      </c>
      <c r="AI639" s="162">
        <f t="shared" si="359"/>
        <v>1.4123684561965109</v>
      </c>
      <c r="AJ639" s="224">
        <f t="shared" si="388"/>
        <v>-763.81666666666672</v>
      </c>
      <c r="AK639" s="225">
        <f t="shared" si="360"/>
        <v>26</v>
      </c>
      <c r="AL639" s="170">
        <f t="shared" si="361"/>
        <v>32</v>
      </c>
      <c r="AM639" s="170">
        <f t="shared" si="362"/>
        <v>22.446043165467625</v>
      </c>
      <c r="AN639" s="170">
        <f t="shared" si="363"/>
        <v>28.431654676258994</v>
      </c>
      <c r="AO639" s="226">
        <f t="shared" si="364"/>
        <v>19.446043165467625</v>
      </c>
      <c r="AP639" s="227">
        <v>60</v>
      </c>
      <c r="AQ639" s="228">
        <f t="shared" si="365"/>
        <v>57</v>
      </c>
      <c r="AR639" s="228">
        <f t="shared" si="384"/>
        <v>52</v>
      </c>
      <c r="AS639" s="229">
        <f t="shared" si="366"/>
        <v>45889</v>
      </c>
      <c r="AT639" s="982">
        <f t="shared" ca="1" si="367"/>
        <v>66</v>
      </c>
      <c r="AU639" s="50"/>
      <c r="AV639" s="51"/>
      <c r="AW639" s="49"/>
      <c r="AX639" s="49"/>
      <c r="AY639" s="49"/>
      <c r="AZ639" s="300"/>
      <c r="BA639" s="52"/>
      <c r="BB639" s="304"/>
      <c r="BC639" s="231" t="s">
        <v>13</v>
      </c>
      <c r="BD639" s="232"/>
      <c r="BE639" s="222">
        <f t="shared" si="382"/>
        <v>45844</v>
      </c>
      <c r="BF639" s="233" t="e">
        <f t="shared" si="389"/>
        <v>#VALUE!</v>
      </c>
      <c r="BG639" s="234"/>
      <c r="BH639" s="235"/>
      <c r="BI639" s="234"/>
      <c r="BJ639" s="236"/>
      <c r="BK639" s="222"/>
      <c r="BL639" s="222"/>
      <c r="BM639" s="238"/>
      <c r="BN639" s="222"/>
      <c r="BO639" s="222"/>
      <c r="BP639" s="243"/>
      <c r="BQ639" s="244"/>
      <c r="BR639" s="238"/>
      <c r="BS639" s="68"/>
      <c r="BT639" s="69"/>
      <c r="BU639" s="69"/>
      <c r="BV639" s="69"/>
      <c r="BW639" s="75"/>
      <c r="BX639" s="81"/>
      <c r="BY639" s="66" t="s">
        <v>308</v>
      </c>
      <c r="BZ639" s="948" t="s">
        <v>308</v>
      </c>
      <c r="CA639" s="42" t="str">
        <f t="shared" si="368"/>
        <v>0</v>
      </c>
      <c r="CB639" s="62">
        <f t="shared" si="369"/>
        <v>42.269444444442343</v>
      </c>
      <c r="CC639" s="42">
        <f t="shared" si="370"/>
        <v>0</v>
      </c>
      <c r="CD639" s="62">
        <f t="shared" si="371"/>
        <v>42.269444444442343</v>
      </c>
      <c r="CE639" s="62">
        <f t="shared" si="372"/>
        <v>1.4123684561965109</v>
      </c>
      <c r="CF639" s="145">
        <f t="shared" si="373"/>
        <v>40</v>
      </c>
      <c r="CG639" s="145"/>
      <c r="CH639" s="443">
        <f t="shared" si="374"/>
        <v>2.7489069177349723</v>
      </c>
      <c r="CI639" s="996">
        <f t="shared" si="375"/>
        <v>2.7489069177349723</v>
      </c>
      <c r="CJ639" s="261">
        <f t="shared" si="376"/>
        <v>0.66666666666666663</v>
      </c>
      <c r="CK639" s="458" t="str">
        <f t="shared" si="377"/>
        <v/>
      </c>
      <c r="CL639" t="str">
        <f t="shared" si="378"/>
        <v>NON-REV</v>
      </c>
      <c r="CM639" t="str">
        <f t="shared" si="379"/>
        <v/>
      </c>
      <c r="CN639" s="635"/>
      <c r="CO639" s="631"/>
      <c r="CP639" s="629" t="s">
        <v>3227</v>
      </c>
      <c r="CQ639" s="635"/>
      <c r="CR639" s="697"/>
      <c r="CS639" s="633" t="s">
        <v>3228</v>
      </c>
      <c r="CT639" s="635"/>
      <c r="CU639" s="631"/>
      <c r="CV639" s="638"/>
      <c r="CW639" s="853"/>
      <c r="CX639" s="856"/>
      <c r="CY639" s="856"/>
    </row>
    <row r="640" spans="1:123" s="359" customFormat="1" ht="15" customHeight="1" x14ac:dyDescent="0.25">
      <c r="A640" s="222">
        <v>45799</v>
      </c>
      <c r="B640" s="222">
        <v>45800</v>
      </c>
      <c r="C640" s="852" t="s">
        <v>247</v>
      </c>
      <c r="D640" s="66" t="s">
        <v>320</v>
      </c>
      <c r="E640" s="404" t="s">
        <v>3257</v>
      </c>
      <c r="F640" s="95" t="s">
        <v>3258</v>
      </c>
      <c r="G640" s="95" t="s">
        <v>3259</v>
      </c>
      <c r="H640" s="95" t="s">
        <v>269</v>
      </c>
      <c r="I640" s="95" t="s">
        <v>239</v>
      </c>
      <c r="J640" s="854"/>
      <c r="K640" s="855"/>
      <c r="L640" s="101" t="s">
        <v>5</v>
      </c>
      <c r="M640" s="101" t="s">
        <v>272</v>
      </c>
      <c r="N640" s="442" t="s">
        <v>403</v>
      </c>
      <c r="O640" s="165">
        <v>93.228700000000003</v>
      </c>
      <c r="P640" s="933">
        <v>122.65</v>
      </c>
      <c r="Q640" s="157">
        <v>78</v>
      </c>
      <c r="R640" s="109" t="s">
        <v>244</v>
      </c>
      <c r="S640" s="110">
        <v>585320.95999999996</v>
      </c>
      <c r="T640" s="93">
        <v>105380.41000000002</v>
      </c>
      <c r="U640" s="141"/>
      <c r="V640" s="158">
        <f t="shared" si="357"/>
        <v>0</v>
      </c>
      <c r="W640" s="159">
        <v>45790.543055555558</v>
      </c>
      <c r="X640" s="159">
        <v>45798.551388888889</v>
      </c>
      <c r="Y640" s="160">
        <v>45800</v>
      </c>
      <c r="Z640" s="470">
        <v>45821</v>
      </c>
      <c r="AA640" s="470">
        <v>45821</v>
      </c>
      <c r="AB640" s="942"/>
      <c r="AC640" s="161">
        <f t="shared" si="358"/>
        <v>30.456944444442343</v>
      </c>
      <c r="AD640" s="161">
        <f t="shared" si="385"/>
        <v>22.448611111110949</v>
      </c>
      <c r="AE640" s="446">
        <f t="shared" si="381"/>
        <v>-45821</v>
      </c>
      <c r="AF640" s="160">
        <f t="shared" si="386"/>
        <v>45810.88812597809</v>
      </c>
      <c r="AG640" s="160">
        <f t="shared" si="383"/>
        <v>45820.113478090767</v>
      </c>
      <c r="AH640" s="159">
        <f t="shared" si="387"/>
        <v>45840.543055555558</v>
      </c>
      <c r="AI640" s="162">
        <f t="shared" si="359"/>
        <v>0.97848102061330589</v>
      </c>
      <c r="AJ640" s="224">
        <f t="shared" si="388"/>
        <v>-763.68333333333328</v>
      </c>
      <c r="AK640" s="225">
        <f t="shared" si="360"/>
        <v>26</v>
      </c>
      <c r="AL640" s="170">
        <f t="shared" si="361"/>
        <v>34</v>
      </c>
      <c r="AM640" s="170">
        <f t="shared" si="362"/>
        <v>23.345070422535212</v>
      </c>
      <c r="AN640" s="170">
        <f t="shared" si="363"/>
        <v>29.570422535211268</v>
      </c>
      <c r="AO640" s="226">
        <f t="shared" si="364"/>
        <v>20.345070422535212</v>
      </c>
      <c r="AP640" s="227">
        <v>60</v>
      </c>
      <c r="AQ640" s="228">
        <f t="shared" si="365"/>
        <v>57</v>
      </c>
      <c r="AR640" s="228">
        <f t="shared" si="384"/>
        <v>52</v>
      </c>
      <c r="AS640" s="229">
        <f t="shared" si="366"/>
        <v>45881</v>
      </c>
      <c r="AT640" s="982">
        <f t="shared" ca="1" si="367"/>
        <v>74</v>
      </c>
      <c r="AU640" s="50"/>
      <c r="AV640" s="51"/>
      <c r="AW640" s="49"/>
      <c r="AX640" s="49"/>
      <c r="AY640" s="49"/>
      <c r="AZ640" s="300"/>
      <c r="BA640" s="52"/>
      <c r="BB640" s="304"/>
      <c r="BC640" s="231" t="s">
        <v>12</v>
      </c>
      <c r="BD640" s="232"/>
      <c r="BE640" s="222">
        <f t="shared" si="382"/>
        <v>45836</v>
      </c>
      <c r="BF640" s="233">
        <f t="shared" si="389"/>
        <v>11</v>
      </c>
      <c r="BG640" s="234">
        <v>45821</v>
      </c>
      <c r="BH640" s="235">
        <v>45847</v>
      </c>
      <c r="BI640" s="234"/>
      <c r="BJ640" s="236"/>
      <c r="BK640" s="222"/>
      <c r="BL640" s="222"/>
      <c r="BM640" s="238"/>
      <c r="BN640" s="222"/>
      <c r="BO640" s="222"/>
      <c r="BP640" s="243"/>
      <c r="BQ640" s="244" t="s">
        <v>247</v>
      </c>
      <c r="BR640" s="238">
        <v>45820</v>
      </c>
      <c r="BS640" s="68"/>
      <c r="BT640" s="69"/>
      <c r="BU640" s="69"/>
      <c r="BV640" s="69"/>
      <c r="BW640" s="75"/>
      <c r="BX640" s="81"/>
      <c r="BY640" s="66" t="e">
        <f>VLOOKUP([4]C1!$BY:$BY,[4]C1!$BY$531:$BY$625,1,FALSE)</f>
        <v>#N/A</v>
      </c>
      <c r="BZ640" s="108" t="s">
        <v>3260</v>
      </c>
      <c r="CA640" s="42" t="str">
        <f t="shared" si="368"/>
        <v>0</v>
      </c>
      <c r="CB640" s="62">
        <f t="shared" si="369"/>
        <v>30.456944444442343</v>
      </c>
      <c r="CC640" s="42">
        <f t="shared" si="370"/>
        <v>0</v>
      </c>
      <c r="CD640" s="62">
        <f t="shared" si="371"/>
        <v>30.456944444442343</v>
      </c>
      <c r="CE640" s="62">
        <f t="shared" si="372"/>
        <v>0.97848102061330589</v>
      </c>
      <c r="CF640" s="145">
        <f t="shared" si="373"/>
        <v>48</v>
      </c>
      <c r="CG640" s="145"/>
      <c r="CH640" s="443">
        <f t="shared" si="374"/>
        <v>2.5205624685771069</v>
      </c>
      <c r="CI640" s="996">
        <f t="shared" si="375"/>
        <v>2.5205624685771069</v>
      </c>
      <c r="CJ640" s="261">
        <f t="shared" si="376"/>
        <v>0.8</v>
      </c>
      <c r="CK640" s="458" t="str">
        <f t="shared" si="377"/>
        <v/>
      </c>
      <c r="CL640" t="str">
        <f t="shared" si="378"/>
        <v>REV</v>
      </c>
      <c r="CM640" t="str">
        <f t="shared" si="379"/>
        <v/>
      </c>
      <c r="CN640" s="635"/>
      <c r="CO640" s="631"/>
      <c r="CP640" s="629" t="s">
        <v>3227</v>
      </c>
      <c r="CQ640" s="635"/>
      <c r="CR640" s="697"/>
      <c r="CS640" s="633" t="s">
        <v>3228</v>
      </c>
      <c r="CT640" s="635"/>
      <c r="CU640" s="631"/>
      <c r="CV640" s="638"/>
      <c r="CW640" s="853"/>
      <c r="CX640" s="856"/>
      <c r="CY640" s="856"/>
    </row>
    <row r="641" spans="1:103" s="359" customFormat="1" ht="15" customHeight="1" x14ac:dyDescent="0.25">
      <c r="A641" s="222">
        <v>45813</v>
      </c>
      <c r="B641" s="222">
        <v>45798.552777777775</v>
      </c>
      <c r="C641" s="852"/>
      <c r="D641" s="66" t="s">
        <v>284</v>
      </c>
      <c r="E641" s="404" t="s">
        <v>3261</v>
      </c>
      <c r="F641" s="95" t="s">
        <v>3262</v>
      </c>
      <c r="G641" s="95" t="s">
        <v>3263</v>
      </c>
      <c r="H641" s="95" t="s">
        <v>378</v>
      </c>
      <c r="I641" s="95" t="s">
        <v>239</v>
      </c>
      <c r="J641" s="163" t="s">
        <v>3264</v>
      </c>
      <c r="K641" s="855"/>
      <c r="L641" s="101" t="s">
        <v>288</v>
      </c>
      <c r="M641" s="101" t="s">
        <v>331</v>
      </c>
      <c r="N641" s="442" t="s">
        <v>381</v>
      </c>
      <c r="O641" s="165">
        <v>76.991600000000005</v>
      </c>
      <c r="P641" s="165">
        <v>183.37</v>
      </c>
      <c r="Q641" s="157">
        <v>48</v>
      </c>
      <c r="R641" s="109" t="s">
        <v>244</v>
      </c>
      <c r="S641" s="110">
        <v>526313</v>
      </c>
      <c r="T641" s="93">
        <v>90297.430000000008</v>
      </c>
      <c r="U641" s="141"/>
      <c r="V641" s="158">
        <f t="shared" si="357"/>
        <v>0</v>
      </c>
      <c r="W641" s="159">
        <v>45790.700694444444</v>
      </c>
      <c r="X641" s="159">
        <v>45798.554166666669</v>
      </c>
      <c r="Y641" s="159">
        <v>45798.552777777775</v>
      </c>
      <c r="Z641" s="470"/>
      <c r="AA641" s="470"/>
      <c r="AB641" s="942"/>
      <c r="AC641" s="161">
        <f t="shared" si="358"/>
        <v>-45790.700694444444</v>
      </c>
      <c r="AD641" s="161">
        <f t="shared" si="385"/>
        <v>-45798.554166666669</v>
      </c>
      <c r="AE641" s="446">
        <f t="shared" si="381"/>
        <v>0</v>
      </c>
      <c r="AF641" s="160">
        <f t="shared" si="386"/>
        <v>45811.907590996168</v>
      </c>
      <c r="AG641" s="160">
        <f t="shared" si="383"/>
        <v>45821.362763409961</v>
      </c>
      <c r="AH641" s="159">
        <f t="shared" si="387"/>
        <v>45840.700694444444</v>
      </c>
      <c r="AI641" s="162">
        <f t="shared" si="359"/>
        <v>-1418.7289745073599</v>
      </c>
      <c r="AJ641" s="224">
        <f t="shared" si="388"/>
        <v>0</v>
      </c>
      <c r="AK641" s="225">
        <f t="shared" si="360"/>
        <v>26</v>
      </c>
      <c r="AL641" s="170">
        <f t="shared" si="361"/>
        <v>36</v>
      </c>
      <c r="AM641" s="170">
        <f t="shared" si="362"/>
        <v>24.206896551724139</v>
      </c>
      <c r="AN641" s="170">
        <f t="shared" si="363"/>
        <v>30.662068965517239</v>
      </c>
      <c r="AO641" s="226">
        <f t="shared" si="364"/>
        <v>21.206896551724139</v>
      </c>
      <c r="AP641" s="227">
        <v>60</v>
      </c>
      <c r="AQ641" s="228">
        <f t="shared" si="365"/>
        <v>57</v>
      </c>
      <c r="AR641" s="228">
        <f t="shared" si="384"/>
        <v>52</v>
      </c>
      <c r="AS641" s="229">
        <f t="shared" si="366"/>
        <v>60</v>
      </c>
      <c r="AT641" s="982">
        <f t="shared" ca="1" si="367"/>
        <v>45895</v>
      </c>
      <c r="AU641" s="50"/>
      <c r="AV641" s="51"/>
      <c r="AW641" s="49"/>
      <c r="AX641" s="49"/>
      <c r="AY641" s="49"/>
      <c r="AZ641" s="300"/>
      <c r="BA641" s="52"/>
      <c r="BB641" s="304"/>
      <c r="BC641" s="231"/>
      <c r="BD641" s="232"/>
      <c r="BE641" s="222">
        <f t="shared" si="382"/>
        <v>15</v>
      </c>
      <c r="BF641" s="233">
        <f t="shared" si="389"/>
        <v>0</v>
      </c>
      <c r="BG641" s="234"/>
      <c r="BH641" s="235"/>
      <c r="BI641" s="234"/>
      <c r="BJ641" s="236"/>
      <c r="BK641" s="222"/>
      <c r="BL641" s="222"/>
      <c r="BM641" s="238"/>
      <c r="BN641" s="222"/>
      <c r="BO641" s="222"/>
      <c r="BP641" s="243"/>
      <c r="BQ641" s="244"/>
      <c r="BR641" s="238"/>
      <c r="BS641" s="68"/>
      <c r="BT641" s="69"/>
      <c r="BU641" s="69"/>
      <c r="BV641" s="69"/>
      <c r="BW641" s="75"/>
      <c r="BX641" s="81"/>
      <c r="BY641" s="66" t="e">
        <f>VLOOKUP([4]C1!$BY:$BY,[4]C1!$BY$531:$BY$625,1,FALSE)</f>
        <v>#N/A</v>
      </c>
      <c r="BZ641" s="944" t="e">
        <f>VLOOKUP([4]C1!$BZ:$BZ,[4]C1!$BZ$531:$BZ$625,1,FALSE)</f>
        <v>#N/A</v>
      </c>
      <c r="CA641" s="42" t="str">
        <f t="shared" si="368"/>
        <v>0</v>
      </c>
      <c r="CB641" s="62">
        <f t="shared" si="369"/>
        <v>-45790.700694444444</v>
      </c>
      <c r="CC641" s="42">
        <f t="shared" si="370"/>
        <v>0</v>
      </c>
      <c r="CD641" s="62">
        <f t="shared" si="371"/>
        <v>-45790.700694444444</v>
      </c>
      <c r="CE641" s="62">
        <f t="shared" si="372"/>
        <v>-1418.7289745073599</v>
      </c>
      <c r="CF641" s="145" t="str">
        <f t="shared" si="373"/>
        <v>0</v>
      </c>
      <c r="CG641" s="145"/>
      <c r="CH641" s="443">
        <f t="shared" si="374"/>
        <v>2.4259400225546255</v>
      </c>
      <c r="CI641" s="996">
        <f t="shared" si="375"/>
        <v>2.4259400225546255</v>
      </c>
      <c r="CJ641" s="261">
        <f t="shared" si="376"/>
        <v>0</v>
      </c>
      <c r="CK641" s="458">
        <f t="shared" si="377"/>
        <v>65.299305555556202</v>
      </c>
      <c r="CL641" t="str">
        <f t="shared" si="378"/>
        <v>REV</v>
      </c>
      <c r="CM641" t="str">
        <f t="shared" si="379"/>
        <v>0-3 MONTHS</v>
      </c>
      <c r="CN641" s="635"/>
      <c r="CO641" s="631"/>
      <c r="CP641" s="629" t="s">
        <v>3227</v>
      </c>
      <c r="CQ641" s="635"/>
      <c r="CR641" s="697"/>
      <c r="CS641" s="633" t="s">
        <v>3228</v>
      </c>
      <c r="CT641" s="635"/>
      <c r="CU641" s="631"/>
      <c r="CV641" s="638"/>
      <c r="CW641" s="853"/>
      <c r="CX641" s="856"/>
      <c r="CY641" s="856"/>
    </row>
    <row r="642" spans="1:103" s="359" customFormat="1" ht="15" customHeight="1" x14ac:dyDescent="0.25">
      <c r="A642" s="242">
        <v>45799</v>
      </c>
      <c r="B642" s="222">
        <v>45799</v>
      </c>
      <c r="C642" s="852"/>
      <c r="D642" s="66" t="s">
        <v>284</v>
      </c>
      <c r="E642" s="404" t="s">
        <v>3265</v>
      </c>
      <c r="F642" s="95" t="s">
        <v>3266</v>
      </c>
      <c r="G642" s="95" t="s">
        <v>1051</v>
      </c>
      <c r="H642" s="95" t="s">
        <v>269</v>
      </c>
      <c r="I642" s="95" t="s">
        <v>239</v>
      </c>
      <c r="J642" s="854"/>
      <c r="K642" s="855"/>
      <c r="L642" s="101" t="s">
        <v>242</v>
      </c>
      <c r="M642" s="101" t="s">
        <v>272</v>
      </c>
      <c r="N642" s="442" t="s">
        <v>467</v>
      </c>
      <c r="O642" s="165">
        <v>4.79</v>
      </c>
      <c r="P642" s="933">
        <v>42.54</v>
      </c>
      <c r="Q642" s="157">
        <v>140</v>
      </c>
      <c r="R642" s="109" t="s">
        <v>244</v>
      </c>
      <c r="S642" s="110">
        <v>90879.89</v>
      </c>
      <c r="T642" s="93">
        <v>36551.509999999995</v>
      </c>
      <c r="U642" s="141"/>
      <c r="V642" s="158">
        <f t="shared" si="357"/>
        <v>0</v>
      </c>
      <c r="W642" s="159">
        <v>45791.556944444441</v>
      </c>
      <c r="X642" s="159">
        <v>45798.551388888889</v>
      </c>
      <c r="Y642" s="159">
        <v>45798.552777777775</v>
      </c>
      <c r="Z642" s="470"/>
      <c r="AA642" s="470">
        <v>45829</v>
      </c>
      <c r="AB642" s="942"/>
      <c r="AC642" s="161">
        <f t="shared" si="358"/>
        <v>37.443055555559113</v>
      </c>
      <c r="AD642" s="161">
        <f t="shared" si="385"/>
        <v>30.448611111110949</v>
      </c>
      <c r="AE642" s="446">
        <f t="shared" si="381"/>
        <v>-45829</v>
      </c>
      <c r="AF642" s="160">
        <f t="shared" si="386"/>
        <v>45808.895927495287</v>
      </c>
      <c r="AG642" s="160">
        <f t="shared" si="383"/>
        <v>45817.31965630885</v>
      </c>
      <c r="AH642" s="159">
        <f t="shared" si="387"/>
        <v>45841.556944444441</v>
      </c>
      <c r="AI642" s="162">
        <f t="shared" si="359"/>
        <v>1.3807126736112423</v>
      </c>
      <c r="AJ642" s="224">
        <f t="shared" si="388"/>
        <v>-763.81666666666672</v>
      </c>
      <c r="AK642" s="225">
        <f t="shared" si="360"/>
        <v>20</v>
      </c>
      <c r="AL642" s="170">
        <f t="shared" si="361"/>
        <v>32</v>
      </c>
      <c r="AM642" s="170">
        <f t="shared" si="362"/>
        <v>20.33898305084746</v>
      </c>
      <c r="AN642" s="170">
        <f t="shared" si="363"/>
        <v>25.762711864406779</v>
      </c>
      <c r="AO642" s="226">
        <f t="shared" si="364"/>
        <v>17.33898305084746</v>
      </c>
      <c r="AP642" s="227">
        <v>60</v>
      </c>
      <c r="AQ642" s="228">
        <f t="shared" si="365"/>
        <v>57</v>
      </c>
      <c r="AR642" s="228">
        <f t="shared" si="384"/>
        <v>52</v>
      </c>
      <c r="AS642" s="229">
        <f t="shared" si="366"/>
        <v>45889</v>
      </c>
      <c r="AT642" s="982">
        <f t="shared" ca="1" si="367"/>
        <v>66</v>
      </c>
      <c r="AU642" s="50"/>
      <c r="AV642" s="51"/>
      <c r="AW642" s="49"/>
      <c r="AX642" s="49"/>
      <c r="AY642" s="49"/>
      <c r="AZ642" s="300"/>
      <c r="BA642" s="52"/>
      <c r="BB642" s="304"/>
      <c r="BC642" s="231" t="s">
        <v>12</v>
      </c>
      <c r="BD642" s="232"/>
      <c r="BE642" s="222">
        <f t="shared" si="382"/>
        <v>45844</v>
      </c>
      <c r="BF642" s="233">
        <f t="shared" si="389"/>
        <v>-3</v>
      </c>
      <c r="BG642" s="234">
        <v>45826</v>
      </c>
      <c r="BH642" s="235">
        <v>45841</v>
      </c>
      <c r="BI642" s="234"/>
      <c r="BJ642" s="236"/>
      <c r="BK642" s="222"/>
      <c r="BL642" s="222"/>
      <c r="BM642" s="238"/>
      <c r="BN642" s="222"/>
      <c r="BO642" s="222"/>
      <c r="BP642" s="243"/>
      <c r="BQ642" s="244" t="s">
        <v>247</v>
      </c>
      <c r="BR642" s="238">
        <v>45825</v>
      </c>
      <c r="BS642" s="68"/>
      <c r="BT642" s="69"/>
      <c r="BU642" s="69"/>
      <c r="BV642" s="69"/>
      <c r="BW642" s="75"/>
      <c r="BX642" s="81"/>
      <c r="BY642" s="66" t="s">
        <v>308</v>
      </c>
      <c r="BZ642" s="948" t="s">
        <v>308</v>
      </c>
      <c r="CA642" s="42" t="str">
        <f t="shared" si="368"/>
        <v>0</v>
      </c>
      <c r="CB642" s="62">
        <f t="shared" si="369"/>
        <v>37.443055555559113</v>
      </c>
      <c r="CC642" s="42">
        <f t="shared" si="370"/>
        <v>0</v>
      </c>
      <c r="CD642" s="62">
        <f t="shared" si="371"/>
        <v>37.443055555559113</v>
      </c>
      <c r="CE642" s="62">
        <f t="shared" si="372"/>
        <v>1.3807126736112423</v>
      </c>
      <c r="CF642" s="145">
        <f t="shared" si="373"/>
        <v>40</v>
      </c>
      <c r="CG642" s="145"/>
      <c r="CH642" s="443">
        <f t="shared" si="374"/>
        <v>2.8557126736112419</v>
      </c>
      <c r="CI642" s="996">
        <f t="shared" si="375"/>
        <v>2.8557126736112419</v>
      </c>
      <c r="CJ642" s="261">
        <f t="shared" si="376"/>
        <v>0.66666666666666663</v>
      </c>
      <c r="CK642" s="458" t="str">
        <f t="shared" si="377"/>
        <v/>
      </c>
      <c r="CL642" t="str">
        <f t="shared" si="378"/>
        <v>REV</v>
      </c>
      <c r="CM642" t="str">
        <f t="shared" si="379"/>
        <v/>
      </c>
      <c r="CN642" s="635"/>
      <c r="CO642" s="631"/>
      <c r="CP642" s="629" t="s">
        <v>3227</v>
      </c>
      <c r="CQ642" s="635"/>
      <c r="CR642" s="697"/>
      <c r="CS642" s="633" t="s">
        <v>3228</v>
      </c>
      <c r="CT642" s="635"/>
      <c r="CU642" s="631"/>
      <c r="CV642" s="638"/>
      <c r="CW642" s="853"/>
      <c r="CX642" s="856"/>
      <c r="CY642" s="856"/>
    </row>
    <row r="643" spans="1:103" s="1103" customFormat="1" ht="15" customHeight="1" x14ac:dyDescent="0.2">
      <c r="A643" s="242">
        <v>45799</v>
      </c>
      <c r="B643" s="222">
        <v>45800</v>
      </c>
      <c r="C643" s="852"/>
      <c r="D643" s="66" t="s">
        <v>284</v>
      </c>
      <c r="E643" s="404" t="s">
        <v>3267</v>
      </c>
      <c r="F643" s="95" t="s">
        <v>3268</v>
      </c>
      <c r="G643" s="95" t="s">
        <v>3269</v>
      </c>
      <c r="H643" s="95" t="s">
        <v>269</v>
      </c>
      <c r="I643" s="95" t="s">
        <v>239</v>
      </c>
      <c r="J643" s="854"/>
      <c r="K643" s="855"/>
      <c r="L643" s="101" t="s">
        <v>255</v>
      </c>
      <c r="M643" s="101" t="s">
        <v>272</v>
      </c>
      <c r="N643" s="442" t="s">
        <v>381</v>
      </c>
      <c r="O643" s="165">
        <v>20.350000000000001</v>
      </c>
      <c r="P643" s="933">
        <v>31.31</v>
      </c>
      <c r="Q643" s="157" t="s">
        <v>2021</v>
      </c>
      <c r="R643" s="109" t="s">
        <v>319</v>
      </c>
      <c r="S643" s="110">
        <v>33312.15</v>
      </c>
      <c r="T643" s="93">
        <v>26945.300000000003</v>
      </c>
      <c r="U643" s="141"/>
      <c r="V643" s="158">
        <f t="shared" ref="V643:V706" si="390">U643/T643</f>
        <v>0</v>
      </c>
      <c r="W643" s="159">
        <v>45791.563888888886</v>
      </c>
      <c r="X643" s="159">
        <v>45798.557638888888</v>
      </c>
      <c r="Y643" s="160">
        <v>45800</v>
      </c>
      <c r="Z643" s="470"/>
      <c r="AA643" s="470">
        <v>45831</v>
      </c>
      <c r="AB643" s="942"/>
      <c r="AC643" s="161">
        <f t="shared" ref="AC643:AC706" si="391">AA643-W643</f>
        <v>39.43611111111386</v>
      </c>
      <c r="AD643" s="161">
        <f t="shared" si="385"/>
        <v>32.442361111112405</v>
      </c>
      <c r="AE643" s="446">
        <f t="shared" si="381"/>
        <v>-45831</v>
      </c>
      <c r="AF643" s="160">
        <f t="shared" si="386"/>
        <v>45803.563888888886</v>
      </c>
      <c r="AG643" s="160">
        <f t="shared" si="383"/>
        <v>45810.563888888886</v>
      </c>
      <c r="AH643" s="159">
        <f t="shared" si="387"/>
        <v>45841.563888888886</v>
      </c>
      <c r="AI643" s="162">
        <f t="shared" ref="AI643:AI706" si="392" xml:space="preserve"> (0.3)*(AC643/AK643)+(0.7)*(AC643/AL643)</f>
        <v>1.971805555555693</v>
      </c>
      <c r="AJ643" s="224">
        <f t="shared" si="388"/>
        <v>-763.85</v>
      </c>
      <c r="AK643" s="225">
        <f t="shared" ref="AK643:AK706" si="393">IF(P643&lt;51,20,(IF(P643&lt;101,23,(IF(P643&lt;201,26,IF(P643&lt;301,28,IF(P643&lt;401,30,(IF(P643&lt;501,32,(IF(P643&lt;1001,40,50)))))))))))</f>
        <v>20</v>
      </c>
      <c r="AL643" s="170">
        <f t="shared" ref="AL643:AL706" si="394">IF(Q643&lt;51,36,(IF(Q643&lt;101,34,(IF(Q643&lt;201,32,IF(Q643&lt;301,30,IF(Q643&lt;401,28,(IF(Q643&lt;501,26,(IF(Q643&lt;1001,23,20)))))))))))</f>
        <v>20</v>
      </c>
      <c r="AM643" s="170">
        <f t="shared" ref="AM643:AM706" si="395">(0.75)/((0.3/AK643)+(0.7/AL643))</f>
        <v>15.000000000000002</v>
      </c>
      <c r="AN643" s="170">
        <f t="shared" ref="AN643:AN706" si="396">(0.95)/((0.3/AK643)+(0.7/AL643))</f>
        <v>19</v>
      </c>
      <c r="AO643" s="226">
        <f t="shared" ref="AO643:AO706" si="397">AM643-3</f>
        <v>12.000000000000002</v>
      </c>
      <c r="AP643" s="227">
        <v>60</v>
      </c>
      <c r="AQ643" s="228">
        <f t="shared" ref="AQ643:AQ706" si="398">0.95*AP643</f>
        <v>57</v>
      </c>
      <c r="AR643" s="228">
        <f t="shared" si="384"/>
        <v>52</v>
      </c>
      <c r="AS643" s="229">
        <f t="shared" ref="AS643:AS706" si="399">AA643+AP643</f>
        <v>45891</v>
      </c>
      <c r="AT643" s="982">
        <f t="shared" ref="AT643:AT706" ca="1" si="400">IFERROR(TODAY()-AA643,"")</f>
        <v>64</v>
      </c>
      <c r="AU643" s="1077"/>
      <c r="AV643" s="1092"/>
      <c r="AW643" s="1079"/>
      <c r="AX643" s="1079"/>
      <c r="AY643" s="1079"/>
      <c r="AZ643" s="1080"/>
      <c r="BA643" s="1101"/>
      <c r="BB643" s="1091"/>
      <c r="BC643" s="231" t="s">
        <v>13</v>
      </c>
      <c r="BD643" s="232"/>
      <c r="BE643" s="222">
        <f t="shared" si="382"/>
        <v>45846</v>
      </c>
      <c r="BF643" s="233" t="e">
        <f t="shared" si="389"/>
        <v>#VALUE!</v>
      </c>
      <c r="BG643" s="234"/>
      <c r="BH643" s="235"/>
      <c r="BI643" s="234"/>
      <c r="BJ643" s="236"/>
      <c r="BK643" s="222"/>
      <c r="BL643" s="222"/>
      <c r="BM643" s="238"/>
      <c r="BN643" s="222"/>
      <c r="BO643" s="222"/>
      <c r="BP643" s="243"/>
      <c r="BQ643" s="244"/>
      <c r="BR643" s="238"/>
      <c r="BS643" s="68"/>
      <c r="BT643" s="69"/>
      <c r="BU643" s="69"/>
      <c r="BV643" s="69"/>
      <c r="BW643" s="75"/>
      <c r="BX643" s="81"/>
      <c r="BY643" s="66" t="e">
        <f>VLOOKUP([4]C1!$BY:$BY,[4]C1!$BY$531:$BY$625,1,FALSE)</f>
        <v>#N/A</v>
      </c>
      <c r="BZ643" s="944" t="e">
        <f>VLOOKUP([4]C1!$BZ:$BZ,[4]C1!$BZ$531:$BZ$625,1,FALSE)</f>
        <v>#N/A</v>
      </c>
      <c r="CA643" s="42" t="str">
        <f t="shared" ref="CA643:CA690" si="401">IF(AY643="Y",BA643,"0")</f>
        <v>0</v>
      </c>
      <c r="CB643" s="62">
        <f t="shared" ref="CB643:CB690" si="402">AC643-CA643</f>
        <v>39.43611111111386</v>
      </c>
      <c r="CC643" s="42">
        <f t="shared" ref="CC643:CC690" si="403">BA643</f>
        <v>0</v>
      </c>
      <c r="CD643" s="62">
        <f t="shared" ref="CD643:CD706" si="404">AC643-BA643</f>
        <v>39.43611111111386</v>
      </c>
      <c r="CE643" s="62">
        <f t="shared" ref="CE643:CE706" si="405" xml:space="preserve"> (0.3)*(CD643/AK643)+(0.7)*(CD643/AL643)</f>
        <v>1.971805555555693</v>
      </c>
      <c r="CF643" s="1059">
        <f t="shared" ref="CF643:CF706" si="406">IF(AA643="","0",$CF$1-AA643)</f>
        <v>38</v>
      </c>
      <c r="CG643" s="1059"/>
      <c r="CH643" s="1082">
        <f t="shared" ref="CH643:CH689" si="407" xml:space="preserve"> (0.3)*(($CF$1-W643)/AK643)+(0.7)*(($CF$1-W643)/AL643)</f>
        <v>3.8718055555556932</v>
      </c>
      <c r="CI643" s="1083">
        <f t="shared" ref="CI643:CI706" si="408">CH643-CG643</f>
        <v>3.8718055555556932</v>
      </c>
      <c r="CJ643" s="1084">
        <f t="shared" ref="CJ643:CJ689" si="409">CF643/AP643</f>
        <v>0.6333333333333333</v>
      </c>
      <c r="CK643" s="1085" t="str">
        <f t="shared" ref="CK643:CK689" si="410">IF(AA643&gt;0,"",$CK$1-W643)</f>
        <v/>
      </c>
      <c r="CL643" s="1057" t="str">
        <f t="shared" ref="CL643:CL689" si="411">IF(R643="NEW","REV","NON-REV")</f>
        <v>NON-REV</v>
      </c>
      <c r="CM643" s="1057" t="str">
        <f t="shared" ref="CM643:CM689" si="412">IF(CK643="","",IF(CK643&lt;91,"0-3 MONTHS",(IF(CK643&lt;181,"4-6 MONTHS",(IF(CK643&lt;271,"7-9 MONTHS",IF(CK643&gt;270,"10 MONTHS AND ABOVE",)))))))</f>
        <v/>
      </c>
      <c r="CN643" s="1086"/>
      <c r="CO643" s="1087"/>
      <c r="CP643" s="629" t="s">
        <v>3227</v>
      </c>
      <c r="CQ643" s="1086"/>
      <c r="CR643" s="1088"/>
      <c r="CS643" s="1089" t="s">
        <v>3228</v>
      </c>
      <c r="CT643" s="1086"/>
      <c r="CU643" s="1087"/>
      <c r="CV643" s="1090"/>
      <c r="CW643" s="853"/>
      <c r="CX643" s="856"/>
      <c r="CY643" s="856"/>
    </row>
    <row r="644" spans="1:103" s="359" customFormat="1" ht="15" customHeight="1" x14ac:dyDescent="0.25">
      <c r="A644" s="242">
        <v>45798</v>
      </c>
      <c r="B644" s="222">
        <v>45796</v>
      </c>
      <c r="C644" s="852" t="s">
        <v>247</v>
      </c>
      <c r="D644" s="66" t="s">
        <v>284</v>
      </c>
      <c r="E644" s="404" t="s">
        <v>3270</v>
      </c>
      <c r="F644" s="95" t="s">
        <v>3271</v>
      </c>
      <c r="G644" s="95" t="s">
        <v>3272</v>
      </c>
      <c r="H644" s="95" t="s">
        <v>318</v>
      </c>
      <c r="I644" s="95" t="s">
        <v>239</v>
      </c>
      <c r="J644" s="854"/>
      <c r="K644" s="855"/>
      <c r="L644" s="101" t="s">
        <v>5</v>
      </c>
      <c r="M644" s="101" t="s">
        <v>272</v>
      </c>
      <c r="N644" s="442" t="s">
        <v>403</v>
      </c>
      <c r="O644" s="165">
        <v>86.989500000000007</v>
      </c>
      <c r="P644" s="933">
        <v>138.91999999999999</v>
      </c>
      <c r="Q644" s="157">
        <v>150</v>
      </c>
      <c r="R644" s="109" t="s">
        <v>244</v>
      </c>
      <c r="S644" s="110">
        <v>962706.76</v>
      </c>
      <c r="T644" s="93">
        <v>118986.45000000001</v>
      </c>
      <c r="U644" s="141"/>
      <c r="V644" s="158">
        <f t="shared" si="390"/>
        <v>0</v>
      </c>
      <c r="W644" s="159">
        <v>45792.430555555555</v>
      </c>
      <c r="X644" s="159">
        <v>45793.640972222223</v>
      </c>
      <c r="Y644" s="160">
        <v>45796</v>
      </c>
      <c r="Z644" s="470"/>
      <c r="AA644" s="470">
        <v>45808</v>
      </c>
      <c r="AB644" s="942"/>
      <c r="AC644" s="161">
        <f t="shared" si="391"/>
        <v>15.569444444445253</v>
      </c>
      <c r="AD644" s="161">
        <f t="shared" si="385"/>
        <v>14.359027777776646</v>
      </c>
      <c r="AE644" s="446">
        <f t="shared" si="381"/>
        <v>-45808</v>
      </c>
      <c r="AF644" s="160">
        <f t="shared" si="386"/>
        <v>45811.876598721021</v>
      </c>
      <c r="AG644" s="160">
        <f t="shared" si="383"/>
        <v>45820.862210231811</v>
      </c>
      <c r="AH644" s="159">
        <f t="shared" si="387"/>
        <v>45842.430555555555</v>
      </c>
      <c r="AI644" s="162">
        <f t="shared" si="392"/>
        <v>0.52022903311968516</v>
      </c>
      <c r="AJ644" s="224">
        <f t="shared" si="388"/>
        <v>-763.4666666666667</v>
      </c>
      <c r="AK644" s="225">
        <f t="shared" si="393"/>
        <v>26</v>
      </c>
      <c r="AL644" s="170">
        <f t="shared" si="394"/>
        <v>32</v>
      </c>
      <c r="AM644" s="170">
        <f t="shared" si="395"/>
        <v>22.446043165467625</v>
      </c>
      <c r="AN644" s="170">
        <f t="shared" si="396"/>
        <v>28.431654676258994</v>
      </c>
      <c r="AO644" s="226">
        <f t="shared" si="397"/>
        <v>19.446043165467625</v>
      </c>
      <c r="AP644" s="227">
        <v>60</v>
      </c>
      <c r="AQ644" s="228">
        <f t="shared" si="398"/>
        <v>57</v>
      </c>
      <c r="AR644" s="228">
        <f t="shared" si="384"/>
        <v>52</v>
      </c>
      <c r="AS644" s="229">
        <f t="shared" si="399"/>
        <v>45868</v>
      </c>
      <c r="AT644" s="982">
        <f t="shared" ca="1" si="400"/>
        <v>87</v>
      </c>
      <c r="AU644" s="50"/>
      <c r="AV644" s="51"/>
      <c r="AW644" s="49"/>
      <c r="AX644" s="49"/>
      <c r="AY644" s="49"/>
      <c r="AZ644" s="300"/>
      <c r="BA644" s="52"/>
      <c r="BB644" s="304"/>
      <c r="BC644" s="231" t="s">
        <v>13</v>
      </c>
      <c r="BD644" s="232"/>
      <c r="BE644" s="222">
        <f t="shared" si="382"/>
        <v>45823</v>
      </c>
      <c r="BF644" s="233" t="e">
        <f t="shared" si="389"/>
        <v>#VALUE!</v>
      </c>
      <c r="BG644" s="234"/>
      <c r="BH644" s="235"/>
      <c r="BI644" s="234"/>
      <c r="BJ644" s="236"/>
      <c r="BK644" s="222"/>
      <c r="BL644" s="222"/>
      <c r="BM644" s="238"/>
      <c r="BN644" s="222"/>
      <c r="BO644" s="222"/>
      <c r="BP644" s="243"/>
      <c r="BQ644" s="244" t="s">
        <v>247</v>
      </c>
      <c r="BR644" s="238">
        <v>45807</v>
      </c>
      <c r="BS644" s="68"/>
      <c r="BT644" s="69"/>
      <c r="BU644" s="69"/>
      <c r="BV644" s="69"/>
      <c r="BW644" s="75"/>
      <c r="BX644" s="81"/>
      <c r="BY644" s="66">
        <v>45817</v>
      </c>
      <c r="BZ644" s="944" t="s">
        <v>3273</v>
      </c>
      <c r="CA644" s="42" t="str">
        <f t="shared" si="401"/>
        <v>0</v>
      </c>
      <c r="CB644" s="62">
        <f t="shared" si="402"/>
        <v>15.569444444445253</v>
      </c>
      <c r="CC644" s="42">
        <f t="shared" si="403"/>
        <v>0</v>
      </c>
      <c r="CD644" s="62">
        <f t="shared" si="404"/>
        <v>15.569444444445253</v>
      </c>
      <c r="CE644" s="62">
        <f t="shared" si="405"/>
        <v>0.52022903311968516</v>
      </c>
      <c r="CF644" s="145">
        <f t="shared" si="406"/>
        <v>61</v>
      </c>
      <c r="CG644" s="145"/>
      <c r="CH644" s="443">
        <f t="shared" si="407"/>
        <v>2.5584501869658389</v>
      </c>
      <c r="CI644" s="996">
        <f t="shared" si="408"/>
        <v>2.5584501869658389</v>
      </c>
      <c r="CJ644" s="261">
        <f t="shared" si="409"/>
        <v>1.0166666666666666</v>
      </c>
      <c r="CK644" s="458" t="str">
        <f t="shared" si="410"/>
        <v/>
      </c>
      <c r="CL644" t="str">
        <f t="shared" si="411"/>
        <v>REV</v>
      </c>
      <c r="CM644" t="str">
        <f t="shared" si="412"/>
        <v/>
      </c>
      <c r="CN644" s="635"/>
      <c r="CO644" s="631"/>
      <c r="CP644" s="629" t="s">
        <v>3227</v>
      </c>
      <c r="CQ644" s="635"/>
      <c r="CR644" s="697"/>
      <c r="CS644" s="633" t="s">
        <v>3228</v>
      </c>
      <c r="CT644" s="635"/>
      <c r="CU644" s="631"/>
      <c r="CV644" s="638"/>
      <c r="CW644" s="853"/>
      <c r="CX644" s="856"/>
      <c r="CY644" s="856"/>
    </row>
    <row r="645" spans="1:103" s="359" customFormat="1" ht="15" customHeight="1" x14ac:dyDescent="0.25">
      <c r="A645" s="242">
        <v>45803</v>
      </c>
      <c r="B645" s="222">
        <v>45798.552777777775</v>
      </c>
      <c r="C645" s="852"/>
      <c r="D645" s="66" t="s">
        <v>320</v>
      </c>
      <c r="E645" s="404" t="s">
        <v>3274</v>
      </c>
      <c r="F645" s="95" t="s">
        <v>3275</v>
      </c>
      <c r="G645" s="95" t="s">
        <v>3276</v>
      </c>
      <c r="H645" s="95" t="s">
        <v>238</v>
      </c>
      <c r="I645" s="95" t="s">
        <v>239</v>
      </c>
      <c r="J645" s="854"/>
      <c r="K645" s="855"/>
      <c r="L645" s="101" t="s">
        <v>288</v>
      </c>
      <c r="M645" s="101" t="s">
        <v>272</v>
      </c>
      <c r="N645" s="442" t="s">
        <v>381</v>
      </c>
      <c r="O645" s="165">
        <v>1.73</v>
      </c>
      <c r="P645" s="933">
        <v>3.47</v>
      </c>
      <c r="Q645" s="157">
        <v>25</v>
      </c>
      <c r="R645" s="109" t="s">
        <v>548</v>
      </c>
      <c r="S645" s="110">
        <v>18255.36</v>
      </c>
      <c r="T645" s="93">
        <v>2981.52</v>
      </c>
      <c r="U645" s="141"/>
      <c r="V645" s="158">
        <f t="shared" si="390"/>
        <v>0</v>
      </c>
      <c r="W645" s="159">
        <v>45792.640277777777</v>
      </c>
      <c r="X645" s="159">
        <v>45798.564583333333</v>
      </c>
      <c r="Y645" s="159">
        <v>45798.552777777775</v>
      </c>
      <c r="Z645" s="470">
        <v>45805</v>
      </c>
      <c r="AA645" s="470">
        <v>45805.35</v>
      </c>
      <c r="AB645" s="942"/>
      <c r="AC645" s="161">
        <f t="shared" si="391"/>
        <v>12.709722222221899</v>
      </c>
      <c r="AD645" s="161">
        <f t="shared" si="385"/>
        <v>6.7854166666656965</v>
      </c>
      <c r="AE645" s="446">
        <f t="shared" si="381"/>
        <v>-45805.35</v>
      </c>
      <c r="AF645" s="160">
        <f t="shared" si="386"/>
        <v>45811.414471326163</v>
      </c>
      <c r="AG645" s="160">
        <f t="shared" si="383"/>
        <v>45820.220922939065</v>
      </c>
      <c r="AH645" s="159">
        <f t="shared" si="387"/>
        <v>45842.640277777777</v>
      </c>
      <c r="AI645" s="162">
        <f t="shared" si="392"/>
        <v>0.43777932098764316</v>
      </c>
      <c r="AJ645" s="224">
        <f t="shared" si="388"/>
        <v>-763.42250000000001</v>
      </c>
      <c r="AK645" s="225">
        <f t="shared" si="393"/>
        <v>20</v>
      </c>
      <c r="AL645" s="170">
        <f t="shared" si="394"/>
        <v>36</v>
      </c>
      <c r="AM645" s="170">
        <f t="shared" si="395"/>
        <v>21.774193548387096</v>
      </c>
      <c r="AN645" s="170">
        <f t="shared" si="396"/>
        <v>27.58064516129032</v>
      </c>
      <c r="AO645" s="226">
        <f t="shared" si="397"/>
        <v>18.774193548387096</v>
      </c>
      <c r="AP645" s="227">
        <v>60</v>
      </c>
      <c r="AQ645" s="228">
        <f t="shared" si="398"/>
        <v>57</v>
      </c>
      <c r="AR645" s="228">
        <f t="shared" si="384"/>
        <v>52</v>
      </c>
      <c r="AS645" s="229">
        <f t="shared" si="399"/>
        <v>45865.35</v>
      </c>
      <c r="AT645" s="982">
        <f t="shared" ca="1" si="400"/>
        <v>89.650000000001455</v>
      </c>
      <c r="AU645" s="50"/>
      <c r="AV645" s="51"/>
      <c r="AW645" s="49"/>
      <c r="AX645" s="49"/>
      <c r="AY645" s="49"/>
      <c r="AZ645" s="300"/>
      <c r="BA645" s="52"/>
      <c r="BB645" s="304"/>
      <c r="BC645" s="231" t="s">
        <v>12</v>
      </c>
      <c r="BD645" s="232"/>
      <c r="BE645" s="222">
        <f t="shared" si="382"/>
        <v>45820.35</v>
      </c>
      <c r="BF645" s="233">
        <f t="shared" si="389"/>
        <v>35.650000000001455</v>
      </c>
      <c r="BG645" s="234">
        <v>45805</v>
      </c>
      <c r="BH645" s="235">
        <v>45856</v>
      </c>
      <c r="BI645" s="234"/>
      <c r="BJ645" s="236"/>
      <c r="BK645" s="222"/>
      <c r="BL645" s="222"/>
      <c r="BM645" s="238"/>
      <c r="BN645" s="222"/>
      <c r="BO645" s="222"/>
      <c r="BP645" s="243"/>
      <c r="BQ645" s="244" t="s">
        <v>247</v>
      </c>
      <c r="BR645" s="238">
        <v>45806</v>
      </c>
      <c r="BS645" s="68"/>
      <c r="BT645" s="69"/>
      <c r="BU645" s="69"/>
      <c r="BV645" s="69"/>
      <c r="BW645" s="75"/>
      <c r="BX645" s="81"/>
      <c r="BY645" s="66" t="s">
        <v>308</v>
      </c>
      <c r="BZ645" s="944"/>
      <c r="CA645" s="42" t="str">
        <f t="shared" si="401"/>
        <v>0</v>
      </c>
      <c r="CB645" s="62">
        <f t="shared" si="402"/>
        <v>12.709722222221899</v>
      </c>
      <c r="CC645" s="42">
        <f t="shared" si="403"/>
        <v>0</v>
      </c>
      <c r="CD645" s="62">
        <f t="shared" si="404"/>
        <v>12.709722222221899</v>
      </c>
      <c r="CE645" s="62">
        <f t="shared" si="405"/>
        <v>0.43777932098764316</v>
      </c>
      <c r="CF645" s="145">
        <f t="shared" si="406"/>
        <v>63.650000000001455</v>
      </c>
      <c r="CG645" s="145"/>
      <c r="CH645" s="443">
        <f t="shared" si="407"/>
        <v>2.6301682098765822</v>
      </c>
      <c r="CI645" s="996">
        <f t="shared" si="408"/>
        <v>2.6301682098765822</v>
      </c>
      <c r="CJ645" s="261">
        <f t="shared" si="409"/>
        <v>1.0608333333333575</v>
      </c>
      <c r="CK645" s="458" t="str">
        <f t="shared" si="410"/>
        <v/>
      </c>
      <c r="CL645" t="str">
        <f t="shared" si="411"/>
        <v>NON-REV</v>
      </c>
      <c r="CM645" t="str">
        <f t="shared" si="412"/>
        <v/>
      </c>
      <c r="CN645" s="635"/>
      <c r="CO645" s="631"/>
      <c r="CP645" s="629" t="s">
        <v>3227</v>
      </c>
      <c r="CQ645" s="635"/>
      <c r="CR645" s="697"/>
      <c r="CS645" s="633" t="s">
        <v>3228</v>
      </c>
      <c r="CT645" s="635"/>
      <c r="CU645" s="631"/>
      <c r="CV645" s="638"/>
      <c r="CW645" s="853"/>
      <c r="CX645" s="856"/>
      <c r="CY645" s="856"/>
    </row>
    <row r="646" spans="1:103" s="1103" customFormat="1" ht="15" customHeight="1" x14ac:dyDescent="0.2">
      <c r="A646" s="242">
        <v>45803</v>
      </c>
      <c r="B646" s="222">
        <v>45803</v>
      </c>
      <c r="C646" s="852"/>
      <c r="D646" s="66" t="s">
        <v>284</v>
      </c>
      <c r="E646" s="404" t="s">
        <v>3277</v>
      </c>
      <c r="F646" s="95" t="s">
        <v>1134</v>
      </c>
      <c r="G646" s="95" t="s">
        <v>3278</v>
      </c>
      <c r="H646" s="95" t="s">
        <v>238</v>
      </c>
      <c r="I646" s="95" t="s">
        <v>239</v>
      </c>
      <c r="J646" s="854"/>
      <c r="K646" s="855"/>
      <c r="L646" s="101" t="s">
        <v>255</v>
      </c>
      <c r="M646" s="101" t="s">
        <v>272</v>
      </c>
      <c r="N646" s="442" t="s">
        <v>403</v>
      </c>
      <c r="O646" s="165">
        <v>17.78</v>
      </c>
      <c r="P646" s="165">
        <v>32.94</v>
      </c>
      <c r="Q646" s="157">
        <v>19</v>
      </c>
      <c r="R646" s="109" t="s">
        <v>244</v>
      </c>
      <c r="S646" s="110">
        <v>201891.36</v>
      </c>
      <c r="T646" s="93">
        <v>28303</v>
      </c>
      <c r="U646" s="857"/>
      <c r="V646" s="158">
        <f t="shared" si="390"/>
        <v>0</v>
      </c>
      <c r="W646" s="159">
        <v>45793.526388888888</v>
      </c>
      <c r="X646" s="159">
        <v>45800.572916666664</v>
      </c>
      <c r="Y646" s="160">
        <v>45803</v>
      </c>
      <c r="Z646" s="470"/>
      <c r="AA646" s="470">
        <v>45866</v>
      </c>
      <c r="AB646" s="942"/>
      <c r="AC646" s="161">
        <f t="shared" si="391"/>
        <v>72.473611111112405</v>
      </c>
      <c r="AD646" s="161">
        <f t="shared" si="385"/>
        <v>65.427083333335759</v>
      </c>
      <c r="AE646" s="446">
        <f t="shared" si="381"/>
        <v>-45866</v>
      </c>
      <c r="AF646" s="160">
        <f t="shared" si="386"/>
        <v>45812.300582437274</v>
      </c>
      <c r="AG646" s="160">
        <f t="shared" si="383"/>
        <v>45821.107034050176</v>
      </c>
      <c r="AH646" s="159">
        <f t="shared" si="387"/>
        <v>45843.526388888888</v>
      </c>
      <c r="AI646" s="162">
        <f t="shared" si="392"/>
        <v>2.4963132716049827</v>
      </c>
      <c r="AJ646" s="224">
        <f t="shared" si="388"/>
        <v>-764.43333333333328</v>
      </c>
      <c r="AK646" s="225">
        <f t="shared" si="393"/>
        <v>20</v>
      </c>
      <c r="AL646" s="170">
        <f t="shared" si="394"/>
        <v>36</v>
      </c>
      <c r="AM646" s="170">
        <f t="shared" si="395"/>
        <v>21.774193548387096</v>
      </c>
      <c r="AN646" s="170">
        <f t="shared" si="396"/>
        <v>27.58064516129032</v>
      </c>
      <c r="AO646" s="226">
        <f t="shared" si="397"/>
        <v>18.774193548387096</v>
      </c>
      <c r="AP646" s="227">
        <v>60</v>
      </c>
      <c r="AQ646" s="228">
        <f t="shared" si="398"/>
        <v>57</v>
      </c>
      <c r="AR646" s="228">
        <f t="shared" si="384"/>
        <v>52</v>
      </c>
      <c r="AS646" s="229">
        <f t="shared" si="399"/>
        <v>45926</v>
      </c>
      <c r="AT646" s="982">
        <f t="shared" ca="1" si="400"/>
        <v>29</v>
      </c>
      <c r="AU646" s="1077" t="s">
        <v>61</v>
      </c>
      <c r="AV646" s="1092" t="s">
        <v>247</v>
      </c>
      <c r="AW646" s="1079" t="s">
        <v>247</v>
      </c>
      <c r="AX646" s="1079"/>
      <c r="AY646" s="1079"/>
      <c r="AZ646" s="1080">
        <v>45840</v>
      </c>
      <c r="BA646" s="1101">
        <v>7</v>
      </c>
      <c r="BB646" s="1091">
        <v>45847</v>
      </c>
      <c r="BC646" s="231" t="s">
        <v>13</v>
      </c>
      <c r="BD646" s="232"/>
      <c r="BE646" s="222">
        <f t="shared" si="382"/>
        <v>45881</v>
      </c>
      <c r="BF646" s="233" t="e">
        <f t="shared" si="389"/>
        <v>#VALUE!</v>
      </c>
      <c r="BG646" s="234"/>
      <c r="BH646" s="235"/>
      <c r="BI646" s="234"/>
      <c r="BJ646" s="236"/>
      <c r="BK646" s="222"/>
      <c r="BL646" s="222"/>
      <c r="BM646" s="238"/>
      <c r="BN646" s="222"/>
      <c r="BO646" s="222"/>
      <c r="BP646" s="243"/>
      <c r="BQ646" s="244"/>
      <c r="BR646" s="238"/>
      <c r="BS646" s="68"/>
      <c r="BT646" s="69"/>
      <c r="BU646" s="69"/>
      <c r="BV646" s="69"/>
      <c r="BW646" s="75"/>
      <c r="BX646" s="81"/>
      <c r="BY646" s="66" t="s">
        <v>308</v>
      </c>
      <c r="BZ646" s="81"/>
      <c r="CA646" s="42" t="str">
        <f t="shared" si="401"/>
        <v>0</v>
      </c>
      <c r="CB646" s="62">
        <f t="shared" si="402"/>
        <v>72.473611111112405</v>
      </c>
      <c r="CC646" s="42">
        <f t="shared" si="403"/>
        <v>7</v>
      </c>
      <c r="CD646" s="62">
        <f t="shared" si="404"/>
        <v>65.473611111112405</v>
      </c>
      <c r="CE646" s="62">
        <f t="shared" si="405"/>
        <v>2.2552021604938717</v>
      </c>
      <c r="CF646" s="1059">
        <f t="shared" si="406"/>
        <v>3</v>
      </c>
      <c r="CG646" s="1059"/>
      <c r="CH646" s="1082">
        <f t="shared" si="407"/>
        <v>2.5996466049383162</v>
      </c>
      <c r="CI646" s="1083">
        <f t="shared" si="408"/>
        <v>2.5996466049383162</v>
      </c>
      <c r="CJ646" s="1084">
        <f t="shared" si="409"/>
        <v>0.05</v>
      </c>
      <c r="CK646" s="1085" t="str">
        <f t="shared" si="410"/>
        <v/>
      </c>
      <c r="CL646" s="1057" t="str">
        <f t="shared" si="411"/>
        <v>REV</v>
      </c>
      <c r="CM646" s="1057" t="str">
        <f t="shared" si="412"/>
        <v/>
      </c>
      <c r="CN646" s="1086"/>
      <c r="CO646" s="1087"/>
      <c r="CP646" s="629" t="s">
        <v>3227</v>
      </c>
      <c r="CQ646" s="1086"/>
      <c r="CR646" s="1088"/>
      <c r="CS646" s="1089" t="s">
        <v>3228</v>
      </c>
      <c r="CT646" s="1086"/>
      <c r="CU646" s="1087"/>
      <c r="CV646" s="1090"/>
      <c r="CW646" s="853"/>
      <c r="CX646" s="856"/>
      <c r="CY646" s="856"/>
    </row>
    <row r="647" spans="1:103" s="1103" customFormat="1" ht="15" customHeight="1" x14ac:dyDescent="0.2">
      <c r="A647" s="222">
        <v>45805</v>
      </c>
      <c r="B647" s="222">
        <v>45805</v>
      </c>
      <c r="C647" s="852"/>
      <c r="D647" s="66" t="s">
        <v>284</v>
      </c>
      <c r="E647" s="404" t="s">
        <v>3279</v>
      </c>
      <c r="F647" s="95" t="s">
        <v>3280</v>
      </c>
      <c r="G647" s="95" t="s">
        <v>888</v>
      </c>
      <c r="H647" s="95" t="s">
        <v>238</v>
      </c>
      <c r="I647" s="95" t="s">
        <v>239</v>
      </c>
      <c r="J647" s="854"/>
      <c r="K647" s="855"/>
      <c r="L647" s="101" t="s">
        <v>255</v>
      </c>
      <c r="M647" s="101" t="s">
        <v>272</v>
      </c>
      <c r="N647" s="442" t="s">
        <v>403</v>
      </c>
      <c r="O647" s="165">
        <v>1.73</v>
      </c>
      <c r="P647" s="165">
        <v>3.52</v>
      </c>
      <c r="Q647" s="157">
        <v>23</v>
      </c>
      <c r="R647" s="109" t="s">
        <v>244</v>
      </c>
      <c r="S647" s="110">
        <v>17775.259999999998</v>
      </c>
      <c r="T647" s="93">
        <v>3024.46</v>
      </c>
      <c r="U647" s="857"/>
      <c r="V647" s="158">
        <f t="shared" si="390"/>
        <v>0</v>
      </c>
      <c r="W647" s="159">
        <v>45793.526388888888</v>
      </c>
      <c r="X647" s="159">
        <v>45800.574305555558</v>
      </c>
      <c r="Y647" s="160">
        <v>45805</v>
      </c>
      <c r="Z647" s="470"/>
      <c r="AA647" s="470">
        <v>45870.306250000001</v>
      </c>
      <c r="AB647" s="942"/>
      <c r="AC647" s="161">
        <f t="shared" si="391"/>
        <v>76.77986111111386</v>
      </c>
      <c r="AD647" s="161">
        <f t="shared" si="385"/>
        <v>69.731944444443798</v>
      </c>
      <c r="AE647" s="446">
        <f t="shared" si="381"/>
        <v>-45870.306250000001</v>
      </c>
      <c r="AF647" s="160">
        <f t="shared" si="386"/>
        <v>45812.300582437274</v>
      </c>
      <c r="AG647" s="160">
        <f t="shared" si="383"/>
        <v>45821.107034050176</v>
      </c>
      <c r="AH647" s="159">
        <f t="shared" si="387"/>
        <v>45843.526388888888</v>
      </c>
      <c r="AI647" s="162">
        <f t="shared" si="392"/>
        <v>2.6446396604939215</v>
      </c>
      <c r="AJ647" s="224">
        <f t="shared" si="388"/>
        <v>-764.50510416666668</v>
      </c>
      <c r="AK647" s="225">
        <f t="shared" si="393"/>
        <v>20</v>
      </c>
      <c r="AL647" s="170">
        <f t="shared" si="394"/>
        <v>36</v>
      </c>
      <c r="AM647" s="170">
        <f t="shared" si="395"/>
        <v>21.774193548387096</v>
      </c>
      <c r="AN647" s="170">
        <f t="shared" si="396"/>
        <v>27.58064516129032</v>
      </c>
      <c r="AO647" s="226">
        <f t="shared" si="397"/>
        <v>18.774193548387096</v>
      </c>
      <c r="AP647" s="227">
        <v>60</v>
      </c>
      <c r="AQ647" s="228">
        <f t="shared" si="398"/>
        <v>57</v>
      </c>
      <c r="AR647" s="228">
        <f t="shared" si="384"/>
        <v>52</v>
      </c>
      <c r="AS647" s="229">
        <f t="shared" si="399"/>
        <v>45930.306250000001</v>
      </c>
      <c r="AT647" s="982">
        <f t="shared" ca="1" si="400"/>
        <v>24.693749999998545</v>
      </c>
      <c r="AU647" s="1077"/>
      <c r="AV647" s="1092"/>
      <c r="AW647" s="1079"/>
      <c r="AX647" s="1079"/>
      <c r="AY647" s="1079"/>
      <c r="AZ647" s="1080"/>
      <c r="BA647" s="1101"/>
      <c r="BB647" s="1091"/>
      <c r="BC647" s="231" t="s">
        <v>13</v>
      </c>
      <c r="BD647" s="232"/>
      <c r="BE647" s="222">
        <f t="shared" si="382"/>
        <v>45885.306250000001</v>
      </c>
      <c r="BF647" s="233" t="e">
        <f t="shared" si="389"/>
        <v>#VALUE!</v>
      </c>
      <c r="BG647" s="234"/>
      <c r="BH647" s="235"/>
      <c r="BI647" s="234"/>
      <c r="BJ647" s="236"/>
      <c r="BK647" s="222"/>
      <c r="BL647" s="222"/>
      <c r="BM647" s="238"/>
      <c r="BN647" s="222"/>
      <c r="BO647" s="222"/>
      <c r="BP647" s="243"/>
      <c r="BQ647" s="244"/>
      <c r="BR647" s="238"/>
      <c r="BS647" s="68"/>
      <c r="BT647" s="69"/>
      <c r="BU647" s="69"/>
      <c r="BV647" s="69"/>
      <c r="BW647" s="75"/>
      <c r="BX647" s="81"/>
      <c r="BY647" s="66" t="s">
        <v>308</v>
      </c>
      <c r="BZ647" s="944" t="s">
        <v>308</v>
      </c>
      <c r="CA647" s="42" t="str">
        <f t="shared" si="401"/>
        <v>0</v>
      </c>
      <c r="CB647" s="62">
        <f t="shared" si="402"/>
        <v>76.77986111111386</v>
      </c>
      <c r="CC647" s="42">
        <f t="shared" si="403"/>
        <v>0</v>
      </c>
      <c r="CD647" s="62">
        <f t="shared" si="404"/>
        <v>76.77986111111386</v>
      </c>
      <c r="CE647" s="62">
        <f t="shared" si="405"/>
        <v>2.6446396604939215</v>
      </c>
      <c r="CF647" s="1059">
        <f t="shared" si="406"/>
        <v>-1.3062500000014552</v>
      </c>
      <c r="CG647" s="1059"/>
      <c r="CH647" s="1082">
        <f t="shared" si="407"/>
        <v>2.5996466049383162</v>
      </c>
      <c r="CI647" s="1083">
        <f t="shared" si="408"/>
        <v>2.5996466049383162</v>
      </c>
      <c r="CJ647" s="1084">
        <f t="shared" si="409"/>
        <v>-2.1770833333357588E-2</v>
      </c>
      <c r="CK647" s="1085" t="str">
        <f t="shared" si="410"/>
        <v/>
      </c>
      <c r="CL647" s="1057" t="str">
        <f t="shared" si="411"/>
        <v>REV</v>
      </c>
      <c r="CM647" s="1057" t="str">
        <f t="shared" si="412"/>
        <v/>
      </c>
      <c r="CN647" s="1086"/>
      <c r="CO647" s="1087"/>
      <c r="CP647" s="629" t="s">
        <v>3227</v>
      </c>
      <c r="CQ647" s="1086"/>
      <c r="CR647" s="1088"/>
      <c r="CS647" s="1089" t="s">
        <v>3228</v>
      </c>
      <c r="CT647" s="1086"/>
      <c r="CU647" s="1087"/>
      <c r="CV647" s="1090"/>
      <c r="CW647" s="853"/>
      <c r="CX647" s="856"/>
      <c r="CY647" s="856"/>
    </row>
    <row r="648" spans="1:103" s="359" customFormat="1" ht="15" customHeight="1" x14ac:dyDescent="0.25">
      <c r="A648" s="242">
        <v>45803</v>
      </c>
      <c r="B648" s="222">
        <v>45803</v>
      </c>
      <c r="C648" s="852"/>
      <c r="D648" s="66" t="s">
        <v>284</v>
      </c>
      <c r="E648" s="404" t="s">
        <v>3281</v>
      </c>
      <c r="F648" s="95" t="s">
        <v>3282</v>
      </c>
      <c r="G648" s="76" t="s">
        <v>282</v>
      </c>
      <c r="H648" s="95" t="s">
        <v>238</v>
      </c>
      <c r="I648" s="95" t="s">
        <v>239</v>
      </c>
      <c r="J648" s="854"/>
      <c r="K648" s="855"/>
      <c r="L648" s="101" t="s">
        <v>242</v>
      </c>
      <c r="M648" s="101" t="s">
        <v>272</v>
      </c>
      <c r="N648" s="442" t="s">
        <v>467</v>
      </c>
      <c r="O648" s="165">
        <v>9.8533000000000008</v>
      </c>
      <c r="P648" s="165">
        <v>12.22</v>
      </c>
      <c r="Q648" s="157">
        <v>17.600000000000001</v>
      </c>
      <c r="R648" s="109" t="s">
        <v>244</v>
      </c>
      <c r="S648" s="110">
        <v>141627.94</v>
      </c>
      <c r="T648" s="93">
        <v>10502.630000000001</v>
      </c>
      <c r="U648" s="857"/>
      <c r="V648" s="158">
        <f t="shared" si="390"/>
        <v>0</v>
      </c>
      <c r="W648" s="159">
        <v>45793.527777777781</v>
      </c>
      <c r="X648" s="159">
        <v>45800.572222222225</v>
      </c>
      <c r="Y648" s="160">
        <v>45803</v>
      </c>
      <c r="Z648" s="470"/>
      <c r="AA648" s="470">
        <v>45878.532638888886</v>
      </c>
      <c r="AB648" s="942"/>
      <c r="AC648" s="161">
        <f t="shared" si="391"/>
        <v>85.004861111105129</v>
      </c>
      <c r="AD648" s="161">
        <f t="shared" si="385"/>
        <v>77.960416666661331</v>
      </c>
      <c r="AE648" s="446">
        <f t="shared" si="381"/>
        <v>-45878.532638888886</v>
      </c>
      <c r="AF648" s="160">
        <f t="shared" si="386"/>
        <v>45812.301971326167</v>
      </c>
      <c r="AG648" s="160">
        <f t="shared" si="383"/>
        <v>45821.108422939069</v>
      </c>
      <c r="AH648" s="159">
        <f t="shared" si="387"/>
        <v>45843.527777777781</v>
      </c>
      <c r="AI648" s="162">
        <f t="shared" si="392"/>
        <v>2.9279452160491761</v>
      </c>
      <c r="AJ648" s="224">
        <f t="shared" si="388"/>
        <v>-764.64221064814808</v>
      </c>
      <c r="AK648" s="225">
        <f t="shared" si="393"/>
        <v>20</v>
      </c>
      <c r="AL648" s="170">
        <f t="shared" si="394"/>
        <v>36</v>
      </c>
      <c r="AM648" s="170">
        <f t="shared" si="395"/>
        <v>21.774193548387096</v>
      </c>
      <c r="AN648" s="170">
        <f t="shared" si="396"/>
        <v>27.58064516129032</v>
      </c>
      <c r="AO648" s="226">
        <f t="shared" si="397"/>
        <v>18.774193548387096</v>
      </c>
      <c r="AP648" s="227">
        <v>60</v>
      </c>
      <c r="AQ648" s="228">
        <f t="shared" si="398"/>
        <v>57</v>
      </c>
      <c r="AR648" s="228">
        <f t="shared" si="384"/>
        <v>52</v>
      </c>
      <c r="AS648" s="229">
        <f t="shared" si="399"/>
        <v>45938.532638888886</v>
      </c>
      <c r="AT648" s="982">
        <f t="shared" ca="1" si="400"/>
        <v>16.46736111111386</v>
      </c>
      <c r="AU648" s="50"/>
      <c r="AV648" s="51"/>
      <c r="AW648" s="49"/>
      <c r="AX648" s="49"/>
      <c r="AY648" s="49"/>
      <c r="AZ648" s="300"/>
      <c r="BA648" s="52"/>
      <c r="BB648" s="304"/>
      <c r="BC648" s="231" t="s">
        <v>13</v>
      </c>
      <c r="BD648" s="232"/>
      <c r="BE648" s="222">
        <f t="shared" si="382"/>
        <v>45893.532638888886</v>
      </c>
      <c r="BF648" s="233" t="e">
        <f t="shared" si="389"/>
        <v>#VALUE!</v>
      </c>
      <c r="BG648" s="234"/>
      <c r="BH648" s="235"/>
      <c r="BI648" s="234"/>
      <c r="BJ648" s="236"/>
      <c r="BK648" s="222"/>
      <c r="BL648" s="222"/>
      <c r="BM648" s="238"/>
      <c r="BN648" s="222"/>
      <c r="BO648" s="222"/>
      <c r="BP648" s="243"/>
      <c r="BQ648" s="244"/>
      <c r="BR648" s="238"/>
      <c r="BS648" s="68"/>
      <c r="BT648" s="69"/>
      <c r="BU648" s="69"/>
      <c r="BV648" s="69"/>
      <c r="BW648" s="75"/>
      <c r="BX648" s="81"/>
      <c r="BY648" s="66">
        <v>45803</v>
      </c>
      <c r="BZ648" s="944" t="s">
        <v>3283</v>
      </c>
      <c r="CA648" s="42" t="str">
        <f t="shared" si="401"/>
        <v>0</v>
      </c>
      <c r="CB648" s="62">
        <f t="shared" si="402"/>
        <v>85.004861111105129</v>
      </c>
      <c r="CC648" s="42">
        <f t="shared" si="403"/>
        <v>0</v>
      </c>
      <c r="CD648" s="62">
        <f t="shared" si="404"/>
        <v>85.004861111105129</v>
      </c>
      <c r="CE648" s="62">
        <f t="shared" si="405"/>
        <v>2.9279452160491761</v>
      </c>
      <c r="CF648" s="145">
        <f t="shared" si="406"/>
        <v>-9.5326388888861402</v>
      </c>
      <c r="CG648" s="145"/>
      <c r="CH648" s="443">
        <f t="shared" si="407"/>
        <v>2.5995987654319874</v>
      </c>
      <c r="CI648" s="996">
        <f t="shared" si="408"/>
        <v>2.5995987654319874</v>
      </c>
      <c r="CJ648" s="261">
        <f t="shared" si="409"/>
        <v>-0.15887731481476899</v>
      </c>
      <c r="CK648" s="458" t="str">
        <f t="shared" si="410"/>
        <v/>
      </c>
      <c r="CL648" t="str">
        <f t="shared" si="411"/>
        <v>REV</v>
      </c>
      <c r="CM648" t="str">
        <f t="shared" si="412"/>
        <v/>
      </c>
      <c r="CN648" s="635"/>
      <c r="CO648" s="631"/>
      <c r="CP648" s="629" t="s">
        <v>3227</v>
      </c>
      <c r="CQ648" s="635"/>
      <c r="CR648" s="697"/>
      <c r="CS648" s="633" t="s">
        <v>3228</v>
      </c>
      <c r="CT648" s="635"/>
      <c r="CU648" s="631"/>
      <c r="CV648" s="638"/>
      <c r="CW648" s="853"/>
      <c r="CX648" s="856"/>
      <c r="CY648" s="856"/>
    </row>
    <row r="649" spans="1:103" s="359" customFormat="1" ht="15" customHeight="1" x14ac:dyDescent="0.25">
      <c r="A649" s="242">
        <v>45813</v>
      </c>
      <c r="B649" s="222">
        <v>45811</v>
      </c>
      <c r="C649" s="852"/>
      <c r="D649" s="66" t="s">
        <v>320</v>
      </c>
      <c r="E649" s="404" t="s">
        <v>3284</v>
      </c>
      <c r="F649" s="95" t="s">
        <v>3285</v>
      </c>
      <c r="G649" s="95" t="s">
        <v>3286</v>
      </c>
      <c r="H649" s="95" t="s">
        <v>269</v>
      </c>
      <c r="I649" s="95" t="s">
        <v>239</v>
      </c>
      <c r="J649" s="854"/>
      <c r="K649" s="855"/>
      <c r="L649" s="101" t="s">
        <v>242</v>
      </c>
      <c r="M649" s="101" t="s">
        <v>331</v>
      </c>
      <c r="N649" s="442" t="s">
        <v>467</v>
      </c>
      <c r="O649" s="165">
        <v>35.569500000000005</v>
      </c>
      <c r="P649" s="165">
        <v>126.81</v>
      </c>
      <c r="Q649" s="157">
        <v>74</v>
      </c>
      <c r="R649" s="109" t="s">
        <v>244</v>
      </c>
      <c r="S649" s="110">
        <v>353963.62</v>
      </c>
      <c r="T649" s="93">
        <v>41695.819999999992</v>
      </c>
      <c r="U649" s="857"/>
      <c r="V649" s="158">
        <f t="shared" si="390"/>
        <v>0</v>
      </c>
      <c r="W649" s="159">
        <v>45793.64166666667</v>
      </c>
      <c r="X649" s="159">
        <v>45800.572222222225</v>
      </c>
      <c r="Y649" s="160">
        <v>45811</v>
      </c>
      <c r="Z649" s="470"/>
      <c r="AA649" s="470"/>
      <c r="AB649" s="942"/>
      <c r="AC649" s="161">
        <f t="shared" si="391"/>
        <v>-45793.64166666667</v>
      </c>
      <c r="AD649" s="161">
        <f t="shared" si="385"/>
        <v>-45800.572222222225</v>
      </c>
      <c r="AE649" s="446">
        <f t="shared" ref="AE649:AE710" si="413">AB649-AA649</f>
        <v>0</v>
      </c>
      <c r="AF649" s="160">
        <f t="shared" si="386"/>
        <v>45813.986737089203</v>
      </c>
      <c r="AG649" s="160">
        <f t="shared" si="383"/>
        <v>45823.212089201879</v>
      </c>
      <c r="AH649" s="159">
        <f t="shared" si="387"/>
        <v>45843.64166666667</v>
      </c>
      <c r="AI649" s="162">
        <f t="shared" si="392"/>
        <v>-1471.1984426847662</v>
      </c>
      <c r="AJ649" s="224">
        <f t="shared" si="388"/>
        <v>0</v>
      </c>
      <c r="AK649" s="225">
        <f t="shared" si="393"/>
        <v>26</v>
      </c>
      <c r="AL649" s="170">
        <f t="shared" si="394"/>
        <v>34</v>
      </c>
      <c r="AM649" s="170">
        <f t="shared" si="395"/>
        <v>23.345070422535212</v>
      </c>
      <c r="AN649" s="170">
        <f t="shared" si="396"/>
        <v>29.570422535211268</v>
      </c>
      <c r="AO649" s="226">
        <f t="shared" si="397"/>
        <v>20.345070422535212</v>
      </c>
      <c r="AP649" s="227">
        <v>60</v>
      </c>
      <c r="AQ649" s="228">
        <f t="shared" si="398"/>
        <v>57</v>
      </c>
      <c r="AR649" s="228">
        <f t="shared" si="384"/>
        <v>52</v>
      </c>
      <c r="AS649" s="229">
        <f t="shared" si="399"/>
        <v>60</v>
      </c>
      <c r="AT649" s="982">
        <f t="shared" ca="1" si="400"/>
        <v>45895</v>
      </c>
      <c r="AU649" s="50"/>
      <c r="AV649" s="51"/>
      <c r="AW649" s="49"/>
      <c r="AX649" s="49"/>
      <c r="AY649" s="49"/>
      <c r="AZ649" s="300"/>
      <c r="BA649" s="52"/>
      <c r="BB649" s="304"/>
      <c r="BC649" s="231"/>
      <c r="BD649" s="232"/>
      <c r="BE649" s="222">
        <f t="shared" si="382"/>
        <v>15</v>
      </c>
      <c r="BF649" s="233">
        <f t="shared" si="389"/>
        <v>0</v>
      </c>
      <c r="BG649" s="234"/>
      <c r="BH649" s="235"/>
      <c r="BI649" s="234"/>
      <c r="BJ649" s="236"/>
      <c r="BK649" s="222"/>
      <c r="BL649" s="222"/>
      <c r="BM649" s="238"/>
      <c r="BN649" s="222"/>
      <c r="BO649" s="222"/>
      <c r="BP649" s="243"/>
      <c r="BQ649" s="244"/>
      <c r="BR649" s="238"/>
      <c r="BS649" s="68"/>
      <c r="BT649" s="69"/>
      <c r="BU649" s="69"/>
      <c r="BV649" s="69"/>
      <c r="BW649" s="75"/>
      <c r="BX649" s="81"/>
      <c r="BY649" s="66">
        <v>45817</v>
      </c>
      <c r="BZ649" s="944" t="s">
        <v>3287</v>
      </c>
      <c r="CA649" s="42" t="str">
        <f t="shared" si="401"/>
        <v>0</v>
      </c>
      <c r="CB649" s="62">
        <f t="shared" si="402"/>
        <v>-45793.64166666667</v>
      </c>
      <c r="CC649" s="42">
        <f t="shared" si="403"/>
        <v>0</v>
      </c>
      <c r="CD649" s="62">
        <f t="shared" si="404"/>
        <v>-45793.64166666667</v>
      </c>
      <c r="CE649" s="62">
        <f t="shared" si="405"/>
        <v>-1471.1984426847662</v>
      </c>
      <c r="CF649" s="145" t="str">
        <f t="shared" si="406"/>
        <v>0</v>
      </c>
      <c r="CG649" s="145"/>
      <c r="CH649" s="443">
        <f t="shared" si="407"/>
        <v>2.421014328808337</v>
      </c>
      <c r="CI649" s="996">
        <f t="shared" si="408"/>
        <v>2.421014328808337</v>
      </c>
      <c r="CJ649" s="261">
        <f t="shared" si="409"/>
        <v>0</v>
      </c>
      <c r="CK649" s="458">
        <f t="shared" si="410"/>
        <v>62.358333333329938</v>
      </c>
      <c r="CL649" t="str">
        <f t="shared" si="411"/>
        <v>REV</v>
      </c>
      <c r="CM649" t="str">
        <f t="shared" si="412"/>
        <v>0-3 MONTHS</v>
      </c>
      <c r="CN649" s="635"/>
      <c r="CO649" s="631"/>
      <c r="CP649" s="629" t="s">
        <v>3227</v>
      </c>
      <c r="CQ649" s="635"/>
      <c r="CR649" s="697"/>
      <c r="CS649" s="633" t="s">
        <v>3228</v>
      </c>
      <c r="CT649" s="635"/>
      <c r="CU649" s="631"/>
      <c r="CV649" s="638"/>
      <c r="CW649" s="853"/>
      <c r="CX649" s="856"/>
      <c r="CY649" s="856"/>
    </row>
    <row r="650" spans="1:103" s="359" customFormat="1" ht="15" customHeight="1" x14ac:dyDescent="0.25">
      <c r="A650" s="242">
        <v>45811</v>
      </c>
      <c r="B650" s="222">
        <v>45804</v>
      </c>
      <c r="C650" s="852"/>
      <c r="D650" s="66" t="s">
        <v>320</v>
      </c>
      <c r="E650" s="404" t="s">
        <v>3288</v>
      </c>
      <c r="F650" s="95" t="s">
        <v>3289</v>
      </c>
      <c r="G650" s="95" t="s">
        <v>3103</v>
      </c>
      <c r="H650" s="95" t="s">
        <v>238</v>
      </c>
      <c r="I650" s="95" t="s">
        <v>239</v>
      </c>
      <c r="J650" s="854"/>
      <c r="K650" s="855"/>
      <c r="L650" s="101" t="s">
        <v>5</v>
      </c>
      <c r="M650" s="101" t="s">
        <v>272</v>
      </c>
      <c r="N650" s="442" t="s">
        <v>403</v>
      </c>
      <c r="O650" s="165">
        <v>15.922799999999999</v>
      </c>
      <c r="P650" s="933">
        <v>54.17</v>
      </c>
      <c r="Q650" s="157">
        <v>85</v>
      </c>
      <c r="R650" s="109" t="s">
        <v>548</v>
      </c>
      <c r="S650" s="110">
        <v>393654.99</v>
      </c>
      <c r="T650" s="93">
        <v>46142.560000000012</v>
      </c>
      <c r="U650" s="141"/>
      <c r="V650" s="158">
        <f t="shared" si="390"/>
        <v>0</v>
      </c>
      <c r="W650" s="159">
        <v>45796.593055555553</v>
      </c>
      <c r="X650" s="159">
        <v>45803.355555555558</v>
      </c>
      <c r="Y650" s="160">
        <v>45804</v>
      </c>
      <c r="Z650" s="470"/>
      <c r="AA650" s="470">
        <v>45817</v>
      </c>
      <c r="AB650" s="942"/>
      <c r="AC650" s="161">
        <f t="shared" si="391"/>
        <v>20.406944444446708</v>
      </c>
      <c r="AD650" s="161">
        <f t="shared" si="385"/>
        <v>13.644444444442343</v>
      </c>
      <c r="AE650" s="446">
        <f t="shared" si="413"/>
        <v>-45817</v>
      </c>
      <c r="AF650" s="160">
        <f t="shared" si="386"/>
        <v>45815.893435783692</v>
      </c>
      <c r="AG650" s="160">
        <f t="shared" si="383"/>
        <v>45824.840203844527</v>
      </c>
      <c r="AH650" s="159">
        <f t="shared" si="387"/>
        <v>45846.593055555553</v>
      </c>
      <c r="AI650" s="162">
        <f t="shared" si="392"/>
        <v>0.6863205100881693</v>
      </c>
      <c r="AJ650" s="224">
        <f t="shared" si="388"/>
        <v>-763.61666666666667</v>
      </c>
      <c r="AK650" s="225">
        <f t="shared" si="393"/>
        <v>23</v>
      </c>
      <c r="AL650" s="170">
        <f t="shared" si="394"/>
        <v>34</v>
      </c>
      <c r="AM650" s="170">
        <f t="shared" si="395"/>
        <v>22.300380228136884</v>
      </c>
      <c r="AN650" s="170">
        <f t="shared" si="396"/>
        <v>28.247148288973385</v>
      </c>
      <c r="AO650" s="226">
        <f t="shared" si="397"/>
        <v>19.300380228136884</v>
      </c>
      <c r="AP650" s="227">
        <v>60</v>
      </c>
      <c r="AQ650" s="228">
        <f t="shared" si="398"/>
        <v>57</v>
      </c>
      <c r="AR650" s="228">
        <f t="shared" si="384"/>
        <v>52</v>
      </c>
      <c r="AS650" s="229">
        <f t="shared" si="399"/>
        <v>45877</v>
      </c>
      <c r="AT650" s="982">
        <f t="shared" ca="1" si="400"/>
        <v>78</v>
      </c>
      <c r="AU650" s="50"/>
      <c r="AV650" s="51"/>
      <c r="AW650" s="49"/>
      <c r="AX650" s="49"/>
      <c r="AY650" s="49"/>
      <c r="AZ650" s="300"/>
      <c r="BA650" s="52"/>
      <c r="BB650" s="304"/>
      <c r="BC650" s="231" t="s">
        <v>13</v>
      </c>
      <c r="BD650" s="232"/>
      <c r="BE650" s="222">
        <f t="shared" si="382"/>
        <v>45832</v>
      </c>
      <c r="BF650" s="233" t="e">
        <f t="shared" si="389"/>
        <v>#VALUE!</v>
      </c>
      <c r="BG650" s="234"/>
      <c r="BH650" s="235"/>
      <c r="BI650" s="234"/>
      <c r="BJ650" s="236"/>
      <c r="BK650" s="222"/>
      <c r="BL650" s="222"/>
      <c r="BM650" s="238"/>
      <c r="BN650" s="222"/>
      <c r="BO650" s="222"/>
      <c r="BP650" s="243"/>
      <c r="BQ650" s="244" t="s">
        <v>247</v>
      </c>
      <c r="BR650" s="238"/>
      <c r="BS650" s="68"/>
      <c r="BT650" s="69"/>
      <c r="BU650" s="69"/>
      <c r="BV650" s="69"/>
      <c r="BW650" s="75"/>
      <c r="BX650" s="81"/>
      <c r="BY650" s="66"/>
      <c r="BZ650" s="944" t="s">
        <v>3290</v>
      </c>
      <c r="CA650" s="42" t="str">
        <f t="shared" si="401"/>
        <v>0</v>
      </c>
      <c r="CB650" s="62">
        <f t="shared" si="402"/>
        <v>20.406944444446708</v>
      </c>
      <c r="CC650" s="42">
        <f t="shared" si="403"/>
        <v>0</v>
      </c>
      <c r="CD650" s="62">
        <f t="shared" si="404"/>
        <v>20.406944444446708</v>
      </c>
      <c r="CE650" s="62">
        <f t="shared" si="405"/>
        <v>0.6863205100881693</v>
      </c>
      <c r="CF650" s="145">
        <f t="shared" si="406"/>
        <v>52</v>
      </c>
      <c r="CG650" s="145"/>
      <c r="CH650" s="443">
        <f t="shared" si="407"/>
        <v>2.4351696149475046</v>
      </c>
      <c r="CI650" s="996">
        <f t="shared" si="408"/>
        <v>2.4351696149475046</v>
      </c>
      <c r="CJ650" s="261">
        <f t="shared" si="409"/>
        <v>0.8666666666666667</v>
      </c>
      <c r="CK650" s="458" t="str">
        <f t="shared" si="410"/>
        <v/>
      </c>
      <c r="CL650" t="str">
        <f t="shared" si="411"/>
        <v>NON-REV</v>
      </c>
      <c r="CM650" t="str">
        <f t="shared" si="412"/>
        <v/>
      </c>
      <c r="CN650" s="635"/>
      <c r="CO650" s="631"/>
      <c r="CP650" s="629" t="s">
        <v>3227</v>
      </c>
      <c r="CQ650" s="635"/>
      <c r="CR650" s="697"/>
      <c r="CS650" s="633" t="s">
        <v>3228</v>
      </c>
      <c r="CT650" s="635"/>
      <c r="CU650" s="631"/>
      <c r="CV650" s="638"/>
      <c r="CW650" s="853"/>
      <c r="CX650" s="856"/>
      <c r="CY650" s="856"/>
    </row>
    <row r="651" spans="1:103" s="1103" customFormat="1" ht="15" customHeight="1" x14ac:dyDescent="0.2">
      <c r="A651" s="242">
        <v>45804</v>
      </c>
      <c r="B651" s="222">
        <v>45805</v>
      </c>
      <c r="C651" s="852"/>
      <c r="D651" s="66" t="s">
        <v>234</v>
      </c>
      <c r="E651" s="404" t="s">
        <v>3291</v>
      </c>
      <c r="F651" s="95" t="s">
        <v>3292</v>
      </c>
      <c r="G651" s="95" t="s">
        <v>3293</v>
      </c>
      <c r="H651" s="95" t="s">
        <v>238</v>
      </c>
      <c r="I651" s="95" t="s">
        <v>239</v>
      </c>
      <c r="J651" s="1134" t="s">
        <v>3294</v>
      </c>
      <c r="K651" s="855"/>
      <c r="L651" s="101" t="s">
        <v>255</v>
      </c>
      <c r="M651" s="101" t="s">
        <v>331</v>
      </c>
      <c r="N651" s="442" t="s">
        <v>403</v>
      </c>
      <c r="O651" s="165">
        <v>155.39339999999999</v>
      </c>
      <c r="P651" s="165">
        <v>333.21</v>
      </c>
      <c r="Q651" s="157">
        <v>1957</v>
      </c>
      <c r="R651" s="109" t="s">
        <v>244</v>
      </c>
      <c r="S651" s="110">
        <v>688937.77</v>
      </c>
      <c r="T651" s="93">
        <v>197264.94000000006</v>
      </c>
      <c r="U651" s="857"/>
      <c r="V651" s="158">
        <f t="shared" si="390"/>
        <v>0</v>
      </c>
      <c r="W651" s="159">
        <v>45797.634722222225</v>
      </c>
      <c r="X651" s="159">
        <v>45804.570138888892</v>
      </c>
      <c r="Y651" s="160">
        <v>45805</v>
      </c>
      <c r="Z651" s="470"/>
      <c r="AA651" s="470"/>
      <c r="AB651" s="942"/>
      <c r="AC651" s="161">
        <f t="shared" si="391"/>
        <v>-45797.634722222225</v>
      </c>
      <c r="AD651" s="161">
        <f t="shared" si="385"/>
        <v>-45804.570138888892</v>
      </c>
      <c r="AE651" s="446">
        <f t="shared" si="413"/>
        <v>0</v>
      </c>
      <c r="AF651" s="160">
        <f t="shared" si="386"/>
        <v>45811.301388888889</v>
      </c>
      <c r="AG651" s="160">
        <f t="shared" si="383"/>
        <v>45818.745833333334</v>
      </c>
      <c r="AH651" s="159">
        <f t="shared" si="387"/>
        <v>45847.634722222225</v>
      </c>
      <c r="AI651" s="162">
        <f t="shared" si="392"/>
        <v>-2060.8935624999999</v>
      </c>
      <c r="AJ651" s="224">
        <f t="shared" si="388"/>
        <v>0</v>
      </c>
      <c r="AK651" s="225">
        <f t="shared" si="393"/>
        <v>30</v>
      </c>
      <c r="AL651" s="170">
        <f t="shared" si="394"/>
        <v>20</v>
      </c>
      <c r="AM651" s="170">
        <f t="shared" si="395"/>
        <v>16.666666666666668</v>
      </c>
      <c r="AN651" s="170">
        <f t="shared" si="396"/>
        <v>21.111111111111111</v>
      </c>
      <c r="AO651" s="226">
        <f t="shared" si="397"/>
        <v>13.666666666666668</v>
      </c>
      <c r="AP651" s="227">
        <v>60</v>
      </c>
      <c r="AQ651" s="228">
        <f t="shared" si="398"/>
        <v>57</v>
      </c>
      <c r="AR651" s="228">
        <f t="shared" si="384"/>
        <v>52</v>
      </c>
      <c r="AS651" s="229">
        <f t="shared" si="399"/>
        <v>60</v>
      </c>
      <c r="AT651" s="982">
        <f t="shared" ca="1" si="400"/>
        <v>45895</v>
      </c>
      <c r="AU651" s="1077" t="s">
        <v>50</v>
      </c>
      <c r="AV651" s="1092" t="s">
        <v>247</v>
      </c>
      <c r="AW651" s="1079" t="s">
        <v>247</v>
      </c>
      <c r="AX651" s="1079"/>
      <c r="AY651" s="1079"/>
      <c r="AZ651" s="1080">
        <v>45832</v>
      </c>
      <c r="BA651" s="1101">
        <v>34</v>
      </c>
      <c r="BB651" s="1091">
        <v>45866</v>
      </c>
      <c r="BC651" s="231"/>
      <c r="BD651" s="232"/>
      <c r="BE651" s="222">
        <f t="shared" si="382"/>
        <v>15</v>
      </c>
      <c r="BF651" s="233">
        <f t="shared" si="389"/>
        <v>0</v>
      </c>
      <c r="BG651" s="234"/>
      <c r="BH651" s="235"/>
      <c r="BI651" s="234"/>
      <c r="BJ651" s="236"/>
      <c r="BK651" s="222"/>
      <c r="BL651" s="222"/>
      <c r="BM651" s="238"/>
      <c r="BN651" s="222"/>
      <c r="BO651" s="222"/>
      <c r="BP651" s="243"/>
      <c r="BQ651" s="244"/>
      <c r="BR651" s="238"/>
      <c r="BS651" s="68"/>
      <c r="BT651" s="69"/>
      <c r="BU651" s="69"/>
      <c r="BV651" s="69"/>
      <c r="BW651" s="75"/>
      <c r="BX651" s="81"/>
      <c r="BY651" s="66"/>
      <c r="BZ651" s="944"/>
      <c r="CA651" s="42" t="str">
        <f t="shared" si="401"/>
        <v>0</v>
      </c>
      <c r="CB651" s="62">
        <f t="shared" si="402"/>
        <v>-45797.634722222225</v>
      </c>
      <c r="CC651" s="42">
        <f t="shared" si="403"/>
        <v>34</v>
      </c>
      <c r="CD651" s="62">
        <f t="shared" si="404"/>
        <v>-45831.634722222225</v>
      </c>
      <c r="CE651" s="62">
        <f t="shared" si="405"/>
        <v>-2062.4235625000001</v>
      </c>
      <c r="CF651" s="1059" t="str">
        <f t="shared" si="406"/>
        <v>0</v>
      </c>
      <c r="CG651" s="1059"/>
      <c r="CH651" s="1082">
        <f t="shared" si="407"/>
        <v>3.2114374999998834</v>
      </c>
      <c r="CI651" s="1083">
        <f t="shared" si="408"/>
        <v>3.2114374999998834</v>
      </c>
      <c r="CJ651" s="1084">
        <f t="shared" si="409"/>
        <v>0</v>
      </c>
      <c r="CK651" s="1085">
        <f t="shared" si="410"/>
        <v>58.365277777775191</v>
      </c>
      <c r="CL651" s="1057" t="str">
        <f t="shared" si="411"/>
        <v>REV</v>
      </c>
      <c r="CM651" s="1057" t="str">
        <f t="shared" si="412"/>
        <v>0-3 MONTHS</v>
      </c>
      <c r="CN651" s="1086"/>
      <c r="CO651" s="1087"/>
      <c r="CP651" s="629"/>
      <c r="CQ651" s="1086"/>
      <c r="CR651" s="1088"/>
      <c r="CS651" s="1089"/>
      <c r="CT651" s="1086"/>
      <c r="CU651" s="1087"/>
      <c r="CV651" s="1090"/>
      <c r="CW651" s="853"/>
      <c r="CX651" s="856"/>
      <c r="CY651" s="856"/>
    </row>
    <row r="652" spans="1:103" s="359" customFormat="1" ht="15" customHeight="1" x14ac:dyDescent="0.25">
      <c r="A652" s="242">
        <v>45811</v>
      </c>
      <c r="B652" s="222">
        <v>45805</v>
      </c>
      <c r="C652" s="852"/>
      <c r="D652" s="66" t="s">
        <v>320</v>
      </c>
      <c r="E652" s="404" t="s">
        <v>3295</v>
      </c>
      <c r="F652" s="95" t="s">
        <v>3296</v>
      </c>
      <c r="G652" s="912" t="s">
        <v>3297</v>
      </c>
      <c r="H652" s="95" t="s">
        <v>269</v>
      </c>
      <c r="I652" s="95" t="s">
        <v>239</v>
      </c>
      <c r="J652" s="854"/>
      <c r="K652" s="855"/>
      <c r="L652" s="101" t="s">
        <v>5</v>
      </c>
      <c r="M652" s="101" t="s">
        <v>272</v>
      </c>
      <c r="N652" s="442" t="s">
        <v>403</v>
      </c>
      <c r="O652" s="165">
        <v>117.52</v>
      </c>
      <c r="P652" s="165">
        <v>313.60000000000002</v>
      </c>
      <c r="Q652" s="157">
        <v>90</v>
      </c>
      <c r="R652" s="109" t="s">
        <v>244</v>
      </c>
      <c r="S652" s="110">
        <v>558952.86</v>
      </c>
      <c r="T652" s="93"/>
      <c r="U652" s="857"/>
      <c r="V652" s="158" t="e">
        <f t="shared" si="390"/>
        <v>#DIV/0!</v>
      </c>
      <c r="W652" s="159">
        <v>45798.628472222219</v>
      </c>
      <c r="X652" s="159">
        <v>45804.567361111112</v>
      </c>
      <c r="Y652" s="160">
        <v>45805</v>
      </c>
      <c r="Z652" s="470"/>
      <c r="AA652" s="470">
        <v>45856</v>
      </c>
      <c r="AB652" s="942"/>
      <c r="AC652" s="161">
        <f t="shared" si="391"/>
        <v>57.371527777781012</v>
      </c>
      <c r="AD652" s="161">
        <f t="shared" si="385"/>
        <v>51.432638888887595</v>
      </c>
      <c r="AE652" s="446">
        <f t="shared" si="413"/>
        <v>-45856</v>
      </c>
      <c r="AF652" s="160">
        <f t="shared" si="386"/>
        <v>45820.147702991453</v>
      </c>
      <c r="AG652" s="160">
        <f t="shared" si="383"/>
        <v>45829.686164529914</v>
      </c>
      <c r="AH652" s="159">
        <f t="shared" si="387"/>
        <v>45848.628472222219</v>
      </c>
      <c r="AI652" s="162">
        <f t="shared" si="392"/>
        <v>1.7548937908497722</v>
      </c>
      <c r="AJ652" s="224">
        <f t="shared" si="388"/>
        <v>-764.26666666666665</v>
      </c>
      <c r="AK652" s="225">
        <f t="shared" si="393"/>
        <v>30</v>
      </c>
      <c r="AL652" s="170">
        <f t="shared" si="394"/>
        <v>34</v>
      </c>
      <c r="AM652" s="170">
        <f t="shared" si="395"/>
        <v>24.51923076923077</v>
      </c>
      <c r="AN652" s="170">
        <f t="shared" si="396"/>
        <v>31.057692307692307</v>
      </c>
      <c r="AO652" s="226">
        <f t="shared" si="397"/>
        <v>21.51923076923077</v>
      </c>
      <c r="AP652" s="227">
        <v>60</v>
      </c>
      <c r="AQ652" s="228">
        <f t="shared" si="398"/>
        <v>57</v>
      </c>
      <c r="AR652" s="228">
        <f t="shared" si="384"/>
        <v>52</v>
      </c>
      <c r="AS652" s="229">
        <f t="shared" si="399"/>
        <v>45916</v>
      </c>
      <c r="AT652" s="982">
        <f t="shared" ca="1" si="400"/>
        <v>39</v>
      </c>
      <c r="AU652" s="50" t="s">
        <v>50</v>
      </c>
      <c r="AV652" s="51" t="s">
        <v>247</v>
      </c>
      <c r="AW652" s="49" t="s">
        <v>247</v>
      </c>
      <c r="AX652" s="49"/>
      <c r="AY652" s="49"/>
      <c r="AZ652" s="300">
        <v>45832</v>
      </c>
      <c r="BA652" s="52">
        <v>34</v>
      </c>
      <c r="BB652" s="304">
        <v>45866</v>
      </c>
      <c r="BC652" s="231" t="s">
        <v>13</v>
      </c>
      <c r="BD652" s="232"/>
      <c r="BE652" s="222">
        <f t="shared" si="382"/>
        <v>45871</v>
      </c>
      <c r="BF652" s="233" t="e">
        <f t="shared" si="389"/>
        <v>#VALUE!</v>
      </c>
      <c r="BG652" s="234"/>
      <c r="BH652" s="235"/>
      <c r="BI652" s="234"/>
      <c r="BJ652" s="236"/>
      <c r="BK652" s="222"/>
      <c r="BL652" s="222"/>
      <c r="BM652" s="238"/>
      <c r="BN652" s="222"/>
      <c r="BO652" s="222"/>
      <c r="BP652" s="243"/>
      <c r="BQ652" s="244"/>
      <c r="BR652" s="238"/>
      <c r="BS652" s="68"/>
      <c r="BT652" s="69"/>
      <c r="BU652" s="69"/>
      <c r="BV652" s="69"/>
      <c r="BW652" s="75"/>
      <c r="BX652" s="81"/>
      <c r="BY652" s="66">
        <v>45811</v>
      </c>
      <c r="BZ652" s="944" t="s">
        <v>3298</v>
      </c>
      <c r="CA652" s="42" t="str">
        <f t="shared" si="401"/>
        <v>0</v>
      </c>
      <c r="CB652" s="62">
        <f t="shared" si="402"/>
        <v>57.371527777781012</v>
      </c>
      <c r="CC652" s="42">
        <f t="shared" si="403"/>
        <v>34</v>
      </c>
      <c r="CD652" s="62">
        <f t="shared" si="404"/>
        <v>23.371527777781012</v>
      </c>
      <c r="CE652" s="62">
        <f t="shared" si="405"/>
        <v>0.71489379084977211</v>
      </c>
      <c r="CF652" s="145">
        <f t="shared" si="406"/>
        <v>13</v>
      </c>
      <c r="CG652" s="145"/>
      <c r="CH652" s="443">
        <f t="shared" si="407"/>
        <v>2.1525408496733012</v>
      </c>
      <c r="CI652" s="996">
        <f t="shared" si="408"/>
        <v>2.1525408496733012</v>
      </c>
      <c r="CJ652" s="261">
        <f t="shared" si="409"/>
        <v>0.21666666666666667</v>
      </c>
      <c r="CK652" s="458" t="str">
        <f t="shared" si="410"/>
        <v/>
      </c>
      <c r="CL652" t="str">
        <f t="shared" si="411"/>
        <v>REV</v>
      </c>
      <c r="CM652" t="str">
        <f t="shared" si="412"/>
        <v/>
      </c>
      <c r="CN652" s="635"/>
      <c r="CO652" s="631"/>
      <c r="CP652" s="629"/>
      <c r="CQ652" s="635"/>
      <c r="CR652" s="697"/>
      <c r="CS652" s="633"/>
      <c r="CT652" s="635"/>
      <c r="CU652" s="631"/>
      <c r="CV652" s="638"/>
      <c r="CW652" s="853"/>
      <c r="CX652" s="856"/>
      <c r="CY652" s="856"/>
    </row>
    <row r="653" spans="1:103" s="359" customFormat="1" ht="15" customHeight="1" x14ac:dyDescent="0.25">
      <c r="A653" s="242">
        <v>45811</v>
      </c>
      <c r="B653" s="222">
        <v>45807</v>
      </c>
      <c r="C653" s="852"/>
      <c r="D653" s="66" t="s">
        <v>284</v>
      </c>
      <c r="E653" s="404" t="s">
        <v>3299</v>
      </c>
      <c r="F653" s="95" t="s">
        <v>3300</v>
      </c>
      <c r="G653" s="95" t="s">
        <v>3301</v>
      </c>
      <c r="H653" s="95" t="s">
        <v>253</v>
      </c>
      <c r="I653" s="95" t="s">
        <v>254</v>
      </c>
      <c r="J653" s="854"/>
      <c r="K653" s="855"/>
      <c r="L653" s="101" t="s">
        <v>263</v>
      </c>
      <c r="M653" s="101" t="s">
        <v>272</v>
      </c>
      <c r="N653" s="442" t="s">
        <v>467</v>
      </c>
      <c r="O653" s="165">
        <v>86.02470000000001</v>
      </c>
      <c r="P653" s="165">
        <v>191.16</v>
      </c>
      <c r="Q653" s="157">
        <v>202</v>
      </c>
      <c r="R653" s="109" t="s">
        <v>244</v>
      </c>
      <c r="S653" s="110">
        <v>1038571.54</v>
      </c>
      <c r="T653" s="93">
        <v>153742.70000000007</v>
      </c>
      <c r="U653" s="857"/>
      <c r="V653" s="158">
        <f t="shared" si="390"/>
        <v>0</v>
      </c>
      <c r="W653" s="159">
        <v>45798.642361111109</v>
      </c>
      <c r="X653" s="159">
        <v>45804.568055555559</v>
      </c>
      <c r="Y653" s="160">
        <v>45807</v>
      </c>
      <c r="Z653" s="470"/>
      <c r="AA653" s="470">
        <v>45852</v>
      </c>
      <c r="AB653" s="942"/>
      <c r="AC653" s="161">
        <f t="shared" si="391"/>
        <v>53.357638888890506</v>
      </c>
      <c r="AD653" s="161">
        <f t="shared" si="385"/>
        <v>47.431944444440887</v>
      </c>
      <c r="AE653" s="446">
        <f t="shared" si="413"/>
        <v>-45852</v>
      </c>
      <c r="AF653" s="160">
        <f t="shared" si="386"/>
        <v>45817.149714052284</v>
      </c>
      <c r="AG653" s="160">
        <f t="shared" si="383"/>
        <v>45825.885008169935</v>
      </c>
      <c r="AH653" s="159">
        <f t="shared" si="387"/>
        <v>45848.642361111109</v>
      </c>
      <c r="AI653" s="162">
        <f t="shared" si="392"/>
        <v>1.8606766381766944</v>
      </c>
      <c r="AJ653" s="224">
        <f t="shared" si="388"/>
        <v>-764.2</v>
      </c>
      <c r="AK653" s="225">
        <f t="shared" si="393"/>
        <v>26</v>
      </c>
      <c r="AL653" s="170">
        <f t="shared" si="394"/>
        <v>30</v>
      </c>
      <c r="AM653" s="170">
        <f t="shared" si="395"/>
        <v>21.507352941176471</v>
      </c>
      <c r="AN653" s="170">
        <f t="shared" si="396"/>
        <v>27.242647058823529</v>
      </c>
      <c r="AO653" s="226">
        <f t="shared" si="397"/>
        <v>18.507352941176471</v>
      </c>
      <c r="AP653" s="227">
        <v>60</v>
      </c>
      <c r="AQ653" s="228">
        <f t="shared" si="398"/>
        <v>57</v>
      </c>
      <c r="AR653" s="228">
        <f t="shared" si="384"/>
        <v>52</v>
      </c>
      <c r="AS653" s="229">
        <f t="shared" si="399"/>
        <v>45912</v>
      </c>
      <c r="AT653" s="982">
        <f t="shared" ca="1" si="400"/>
        <v>43</v>
      </c>
      <c r="AU653" s="50" t="s">
        <v>50</v>
      </c>
      <c r="AV653" s="51" t="s">
        <v>247</v>
      </c>
      <c r="AW653" s="49" t="s">
        <v>247</v>
      </c>
      <c r="AX653" s="49"/>
      <c r="AY653" s="49"/>
      <c r="AZ653" s="300">
        <v>45832</v>
      </c>
      <c r="BA653" s="52">
        <v>34</v>
      </c>
      <c r="BB653" s="304">
        <v>45866</v>
      </c>
      <c r="BC653" s="231" t="s">
        <v>13</v>
      </c>
      <c r="BD653" s="232"/>
      <c r="BE653" s="222">
        <f t="shared" si="382"/>
        <v>45867</v>
      </c>
      <c r="BF653" s="233" t="e">
        <f t="shared" si="389"/>
        <v>#VALUE!</v>
      </c>
      <c r="BG653" s="234"/>
      <c r="BH653" s="235"/>
      <c r="BI653" s="234"/>
      <c r="BJ653" s="236"/>
      <c r="BK653" s="222"/>
      <c r="BL653" s="222"/>
      <c r="BM653" s="238"/>
      <c r="BN653" s="222"/>
      <c r="BO653" s="222"/>
      <c r="BP653" s="243"/>
      <c r="BQ653" s="244"/>
      <c r="BR653" s="238"/>
      <c r="BS653" s="68"/>
      <c r="BT653" s="69"/>
      <c r="BU653" s="69"/>
      <c r="BV653" s="69"/>
      <c r="BW653" s="75"/>
      <c r="BX653" s="81"/>
      <c r="BY653" s="66">
        <v>45811</v>
      </c>
      <c r="BZ653" s="944" t="s">
        <v>3302</v>
      </c>
      <c r="CA653" s="42" t="str">
        <f t="shared" si="401"/>
        <v>0</v>
      </c>
      <c r="CB653" s="62">
        <f t="shared" si="402"/>
        <v>53.357638888890506</v>
      </c>
      <c r="CC653" s="42">
        <f t="shared" si="403"/>
        <v>34</v>
      </c>
      <c r="CD653" s="62">
        <f t="shared" si="404"/>
        <v>19.357638888890506</v>
      </c>
      <c r="CE653" s="62">
        <f t="shared" si="405"/>
        <v>0.67503561253566879</v>
      </c>
      <c r="CF653" s="145">
        <f t="shared" si="406"/>
        <v>17</v>
      </c>
      <c r="CG653" s="145"/>
      <c r="CH653" s="443">
        <f t="shared" si="407"/>
        <v>2.4534971509972072</v>
      </c>
      <c r="CI653" s="996">
        <f t="shared" si="408"/>
        <v>2.4534971509972072</v>
      </c>
      <c r="CJ653" s="261">
        <f t="shared" si="409"/>
        <v>0.28333333333333333</v>
      </c>
      <c r="CK653" s="458" t="str">
        <f t="shared" si="410"/>
        <v/>
      </c>
      <c r="CL653" t="str">
        <f t="shared" si="411"/>
        <v>REV</v>
      </c>
      <c r="CM653" t="str">
        <f t="shared" si="412"/>
        <v/>
      </c>
      <c r="CN653" s="635"/>
      <c r="CO653" s="631"/>
      <c r="CP653" s="629"/>
      <c r="CQ653" s="635"/>
      <c r="CR653" s="697"/>
      <c r="CS653" s="633"/>
      <c r="CT653" s="635"/>
      <c r="CU653" s="631"/>
      <c r="CV653" s="638"/>
      <c r="CW653" s="853"/>
      <c r="CX653" s="856"/>
      <c r="CY653" s="856"/>
    </row>
    <row r="654" spans="1:103" s="359" customFormat="1" ht="15" customHeight="1" x14ac:dyDescent="0.25">
      <c r="A654" s="242">
        <v>45811</v>
      </c>
      <c r="B654" s="242">
        <v>45813</v>
      </c>
      <c r="C654" s="852"/>
      <c r="D654" s="66" t="s">
        <v>284</v>
      </c>
      <c r="E654" s="404" t="s">
        <v>3303</v>
      </c>
      <c r="F654" s="95" t="s">
        <v>3304</v>
      </c>
      <c r="G654" s="95" t="s">
        <v>3305</v>
      </c>
      <c r="H654" s="95" t="s">
        <v>253</v>
      </c>
      <c r="I654" s="95" t="s">
        <v>254</v>
      </c>
      <c r="J654" s="854"/>
      <c r="K654" s="855"/>
      <c r="L654" s="101" t="s">
        <v>263</v>
      </c>
      <c r="M654" s="101" t="s">
        <v>331</v>
      </c>
      <c r="N654" s="442" t="s">
        <v>467</v>
      </c>
      <c r="O654" s="165">
        <v>164.20159999999998</v>
      </c>
      <c r="P654" s="165">
        <v>435.67</v>
      </c>
      <c r="Q654" s="157">
        <v>68</v>
      </c>
      <c r="R654" s="109" t="s">
        <v>244</v>
      </c>
      <c r="S654" s="110">
        <v>881351.64</v>
      </c>
      <c r="T654" s="93">
        <v>171342.14</v>
      </c>
      <c r="U654" s="857"/>
      <c r="V654" s="158">
        <f t="shared" si="390"/>
        <v>0</v>
      </c>
      <c r="W654" s="159">
        <v>45799.415972222225</v>
      </c>
      <c r="X654" s="159">
        <v>45804.570833333331</v>
      </c>
      <c r="Y654" s="160">
        <v>45813</v>
      </c>
      <c r="Z654" s="470"/>
      <c r="AA654" s="470"/>
      <c r="AB654" s="942"/>
      <c r="AC654" s="161">
        <f t="shared" si="391"/>
        <v>-45799.415972222225</v>
      </c>
      <c r="AD654" s="161">
        <f t="shared" si="385"/>
        <v>-45804.570833333331</v>
      </c>
      <c r="AE654" s="446">
        <f t="shared" si="413"/>
        <v>0</v>
      </c>
      <c r="AF654" s="160">
        <f t="shared" si="386"/>
        <v>45821.446647068849</v>
      </c>
      <c r="AG654" s="160">
        <f t="shared" si="383"/>
        <v>45831.12149369462</v>
      </c>
      <c r="AH654" s="159">
        <f t="shared" si="387"/>
        <v>45849.415972222225</v>
      </c>
      <c r="AI654" s="162">
        <f t="shared" si="392"/>
        <v>-1372.2986771088645</v>
      </c>
      <c r="AJ654" s="224">
        <f t="shared" si="388"/>
        <v>0</v>
      </c>
      <c r="AK654" s="225">
        <f t="shared" si="393"/>
        <v>32</v>
      </c>
      <c r="AL654" s="170">
        <f t="shared" si="394"/>
        <v>34</v>
      </c>
      <c r="AM654" s="170">
        <f t="shared" si="395"/>
        <v>25.030674846625768</v>
      </c>
      <c r="AN654" s="170">
        <f t="shared" si="396"/>
        <v>31.70552147239264</v>
      </c>
      <c r="AO654" s="226">
        <f t="shared" si="397"/>
        <v>22.030674846625768</v>
      </c>
      <c r="AP654" s="227">
        <v>60</v>
      </c>
      <c r="AQ654" s="228">
        <f t="shared" si="398"/>
        <v>57</v>
      </c>
      <c r="AR654" s="228">
        <f t="shared" si="384"/>
        <v>52</v>
      </c>
      <c r="AS654" s="229">
        <f t="shared" si="399"/>
        <v>60</v>
      </c>
      <c r="AT654" s="982">
        <f t="shared" ca="1" si="400"/>
        <v>45895</v>
      </c>
      <c r="AU654" s="50" t="s">
        <v>50</v>
      </c>
      <c r="AV654" s="51" t="s">
        <v>247</v>
      </c>
      <c r="AW654" s="49" t="s">
        <v>247</v>
      </c>
      <c r="AX654" s="49"/>
      <c r="AY654" s="49"/>
      <c r="AZ654" s="300">
        <v>45832</v>
      </c>
      <c r="BA654" s="52">
        <v>34</v>
      </c>
      <c r="BB654" s="304">
        <v>45866</v>
      </c>
      <c r="BC654" s="231"/>
      <c r="BD654" s="232"/>
      <c r="BE654" s="222">
        <f t="shared" si="382"/>
        <v>15</v>
      </c>
      <c r="BF654" s="233">
        <f t="shared" si="389"/>
        <v>0</v>
      </c>
      <c r="BG654" s="234"/>
      <c r="BH654" s="235"/>
      <c r="BI654" s="234"/>
      <c r="BJ654" s="236"/>
      <c r="BK654" s="222"/>
      <c r="BL654" s="222"/>
      <c r="BM654" s="238"/>
      <c r="BN654" s="222"/>
      <c r="BO654" s="222"/>
      <c r="BP654" s="243"/>
      <c r="BQ654" s="244"/>
      <c r="BR654" s="238"/>
      <c r="BS654" s="68"/>
      <c r="BT654" s="69"/>
      <c r="BU654" s="69"/>
      <c r="BV654" s="69"/>
      <c r="BW654" s="75"/>
      <c r="BX654" s="81"/>
      <c r="BY654" s="66">
        <v>45813</v>
      </c>
      <c r="BZ654" s="944" t="s">
        <v>3306</v>
      </c>
      <c r="CA654" s="42" t="str">
        <f t="shared" si="401"/>
        <v>0</v>
      </c>
      <c r="CB654" s="62">
        <f t="shared" si="402"/>
        <v>-45799.415972222225</v>
      </c>
      <c r="CC654" s="42">
        <f t="shared" si="403"/>
        <v>34</v>
      </c>
      <c r="CD654" s="62">
        <f t="shared" si="404"/>
        <v>-45833.415972222225</v>
      </c>
      <c r="CE654" s="62">
        <f t="shared" si="405"/>
        <v>-1373.3174271088644</v>
      </c>
      <c r="CF654" s="145" t="str">
        <f t="shared" si="406"/>
        <v>0</v>
      </c>
      <c r="CG654" s="145"/>
      <c r="CH654" s="443">
        <f t="shared" si="407"/>
        <v>2.084962597017896</v>
      </c>
      <c r="CI654" s="996">
        <f t="shared" si="408"/>
        <v>2.084962597017896</v>
      </c>
      <c r="CJ654" s="261">
        <f t="shared" si="409"/>
        <v>0</v>
      </c>
      <c r="CK654" s="458">
        <f t="shared" si="410"/>
        <v>56.584027777775191</v>
      </c>
      <c r="CL654" t="str">
        <f t="shared" si="411"/>
        <v>REV</v>
      </c>
      <c r="CM654" t="str">
        <f t="shared" si="412"/>
        <v>0-3 MONTHS</v>
      </c>
      <c r="CN654" s="635"/>
      <c r="CO654" s="631"/>
      <c r="CP654" s="629"/>
      <c r="CQ654" s="635"/>
      <c r="CR654" s="697"/>
      <c r="CS654" s="633"/>
      <c r="CT654" s="635"/>
      <c r="CU654" s="631"/>
      <c r="CV654" s="638"/>
      <c r="CW654" s="853"/>
      <c r="CX654" s="856"/>
      <c r="CY654" s="856"/>
    </row>
    <row r="655" spans="1:103" s="359" customFormat="1" ht="15" customHeight="1" x14ac:dyDescent="0.25">
      <c r="A655" s="242"/>
      <c r="B655" s="222">
        <v>45805</v>
      </c>
      <c r="C655" s="852"/>
      <c r="D655" s="66" t="s">
        <v>284</v>
      </c>
      <c r="E655" s="404" t="s">
        <v>3307</v>
      </c>
      <c r="F655" s="95" t="s">
        <v>3308</v>
      </c>
      <c r="G655" s="95" t="s">
        <v>3309</v>
      </c>
      <c r="H655" s="95" t="s">
        <v>238</v>
      </c>
      <c r="I655" s="95" t="s">
        <v>239</v>
      </c>
      <c r="J655" s="854"/>
      <c r="K655" s="855"/>
      <c r="L655" s="101" t="s">
        <v>242</v>
      </c>
      <c r="M655" s="101" t="s">
        <v>272</v>
      </c>
      <c r="N655" s="442" t="s">
        <v>467</v>
      </c>
      <c r="O655" s="165">
        <v>68.396899999999988</v>
      </c>
      <c r="P655" s="933">
        <v>118.02</v>
      </c>
      <c r="Q655" s="157">
        <v>147</v>
      </c>
      <c r="R655" s="109" t="s">
        <v>244</v>
      </c>
      <c r="S655" s="110">
        <v>774671.35999999999</v>
      </c>
      <c r="T655" s="93">
        <v>84004.599999999977</v>
      </c>
      <c r="U655" s="857"/>
      <c r="V655" s="158">
        <f t="shared" si="390"/>
        <v>0</v>
      </c>
      <c r="W655" s="159">
        <v>45799.593055555553</v>
      </c>
      <c r="X655" s="159">
        <v>45804.568749999999</v>
      </c>
      <c r="Y655" s="160">
        <v>45805</v>
      </c>
      <c r="Z655" s="470"/>
      <c r="AA655" s="470">
        <v>45808</v>
      </c>
      <c r="AB655" s="942"/>
      <c r="AC655" s="161">
        <f t="shared" si="391"/>
        <v>8.4069444444467081</v>
      </c>
      <c r="AD655" s="161">
        <f t="shared" si="385"/>
        <v>3.4312500000014552</v>
      </c>
      <c r="AE655" s="446">
        <f t="shared" si="413"/>
        <v>-45808</v>
      </c>
      <c r="AF655" s="160">
        <f t="shared" si="386"/>
        <v>45819.039098721019</v>
      </c>
      <c r="AG655" s="160">
        <f t="shared" si="383"/>
        <v>45828.02471023181</v>
      </c>
      <c r="AH655" s="159">
        <f t="shared" si="387"/>
        <v>45849.593055555553</v>
      </c>
      <c r="AI655" s="162">
        <f t="shared" si="392"/>
        <v>0.28090511485050296</v>
      </c>
      <c r="AJ655" s="224">
        <f t="shared" si="388"/>
        <v>-763.4666666666667</v>
      </c>
      <c r="AK655" s="225">
        <f t="shared" si="393"/>
        <v>26</v>
      </c>
      <c r="AL655" s="170">
        <f t="shared" si="394"/>
        <v>32</v>
      </c>
      <c r="AM655" s="170">
        <f t="shared" si="395"/>
        <v>22.446043165467625</v>
      </c>
      <c r="AN655" s="170">
        <f t="shared" si="396"/>
        <v>28.431654676258994</v>
      </c>
      <c r="AO655" s="226">
        <f t="shared" si="397"/>
        <v>19.446043165467625</v>
      </c>
      <c r="AP655" s="227">
        <v>60</v>
      </c>
      <c r="AQ655" s="228">
        <f t="shared" si="398"/>
        <v>57</v>
      </c>
      <c r="AR655" s="228">
        <f t="shared" si="384"/>
        <v>52</v>
      </c>
      <c r="AS655" s="229">
        <f t="shared" si="399"/>
        <v>45868</v>
      </c>
      <c r="AT655" s="982">
        <f t="shared" ca="1" si="400"/>
        <v>87</v>
      </c>
      <c r="AU655" s="50"/>
      <c r="AV655" s="51"/>
      <c r="AW655" s="49"/>
      <c r="AX655" s="49"/>
      <c r="AY655" s="49"/>
      <c r="AZ655" s="300"/>
      <c r="BA655" s="52"/>
      <c r="BB655" s="304"/>
      <c r="BC655" s="231" t="s">
        <v>12</v>
      </c>
      <c r="BD655" s="232"/>
      <c r="BE655" s="222">
        <f t="shared" si="382"/>
        <v>45823</v>
      </c>
      <c r="BF655" s="233">
        <f t="shared" si="389"/>
        <v>3</v>
      </c>
      <c r="BG655" s="234">
        <v>45812</v>
      </c>
      <c r="BH655" s="235">
        <v>45826</v>
      </c>
      <c r="BI655" s="234"/>
      <c r="BJ655" s="236"/>
      <c r="BK655" s="222"/>
      <c r="BL655" s="222"/>
      <c r="BM655" s="238"/>
      <c r="BN655" s="222"/>
      <c r="BO655" s="222"/>
      <c r="BP655" s="243"/>
      <c r="BQ655" s="244" t="s">
        <v>247</v>
      </c>
      <c r="BR655" s="238">
        <v>45811</v>
      </c>
      <c r="BS655" s="68"/>
      <c r="BT655" s="69"/>
      <c r="BU655" s="69"/>
      <c r="BV655" s="69"/>
      <c r="BW655" s="75"/>
      <c r="BX655" s="81"/>
      <c r="BY655" s="66"/>
      <c r="BZ655" s="944"/>
      <c r="CA655" s="42" t="str">
        <f t="shared" si="401"/>
        <v>0</v>
      </c>
      <c r="CB655" s="62">
        <f t="shared" si="402"/>
        <v>8.4069444444467081</v>
      </c>
      <c r="CC655" s="42">
        <f t="shared" si="403"/>
        <v>0</v>
      </c>
      <c r="CD655" s="62">
        <f t="shared" si="404"/>
        <v>8.4069444444467081</v>
      </c>
      <c r="CE655" s="62">
        <f t="shared" si="405"/>
        <v>0.28090511485050296</v>
      </c>
      <c r="CF655" s="145">
        <f t="shared" si="406"/>
        <v>61</v>
      </c>
      <c r="CG655" s="145"/>
      <c r="CH655" s="443">
        <f t="shared" si="407"/>
        <v>2.3191262686966567</v>
      </c>
      <c r="CI655" s="996">
        <f t="shared" si="408"/>
        <v>2.3191262686966567</v>
      </c>
      <c r="CJ655" s="261">
        <f t="shared" si="409"/>
        <v>1.0166666666666666</v>
      </c>
      <c r="CK655" s="458" t="str">
        <f t="shared" si="410"/>
        <v/>
      </c>
      <c r="CL655" t="str">
        <f t="shared" si="411"/>
        <v>REV</v>
      </c>
      <c r="CM655" t="str">
        <f t="shared" si="412"/>
        <v/>
      </c>
      <c r="CN655" s="635"/>
      <c r="CO655" s="631"/>
      <c r="CP655" s="629"/>
      <c r="CQ655" s="635"/>
      <c r="CR655" s="697"/>
      <c r="CS655" s="633"/>
      <c r="CT655" s="635"/>
      <c r="CU655" s="631"/>
      <c r="CV655" s="638"/>
      <c r="CW655" s="853"/>
      <c r="CX655" s="856"/>
      <c r="CY655" s="856"/>
    </row>
    <row r="656" spans="1:103" s="359" customFormat="1" ht="15" customHeight="1" x14ac:dyDescent="0.25">
      <c r="A656" s="242">
        <v>45804</v>
      </c>
      <c r="B656" s="222">
        <v>45804</v>
      </c>
      <c r="C656" s="852"/>
      <c r="D656" s="66" t="s">
        <v>284</v>
      </c>
      <c r="E656" s="404" t="s">
        <v>3310</v>
      </c>
      <c r="F656" s="95" t="s">
        <v>3311</v>
      </c>
      <c r="G656" s="95" t="s">
        <v>2026</v>
      </c>
      <c r="H656" s="95" t="s">
        <v>238</v>
      </c>
      <c r="I656" s="95" t="s">
        <v>239</v>
      </c>
      <c r="J656" s="854"/>
      <c r="K656" s="855"/>
      <c r="L656" s="101" t="s">
        <v>242</v>
      </c>
      <c r="M656" s="101" t="s">
        <v>272</v>
      </c>
      <c r="N656" s="442" t="s">
        <v>467</v>
      </c>
      <c r="O656" s="165">
        <v>3.92</v>
      </c>
      <c r="P656" s="165">
        <v>55.14</v>
      </c>
      <c r="Q656" s="157">
        <v>47</v>
      </c>
      <c r="R656" s="109" t="s">
        <v>244</v>
      </c>
      <c r="S656" s="110">
        <v>114127.36</v>
      </c>
      <c r="T656" s="93">
        <v>47377.649999999994</v>
      </c>
      <c r="U656" s="857"/>
      <c r="V656" s="158">
        <f t="shared" si="390"/>
        <v>0</v>
      </c>
      <c r="W656" s="159">
        <v>45799.594444444447</v>
      </c>
      <c r="X656" s="159">
        <v>45804</v>
      </c>
      <c r="Y656" s="159">
        <v>45806</v>
      </c>
      <c r="Z656" s="470"/>
      <c r="AA656" s="470">
        <v>45869</v>
      </c>
      <c r="AB656" s="942"/>
      <c r="AC656" s="161">
        <f t="shared" si="391"/>
        <v>69.405555555553292</v>
      </c>
      <c r="AD656" s="161">
        <f t="shared" si="385"/>
        <v>65</v>
      </c>
      <c r="AE656" s="446">
        <f t="shared" si="413"/>
        <v>-45869</v>
      </c>
      <c r="AF656" s="160">
        <f t="shared" si="386"/>
        <v>45819.679946303186</v>
      </c>
      <c r="AG656" s="160">
        <f t="shared" si="383"/>
        <v>45828.836080132176</v>
      </c>
      <c r="AH656" s="159">
        <f t="shared" si="387"/>
        <v>45849.594444444447</v>
      </c>
      <c r="AI656" s="162">
        <f t="shared" si="392"/>
        <v>2.2548423242081927</v>
      </c>
      <c r="AJ656" s="224">
        <f t="shared" si="388"/>
        <v>-764.48333333333335</v>
      </c>
      <c r="AK656" s="225">
        <f t="shared" si="393"/>
        <v>23</v>
      </c>
      <c r="AL656" s="170">
        <f t="shared" si="394"/>
        <v>36</v>
      </c>
      <c r="AM656" s="170">
        <f t="shared" si="395"/>
        <v>23.085501858736059</v>
      </c>
      <c r="AN656" s="170">
        <f t="shared" si="396"/>
        <v>29.241635687732341</v>
      </c>
      <c r="AO656" s="226">
        <f t="shared" si="397"/>
        <v>20.085501858736059</v>
      </c>
      <c r="AP656" s="227">
        <v>60</v>
      </c>
      <c r="AQ656" s="228">
        <f t="shared" si="398"/>
        <v>57</v>
      </c>
      <c r="AR656" s="228">
        <f t="shared" si="384"/>
        <v>52</v>
      </c>
      <c r="AS656" s="229">
        <f t="shared" si="399"/>
        <v>45929</v>
      </c>
      <c r="AT656" s="982">
        <f t="shared" ca="1" si="400"/>
        <v>26</v>
      </c>
      <c r="AU656" s="50"/>
      <c r="AV656" s="51"/>
      <c r="AW656" s="49"/>
      <c r="AX656" s="49"/>
      <c r="AY656" s="49"/>
      <c r="AZ656" s="300"/>
      <c r="BA656" s="52"/>
      <c r="BB656" s="304"/>
      <c r="BC656" s="231" t="s">
        <v>13</v>
      </c>
      <c r="BD656" s="232"/>
      <c r="BE656" s="222">
        <f t="shared" si="382"/>
        <v>45884</v>
      </c>
      <c r="BF656" s="233" t="e">
        <f t="shared" si="389"/>
        <v>#VALUE!</v>
      </c>
      <c r="BG656" s="234"/>
      <c r="BH656" s="235"/>
      <c r="BI656" s="234"/>
      <c r="BJ656" s="236"/>
      <c r="BK656" s="222"/>
      <c r="BL656" s="222"/>
      <c r="BM656" s="238"/>
      <c r="BN656" s="222"/>
      <c r="BO656" s="222"/>
      <c r="BP656" s="243"/>
      <c r="BQ656" s="244" t="s">
        <v>247</v>
      </c>
      <c r="BR656" s="238">
        <v>45868</v>
      </c>
      <c r="BS656" s="68"/>
      <c r="BT656" s="69"/>
      <c r="BU656" s="69"/>
      <c r="BV656" s="69"/>
      <c r="BW656" s="75"/>
      <c r="BX656" s="81"/>
      <c r="BY656" s="66"/>
      <c r="BZ656" s="944"/>
      <c r="CA656" s="42" t="str">
        <f t="shared" si="401"/>
        <v>0</v>
      </c>
      <c r="CB656" s="62">
        <f t="shared" si="402"/>
        <v>69.405555555553292</v>
      </c>
      <c r="CC656" s="42">
        <f t="shared" si="403"/>
        <v>0</v>
      </c>
      <c r="CD656" s="62">
        <f t="shared" si="404"/>
        <v>69.405555555553292</v>
      </c>
      <c r="CE656" s="62">
        <f t="shared" si="405"/>
        <v>2.2548423242081927</v>
      </c>
      <c r="CF656" s="145">
        <f t="shared" si="406"/>
        <v>0</v>
      </c>
      <c r="CG656" s="145"/>
      <c r="CH656" s="443">
        <f t="shared" si="407"/>
        <v>2.2548423242081927</v>
      </c>
      <c r="CI656" s="996">
        <f t="shared" si="408"/>
        <v>2.2548423242081927</v>
      </c>
      <c r="CJ656" s="261">
        <f t="shared" si="409"/>
        <v>0</v>
      </c>
      <c r="CK656" s="458" t="str">
        <f t="shared" si="410"/>
        <v/>
      </c>
      <c r="CL656" t="str">
        <f t="shared" si="411"/>
        <v>REV</v>
      </c>
      <c r="CM656" t="str">
        <f t="shared" si="412"/>
        <v/>
      </c>
      <c r="CN656" s="635"/>
      <c r="CO656" s="631"/>
      <c r="CP656" s="629"/>
      <c r="CQ656" s="635"/>
      <c r="CR656" s="697"/>
      <c r="CS656" s="633"/>
      <c r="CT656" s="635"/>
      <c r="CU656" s="631"/>
      <c r="CV656" s="638"/>
      <c r="CW656" s="853"/>
      <c r="CX656" s="856"/>
      <c r="CY656" s="856"/>
    </row>
    <row r="657" spans="1:103" s="359" customFormat="1" ht="15" customHeight="1" x14ac:dyDescent="0.25">
      <c r="A657" s="242">
        <v>45804</v>
      </c>
      <c r="B657" s="222">
        <v>45805</v>
      </c>
      <c r="C657" s="852"/>
      <c r="D657" s="66" t="s">
        <v>234</v>
      </c>
      <c r="E657" s="404" t="s">
        <v>3312</v>
      </c>
      <c r="F657" s="95" t="s">
        <v>3313</v>
      </c>
      <c r="G657" s="95" t="s">
        <v>3314</v>
      </c>
      <c r="H657" s="95" t="s">
        <v>238</v>
      </c>
      <c r="I657" s="95" t="s">
        <v>239</v>
      </c>
      <c r="J657" s="854"/>
      <c r="K657" s="855"/>
      <c r="L657" s="101" t="s">
        <v>288</v>
      </c>
      <c r="M657" s="101" t="s">
        <v>272</v>
      </c>
      <c r="N657" s="442" t="s">
        <v>381</v>
      </c>
      <c r="O657" s="165">
        <v>156.64700000000002</v>
      </c>
      <c r="P657" s="165">
        <v>280.92</v>
      </c>
      <c r="Q657" s="157" t="s">
        <v>2021</v>
      </c>
      <c r="R657" s="109" t="s">
        <v>327</v>
      </c>
      <c r="S657" s="110">
        <v>261303.15</v>
      </c>
      <c r="T657" s="93">
        <v>241379.83999999997</v>
      </c>
      <c r="U657" s="857"/>
      <c r="V657" s="158">
        <f t="shared" si="390"/>
        <v>0</v>
      </c>
      <c r="W657" s="159">
        <v>45799.689583333333</v>
      </c>
      <c r="X657" s="159">
        <v>45804.570138888892</v>
      </c>
      <c r="Y657" s="160">
        <v>45805</v>
      </c>
      <c r="Z657" s="470"/>
      <c r="AA657" s="470">
        <v>45851.341666666667</v>
      </c>
      <c r="AB657" s="942"/>
      <c r="AC657" s="161">
        <f t="shared" si="391"/>
        <v>51.652083333334303</v>
      </c>
      <c r="AD657" s="161">
        <f t="shared" si="385"/>
        <v>46.771527777775191</v>
      </c>
      <c r="AE657" s="446">
        <f t="shared" si="413"/>
        <v>-45851.341666666667</v>
      </c>
      <c r="AF657" s="160">
        <f t="shared" si="386"/>
        <v>45813.095833333333</v>
      </c>
      <c r="AG657" s="160">
        <f t="shared" si="383"/>
        <v>45820.470833333333</v>
      </c>
      <c r="AH657" s="159">
        <f t="shared" si="387"/>
        <v>45849.689583333333</v>
      </c>
      <c r="AI657" s="162">
        <f t="shared" si="392"/>
        <v>2.3612380952381393</v>
      </c>
      <c r="AJ657" s="224">
        <f t="shared" si="388"/>
        <v>-764.18902777777782</v>
      </c>
      <c r="AK657" s="225">
        <f t="shared" si="393"/>
        <v>28</v>
      </c>
      <c r="AL657" s="170">
        <f t="shared" si="394"/>
        <v>20</v>
      </c>
      <c r="AM657" s="170">
        <f t="shared" si="395"/>
        <v>16.406250000000004</v>
      </c>
      <c r="AN657" s="170">
        <f t="shared" si="396"/>
        <v>20.781250000000004</v>
      </c>
      <c r="AO657" s="226">
        <f t="shared" si="397"/>
        <v>13.406250000000004</v>
      </c>
      <c r="AP657" s="227">
        <v>60</v>
      </c>
      <c r="AQ657" s="228">
        <f t="shared" si="398"/>
        <v>57</v>
      </c>
      <c r="AR657" s="228">
        <f t="shared" si="384"/>
        <v>52</v>
      </c>
      <c r="AS657" s="229">
        <f t="shared" si="399"/>
        <v>45911.341666666667</v>
      </c>
      <c r="AT657" s="982">
        <f t="shared" ca="1" si="400"/>
        <v>43.658333333332848</v>
      </c>
      <c r="AU657" s="50"/>
      <c r="AV657" s="51"/>
      <c r="AW657" s="49"/>
      <c r="AX657" s="49"/>
      <c r="AY657" s="49"/>
      <c r="AZ657" s="300"/>
      <c r="BA657" s="52"/>
      <c r="BB657" s="304"/>
      <c r="BC657" s="231" t="s">
        <v>13</v>
      </c>
      <c r="BD657" s="232"/>
      <c r="BE657" s="222">
        <f t="shared" si="382"/>
        <v>45866.341666666667</v>
      </c>
      <c r="BF657" s="233" t="e">
        <f t="shared" si="389"/>
        <v>#VALUE!</v>
      </c>
      <c r="BG657" s="234"/>
      <c r="BH657" s="235"/>
      <c r="BI657" s="234"/>
      <c r="BJ657" s="236"/>
      <c r="BK657" s="222"/>
      <c r="BL657" s="222"/>
      <c r="BM657" s="238"/>
      <c r="BN657" s="222"/>
      <c r="BO657" s="222"/>
      <c r="BP657" s="243"/>
      <c r="BQ657" s="244"/>
      <c r="BR657" s="238"/>
      <c r="BS657" s="68"/>
      <c r="BT657" s="69"/>
      <c r="BU657" s="69"/>
      <c r="BV657" s="69"/>
      <c r="BW657" s="75"/>
      <c r="BX657" s="81"/>
      <c r="BY657" s="66"/>
      <c r="BZ657" s="944"/>
      <c r="CA657" s="42" t="str">
        <f t="shared" si="401"/>
        <v>0</v>
      </c>
      <c r="CB657" s="62">
        <f t="shared" si="402"/>
        <v>51.652083333334303</v>
      </c>
      <c r="CC657" s="42">
        <f t="shared" si="403"/>
        <v>0</v>
      </c>
      <c r="CD657" s="62">
        <f t="shared" si="404"/>
        <v>51.652083333334303</v>
      </c>
      <c r="CE657" s="62">
        <f t="shared" si="405"/>
        <v>2.3612380952381393</v>
      </c>
      <c r="CF657" s="145">
        <f t="shared" si="406"/>
        <v>17.658333333332848</v>
      </c>
      <c r="CG657" s="145"/>
      <c r="CH657" s="443">
        <f t="shared" si="407"/>
        <v>3.1684761904762127</v>
      </c>
      <c r="CI657" s="996">
        <f t="shared" si="408"/>
        <v>3.1684761904762127</v>
      </c>
      <c r="CJ657" s="261">
        <f t="shared" si="409"/>
        <v>0.29430555555554749</v>
      </c>
      <c r="CK657" s="458" t="str">
        <f t="shared" si="410"/>
        <v/>
      </c>
      <c r="CL657" t="str">
        <f t="shared" si="411"/>
        <v>NON-REV</v>
      </c>
      <c r="CM657" t="str">
        <f t="shared" si="412"/>
        <v/>
      </c>
      <c r="CN657" s="635"/>
      <c r="CO657" s="631"/>
      <c r="CP657" s="629"/>
      <c r="CQ657" s="635"/>
      <c r="CR657" s="697"/>
      <c r="CS657" s="633"/>
      <c r="CT657" s="635"/>
      <c r="CU657" s="631"/>
      <c r="CV657" s="638"/>
      <c r="CW657" s="853"/>
      <c r="CX657" s="856"/>
      <c r="CY657" s="856"/>
    </row>
    <row r="658" spans="1:103" s="359" customFormat="1" ht="15" customHeight="1" x14ac:dyDescent="0.25">
      <c r="A658" s="242">
        <v>45813</v>
      </c>
      <c r="B658" s="222">
        <v>45811</v>
      </c>
      <c r="C658" s="852"/>
      <c r="D658" s="66" t="s">
        <v>320</v>
      </c>
      <c r="E658" s="404" t="s">
        <v>3315</v>
      </c>
      <c r="F658" s="95" t="s">
        <v>3316</v>
      </c>
      <c r="G658" s="95" t="s">
        <v>3317</v>
      </c>
      <c r="H658" s="95" t="s">
        <v>318</v>
      </c>
      <c r="I658" s="95" t="s">
        <v>239</v>
      </c>
      <c r="J658" s="854"/>
      <c r="K658" s="855"/>
      <c r="L658" s="101" t="s">
        <v>5</v>
      </c>
      <c r="M658" s="101" t="s">
        <v>272</v>
      </c>
      <c r="N658" s="442" t="s">
        <v>403</v>
      </c>
      <c r="O658" s="165">
        <v>14.8428</v>
      </c>
      <c r="P658" s="933">
        <v>19.97</v>
      </c>
      <c r="Q658" s="157">
        <v>108</v>
      </c>
      <c r="R658" s="109" t="s">
        <v>548</v>
      </c>
      <c r="S658" s="110">
        <v>240761.59</v>
      </c>
      <c r="T658" s="93">
        <v>17184.830000000002</v>
      </c>
      <c r="U658" s="857"/>
      <c r="V658" s="158">
        <f t="shared" si="390"/>
        <v>0</v>
      </c>
      <c r="W658" s="159">
        <v>45800.614583333336</v>
      </c>
      <c r="X658" s="159">
        <v>45807.568749999999</v>
      </c>
      <c r="Y658" s="160">
        <v>45811</v>
      </c>
      <c r="Z658" s="470"/>
      <c r="AA658" s="470">
        <v>45821</v>
      </c>
      <c r="AB658" s="942"/>
      <c r="AC658" s="161">
        <f t="shared" si="391"/>
        <v>20.385416666664241</v>
      </c>
      <c r="AD658" s="161">
        <f t="shared" si="385"/>
        <v>13.431250000001455</v>
      </c>
      <c r="AE658" s="446">
        <f t="shared" si="413"/>
        <v>-45821</v>
      </c>
      <c r="AF658" s="160">
        <f t="shared" si="386"/>
        <v>45817.953566384182</v>
      </c>
      <c r="AG658" s="160">
        <f t="shared" si="383"/>
        <v>45826.377295197744</v>
      </c>
      <c r="AH658" s="159">
        <f t="shared" si="387"/>
        <v>45850.614583333336</v>
      </c>
      <c r="AI658" s="162">
        <f t="shared" si="392"/>
        <v>0.75171223958324385</v>
      </c>
      <c r="AJ658" s="224">
        <f t="shared" si="388"/>
        <v>-763.68333333333328</v>
      </c>
      <c r="AK658" s="225">
        <f t="shared" si="393"/>
        <v>20</v>
      </c>
      <c r="AL658" s="170">
        <f t="shared" si="394"/>
        <v>32</v>
      </c>
      <c r="AM658" s="170">
        <f t="shared" si="395"/>
        <v>20.33898305084746</v>
      </c>
      <c r="AN658" s="170">
        <f t="shared" si="396"/>
        <v>25.762711864406779</v>
      </c>
      <c r="AO658" s="226">
        <f t="shared" si="397"/>
        <v>17.33898305084746</v>
      </c>
      <c r="AP658" s="227">
        <v>60</v>
      </c>
      <c r="AQ658" s="228">
        <f t="shared" si="398"/>
        <v>57</v>
      </c>
      <c r="AR658" s="228">
        <f t="shared" si="384"/>
        <v>52</v>
      </c>
      <c r="AS658" s="229">
        <f t="shared" si="399"/>
        <v>45881</v>
      </c>
      <c r="AT658" s="982">
        <f t="shared" ca="1" si="400"/>
        <v>74</v>
      </c>
      <c r="AU658" s="50"/>
      <c r="AV658" s="51"/>
      <c r="AW658" s="49"/>
      <c r="AX658" s="49"/>
      <c r="AY658" s="49"/>
      <c r="AZ658" s="300"/>
      <c r="BA658" s="52"/>
      <c r="BB658" s="304"/>
      <c r="BC658" s="231" t="s">
        <v>13</v>
      </c>
      <c r="BD658" s="232"/>
      <c r="BE658" s="222">
        <f t="shared" si="382"/>
        <v>45836</v>
      </c>
      <c r="BF658" s="233" t="e">
        <f t="shared" si="389"/>
        <v>#VALUE!</v>
      </c>
      <c r="BG658" s="234"/>
      <c r="BH658" s="235"/>
      <c r="BI658" s="234"/>
      <c r="BJ658" s="236"/>
      <c r="BK658" s="222"/>
      <c r="BL658" s="222"/>
      <c r="BM658" s="238"/>
      <c r="BN658" s="222"/>
      <c r="BO658" s="222"/>
      <c r="BP658" s="243"/>
      <c r="BQ658" s="244" t="s">
        <v>247</v>
      </c>
      <c r="BR658" s="238">
        <v>45820</v>
      </c>
      <c r="BS658" s="68"/>
      <c r="BT658" s="69"/>
      <c r="BU658" s="69"/>
      <c r="BV658" s="69"/>
      <c r="BW658" s="75"/>
      <c r="BX658" s="81"/>
      <c r="BY658" s="66">
        <v>45817</v>
      </c>
      <c r="BZ658" s="944" t="s">
        <v>3318</v>
      </c>
      <c r="CA658" s="42" t="str">
        <f t="shared" si="401"/>
        <v>0</v>
      </c>
      <c r="CB658" s="62">
        <f t="shared" si="402"/>
        <v>20.385416666664241</v>
      </c>
      <c r="CC658" s="42">
        <f t="shared" si="403"/>
        <v>0</v>
      </c>
      <c r="CD658" s="62">
        <f t="shared" si="404"/>
        <v>20.385416666664241</v>
      </c>
      <c r="CE658" s="62">
        <f t="shared" si="405"/>
        <v>0.75171223958324385</v>
      </c>
      <c r="CF658" s="145">
        <f t="shared" si="406"/>
        <v>48</v>
      </c>
      <c r="CG658" s="145"/>
      <c r="CH658" s="443">
        <f t="shared" si="407"/>
        <v>2.5217122395832439</v>
      </c>
      <c r="CI658" s="996">
        <f t="shared" si="408"/>
        <v>2.5217122395832439</v>
      </c>
      <c r="CJ658" s="261">
        <f t="shared" si="409"/>
        <v>0.8</v>
      </c>
      <c r="CK658" s="458" t="str">
        <f t="shared" si="410"/>
        <v/>
      </c>
      <c r="CL658" t="str">
        <f t="shared" si="411"/>
        <v>NON-REV</v>
      </c>
      <c r="CM658" t="str">
        <f t="shared" si="412"/>
        <v/>
      </c>
      <c r="CN658" s="635"/>
      <c r="CO658" s="631"/>
      <c r="CP658" s="629"/>
      <c r="CQ658" s="635"/>
      <c r="CR658" s="697"/>
      <c r="CS658" s="633"/>
      <c r="CT658" s="635"/>
      <c r="CU658" s="631"/>
      <c r="CV658" s="638"/>
      <c r="CW658" s="853"/>
      <c r="CX658" s="856"/>
      <c r="CY658" s="856"/>
    </row>
    <row r="659" spans="1:103" s="359" customFormat="1" ht="15" customHeight="1" x14ac:dyDescent="0.25">
      <c r="A659" s="242">
        <v>45810</v>
      </c>
      <c r="B659" s="222">
        <v>45810</v>
      </c>
      <c r="C659" s="852"/>
      <c r="D659" s="66" t="s">
        <v>320</v>
      </c>
      <c r="E659" s="404" t="s">
        <v>3319</v>
      </c>
      <c r="F659" s="95" t="s">
        <v>559</v>
      </c>
      <c r="G659" s="95" t="s">
        <v>3320</v>
      </c>
      <c r="H659" s="95" t="s">
        <v>253</v>
      </c>
      <c r="I659" s="95" t="s">
        <v>254</v>
      </c>
      <c r="J659" s="854"/>
      <c r="K659" s="855"/>
      <c r="L659" s="101" t="s">
        <v>263</v>
      </c>
      <c r="M659" s="101" t="s">
        <v>272</v>
      </c>
      <c r="N659" s="442" t="s">
        <v>467</v>
      </c>
      <c r="O659" s="165">
        <v>37.709499999999998</v>
      </c>
      <c r="P659" s="933">
        <v>129.72</v>
      </c>
      <c r="Q659" s="157">
        <v>55</v>
      </c>
      <c r="R659" s="109" t="s">
        <v>244</v>
      </c>
      <c r="S659" s="110">
        <v>498354.19</v>
      </c>
      <c r="T659" s="93">
        <v>44193.37</v>
      </c>
      <c r="U659" s="857"/>
      <c r="V659" s="158">
        <f t="shared" si="390"/>
        <v>0</v>
      </c>
      <c r="W659" s="159">
        <v>45800.751388888886</v>
      </c>
      <c r="X659" s="159">
        <v>45807.568055555559</v>
      </c>
      <c r="Y659" s="160">
        <v>45810</v>
      </c>
      <c r="Z659" s="470"/>
      <c r="AA659" s="470">
        <v>45818</v>
      </c>
      <c r="AB659" s="942"/>
      <c r="AC659" s="161">
        <f t="shared" si="391"/>
        <v>17.24861111111386</v>
      </c>
      <c r="AD659" s="161">
        <f t="shared" si="385"/>
        <v>10.431944444440887</v>
      </c>
      <c r="AE659" s="446">
        <f t="shared" si="413"/>
        <v>-45818</v>
      </c>
      <c r="AF659" s="160">
        <f t="shared" si="386"/>
        <v>45821.096459311419</v>
      </c>
      <c r="AG659" s="160">
        <f t="shared" si="383"/>
        <v>45830.321811424095</v>
      </c>
      <c r="AH659" s="159">
        <f t="shared" si="387"/>
        <v>45850.751388888886</v>
      </c>
      <c r="AI659" s="162">
        <f t="shared" si="392"/>
        <v>0.55414089994981164</v>
      </c>
      <c r="AJ659" s="224">
        <f t="shared" si="388"/>
        <v>-763.63333333333333</v>
      </c>
      <c r="AK659" s="225">
        <f t="shared" si="393"/>
        <v>26</v>
      </c>
      <c r="AL659" s="170">
        <f t="shared" si="394"/>
        <v>34</v>
      </c>
      <c r="AM659" s="170">
        <f t="shared" si="395"/>
        <v>23.345070422535212</v>
      </c>
      <c r="AN659" s="170">
        <f t="shared" si="396"/>
        <v>29.570422535211268</v>
      </c>
      <c r="AO659" s="226">
        <f t="shared" si="397"/>
        <v>20.345070422535212</v>
      </c>
      <c r="AP659" s="227">
        <v>60</v>
      </c>
      <c r="AQ659" s="228">
        <f t="shared" si="398"/>
        <v>57</v>
      </c>
      <c r="AR659" s="228">
        <f t="shared" si="384"/>
        <v>52</v>
      </c>
      <c r="AS659" s="229">
        <f t="shared" si="399"/>
        <v>45878</v>
      </c>
      <c r="AT659" s="982">
        <f t="shared" ca="1" si="400"/>
        <v>77</v>
      </c>
      <c r="AU659" s="50"/>
      <c r="AV659" s="51"/>
      <c r="AW659" s="49"/>
      <c r="AX659" s="49"/>
      <c r="AY659" s="49"/>
      <c r="AZ659" s="300"/>
      <c r="BA659" s="52"/>
      <c r="BB659" s="304"/>
      <c r="BC659" s="231" t="s">
        <v>13</v>
      </c>
      <c r="BD659" s="232"/>
      <c r="BE659" s="222">
        <f t="shared" si="382"/>
        <v>45833</v>
      </c>
      <c r="BF659" s="233" t="e">
        <f t="shared" si="389"/>
        <v>#VALUE!</v>
      </c>
      <c r="BG659" s="234"/>
      <c r="BH659" s="235"/>
      <c r="BI659" s="234"/>
      <c r="BJ659" s="236"/>
      <c r="BK659" s="222"/>
      <c r="BL659" s="222"/>
      <c r="BM659" s="238"/>
      <c r="BN659" s="222"/>
      <c r="BO659" s="222"/>
      <c r="BP659" s="243"/>
      <c r="BQ659" s="244" t="s">
        <v>247</v>
      </c>
      <c r="BR659" s="238">
        <v>45813</v>
      </c>
      <c r="BS659" s="68"/>
      <c r="BT659" s="69"/>
      <c r="BU659" s="69"/>
      <c r="BV659" s="69"/>
      <c r="BW659" s="75"/>
      <c r="BX659" s="81"/>
      <c r="BY659" s="66">
        <v>45810</v>
      </c>
      <c r="BZ659" s="944" t="s">
        <v>3321</v>
      </c>
      <c r="CA659" s="42" t="str">
        <f t="shared" si="401"/>
        <v>0</v>
      </c>
      <c r="CB659" s="62">
        <f t="shared" si="402"/>
        <v>17.24861111111386</v>
      </c>
      <c r="CC659" s="42">
        <f t="shared" si="403"/>
        <v>0</v>
      </c>
      <c r="CD659" s="62">
        <f t="shared" si="404"/>
        <v>17.24861111111386</v>
      </c>
      <c r="CE659" s="62">
        <f t="shared" si="405"/>
        <v>0.55414089994981164</v>
      </c>
      <c r="CF659" s="145">
        <f t="shared" si="406"/>
        <v>51</v>
      </c>
      <c r="CG659" s="145"/>
      <c r="CH659" s="443">
        <f t="shared" si="407"/>
        <v>2.1926024384113498</v>
      </c>
      <c r="CI659" s="996">
        <f t="shared" si="408"/>
        <v>2.1926024384113498</v>
      </c>
      <c r="CJ659" s="261">
        <f t="shared" si="409"/>
        <v>0.85</v>
      </c>
      <c r="CK659" s="458" t="str">
        <f t="shared" si="410"/>
        <v/>
      </c>
      <c r="CL659" t="str">
        <f t="shared" si="411"/>
        <v>REV</v>
      </c>
      <c r="CM659" t="str">
        <f t="shared" si="412"/>
        <v/>
      </c>
      <c r="CN659" s="635"/>
      <c r="CO659" s="631"/>
      <c r="CP659" s="629"/>
      <c r="CQ659" s="635"/>
      <c r="CR659" s="697"/>
      <c r="CS659" s="633"/>
      <c r="CT659" s="635"/>
      <c r="CU659" s="631"/>
      <c r="CV659" s="638"/>
      <c r="CW659" s="853"/>
      <c r="CX659" s="856"/>
      <c r="CY659" s="856"/>
    </row>
    <row r="660" spans="1:103" s="359" customFormat="1" ht="15" customHeight="1" x14ac:dyDescent="0.25">
      <c r="A660" s="242">
        <v>45811</v>
      </c>
      <c r="B660" s="222">
        <v>45811</v>
      </c>
      <c r="C660" s="852"/>
      <c r="D660" s="66" t="s">
        <v>320</v>
      </c>
      <c r="E660" s="404" t="s">
        <v>3322</v>
      </c>
      <c r="F660" s="95" t="s">
        <v>3323</v>
      </c>
      <c r="G660" s="95" t="s">
        <v>3324</v>
      </c>
      <c r="H660" s="95" t="s">
        <v>318</v>
      </c>
      <c r="I660" s="95" t="s">
        <v>239</v>
      </c>
      <c r="J660" s="854" t="s">
        <v>3325</v>
      </c>
      <c r="K660" s="855"/>
      <c r="L660" s="101" t="s">
        <v>5</v>
      </c>
      <c r="M660" s="101" t="s">
        <v>272</v>
      </c>
      <c r="N660" s="442" t="s">
        <v>403</v>
      </c>
      <c r="O660" s="165">
        <v>66.476399999999998</v>
      </c>
      <c r="P660" s="165">
        <v>174.23</v>
      </c>
      <c r="Q660" s="157">
        <v>82</v>
      </c>
      <c r="R660" s="109" t="s">
        <v>548</v>
      </c>
      <c r="S660" s="110">
        <v>469375.96</v>
      </c>
      <c r="T660" s="93">
        <v>81261.490000000005</v>
      </c>
      <c r="U660" s="857"/>
      <c r="V660" s="158">
        <f t="shared" si="390"/>
        <v>0</v>
      </c>
      <c r="W660" s="159">
        <v>45803.576388888891</v>
      </c>
      <c r="X660" s="159">
        <v>45807.570833333331</v>
      </c>
      <c r="Y660" s="160">
        <v>45811</v>
      </c>
      <c r="Z660" s="470"/>
      <c r="AA660" s="470">
        <v>45884</v>
      </c>
      <c r="AB660" s="942"/>
      <c r="AC660" s="161">
        <f t="shared" si="391"/>
        <v>80.423611111109494</v>
      </c>
      <c r="AD660" s="161">
        <f t="shared" si="385"/>
        <v>76.429166666668607</v>
      </c>
      <c r="AE660" s="446">
        <f t="shared" si="413"/>
        <v>-45884</v>
      </c>
      <c r="AF660" s="160">
        <f t="shared" si="386"/>
        <v>45823.921459311423</v>
      </c>
      <c r="AG660" s="160">
        <f t="shared" si="383"/>
        <v>45833.1468114241</v>
      </c>
      <c r="AH660" s="159">
        <f t="shared" si="387"/>
        <v>45853.576388888891</v>
      </c>
      <c r="AI660" s="162">
        <f t="shared" si="392"/>
        <v>2.5837449723478616</v>
      </c>
      <c r="AJ660" s="224">
        <f t="shared" si="388"/>
        <v>-764.73333333333335</v>
      </c>
      <c r="AK660" s="225">
        <f t="shared" si="393"/>
        <v>26</v>
      </c>
      <c r="AL660" s="170">
        <f t="shared" si="394"/>
        <v>34</v>
      </c>
      <c r="AM660" s="170">
        <f t="shared" si="395"/>
        <v>23.345070422535212</v>
      </c>
      <c r="AN660" s="170">
        <f t="shared" si="396"/>
        <v>29.570422535211268</v>
      </c>
      <c r="AO660" s="226">
        <f t="shared" si="397"/>
        <v>20.345070422535212</v>
      </c>
      <c r="AP660" s="227">
        <v>60</v>
      </c>
      <c r="AQ660" s="228">
        <f t="shared" si="398"/>
        <v>57</v>
      </c>
      <c r="AR660" s="228">
        <f t="shared" si="384"/>
        <v>52</v>
      </c>
      <c r="AS660" s="229">
        <f t="shared" si="399"/>
        <v>45944</v>
      </c>
      <c r="AT660" s="982">
        <f t="shared" ca="1" si="400"/>
        <v>11</v>
      </c>
      <c r="AU660" s="50"/>
      <c r="AV660" s="51"/>
      <c r="AW660" s="49"/>
      <c r="AX660" s="49"/>
      <c r="AY660" s="49"/>
      <c r="AZ660" s="300"/>
      <c r="BA660" s="52"/>
      <c r="BB660" s="304"/>
      <c r="BC660" s="231"/>
      <c r="BD660" s="232"/>
      <c r="BE660" s="222">
        <f t="shared" si="382"/>
        <v>45899</v>
      </c>
      <c r="BF660" s="233" t="e">
        <f t="shared" si="389"/>
        <v>#VALUE!</v>
      </c>
      <c r="BG660" s="234"/>
      <c r="BH660" s="235"/>
      <c r="BI660" s="234"/>
      <c r="BJ660" s="236"/>
      <c r="BK660" s="222"/>
      <c r="BL660" s="222"/>
      <c r="BM660" s="238"/>
      <c r="BN660" s="222"/>
      <c r="BO660" s="222"/>
      <c r="BP660" s="243"/>
      <c r="BQ660" s="244" t="s">
        <v>247</v>
      </c>
      <c r="BR660" s="238"/>
      <c r="BS660" s="68"/>
      <c r="BT660" s="69"/>
      <c r="BU660" s="69"/>
      <c r="BV660" s="69"/>
      <c r="BW660" s="75"/>
      <c r="BX660" s="81"/>
      <c r="BY660" s="66">
        <v>45811</v>
      </c>
      <c r="BZ660" s="944" t="s">
        <v>3326</v>
      </c>
      <c r="CA660" s="42" t="str">
        <f t="shared" si="401"/>
        <v>0</v>
      </c>
      <c r="CB660" s="62">
        <f t="shared" si="402"/>
        <v>80.423611111109494</v>
      </c>
      <c r="CC660" s="42">
        <f t="shared" si="403"/>
        <v>0</v>
      </c>
      <c r="CD660" s="62">
        <f t="shared" si="404"/>
        <v>80.423611111109494</v>
      </c>
      <c r="CE660" s="62">
        <f t="shared" si="405"/>
        <v>2.5837449723478616</v>
      </c>
      <c r="CF660" s="145">
        <f t="shared" si="406"/>
        <v>-15</v>
      </c>
      <c r="CG660" s="145"/>
      <c r="CH660" s="443">
        <f t="shared" si="407"/>
        <v>2.1018445198591738</v>
      </c>
      <c r="CI660" s="996">
        <f t="shared" si="408"/>
        <v>2.1018445198591738</v>
      </c>
      <c r="CJ660" s="261">
        <f t="shared" si="409"/>
        <v>-0.25</v>
      </c>
      <c r="CK660" s="458" t="str">
        <f t="shared" si="410"/>
        <v/>
      </c>
      <c r="CL660" t="str">
        <f t="shared" si="411"/>
        <v>NON-REV</v>
      </c>
      <c r="CM660" t="str">
        <f t="shared" si="412"/>
        <v/>
      </c>
      <c r="CN660" s="635"/>
      <c r="CO660" s="631"/>
      <c r="CP660" s="629"/>
      <c r="CQ660" s="635"/>
      <c r="CR660" s="697"/>
      <c r="CS660" s="633"/>
      <c r="CT660" s="635"/>
      <c r="CU660" s="631"/>
      <c r="CV660" s="638"/>
      <c r="CW660" s="853"/>
      <c r="CX660" s="856"/>
      <c r="CY660" s="856"/>
    </row>
    <row r="661" spans="1:103" s="359" customFormat="1" ht="15" customHeight="1" x14ac:dyDescent="0.25">
      <c r="A661" s="222">
        <v>45811</v>
      </c>
      <c r="B661" s="222">
        <v>45811</v>
      </c>
      <c r="C661" s="852"/>
      <c r="D661" s="66" t="s">
        <v>320</v>
      </c>
      <c r="E661" s="404" t="s">
        <v>3327</v>
      </c>
      <c r="F661" s="95" t="s">
        <v>3328</v>
      </c>
      <c r="G661" s="95" t="s">
        <v>3329</v>
      </c>
      <c r="H661" s="95" t="s">
        <v>318</v>
      </c>
      <c r="I661" s="95" t="s">
        <v>239</v>
      </c>
      <c r="J661" s="854"/>
      <c r="K661" s="855"/>
      <c r="L661" s="101" t="s">
        <v>5</v>
      </c>
      <c r="M661" s="101" t="s">
        <v>272</v>
      </c>
      <c r="N661" s="442" t="s">
        <v>403</v>
      </c>
      <c r="O661" s="165">
        <v>71.929000000000002</v>
      </c>
      <c r="P661" s="933">
        <v>197.88</v>
      </c>
      <c r="Q661" s="157">
        <v>80</v>
      </c>
      <c r="R661" s="109" t="s">
        <v>548</v>
      </c>
      <c r="S661" s="110">
        <v>557269.63</v>
      </c>
      <c r="T661" s="93">
        <v>101178.71</v>
      </c>
      <c r="U661" s="857"/>
      <c r="V661" s="158">
        <f t="shared" si="390"/>
        <v>0</v>
      </c>
      <c r="W661" s="159">
        <v>45803.578472222223</v>
      </c>
      <c r="X661" s="159">
        <v>45807.572222222225</v>
      </c>
      <c r="Y661" s="160">
        <v>45811</v>
      </c>
      <c r="Z661" s="470"/>
      <c r="AA661" s="470">
        <v>45841</v>
      </c>
      <c r="AB661" s="942"/>
      <c r="AC661" s="161">
        <f t="shared" si="391"/>
        <v>37.421527777776646</v>
      </c>
      <c r="AD661" s="161">
        <f t="shared" si="385"/>
        <v>33.427777777775191</v>
      </c>
      <c r="AE661" s="446">
        <f t="shared" si="413"/>
        <v>-45841</v>
      </c>
      <c r="AF661" s="160">
        <f t="shared" si="386"/>
        <v>45823.923542644756</v>
      </c>
      <c r="AG661" s="160">
        <f t="shared" si="383"/>
        <v>45833.148894757433</v>
      </c>
      <c r="AH661" s="159">
        <f t="shared" si="387"/>
        <v>45853.578472222223</v>
      </c>
      <c r="AI661" s="162">
        <f t="shared" si="392"/>
        <v>1.2022300779285708</v>
      </c>
      <c r="AJ661" s="224">
        <f t="shared" si="388"/>
        <v>-764.01666666666665</v>
      </c>
      <c r="AK661" s="225">
        <f t="shared" si="393"/>
        <v>26</v>
      </c>
      <c r="AL661" s="170">
        <f t="shared" si="394"/>
        <v>34</v>
      </c>
      <c r="AM661" s="170">
        <f t="shared" si="395"/>
        <v>23.345070422535212</v>
      </c>
      <c r="AN661" s="170">
        <f t="shared" si="396"/>
        <v>29.570422535211268</v>
      </c>
      <c r="AO661" s="226">
        <f t="shared" si="397"/>
        <v>20.345070422535212</v>
      </c>
      <c r="AP661" s="227">
        <v>60</v>
      </c>
      <c r="AQ661" s="228">
        <f t="shared" si="398"/>
        <v>57</v>
      </c>
      <c r="AR661" s="228">
        <f t="shared" si="384"/>
        <v>52</v>
      </c>
      <c r="AS661" s="229">
        <f t="shared" si="399"/>
        <v>45901</v>
      </c>
      <c r="AT661" s="982">
        <f t="shared" ca="1" si="400"/>
        <v>54</v>
      </c>
      <c r="AU661" s="50"/>
      <c r="AV661" s="51"/>
      <c r="AW661" s="49"/>
      <c r="AX661" s="49"/>
      <c r="AY661" s="49"/>
      <c r="AZ661" s="300"/>
      <c r="BA661" s="52"/>
      <c r="BB661" s="304"/>
      <c r="BC661" s="231" t="s">
        <v>13</v>
      </c>
      <c r="BD661" s="232"/>
      <c r="BE661" s="222">
        <f t="shared" ref="BE661:BE710" si="414">AA661+15</f>
        <v>45856</v>
      </c>
      <c r="BF661" s="233" t="e">
        <f t="shared" si="389"/>
        <v>#VALUE!</v>
      </c>
      <c r="BG661" s="234"/>
      <c r="BH661" s="235"/>
      <c r="BI661" s="234"/>
      <c r="BJ661" s="236"/>
      <c r="BK661" s="222"/>
      <c r="BL661" s="222"/>
      <c r="BM661" s="238"/>
      <c r="BN661" s="222"/>
      <c r="BO661" s="222"/>
      <c r="BP661" s="243"/>
      <c r="BQ661" s="244" t="s">
        <v>247</v>
      </c>
      <c r="BR661" s="238">
        <v>45833</v>
      </c>
      <c r="BS661" s="68"/>
      <c r="BT661" s="69"/>
      <c r="BU661" s="69"/>
      <c r="BV661" s="69"/>
      <c r="BW661" s="75"/>
      <c r="BX661" s="81"/>
      <c r="BY661" s="66">
        <v>45811</v>
      </c>
      <c r="BZ661" s="944" t="s">
        <v>3330</v>
      </c>
      <c r="CA661" s="42" t="str">
        <f t="shared" si="401"/>
        <v>0</v>
      </c>
      <c r="CB661" s="62">
        <f t="shared" si="402"/>
        <v>37.421527777776646</v>
      </c>
      <c r="CC661" s="42">
        <f t="shared" si="403"/>
        <v>0</v>
      </c>
      <c r="CD661" s="62">
        <f t="shared" si="404"/>
        <v>37.421527777776646</v>
      </c>
      <c r="CE661" s="62">
        <f t="shared" si="405"/>
        <v>1.2022300779285708</v>
      </c>
      <c r="CF661" s="145">
        <f t="shared" si="406"/>
        <v>28</v>
      </c>
      <c r="CG661" s="145"/>
      <c r="CH661" s="443">
        <f t="shared" si="407"/>
        <v>2.1017775892407879</v>
      </c>
      <c r="CI661" s="996">
        <f t="shared" si="408"/>
        <v>2.1017775892407879</v>
      </c>
      <c r="CJ661" s="261">
        <f t="shared" si="409"/>
        <v>0.46666666666666667</v>
      </c>
      <c r="CK661" s="458" t="str">
        <f t="shared" si="410"/>
        <v/>
      </c>
      <c r="CL661" t="str">
        <f t="shared" si="411"/>
        <v>NON-REV</v>
      </c>
      <c r="CM661" t="str">
        <f t="shared" si="412"/>
        <v/>
      </c>
      <c r="CN661" s="635"/>
      <c r="CO661" s="631"/>
      <c r="CP661" s="629"/>
      <c r="CQ661" s="635"/>
      <c r="CR661" s="697"/>
      <c r="CS661" s="633"/>
      <c r="CT661" s="635"/>
      <c r="CU661" s="631"/>
      <c r="CV661" s="638"/>
      <c r="CW661" s="853"/>
      <c r="CX661" s="856"/>
      <c r="CY661" s="856"/>
    </row>
    <row r="662" spans="1:103" s="359" customFormat="1" ht="15" customHeight="1" x14ac:dyDescent="0.25">
      <c r="A662" s="242">
        <v>45820</v>
      </c>
      <c r="B662" s="222">
        <v>45811</v>
      </c>
      <c r="C662" s="852"/>
      <c r="D662" s="66" t="s">
        <v>320</v>
      </c>
      <c r="E662" s="404" t="s">
        <v>3331</v>
      </c>
      <c r="F662" s="95" t="s">
        <v>3332</v>
      </c>
      <c r="G662" s="95" t="s">
        <v>3333</v>
      </c>
      <c r="H662" s="95" t="s">
        <v>378</v>
      </c>
      <c r="I662" s="95" t="s">
        <v>239</v>
      </c>
      <c r="J662" s="163" t="s">
        <v>3334</v>
      </c>
      <c r="K662" s="855"/>
      <c r="L662" s="101" t="s">
        <v>288</v>
      </c>
      <c r="M662" s="101" t="s">
        <v>331</v>
      </c>
      <c r="N662" s="442" t="s">
        <v>381</v>
      </c>
      <c r="O662" s="165">
        <v>119.64190000000001</v>
      </c>
      <c r="P662" s="165">
        <v>377.25</v>
      </c>
      <c r="Q662" s="157">
        <v>28</v>
      </c>
      <c r="R662" s="109" t="s">
        <v>548</v>
      </c>
      <c r="S662" s="110">
        <v>656434.05000000005</v>
      </c>
      <c r="T662" s="93">
        <v>123559.51</v>
      </c>
      <c r="U662" s="857"/>
      <c r="V662" s="158">
        <f t="shared" si="390"/>
        <v>0</v>
      </c>
      <c r="W662" s="159">
        <v>45803.713194444441</v>
      </c>
      <c r="X662" s="159">
        <v>45807.574305555558</v>
      </c>
      <c r="Y662" s="160">
        <v>45811</v>
      </c>
      <c r="Z662" s="470"/>
      <c r="AA662" s="470"/>
      <c r="AB662" s="942"/>
      <c r="AC662" s="161">
        <f t="shared" si="391"/>
        <v>-45803.713194444441</v>
      </c>
      <c r="AD662" s="161">
        <f t="shared" si="385"/>
        <v>-45807.574305555558</v>
      </c>
      <c r="AE662" s="446">
        <f t="shared" si="413"/>
        <v>0</v>
      </c>
      <c r="AF662" s="160">
        <f t="shared" si="386"/>
        <v>45826.184892557649</v>
      </c>
      <c r="AG662" s="160">
        <f t="shared" si="383"/>
        <v>45835.977345387837</v>
      </c>
      <c r="AH662" s="159">
        <f t="shared" si="387"/>
        <v>45853.713194444441</v>
      </c>
      <c r="AI662" s="162">
        <f t="shared" si="392"/>
        <v>-1348.6648885030863</v>
      </c>
      <c r="AJ662" s="224">
        <f t="shared" si="388"/>
        <v>0</v>
      </c>
      <c r="AK662" s="225">
        <f t="shared" si="393"/>
        <v>30</v>
      </c>
      <c r="AL662" s="170">
        <f t="shared" si="394"/>
        <v>36</v>
      </c>
      <c r="AM662" s="170">
        <f t="shared" si="395"/>
        <v>25.471698113207545</v>
      </c>
      <c r="AN662" s="170">
        <f t="shared" si="396"/>
        <v>32.264150943396224</v>
      </c>
      <c r="AO662" s="226">
        <f t="shared" si="397"/>
        <v>22.471698113207545</v>
      </c>
      <c r="AP662" s="227">
        <v>60</v>
      </c>
      <c r="AQ662" s="228">
        <f t="shared" si="398"/>
        <v>57</v>
      </c>
      <c r="AR662" s="228">
        <f t="shared" si="384"/>
        <v>52</v>
      </c>
      <c r="AS662" s="229">
        <f t="shared" si="399"/>
        <v>60</v>
      </c>
      <c r="AT662" s="982">
        <f t="shared" ca="1" si="400"/>
        <v>45895</v>
      </c>
      <c r="AU662" s="50" t="s">
        <v>50</v>
      </c>
      <c r="AV662" s="51" t="s">
        <v>247</v>
      </c>
      <c r="AW662" s="49" t="s">
        <v>247</v>
      </c>
      <c r="AX662" s="49"/>
      <c r="AY662" s="49"/>
      <c r="AZ662" s="300">
        <v>45832</v>
      </c>
      <c r="BA662" s="52">
        <v>34</v>
      </c>
      <c r="BB662" s="304">
        <v>45866</v>
      </c>
      <c r="BC662" s="231"/>
      <c r="BD662" s="232"/>
      <c r="BE662" s="222">
        <f t="shared" si="414"/>
        <v>15</v>
      </c>
      <c r="BF662" s="233">
        <f t="shared" si="389"/>
        <v>0</v>
      </c>
      <c r="BG662" s="234"/>
      <c r="BH662" s="235"/>
      <c r="BI662" s="234"/>
      <c r="BJ662" s="236"/>
      <c r="BK662" s="222"/>
      <c r="BL662" s="222"/>
      <c r="BM662" s="238"/>
      <c r="BN662" s="222"/>
      <c r="BO662" s="222"/>
      <c r="BP662" s="243"/>
      <c r="BQ662" s="244" t="s">
        <v>247</v>
      </c>
      <c r="BR662" s="238"/>
      <c r="BS662" s="68"/>
      <c r="BT662" s="69"/>
      <c r="BU662" s="69"/>
      <c r="BV662" s="69"/>
      <c r="BW662" s="75"/>
      <c r="BX662" s="81"/>
      <c r="BY662" s="66">
        <v>45825</v>
      </c>
      <c r="BZ662" s="944" t="s">
        <v>3335</v>
      </c>
      <c r="CA662" s="42" t="str">
        <f t="shared" si="401"/>
        <v>0</v>
      </c>
      <c r="CB662" s="62">
        <f t="shared" si="402"/>
        <v>-45803.713194444441</v>
      </c>
      <c r="CC662" s="42">
        <f t="shared" si="403"/>
        <v>34</v>
      </c>
      <c r="CD662" s="62">
        <f t="shared" si="404"/>
        <v>-45837.713194444441</v>
      </c>
      <c r="CE662" s="62">
        <f t="shared" si="405"/>
        <v>-1349.6659996141975</v>
      </c>
      <c r="CF662" s="145" t="str">
        <f t="shared" si="406"/>
        <v>0</v>
      </c>
      <c r="CG662" s="145"/>
      <c r="CH662" s="443">
        <f t="shared" si="407"/>
        <v>1.9223337191359069</v>
      </c>
      <c r="CI662" s="996">
        <f t="shared" si="408"/>
        <v>1.9223337191359069</v>
      </c>
      <c r="CJ662" s="261">
        <f t="shared" si="409"/>
        <v>0</v>
      </c>
      <c r="CK662" s="458">
        <f t="shared" si="410"/>
        <v>52.286805555559113</v>
      </c>
      <c r="CL662" t="str">
        <f t="shared" si="411"/>
        <v>NON-REV</v>
      </c>
      <c r="CM662" t="str">
        <f t="shared" si="412"/>
        <v>0-3 MONTHS</v>
      </c>
      <c r="CN662" s="635"/>
      <c r="CO662" s="631"/>
      <c r="CP662" s="629"/>
      <c r="CQ662" s="635"/>
      <c r="CR662" s="697"/>
      <c r="CS662" s="633"/>
      <c r="CT662" s="635"/>
      <c r="CU662" s="631"/>
      <c r="CV662" s="638"/>
      <c r="CW662" s="853"/>
      <c r="CX662" s="856"/>
      <c r="CY662" s="856"/>
    </row>
    <row r="663" spans="1:103" s="1103" customFormat="1" ht="15" customHeight="1" x14ac:dyDescent="0.2">
      <c r="A663" s="242">
        <v>45813</v>
      </c>
      <c r="B663" s="222" t="s">
        <v>470</v>
      </c>
      <c r="C663" s="852" t="s">
        <v>247</v>
      </c>
      <c r="D663" s="66" t="s">
        <v>320</v>
      </c>
      <c r="E663" s="404" t="s">
        <v>3336</v>
      </c>
      <c r="F663" s="95" t="s">
        <v>3337</v>
      </c>
      <c r="G663" s="95" t="s">
        <v>3338</v>
      </c>
      <c r="H663" s="95" t="s">
        <v>269</v>
      </c>
      <c r="I663" s="95" t="s">
        <v>239</v>
      </c>
      <c r="J663" s="854"/>
      <c r="K663" s="855"/>
      <c r="L663" s="101" t="s">
        <v>255</v>
      </c>
      <c r="M663" s="101" t="s">
        <v>272</v>
      </c>
      <c r="N663" s="442" t="s">
        <v>403</v>
      </c>
      <c r="O663" s="165">
        <v>99.41449999999999</v>
      </c>
      <c r="P663" s="933">
        <v>273.55</v>
      </c>
      <c r="Q663" s="157">
        <v>0</v>
      </c>
      <c r="R663" s="109" t="s">
        <v>548</v>
      </c>
      <c r="S663" s="110">
        <v>499907.06</v>
      </c>
      <c r="T663" s="93">
        <v>100520.98</v>
      </c>
      <c r="U663" s="857"/>
      <c r="V663" s="158">
        <f t="shared" si="390"/>
        <v>0</v>
      </c>
      <c r="W663" s="159">
        <v>45803.713194444441</v>
      </c>
      <c r="X663" s="159">
        <v>45805.430555555555</v>
      </c>
      <c r="Y663" s="160">
        <v>45806</v>
      </c>
      <c r="Z663" s="470">
        <v>45847</v>
      </c>
      <c r="AA663" s="470">
        <v>45847</v>
      </c>
      <c r="AB663" s="942"/>
      <c r="AC663" s="161">
        <f t="shared" si="391"/>
        <v>43.286805555559113</v>
      </c>
      <c r="AD663" s="161">
        <f t="shared" si="385"/>
        <v>41.569444444445253</v>
      </c>
      <c r="AE663" s="446">
        <f t="shared" si="413"/>
        <v>-45847</v>
      </c>
      <c r="AF663" s="160">
        <f t="shared" si="386"/>
        <v>45825.581615497074</v>
      </c>
      <c r="AG663" s="160">
        <f t="shared" si="383"/>
        <v>45835.213194444441</v>
      </c>
      <c r="AH663" s="159">
        <f t="shared" si="387"/>
        <v>45853.713194444441</v>
      </c>
      <c r="AI663" s="162">
        <f t="shared" si="392"/>
        <v>1.3054750881835289</v>
      </c>
      <c r="AJ663" s="224">
        <f t="shared" si="388"/>
        <v>-764.11666666666667</v>
      </c>
      <c r="AK663" s="225">
        <f t="shared" si="393"/>
        <v>28</v>
      </c>
      <c r="AL663" s="170">
        <f t="shared" si="394"/>
        <v>36</v>
      </c>
      <c r="AM663" s="170">
        <f t="shared" si="395"/>
        <v>24.868421052631579</v>
      </c>
      <c r="AN663" s="170">
        <f t="shared" si="396"/>
        <v>31.499999999999996</v>
      </c>
      <c r="AO663" s="226">
        <f t="shared" si="397"/>
        <v>21.868421052631579</v>
      </c>
      <c r="AP663" s="227">
        <v>60</v>
      </c>
      <c r="AQ663" s="228">
        <f t="shared" si="398"/>
        <v>57</v>
      </c>
      <c r="AR663" s="228">
        <f t="shared" si="384"/>
        <v>52</v>
      </c>
      <c r="AS663" s="229">
        <f t="shared" si="399"/>
        <v>45907</v>
      </c>
      <c r="AT663" s="982">
        <f t="shared" ca="1" si="400"/>
        <v>48</v>
      </c>
      <c r="AU663" s="1077" t="s">
        <v>50</v>
      </c>
      <c r="AV663" s="1092" t="s">
        <v>247</v>
      </c>
      <c r="AW663" s="1079" t="s">
        <v>247</v>
      </c>
      <c r="AX663" s="1079"/>
      <c r="AY663" s="1079"/>
      <c r="AZ663" s="1080">
        <v>45832</v>
      </c>
      <c r="BA663" s="1101">
        <v>34</v>
      </c>
      <c r="BB663" s="1091">
        <v>45866</v>
      </c>
      <c r="BC663" s="231" t="s">
        <v>12</v>
      </c>
      <c r="BD663" s="232"/>
      <c r="BE663" s="222">
        <f t="shared" si="414"/>
        <v>45862</v>
      </c>
      <c r="BF663" s="233">
        <f t="shared" si="389"/>
        <v>1</v>
      </c>
      <c r="BG663" s="234">
        <v>45847</v>
      </c>
      <c r="BH663" s="235">
        <v>45863</v>
      </c>
      <c r="BI663" s="234"/>
      <c r="BJ663" s="236"/>
      <c r="BK663" s="222"/>
      <c r="BL663" s="222"/>
      <c r="BM663" s="238"/>
      <c r="BN663" s="222"/>
      <c r="BO663" s="222"/>
      <c r="BP663" s="243"/>
      <c r="BQ663" s="244"/>
      <c r="BR663" s="238"/>
      <c r="BS663" s="68"/>
      <c r="BT663" s="69"/>
      <c r="BU663" s="69"/>
      <c r="BV663" s="69"/>
      <c r="BW663" s="75"/>
      <c r="BX663" s="81"/>
      <c r="BY663" s="66">
        <v>45813</v>
      </c>
      <c r="BZ663" s="944" t="s">
        <v>3339</v>
      </c>
      <c r="CA663" s="42" t="str">
        <f t="shared" si="401"/>
        <v>0</v>
      </c>
      <c r="CB663" s="62">
        <f t="shared" si="402"/>
        <v>43.286805555559113</v>
      </c>
      <c r="CC663" s="42">
        <f t="shared" si="403"/>
        <v>34</v>
      </c>
      <c r="CD663" s="62">
        <f t="shared" si="404"/>
        <v>9.2868055555591127</v>
      </c>
      <c r="CE663" s="62">
        <f t="shared" si="405"/>
        <v>0.28007826278670339</v>
      </c>
      <c r="CF663" s="1059">
        <f t="shared" si="406"/>
        <v>22</v>
      </c>
      <c r="CG663" s="1059"/>
      <c r="CH663" s="1082">
        <f t="shared" si="407"/>
        <v>1.968967151675592</v>
      </c>
      <c r="CI663" s="1083">
        <f t="shared" si="408"/>
        <v>1.968967151675592</v>
      </c>
      <c r="CJ663" s="1084">
        <f t="shared" si="409"/>
        <v>0.36666666666666664</v>
      </c>
      <c r="CK663" s="1085" t="str">
        <f t="shared" si="410"/>
        <v/>
      </c>
      <c r="CL663" s="1057" t="str">
        <f t="shared" si="411"/>
        <v>NON-REV</v>
      </c>
      <c r="CM663" s="1057" t="str">
        <f t="shared" si="412"/>
        <v/>
      </c>
      <c r="CN663" s="1086"/>
      <c r="CO663" s="1087"/>
      <c r="CP663" s="629"/>
      <c r="CQ663" s="1086"/>
      <c r="CR663" s="1088"/>
      <c r="CS663" s="1089"/>
      <c r="CT663" s="1086"/>
      <c r="CU663" s="1087"/>
      <c r="CV663" s="1090"/>
      <c r="CW663" s="853"/>
      <c r="CX663" s="856"/>
      <c r="CY663" s="856"/>
    </row>
    <row r="664" spans="1:103" s="1103" customFormat="1" ht="15" customHeight="1" x14ac:dyDescent="0.2">
      <c r="A664" s="242">
        <v>45819</v>
      </c>
      <c r="B664" s="222">
        <v>45811</v>
      </c>
      <c r="C664" s="852"/>
      <c r="D664" s="66" t="s">
        <v>320</v>
      </c>
      <c r="E664" s="404" t="s">
        <v>3340</v>
      </c>
      <c r="F664" s="95" t="s">
        <v>3341</v>
      </c>
      <c r="G664" s="95" t="s">
        <v>3342</v>
      </c>
      <c r="H664" s="95" t="s">
        <v>238</v>
      </c>
      <c r="I664" s="95" t="s">
        <v>239</v>
      </c>
      <c r="J664" s="1134" t="s">
        <v>3343</v>
      </c>
      <c r="K664" s="855"/>
      <c r="L664" s="101" t="s">
        <v>255</v>
      </c>
      <c r="M664" s="101" t="s">
        <v>331</v>
      </c>
      <c r="N664" s="442" t="s">
        <v>403</v>
      </c>
      <c r="O664" s="165">
        <v>9.8533000000000008</v>
      </c>
      <c r="P664" s="165">
        <v>11.96</v>
      </c>
      <c r="Q664" s="157">
        <v>36</v>
      </c>
      <c r="R664" s="109" t="s">
        <v>548</v>
      </c>
      <c r="S664" s="110">
        <v>141179.76</v>
      </c>
      <c r="T664" s="93">
        <v>10279.23</v>
      </c>
      <c r="U664" s="857"/>
      <c r="V664" s="158">
        <f t="shared" si="390"/>
        <v>0</v>
      </c>
      <c r="W664" s="159">
        <v>45803.713194444441</v>
      </c>
      <c r="X664" s="159">
        <v>45807.572916666664</v>
      </c>
      <c r="Y664" s="160">
        <v>45811</v>
      </c>
      <c r="Z664" s="470"/>
      <c r="AA664" s="470"/>
      <c r="AB664" s="942"/>
      <c r="AC664" s="161">
        <f t="shared" si="391"/>
        <v>-45803.713194444441</v>
      </c>
      <c r="AD664" s="161">
        <f t="shared" si="385"/>
        <v>-45807.572916666664</v>
      </c>
      <c r="AE664" s="446">
        <f t="shared" si="413"/>
        <v>0</v>
      </c>
      <c r="AF664" s="160">
        <f t="shared" si="386"/>
        <v>45822.487387992827</v>
      </c>
      <c r="AG664" s="160">
        <f t="shared" si="383"/>
        <v>45831.293839605729</v>
      </c>
      <c r="AH664" s="159">
        <f t="shared" si="387"/>
        <v>45853.713194444441</v>
      </c>
      <c r="AI664" s="162">
        <f t="shared" si="392"/>
        <v>-1577.6834544753087</v>
      </c>
      <c r="AJ664" s="224">
        <f t="shared" si="388"/>
        <v>0</v>
      </c>
      <c r="AK664" s="225">
        <f t="shared" si="393"/>
        <v>20</v>
      </c>
      <c r="AL664" s="170">
        <f t="shared" si="394"/>
        <v>36</v>
      </c>
      <c r="AM664" s="170">
        <f t="shared" si="395"/>
        <v>21.774193548387096</v>
      </c>
      <c r="AN664" s="170">
        <f t="shared" si="396"/>
        <v>27.58064516129032</v>
      </c>
      <c r="AO664" s="226">
        <f t="shared" si="397"/>
        <v>18.774193548387096</v>
      </c>
      <c r="AP664" s="227">
        <v>60</v>
      </c>
      <c r="AQ664" s="228">
        <f t="shared" si="398"/>
        <v>57</v>
      </c>
      <c r="AR664" s="228">
        <f t="shared" si="384"/>
        <v>52</v>
      </c>
      <c r="AS664" s="229">
        <f t="shared" si="399"/>
        <v>60</v>
      </c>
      <c r="AT664" s="982">
        <f t="shared" ca="1" si="400"/>
        <v>45895</v>
      </c>
      <c r="AU664" s="1077"/>
      <c r="AV664" s="1092"/>
      <c r="AW664" s="1079"/>
      <c r="AX664" s="1079"/>
      <c r="AY664" s="1079"/>
      <c r="AZ664" s="1080"/>
      <c r="BA664" s="1101"/>
      <c r="BB664" s="1091"/>
      <c r="BC664" s="231"/>
      <c r="BD664" s="232"/>
      <c r="BE664" s="222">
        <f t="shared" si="414"/>
        <v>15</v>
      </c>
      <c r="BF664" s="233">
        <f t="shared" si="389"/>
        <v>0</v>
      </c>
      <c r="BG664" s="234"/>
      <c r="BH664" s="235"/>
      <c r="BI664" s="234"/>
      <c r="BJ664" s="236"/>
      <c r="BK664" s="222"/>
      <c r="BL664" s="222"/>
      <c r="BM664" s="238"/>
      <c r="BN664" s="222"/>
      <c r="BO664" s="222"/>
      <c r="BP664" s="243"/>
      <c r="BQ664" s="244"/>
      <c r="BR664" s="238"/>
      <c r="BS664" s="68"/>
      <c r="BT664" s="69"/>
      <c r="BU664" s="69"/>
      <c r="BV664" s="69"/>
      <c r="BW664" s="75"/>
      <c r="BX664" s="81"/>
      <c r="BY664" s="66">
        <v>45819</v>
      </c>
      <c r="BZ664" s="944"/>
      <c r="CA664" s="42" t="str">
        <f t="shared" si="401"/>
        <v>0</v>
      </c>
      <c r="CB664" s="62">
        <f t="shared" si="402"/>
        <v>-45803.713194444441</v>
      </c>
      <c r="CC664" s="42">
        <f t="shared" si="403"/>
        <v>0</v>
      </c>
      <c r="CD664" s="62">
        <f t="shared" si="404"/>
        <v>-45803.713194444441</v>
      </c>
      <c r="CE664" s="62">
        <f t="shared" si="405"/>
        <v>-1577.6834544753087</v>
      </c>
      <c r="CF664" s="1059" t="str">
        <f t="shared" si="406"/>
        <v>0</v>
      </c>
      <c r="CG664" s="1059"/>
      <c r="CH664" s="1082">
        <f t="shared" si="407"/>
        <v>2.2487677469137024</v>
      </c>
      <c r="CI664" s="1083">
        <f t="shared" si="408"/>
        <v>2.2487677469137024</v>
      </c>
      <c r="CJ664" s="1084">
        <f t="shared" si="409"/>
        <v>0</v>
      </c>
      <c r="CK664" s="1085">
        <f t="shared" si="410"/>
        <v>52.286805555559113</v>
      </c>
      <c r="CL664" s="1057" t="str">
        <f t="shared" si="411"/>
        <v>NON-REV</v>
      </c>
      <c r="CM664" s="1057" t="str">
        <f t="shared" si="412"/>
        <v>0-3 MONTHS</v>
      </c>
      <c r="CN664" s="1086"/>
      <c r="CO664" s="1087"/>
      <c r="CP664" s="629"/>
      <c r="CQ664" s="1086"/>
      <c r="CR664" s="1088"/>
      <c r="CS664" s="1089"/>
      <c r="CT664" s="1086"/>
      <c r="CU664" s="1087"/>
      <c r="CV664" s="1090"/>
      <c r="CW664" s="853"/>
      <c r="CX664" s="856"/>
      <c r="CY664" s="856"/>
    </row>
    <row r="665" spans="1:103" s="359" customFormat="1" ht="15" customHeight="1" x14ac:dyDescent="0.25">
      <c r="A665" s="242">
        <v>45813</v>
      </c>
      <c r="B665" s="222">
        <v>45811</v>
      </c>
      <c r="C665" s="852"/>
      <c r="D665" s="66" t="s">
        <v>284</v>
      </c>
      <c r="E665" s="404" t="s">
        <v>3344</v>
      </c>
      <c r="F665" s="95" t="s">
        <v>3345</v>
      </c>
      <c r="G665" s="95" t="s">
        <v>3346</v>
      </c>
      <c r="H665" s="95" t="s">
        <v>269</v>
      </c>
      <c r="I665" s="95" t="s">
        <v>239</v>
      </c>
      <c r="J665" s="854"/>
      <c r="K665" s="855"/>
      <c r="L665" s="101" t="s">
        <v>242</v>
      </c>
      <c r="M665" s="101" t="s">
        <v>272</v>
      </c>
      <c r="N665" s="442" t="s">
        <v>467</v>
      </c>
      <c r="O665" s="165">
        <v>14.522799999999998</v>
      </c>
      <c r="P665" s="933">
        <v>38.520000000000003</v>
      </c>
      <c r="Q665" s="157">
        <v>88</v>
      </c>
      <c r="R665" s="109" t="s">
        <v>244</v>
      </c>
      <c r="S665" s="110">
        <v>378411</v>
      </c>
      <c r="T665" s="93">
        <v>33095.040000000001</v>
      </c>
      <c r="U665" s="857"/>
      <c r="V665" s="158">
        <f t="shared" si="390"/>
        <v>0</v>
      </c>
      <c r="W665" s="159">
        <v>45803.713194444441</v>
      </c>
      <c r="X665" s="159">
        <v>45807.572916666664</v>
      </c>
      <c r="Y665" s="160">
        <v>45811</v>
      </c>
      <c r="Z665" s="470"/>
      <c r="AA665" s="470">
        <v>45843</v>
      </c>
      <c r="AB665" s="942"/>
      <c r="AC665" s="161">
        <f t="shared" si="391"/>
        <v>39.286805555559113</v>
      </c>
      <c r="AD665" s="161">
        <f t="shared" si="385"/>
        <v>35.427083333335759</v>
      </c>
      <c r="AE665" s="446">
        <f t="shared" si="413"/>
        <v>-45843</v>
      </c>
      <c r="AF665" s="160">
        <f t="shared" si="386"/>
        <v>45821.787574609727</v>
      </c>
      <c r="AG665" s="160">
        <f t="shared" si="383"/>
        <v>45830.407409320476</v>
      </c>
      <c r="AH665" s="159">
        <f t="shared" si="387"/>
        <v>45853.713194444441</v>
      </c>
      <c r="AI665" s="162">
        <f t="shared" si="392"/>
        <v>1.398148080065486</v>
      </c>
      <c r="AJ665" s="224">
        <f t="shared" si="388"/>
        <v>-764.05</v>
      </c>
      <c r="AK665" s="225">
        <f t="shared" si="393"/>
        <v>20</v>
      </c>
      <c r="AL665" s="170">
        <f t="shared" si="394"/>
        <v>34</v>
      </c>
      <c r="AM665" s="170">
        <f t="shared" si="395"/>
        <v>21.074380165289259</v>
      </c>
      <c r="AN665" s="170">
        <f t="shared" si="396"/>
        <v>26.694214876033058</v>
      </c>
      <c r="AO665" s="226">
        <f t="shared" si="397"/>
        <v>18.074380165289259</v>
      </c>
      <c r="AP665" s="227">
        <v>60</v>
      </c>
      <c r="AQ665" s="228">
        <f t="shared" si="398"/>
        <v>57</v>
      </c>
      <c r="AR665" s="228">
        <f t="shared" si="384"/>
        <v>52</v>
      </c>
      <c r="AS665" s="229">
        <f t="shared" si="399"/>
        <v>45903</v>
      </c>
      <c r="AT665" s="982">
        <f t="shared" ca="1" si="400"/>
        <v>52</v>
      </c>
      <c r="AU665" s="50"/>
      <c r="AV665" s="51"/>
      <c r="AW665" s="49"/>
      <c r="AX665" s="49"/>
      <c r="AY665" s="49"/>
      <c r="AZ665" s="300"/>
      <c r="BA665" s="52"/>
      <c r="BB665" s="304"/>
      <c r="BC665" s="231" t="s">
        <v>12</v>
      </c>
      <c r="BD665" s="232"/>
      <c r="BE665" s="222">
        <f t="shared" si="414"/>
        <v>45858</v>
      </c>
      <c r="BF665" s="233">
        <f t="shared" si="389"/>
        <v>-6</v>
      </c>
      <c r="BG665" s="234">
        <v>45845</v>
      </c>
      <c r="BH665" s="235">
        <v>45852</v>
      </c>
      <c r="BI665" s="234"/>
      <c r="BJ665" s="236"/>
      <c r="BK665" s="222"/>
      <c r="BL665" s="222"/>
      <c r="BM665" s="238"/>
      <c r="BN665" s="222"/>
      <c r="BO665" s="222"/>
      <c r="BP665" s="243"/>
      <c r="BQ665" s="244"/>
      <c r="BR665" s="238"/>
      <c r="BS665" s="68"/>
      <c r="BT665" s="69"/>
      <c r="BU665" s="69"/>
      <c r="BV665" s="69"/>
      <c r="BW665" s="75"/>
      <c r="BX665" s="81"/>
      <c r="BY665" s="66">
        <v>45813</v>
      </c>
      <c r="BZ665" s="944" t="s">
        <v>3347</v>
      </c>
      <c r="CA665" s="42" t="str">
        <f t="shared" si="401"/>
        <v>0</v>
      </c>
      <c r="CB665" s="62">
        <f t="shared" si="402"/>
        <v>39.286805555559113</v>
      </c>
      <c r="CC665" s="42">
        <f t="shared" si="403"/>
        <v>0</v>
      </c>
      <c r="CD665" s="62">
        <f t="shared" si="404"/>
        <v>39.286805555559113</v>
      </c>
      <c r="CE665" s="62">
        <f t="shared" si="405"/>
        <v>1.398148080065486</v>
      </c>
      <c r="CF665" s="145">
        <f t="shared" si="406"/>
        <v>26</v>
      </c>
      <c r="CG665" s="145"/>
      <c r="CH665" s="443">
        <f t="shared" si="407"/>
        <v>2.323442197712545</v>
      </c>
      <c r="CI665" s="996">
        <f t="shared" si="408"/>
        <v>2.323442197712545</v>
      </c>
      <c r="CJ665" s="261">
        <f t="shared" si="409"/>
        <v>0.43333333333333335</v>
      </c>
      <c r="CK665" s="458" t="str">
        <f t="shared" si="410"/>
        <v/>
      </c>
      <c r="CL665" t="str">
        <f t="shared" si="411"/>
        <v>REV</v>
      </c>
      <c r="CM665" t="str">
        <f t="shared" si="412"/>
        <v/>
      </c>
      <c r="CN665" s="635"/>
      <c r="CO665" s="631"/>
      <c r="CP665" s="629"/>
      <c r="CQ665" s="635"/>
      <c r="CR665" s="697"/>
      <c r="CS665" s="633"/>
      <c r="CT665" s="635"/>
      <c r="CU665" s="631"/>
      <c r="CV665" s="638"/>
      <c r="CW665" s="853"/>
      <c r="CX665" s="856"/>
      <c r="CY665" s="856"/>
    </row>
    <row r="666" spans="1:103" s="359" customFormat="1" ht="15" customHeight="1" x14ac:dyDescent="0.25">
      <c r="A666" s="242">
        <v>45819</v>
      </c>
      <c r="B666" s="222">
        <v>45811</v>
      </c>
      <c r="C666" s="852"/>
      <c r="D666" s="66" t="s">
        <v>284</v>
      </c>
      <c r="E666" s="404" t="s">
        <v>3348</v>
      </c>
      <c r="F666" s="95" t="s">
        <v>3349</v>
      </c>
      <c r="G666" s="95" t="s">
        <v>3350</v>
      </c>
      <c r="H666" s="95" t="s">
        <v>269</v>
      </c>
      <c r="I666" s="95" t="s">
        <v>239</v>
      </c>
      <c r="J666" s="854"/>
      <c r="K666" s="855"/>
      <c r="L666" s="101" t="s">
        <v>242</v>
      </c>
      <c r="M666" s="101" t="s">
        <v>272</v>
      </c>
      <c r="N666" s="442" t="s">
        <v>467</v>
      </c>
      <c r="O666" s="165">
        <v>45.390699999999988</v>
      </c>
      <c r="P666" s="933">
        <v>136.01</v>
      </c>
      <c r="Q666" s="157">
        <v>45</v>
      </c>
      <c r="R666" s="109" t="s">
        <v>244</v>
      </c>
      <c r="S666" s="110">
        <v>350273.37</v>
      </c>
      <c r="T666" s="93">
        <v>49603.62</v>
      </c>
      <c r="U666" s="857"/>
      <c r="V666" s="158">
        <f t="shared" si="390"/>
        <v>0</v>
      </c>
      <c r="W666" s="159">
        <v>45803.713194444441</v>
      </c>
      <c r="X666" s="159">
        <v>45807.571527777778</v>
      </c>
      <c r="Y666" s="1026">
        <v>45819</v>
      </c>
      <c r="Z666" s="470"/>
      <c r="AA666" s="470">
        <v>45836</v>
      </c>
      <c r="AB666" s="942"/>
      <c r="AC666" s="161">
        <f t="shared" si="391"/>
        <v>32.286805555559113</v>
      </c>
      <c r="AD666" s="161">
        <f t="shared" si="385"/>
        <v>28.428472222221899</v>
      </c>
      <c r="AE666" s="446">
        <f t="shared" si="413"/>
        <v>-45836</v>
      </c>
      <c r="AF666" s="160">
        <f t="shared" si="386"/>
        <v>45824.920090996166</v>
      </c>
      <c r="AG666" s="160">
        <f t="shared" si="383"/>
        <v>45834.375263409958</v>
      </c>
      <c r="AH666" s="159">
        <f t="shared" si="387"/>
        <v>45853.713194444441</v>
      </c>
      <c r="AI666" s="162">
        <f t="shared" si="392"/>
        <v>1.0003390610162546</v>
      </c>
      <c r="AJ666" s="224">
        <f t="shared" si="388"/>
        <v>-763.93333333333328</v>
      </c>
      <c r="AK666" s="225">
        <f t="shared" si="393"/>
        <v>26</v>
      </c>
      <c r="AL666" s="170">
        <f t="shared" si="394"/>
        <v>36</v>
      </c>
      <c r="AM666" s="170">
        <f t="shared" si="395"/>
        <v>24.206896551724139</v>
      </c>
      <c r="AN666" s="170">
        <f t="shared" si="396"/>
        <v>30.662068965517239</v>
      </c>
      <c r="AO666" s="226">
        <f t="shared" si="397"/>
        <v>21.206896551724139</v>
      </c>
      <c r="AP666" s="227">
        <v>60</v>
      </c>
      <c r="AQ666" s="228">
        <f t="shared" si="398"/>
        <v>57</v>
      </c>
      <c r="AR666" s="228">
        <f t="shared" si="384"/>
        <v>52</v>
      </c>
      <c r="AS666" s="229">
        <f t="shared" si="399"/>
        <v>45896</v>
      </c>
      <c r="AT666" s="982">
        <f t="shared" ca="1" si="400"/>
        <v>59</v>
      </c>
      <c r="AU666" s="50"/>
      <c r="AV666" s="51"/>
      <c r="AW666" s="49"/>
      <c r="AX666" s="49"/>
      <c r="AY666" s="49"/>
      <c r="AZ666" s="300"/>
      <c r="BA666" s="52"/>
      <c r="BB666" s="304"/>
      <c r="BC666" s="231" t="s">
        <v>12</v>
      </c>
      <c r="BD666" s="232"/>
      <c r="BE666" s="222">
        <f t="shared" si="414"/>
        <v>45851</v>
      </c>
      <c r="BF666" s="233">
        <f t="shared" si="389"/>
        <v>-10</v>
      </c>
      <c r="BG666" s="234">
        <v>45836</v>
      </c>
      <c r="BH666" s="235">
        <v>45841</v>
      </c>
      <c r="BI666" s="234"/>
      <c r="BJ666" s="236"/>
      <c r="BK666" s="222"/>
      <c r="BL666" s="222"/>
      <c r="BM666" s="238"/>
      <c r="BN666" s="222"/>
      <c r="BO666" s="222"/>
      <c r="BP666" s="243"/>
      <c r="BQ666" s="244" t="s">
        <v>247</v>
      </c>
      <c r="BR666" s="238">
        <v>45834</v>
      </c>
      <c r="BS666" s="68"/>
      <c r="BT666" s="69"/>
      <c r="BU666" s="69"/>
      <c r="BV666" s="69"/>
      <c r="BW666" s="75"/>
      <c r="BX666" s="81"/>
      <c r="BY666" s="124">
        <v>45819</v>
      </c>
      <c r="BZ666" s="944" t="s">
        <v>3351</v>
      </c>
      <c r="CA666" s="42" t="str">
        <f t="shared" si="401"/>
        <v>0</v>
      </c>
      <c r="CB666" s="62">
        <f t="shared" si="402"/>
        <v>32.286805555559113</v>
      </c>
      <c r="CC666" s="42">
        <f t="shared" si="403"/>
        <v>0</v>
      </c>
      <c r="CD666" s="62">
        <f t="shared" si="404"/>
        <v>32.286805555559113</v>
      </c>
      <c r="CE666" s="62">
        <f t="shared" si="405"/>
        <v>1.0003390610162546</v>
      </c>
      <c r="CF666" s="145">
        <f t="shared" si="406"/>
        <v>33</v>
      </c>
      <c r="CG666" s="145"/>
      <c r="CH666" s="443">
        <f t="shared" si="407"/>
        <v>2.0227749584521519</v>
      </c>
      <c r="CI666" s="996">
        <f t="shared" si="408"/>
        <v>2.0227749584521519</v>
      </c>
      <c r="CJ666" s="261">
        <f t="shared" si="409"/>
        <v>0.55000000000000004</v>
      </c>
      <c r="CK666" s="458" t="str">
        <f t="shared" si="410"/>
        <v/>
      </c>
      <c r="CL666" t="str">
        <f t="shared" si="411"/>
        <v>REV</v>
      </c>
      <c r="CM666" t="str">
        <f t="shared" si="412"/>
        <v/>
      </c>
      <c r="CN666" s="635"/>
      <c r="CO666" s="631"/>
      <c r="CP666" s="629"/>
      <c r="CQ666" s="635"/>
      <c r="CR666" s="697"/>
      <c r="CS666" s="633"/>
      <c r="CT666" s="635"/>
      <c r="CU666" s="631"/>
      <c r="CV666" s="638"/>
      <c r="CW666" s="853"/>
      <c r="CX666" s="856"/>
      <c r="CY666" s="856"/>
    </row>
    <row r="667" spans="1:103" s="359" customFormat="1" ht="15" customHeight="1" x14ac:dyDescent="0.25">
      <c r="A667" s="242">
        <v>45813</v>
      </c>
      <c r="B667" s="222">
        <v>45813</v>
      </c>
      <c r="C667" s="852"/>
      <c r="D667" s="66" t="s">
        <v>284</v>
      </c>
      <c r="E667" s="404" t="s">
        <v>3352</v>
      </c>
      <c r="F667" s="95" t="s">
        <v>3353</v>
      </c>
      <c r="G667" s="95" t="s">
        <v>2034</v>
      </c>
      <c r="H667" s="95" t="s">
        <v>238</v>
      </c>
      <c r="I667" s="95" t="s">
        <v>239</v>
      </c>
      <c r="J667" s="854"/>
      <c r="K667" s="855"/>
      <c r="L667" s="101" t="s">
        <v>242</v>
      </c>
      <c r="M667" s="101" t="s">
        <v>331</v>
      </c>
      <c r="N667" s="442" t="s">
        <v>467</v>
      </c>
      <c r="O667" s="165">
        <v>105.78070000000001</v>
      </c>
      <c r="P667" s="165">
        <v>160.91</v>
      </c>
      <c r="Q667" s="157" t="s">
        <v>3354</v>
      </c>
      <c r="R667" s="109" t="s">
        <v>319</v>
      </c>
      <c r="S667" s="110">
        <v>124114.95</v>
      </c>
      <c r="T667" s="93">
        <v>138267.26999999999</v>
      </c>
      <c r="U667" s="857"/>
      <c r="V667" s="158">
        <f t="shared" si="390"/>
        <v>0</v>
      </c>
      <c r="W667" s="159">
        <v>45803.713194444441</v>
      </c>
      <c r="X667" s="159">
        <v>45807.570138888892</v>
      </c>
      <c r="Y667" s="1027">
        <v>45813</v>
      </c>
      <c r="Z667" s="470"/>
      <c r="AA667" s="470"/>
      <c r="AB667" s="942"/>
      <c r="AC667" s="161">
        <f t="shared" si="391"/>
        <v>-45803.713194444441</v>
      </c>
      <c r="AD667" s="161">
        <f t="shared" si="385"/>
        <v>-45807.570138888892</v>
      </c>
      <c r="AE667" s="446">
        <f t="shared" si="413"/>
        <v>0</v>
      </c>
      <c r="AF667" s="160">
        <f t="shared" si="386"/>
        <v>45816.828896923776</v>
      </c>
      <c r="AG667" s="160">
        <f t="shared" si="383"/>
        <v>45824.126417584936</v>
      </c>
      <c r="AH667" s="159">
        <f t="shared" si="387"/>
        <v>45853.713194444441</v>
      </c>
      <c r="AI667" s="162">
        <f t="shared" si="392"/>
        <v>-2131.6343448183761</v>
      </c>
      <c r="AJ667" s="224">
        <f t="shared" si="388"/>
        <v>0</v>
      </c>
      <c r="AK667" s="225">
        <f t="shared" si="393"/>
        <v>26</v>
      </c>
      <c r="AL667" s="170">
        <f t="shared" si="394"/>
        <v>20</v>
      </c>
      <c r="AM667" s="170">
        <f t="shared" si="395"/>
        <v>16.115702479338843</v>
      </c>
      <c r="AN667" s="170">
        <f t="shared" si="396"/>
        <v>20.41322314049587</v>
      </c>
      <c r="AO667" s="226">
        <f t="shared" si="397"/>
        <v>13.115702479338843</v>
      </c>
      <c r="AP667" s="227">
        <v>60</v>
      </c>
      <c r="AQ667" s="228">
        <f t="shared" si="398"/>
        <v>57</v>
      </c>
      <c r="AR667" s="228">
        <f t="shared" si="384"/>
        <v>52</v>
      </c>
      <c r="AS667" s="229">
        <f t="shared" si="399"/>
        <v>60</v>
      </c>
      <c r="AT667" s="982">
        <f t="shared" ca="1" si="400"/>
        <v>45895</v>
      </c>
      <c r="AU667" s="50"/>
      <c r="AV667" s="51"/>
      <c r="AW667" s="49"/>
      <c r="AX667" s="49"/>
      <c r="AY667" s="49"/>
      <c r="AZ667" s="300"/>
      <c r="BA667" s="52"/>
      <c r="BB667" s="304"/>
      <c r="BC667" s="231"/>
      <c r="BD667" s="232"/>
      <c r="BE667" s="222">
        <f t="shared" si="414"/>
        <v>15</v>
      </c>
      <c r="BF667" s="233">
        <f t="shared" si="389"/>
        <v>0</v>
      </c>
      <c r="BG667" s="234"/>
      <c r="BH667" s="235"/>
      <c r="BI667" s="234"/>
      <c r="BJ667" s="236"/>
      <c r="BK667" s="222"/>
      <c r="BL667" s="222"/>
      <c r="BM667" s="238"/>
      <c r="BN667" s="222"/>
      <c r="BO667" s="222"/>
      <c r="BP667" s="243"/>
      <c r="BQ667" s="244"/>
      <c r="BR667" s="238"/>
      <c r="BS667" s="68"/>
      <c r="BT667" s="69"/>
      <c r="BU667" s="69"/>
      <c r="BV667" s="69"/>
      <c r="BW667" s="75"/>
      <c r="BX667" s="81"/>
      <c r="BY667" s="66" t="s">
        <v>308</v>
      </c>
      <c r="BZ667" s="944" t="s">
        <v>308</v>
      </c>
      <c r="CA667" s="42" t="str">
        <f t="shared" si="401"/>
        <v>0</v>
      </c>
      <c r="CB667" s="62">
        <f t="shared" si="402"/>
        <v>-45803.713194444441</v>
      </c>
      <c r="CC667" s="42">
        <f t="shared" si="403"/>
        <v>0</v>
      </c>
      <c r="CD667" s="62">
        <f t="shared" si="404"/>
        <v>-45803.713194444441</v>
      </c>
      <c r="CE667" s="62">
        <f t="shared" si="405"/>
        <v>-2131.6343448183761</v>
      </c>
      <c r="CF667" s="145" t="str">
        <f t="shared" si="406"/>
        <v>0</v>
      </c>
      <c r="CG667" s="145"/>
      <c r="CH667" s="443">
        <f t="shared" si="407"/>
        <v>3.0383474893164046</v>
      </c>
      <c r="CI667" s="996">
        <f t="shared" si="408"/>
        <v>3.0383474893164046</v>
      </c>
      <c r="CJ667" s="261">
        <f t="shared" si="409"/>
        <v>0</v>
      </c>
      <c r="CK667" s="458">
        <f t="shared" si="410"/>
        <v>52.286805555559113</v>
      </c>
      <c r="CL667" t="str">
        <f t="shared" si="411"/>
        <v>NON-REV</v>
      </c>
      <c r="CM667" t="str">
        <f t="shared" si="412"/>
        <v>0-3 MONTHS</v>
      </c>
      <c r="CN667" s="635"/>
      <c r="CO667" s="631"/>
      <c r="CP667" s="629"/>
      <c r="CQ667" s="635"/>
      <c r="CR667" s="697"/>
      <c r="CS667" s="633"/>
      <c r="CT667" s="635"/>
      <c r="CU667" s="631"/>
      <c r="CV667" s="638"/>
      <c r="CW667" s="853"/>
      <c r="CX667" s="856"/>
      <c r="CY667" s="856"/>
    </row>
    <row r="668" spans="1:103" s="359" customFormat="1" ht="15" customHeight="1" x14ac:dyDescent="0.25">
      <c r="A668" s="242">
        <v>45817</v>
      </c>
      <c r="B668" s="222">
        <v>45817</v>
      </c>
      <c r="C668" s="852"/>
      <c r="D668" s="66" t="s">
        <v>284</v>
      </c>
      <c r="E668" s="404" t="s">
        <v>3355</v>
      </c>
      <c r="F668" s="95" t="s">
        <v>3356</v>
      </c>
      <c r="G668" s="95" t="s">
        <v>282</v>
      </c>
      <c r="H668" s="95" t="s">
        <v>238</v>
      </c>
      <c r="I668" s="95" t="s">
        <v>239</v>
      </c>
      <c r="J668" s="854"/>
      <c r="K668" s="855"/>
      <c r="L668" s="101" t="s">
        <v>288</v>
      </c>
      <c r="M668" s="101" t="s">
        <v>272</v>
      </c>
      <c r="N668" s="442" t="s">
        <v>381</v>
      </c>
      <c r="O668" s="165">
        <v>10.9328</v>
      </c>
      <c r="P668" s="165">
        <v>18.82</v>
      </c>
      <c r="Q668" s="157">
        <v>35</v>
      </c>
      <c r="R668" s="109" t="s">
        <v>244</v>
      </c>
      <c r="S668" s="110">
        <v>199951.87</v>
      </c>
      <c r="T668" s="93">
        <v>16170.97</v>
      </c>
      <c r="U668" s="857"/>
      <c r="V668" s="158">
        <f t="shared" si="390"/>
        <v>0</v>
      </c>
      <c r="W668" s="159">
        <v>45804.551388888889</v>
      </c>
      <c r="X668" s="159">
        <v>45811.455555555556</v>
      </c>
      <c r="Y668" s="160">
        <v>45817</v>
      </c>
      <c r="Z668" s="470">
        <v>45846</v>
      </c>
      <c r="AA668" s="470">
        <v>45866</v>
      </c>
      <c r="AB668" s="942"/>
      <c r="AC668" s="161">
        <f t="shared" si="391"/>
        <v>61.448611111110949</v>
      </c>
      <c r="AD668" s="161">
        <f t="shared" si="385"/>
        <v>54.544444444443798</v>
      </c>
      <c r="AE668" s="446">
        <f t="shared" si="413"/>
        <v>-45866</v>
      </c>
      <c r="AF668" s="160">
        <f t="shared" si="386"/>
        <v>45823.325582437275</v>
      </c>
      <c r="AG668" s="160">
        <f t="shared" si="383"/>
        <v>45832.132034050177</v>
      </c>
      <c r="AH668" s="159">
        <f t="shared" si="387"/>
        <v>45854.551388888889</v>
      </c>
      <c r="AI668" s="162">
        <f t="shared" si="392"/>
        <v>2.1165632716049325</v>
      </c>
      <c r="AJ668" s="224">
        <f t="shared" si="388"/>
        <v>-764.43333333333328</v>
      </c>
      <c r="AK668" s="225">
        <f t="shared" si="393"/>
        <v>20</v>
      </c>
      <c r="AL668" s="170">
        <f t="shared" si="394"/>
        <v>36</v>
      </c>
      <c r="AM668" s="170">
        <f t="shared" si="395"/>
        <v>21.774193548387096</v>
      </c>
      <c r="AN668" s="170">
        <f t="shared" si="396"/>
        <v>27.58064516129032</v>
      </c>
      <c r="AO668" s="226">
        <f t="shared" si="397"/>
        <v>18.774193548387096</v>
      </c>
      <c r="AP668" s="227">
        <v>60</v>
      </c>
      <c r="AQ668" s="228">
        <f t="shared" si="398"/>
        <v>57</v>
      </c>
      <c r="AR668" s="228">
        <f t="shared" si="384"/>
        <v>52</v>
      </c>
      <c r="AS668" s="229">
        <f t="shared" si="399"/>
        <v>45926</v>
      </c>
      <c r="AT668" s="982">
        <f t="shared" ca="1" si="400"/>
        <v>29</v>
      </c>
      <c r="AU668" s="50"/>
      <c r="AV668" s="51"/>
      <c r="AW668" s="49"/>
      <c r="AX668" s="49"/>
      <c r="AY668" s="49"/>
      <c r="AZ668" s="300"/>
      <c r="BA668" s="52"/>
      <c r="BB668" s="304"/>
      <c r="BC668" s="231" t="s">
        <v>12</v>
      </c>
      <c r="BD668" s="232"/>
      <c r="BE668" s="222">
        <f t="shared" si="414"/>
        <v>45881</v>
      </c>
      <c r="BF668" s="233">
        <f t="shared" si="389"/>
        <v>-5</v>
      </c>
      <c r="BG668" s="234">
        <v>45846</v>
      </c>
      <c r="BH668" s="235">
        <v>45876</v>
      </c>
      <c r="BI668" s="234"/>
      <c r="BJ668" s="236"/>
      <c r="BK668" s="222"/>
      <c r="BL668" s="222"/>
      <c r="BM668" s="238"/>
      <c r="BN668" s="222"/>
      <c r="BO668" s="222"/>
      <c r="BP668" s="243"/>
      <c r="BQ668" s="244"/>
      <c r="BR668" s="238"/>
      <c r="BS668" s="68"/>
      <c r="BT668" s="69"/>
      <c r="BU668" s="69"/>
      <c r="BV668" s="69"/>
      <c r="BW668" s="75"/>
      <c r="BX668" s="81"/>
      <c r="BY668" s="66">
        <v>45817</v>
      </c>
      <c r="BZ668" s="944" t="s">
        <v>3357</v>
      </c>
      <c r="CA668" s="42" t="str">
        <f t="shared" si="401"/>
        <v>0</v>
      </c>
      <c r="CB668" s="62">
        <f t="shared" si="402"/>
        <v>61.448611111110949</v>
      </c>
      <c r="CC668" s="42">
        <f t="shared" si="403"/>
        <v>0</v>
      </c>
      <c r="CD668" s="62">
        <f t="shared" si="404"/>
        <v>61.448611111110949</v>
      </c>
      <c r="CE668" s="62">
        <f t="shared" si="405"/>
        <v>2.1165632716049325</v>
      </c>
      <c r="CF668" s="145">
        <f t="shared" si="406"/>
        <v>3</v>
      </c>
      <c r="CG668" s="145"/>
      <c r="CH668" s="443">
        <f t="shared" si="407"/>
        <v>2.219896604938266</v>
      </c>
      <c r="CI668" s="996">
        <f t="shared" si="408"/>
        <v>2.219896604938266</v>
      </c>
      <c r="CJ668" s="261">
        <f t="shared" si="409"/>
        <v>0.05</v>
      </c>
      <c r="CK668" s="458" t="str">
        <f t="shared" si="410"/>
        <v/>
      </c>
      <c r="CL668" t="str">
        <f t="shared" si="411"/>
        <v>REV</v>
      </c>
      <c r="CM668" t="str">
        <f t="shared" si="412"/>
        <v/>
      </c>
      <c r="CN668" s="635"/>
      <c r="CO668" s="631"/>
      <c r="CP668" s="629"/>
      <c r="CQ668" s="635"/>
      <c r="CR668" s="697"/>
      <c r="CS668" s="633"/>
      <c r="CT668" s="635"/>
      <c r="CU668" s="631"/>
      <c r="CV668" s="638"/>
      <c r="CW668" s="853"/>
      <c r="CX668" s="856"/>
      <c r="CY668" s="856"/>
    </row>
    <row r="669" spans="1:103" s="359" customFormat="1" ht="15" customHeight="1" x14ac:dyDescent="0.25">
      <c r="A669" s="242">
        <v>45817</v>
      </c>
      <c r="B669" s="222"/>
      <c r="C669" s="852"/>
      <c r="D669" s="66" t="s">
        <v>284</v>
      </c>
      <c r="E669" s="404" t="s">
        <v>3358</v>
      </c>
      <c r="F669" s="95" t="s">
        <v>3359</v>
      </c>
      <c r="G669" s="95" t="s">
        <v>3360</v>
      </c>
      <c r="H669" s="95" t="s">
        <v>238</v>
      </c>
      <c r="I669" s="95" t="s">
        <v>239</v>
      </c>
      <c r="J669" s="854"/>
      <c r="K669" s="855"/>
      <c r="L669" s="101" t="s">
        <v>288</v>
      </c>
      <c r="M669" s="101" t="s">
        <v>272</v>
      </c>
      <c r="N669" s="442" t="s">
        <v>381</v>
      </c>
      <c r="O669" s="165">
        <v>4.7300000000000004</v>
      </c>
      <c r="P669" s="933">
        <v>11.66</v>
      </c>
      <c r="Q669" s="157">
        <v>69</v>
      </c>
      <c r="R669" s="109" t="s">
        <v>244</v>
      </c>
      <c r="S669" s="110">
        <v>39736.69</v>
      </c>
      <c r="T669" s="93">
        <v>10044.450000000001</v>
      </c>
      <c r="U669" s="857"/>
      <c r="V669" s="158">
        <f t="shared" si="390"/>
        <v>0</v>
      </c>
      <c r="W669" s="159">
        <v>45804.552777777775</v>
      </c>
      <c r="X669" s="159">
        <v>45811.456250000003</v>
      </c>
      <c r="Y669" s="160">
        <v>45817</v>
      </c>
      <c r="Z669" s="470"/>
      <c r="AA669" s="470">
        <v>45822.333333333336</v>
      </c>
      <c r="AB669" s="942"/>
      <c r="AC669" s="161">
        <f t="shared" si="391"/>
        <v>17.780555555560568</v>
      </c>
      <c r="AD669" s="161">
        <f t="shared" si="385"/>
        <v>10.877083333332848</v>
      </c>
      <c r="AE669" s="446">
        <f t="shared" si="413"/>
        <v>-45822.333333333336</v>
      </c>
      <c r="AF669" s="160">
        <f t="shared" si="386"/>
        <v>45822.627157943061</v>
      </c>
      <c r="AG669" s="160">
        <f t="shared" si="383"/>
        <v>45831.246992653811</v>
      </c>
      <c r="AH669" s="159">
        <f t="shared" si="387"/>
        <v>45854.552777777775</v>
      </c>
      <c r="AI669" s="162">
        <f t="shared" si="392"/>
        <v>0.63277859477142018</v>
      </c>
      <c r="AJ669" s="224">
        <f t="shared" si="388"/>
        <v>-763.70555555555563</v>
      </c>
      <c r="AK669" s="225">
        <f t="shared" si="393"/>
        <v>20</v>
      </c>
      <c r="AL669" s="170">
        <f t="shared" si="394"/>
        <v>34</v>
      </c>
      <c r="AM669" s="170">
        <f t="shared" si="395"/>
        <v>21.074380165289259</v>
      </c>
      <c r="AN669" s="170">
        <f t="shared" si="396"/>
        <v>26.694214876033058</v>
      </c>
      <c r="AO669" s="226">
        <f t="shared" si="397"/>
        <v>18.074380165289259</v>
      </c>
      <c r="AP669" s="227">
        <v>60</v>
      </c>
      <c r="AQ669" s="228">
        <f t="shared" si="398"/>
        <v>57</v>
      </c>
      <c r="AR669" s="228">
        <f t="shared" si="384"/>
        <v>52</v>
      </c>
      <c r="AS669" s="229">
        <f t="shared" si="399"/>
        <v>45882.333333333336</v>
      </c>
      <c r="AT669" s="982">
        <f t="shared" ca="1" si="400"/>
        <v>72.666666666664241</v>
      </c>
      <c r="AU669" s="50"/>
      <c r="AV669" s="51"/>
      <c r="AW669" s="49"/>
      <c r="AX669" s="49"/>
      <c r="AY669" s="49"/>
      <c r="AZ669" s="300"/>
      <c r="BA669" s="52"/>
      <c r="BB669" s="304"/>
      <c r="BC669" s="231" t="s">
        <v>13</v>
      </c>
      <c r="BD669" s="232"/>
      <c r="BE669" s="222">
        <f t="shared" si="414"/>
        <v>45837.333333333336</v>
      </c>
      <c r="BF669" s="233" t="e">
        <f t="shared" si="389"/>
        <v>#VALUE!</v>
      </c>
      <c r="BG669" s="234"/>
      <c r="BH669" s="235"/>
      <c r="BI669" s="234"/>
      <c r="BJ669" s="236"/>
      <c r="BK669" s="222"/>
      <c r="BL669" s="222"/>
      <c r="BM669" s="238"/>
      <c r="BN669" s="222"/>
      <c r="BO669" s="222"/>
      <c r="BP669" s="243"/>
      <c r="BQ669" s="244" t="s">
        <v>247</v>
      </c>
      <c r="BR669" s="238">
        <v>45819</v>
      </c>
      <c r="BS669" s="68"/>
      <c r="BT669" s="69"/>
      <c r="BU669" s="69"/>
      <c r="BV669" s="69"/>
      <c r="BW669" s="75"/>
      <c r="BX669" s="81"/>
      <c r="BY669" s="66"/>
      <c r="BZ669" s="944"/>
      <c r="CA669" s="42" t="str">
        <f t="shared" si="401"/>
        <v>0</v>
      </c>
      <c r="CB669" s="62">
        <f t="shared" si="402"/>
        <v>17.780555555560568</v>
      </c>
      <c r="CC669" s="42">
        <f t="shared" si="403"/>
        <v>0</v>
      </c>
      <c r="CD669" s="62">
        <f t="shared" si="404"/>
        <v>17.780555555560568</v>
      </c>
      <c r="CE669" s="62">
        <f t="shared" si="405"/>
        <v>0.63277859477142018</v>
      </c>
      <c r="CF669" s="145">
        <f t="shared" si="406"/>
        <v>46.666666666664241</v>
      </c>
      <c r="CG669" s="145"/>
      <c r="CH669" s="443">
        <f t="shared" si="407"/>
        <v>2.2935629084968241</v>
      </c>
      <c r="CI669" s="996">
        <f t="shared" si="408"/>
        <v>2.2935629084968241</v>
      </c>
      <c r="CJ669" s="261">
        <f t="shared" si="409"/>
        <v>0.77777777777773738</v>
      </c>
      <c r="CK669" s="458" t="str">
        <f t="shared" si="410"/>
        <v/>
      </c>
      <c r="CL669" t="str">
        <f t="shared" si="411"/>
        <v>REV</v>
      </c>
      <c r="CM669" t="str">
        <f t="shared" si="412"/>
        <v/>
      </c>
      <c r="CN669" s="635"/>
      <c r="CO669" s="631"/>
      <c r="CP669" s="629"/>
      <c r="CQ669" s="635"/>
      <c r="CR669" s="697"/>
      <c r="CS669" s="633"/>
      <c r="CT669" s="635"/>
      <c r="CU669" s="631"/>
      <c r="CV669" s="638"/>
      <c r="CW669" s="853"/>
      <c r="CX669" s="856"/>
      <c r="CY669" s="856"/>
    </row>
    <row r="670" spans="1:103" s="359" customFormat="1" ht="15" customHeight="1" x14ac:dyDescent="0.25">
      <c r="A670" s="242">
        <v>45820</v>
      </c>
      <c r="B670" s="222" t="s">
        <v>470</v>
      </c>
      <c r="C670" s="852"/>
      <c r="D670" s="66" t="s">
        <v>284</v>
      </c>
      <c r="E670" s="404" t="s">
        <v>3361</v>
      </c>
      <c r="F670" s="95" t="s">
        <v>3362</v>
      </c>
      <c r="G670" s="95" t="s">
        <v>3363</v>
      </c>
      <c r="H670" s="95" t="s">
        <v>238</v>
      </c>
      <c r="I670" s="95" t="s">
        <v>239</v>
      </c>
      <c r="J670" s="854"/>
      <c r="K670" s="855"/>
      <c r="L670" s="101" t="s">
        <v>288</v>
      </c>
      <c r="M670" s="101" t="s">
        <v>272</v>
      </c>
      <c r="N670" s="442" t="s">
        <v>381</v>
      </c>
      <c r="O670" s="165">
        <v>4.6894999999999998</v>
      </c>
      <c r="P670" s="933">
        <v>11.44</v>
      </c>
      <c r="Q670" s="157">
        <v>86</v>
      </c>
      <c r="R670" s="109" t="s">
        <v>548</v>
      </c>
      <c r="S670" s="110">
        <v>20269.740000000002</v>
      </c>
      <c r="T670" s="93">
        <v>9825.99</v>
      </c>
      <c r="U670" s="857"/>
      <c r="V670" s="158">
        <f t="shared" si="390"/>
        <v>0</v>
      </c>
      <c r="W670" s="159">
        <v>45804.729166666664</v>
      </c>
      <c r="X670" s="159">
        <v>45811.461805555555</v>
      </c>
      <c r="Y670" s="160">
        <v>45825</v>
      </c>
      <c r="Z670" s="470">
        <v>45826</v>
      </c>
      <c r="AA670" s="470">
        <v>45826</v>
      </c>
      <c r="AB670" s="942"/>
      <c r="AC670" s="161">
        <f t="shared" si="391"/>
        <v>21.270833333335759</v>
      </c>
      <c r="AD670" s="161">
        <f t="shared" si="385"/>
        <v>14.538194444445253</v>
      </c>
      <c r="AE670" s="446">
        <f t="shared" si="413"/>
        <v>-45826</v>
      </c>
      <c r="AF670" s="160">
        <f t="shared" si="386"/>
        <v>45822.80354683195</v>
      </c>
      <c r="AG670" s="160">
        <f t="shared" si="383"/>
        <v>45831.4233815427</v>
      </c>
      <c r="AH670" s="159">
        <f t="shared" si="387"/>
        <v>45854.729166666664</v>
      </c>
      <c r="AI670" s="162">
        <f t="shared" si="392"/>
        <v>0.75699142156871368</v>
      </c>
      <c r="AJ670" s="224">
        <f t="shared" si="388"/>
        <v>-763.76666666666665</v>
      </c>
      <c r="AK670" s="225">
        <f t="shared" si="393"/>
        <v>20</v>
      </c>
      <c r="AL670" s="170">
        <f t="shared" si="394"/>
        <v>34</v>
      </c>
      <c r="AM670" s="170">
        <f t="shared" si="395"/>
        <v>21.074380165289259</v>
      </c>
      <c r="AN670" s="170">
        <f t="shared" si="396"/>
        <v>26.694214876033058</v>
      </c>
      <c r="AO670" s="226">
        <f t="shared" si="397"/>
        <v>18.074380165289259</v>
      </c>
      <c r="AP670" s="227">
        <v>60</v>
      </c>
      <c r="AQ670" s="228">
        <f t="shared" si="398"/>
        <v>57</v>
      </c>
      <c r="AR670" s="228">
        <f t="shared" si="384"/>
        <v>52</v>
      </c>
      <c r="AS670" s="229">
        <f t="shared" si="399"/>
        <v>45886</v>
      </c>
      <c r="AT670" s="982">
        <f t="shared" ca="1" si="400"/>
        <v>69</v>
      </c>
      <c r="AU670" s="50"/>
      <c r="AV670" s="51"/>
      <c r="AW670" s="49"/>
      <c r="AX670" s="49"/>
      <c r="AY670" s="49"/>
      <c r="AZ670" s="300"/>
      <c r="BA670" s="52"/>
      <c r="BB670" s="304"/>
      <c r="BC670" s="231" t="s">
        <v>12</v>
      </c>
      <c r="BD670" s="232"/>
      <c r="BE670" s="222">
        <f t="shared" si="414"/>
        <v>45841</v>
      </c>
      <c r="BF670" s="233">
        <f t="shared" si="389"/>
        <v>15</v>
      </c>
      <c r="BG670" s="234">
        <v>45826</v>
      </c>
      <c r="BH670" s="235">
        <v>45856</v>
      </c>
      <c r="BI670" s="234"/>
      <c r="BJ670" s="236"/>
      <c r="BK670" s="222"/>
      <c r="BL670" s="222"/>
      <c r="BM670" s="238"/>
      <c r="BN670" s="222"/>
      <c r="BO670" s="222"/>
      <c r="BP670" s="243"/>
      <c r="BQ670" s="244" t="s">
        <v>247</v>
      </c>
      <c r="BR670" s="238">
        <v>45824</v>
      </c>
      <c r="BS670" s="68"/>
      <c r="BT670" s="69"/>
      <c r="BU670" s="69"/>
      <c r="BV670" s="69"/>
      <c r="BW670" s="75"/>
      <c r="BX670" s="81"/>
      <c r="BY670" s="66" t="s">
        <v>308</v>
      </c>
      <c r="BZ670" s="944" t="s">
        <v>3364</v>
      </c>
      <c r="CA670" s="42" t="str">
        <f t="shared" si="401"/>
        <v>0</v>
      </c>
      <c r="CB670" s="62">
        <f t="shared" si="402"/>
        <v>21.270833333335759</v>
      </c>
      <c r="CC670" s="42">
        <f t="shared" si="403"/>
        <v>0</v>
      </c>
      <c r="CD670" s="62">
        <f t="shared" si="404"/>
        <v>21.270833333335759</v>
      </c>
      <c r="CE670" s="62">
        <f t="shared" si="405"/>
        <v>0.75699142156871368</v>
      </c>
      <c r="CF670" s="145">
        <f t="shared" si="406"/>
        <v>43</v>
      </c>
      <c r="CG670" s="145"/>
      <c r="CH670" s="443">
        <f t="shared" si="407"/>
        <v>2.2872855392157723</v>
      </c>
      <c r="CI670" s="996">
        <f t="shared" si="408"/>
        <v>2.2872855392157723</v>
      </c>
      <c r="CJ670" s="261">
        <f t="shared" si="409"/>
        <v>0.71666666666666667</v>
      </c>
      <c r="CK670" s="458" t="str">
        <f t="shared" si="410"/>
        <v/>
      </c>
      <c r="CL670" t="str">
        <f t="shared" si="411"/>
        <v>NON-REV</v>
      </c>
      <c r="CM670" t="str">
        <f t="shared" si="412"/>
        <v/>
      </c>
      <c r="CN670" s="635"/>
      <c r="CO670" s="631"/>
      <c r="CP670" s="629"/>
      <c r="CQ670" s="635"/>
      <c r="CR670" s="697"/>
      <c r="CS670" s="633"/>
      <c r="CT670" s="635"/>
      <c r="CU670" s="631"/>
      <c r="CV670" s="638"/>
      <c r="CW670" s="853"/>
      <c r="CX670" s="856"/>
      <c r="CY670" s="856"/>
    </row>
    <row r="671" spans="1:103" s="359" customFormat="1" ht="15" customHeight="1" x14ac:dyDescent="0.25">
      <c r="A671" s="242">
        <v>45813</v>
      </c>
      <c r="B671" s="222">
        <v>45813</v>
      </c>
      <c r="C671" s="852"/>
      <c r="D671" s="66" t="s">
        <v>284</v>
      </c>
      <c r="E671" s="404" t="s">
        <v>3365</v>
      </c>
      <c r="F671" s="95" t="s">
        <v>3366</v>
      </c>
      <c r="G671" s="95" t="s">
        <v>3367</v>
      </c>
      <c r="H671" s="95" t="s">
        <v>269</v>
      </c>
      <c r="I671" s="95" t="s">
        <v>239</v>
      </c>
      <c r="J671" s="854" t="s">
        <v>3368</v>
      </c>
      <c r="K671" s="855"/>
      <c r="L671" s="101" t="s">
        <v>242</v>
      </c>
      <c r="M671" s="101" t="s">
        <v>331</v>
      </c>
      <c r="N671" s="442" t="s">
        <v>467</v>
      </c>
      <c r="O671" s="165">
        <v>62.388000000000005</v>
      </c>
      <c r="P671" s="165">
        <v>116.02</v>
      </c>
      <c r="Q671" s="157">
        <v>286</v>
      </c>
      <c r="R671" s="109" t="s">
        <v>244</v>
      </c>
      <c r="S671" s="110">
        <v>949051.31</v>
      </c>
      <c r="T671" s="93">
        <v>82287.740000000005</v>
      </c>
      <c r="U671" s="857"/>
      <c r="V671" s="158">
        <f t="shared" si="390"/>
        <v>0</v>
      </c>
      <c r="W671" s="159">
        <v>45805.436805555553</v>
      </c>
      <c r="X671" s="159">
        <v>45811.55972222222</v>
      </c>
      <c r="Y671" s="160">
        <v>45813</v>
      </c>
      <c r="Z671" s="470"/>
      <c r="AA671" s="470"/>
      <c r="AB671" s="942"/>
      <c r="AC671" s="161">
        <f t="shared" si="391"/>
        <v>-45805.436805555553</v>
      </c>
      <c r="AD671" s="161">
        <f t="shared" si="385"/>
        <v>-45811.55972222222</v>
      </c>
      <c r="AE671" s="446">
        <f t="shared" si="413"/>
        <v>0</v>
      </c>
      <c r="AF671" s="160">
        <f t="shared" si="386"/>
        <v>45823.944158496728</v>
      </c>
      <c r="AG671" s="160">
        <f t="shared" si="383"/>
        <v>45832.679452614379</v>
      </c>
      <c r="AH671" s="159">
        <f t="shared" si="387"/>
        <v>45855.436805555553</v>
      </c>
      <c r="AI671" s="162">
        <f t="shared" si="392"/>
        <v>-1597.3177962962961</v>
      </c>
      <c r="AJ671" s="224">
        <f t="shared" si="388"/>
        <v>0</v>
      </c>
      <c r="AK671" s="225">
        <f t="shared" si="393"/>
        <v>26</v>
      </c>
      <c r="AL671" s="170">
        <f t="shared" si="394"/>
        <v>30</v>
      </c>
      <c r="AM671" s="170">
        <f t="shared" si="395"/>
        <v>21.507352941176471</v>
      </c>
      <c r="AN671" s="170">
        <f t="shared" si="396"/>
        <v>27.242647058823529</v>
      </c>
      <c r="AO671" s="226">
        <f t="shared" si="397"/>
        <v>18.507352941176471</v>
      </c>
      <c r="AP671" s="227">
        <v>60</v>
      </c>
      <c r="AQ671" s="228">
        <f t="shared" si="398"/>
        <v>57</v>
      </c>
      <c r="AR671" s="228">
        <f t="shared" si="384"/>
        <v>52</v>
      </c>
      <c r="AS671" s="229">
        <f t="shared" si="399"/>
        <v>60</v>
      </c>
      <c r="AT671" s="982">
        <f t="shared" ca="1" si="400"/>
        <v>45895</v>
      </c>
      <c r="AU671" s="50"/>
      <c r="AV671" s="51"/>
      <c r="AW671" s="49"/>
      <c r="AX671" s="49"/>
      <c r="AY671" s="49"/>
      <c r="AZ671" s="300"/>
      <c r="BA671" s="52"/>
      <c r="BB671" s="304"/>
      <c r="BC671" s="231"/>
      <c r="BD671" s="232"/>
      <c r="BE671" s="222">
        <f t="shared" si="414"/>
        <v>15</v>
      </c>
      <c r="BF671" s="233">
        <f t="shared" si="389"/>
        <v>0</v>
      </c>
      <c r="BG671" s="234"/>
      <c r="BH671" s="235"/>
      <c r="BI671" s="234"/>
      <c r="BJ671" s="236"/>
      <c r="BK671" s="222"/>
      <c r="BL671" s="222"/>
      <c r="BM671" s="238"/>
      <c r="BN671" s="222"/>
      <c r="BO671" s="222"/>
      <c r="BP671" s="243"/>
      <c r="BQ671" s="244"/>
      <c r="BR671" s="238"/>
      <c r="BS671" s="68"/>
      <c r="BT671" s="69"/>
      <c r="BU671" s="69"/>
      <c r="BV671" s="69"/>
      <c r="BW671" s="75"/>
      <c r="BX671" s="81"/>
      <c r="BY671" s="66">
        <v>45813</v>
      </c>
      <c r="BZ671" s="944" t="s">
        <v>3369</v>
      </c>
      <c r="CA671" s="42" t="str">
        <f t="shared" si="401"/>
        <v>0</v>
      </c>
      <c r="CB671" s="62">
        <f t="shared" si="402"/>
        <v>-45805.436805555553</v>
      </c>
      <c r="CC671" s="42">
        <f t="shared" si="403"/>
        <v>0</v>
      </c>
      <c r="CD671" s="62">
        <f t="shared" si="404"/>
        <v>-45805.436805555553</v>
      </c>
      <c r="CE671" s="62">
        <f t="shared" si="405"/>
        <v>-1597.3177962962961</v>
      </c>
      <c r="CF671" s="145" t="str">
        <f t="shared" si="406"/>
        <v>0</v>
      </c>
      <c r="CG671" s="145"/>
      <c r="CH671" s="443">
        <f t="shared" si="407"/>
        <v>2.2165626780627568</v>
      </c>
      <c r="CI671" s="996">
        <f t="shared" si="408"/>
        <v>2.2165626780627568</v>
      </c>
      <c r="CJ671" s="261">
        <f t="shared" si="409"/>
        <v>0</v>
      </c>
      <c r="CK671" s="458">
        <f t="shared" si="410"/>
        <v>50.563194444446708</v>
      </c>
      <c r="CL671" t="str">
        <f t="shared" si="411"/>
        <v>REV</v>
      </c>
      <c r="CM671" t="str">
        <f t="shared" si="412"/>
        <v>0-3 MONTHS</v>
      </c>
      <c r="CN671" s="635"/>
      <c r="CO671" s="631"/>
      <c r="CP671" s="629"/>
      <c r="CQ671" s="635"/>
      <c r="CR671" s="697"/>
      <c r="CS671" s="633"/>
      <c r="CT671" s="635"/>
      <c r="CU671" s="631"/>
      <c r="CV671" s="638"/>
      <c r="CW671" s="853"/>
      <c r="CX671" s="856"/>
      <c r="CY671" s="856"/>
    </row>
    <row r="672" spans="1:103" s="359" customFormat="1" ht="15" customHeight="1" x14ac:dyDescent="0.25">
      <c r="A672" s="242">
        <v>45813</v>
      </c>
      <c r="B672" s="222">
        <v>45813</v>
      </c>
      <c r="C672" s="852"/>
      <c r="D672" s="66" t="s">
        <v>284</v>
      </c>
      <c r="E672" s="404" t="s">
        <v>3370</v>
      </c>
      <c r="F672" s="95" t="s">
        <v>3366</v>
      </c>
      <c r="G672" s="95" t="s">
        <v>3367</v>
      </c>
      <c r="H672" s="95" t="s">
        <v>269</v>
      </c>
      <c r="I672" s="95" t="s">
        <v>239</v>
      </c>
      <c r="J672" s="854" t="s">
        <v>3368</v>
      </c>
      <c r="K672" s="855"/>
      <c r="L672" s="101" t="s">
        <v>242</v>
      </c>
      <c r="M672" s="101" t="s">
        <v>331</v>
      </c>
      <c r="N672" s="442" t="s">
        <v>467</v>
      </c>
      <c r="O672" s="165">
        <v>51.372600000000006</v>
      </c>
      <c r="P672" s="165">
        <v>92.95</v>
      </c>
      <c r="Q672" s="157">
        <v>286</v>
      </c>
      <c r="R672" s="109" t="s">
        <v>244</v>
      </c>
      <c r="S672" s="110">
        <v>201286.67</v>
      </c>
      <c r="T672" s="93">
        <v>62439.3</v>
      </c>
      <c r="U672" s="857"/>
      <c r="V672" s="158">
        <f t="shared" si="390"/>
        <v>0</v>
      </c>
      <c r="W672" s="159">
        <v>45805.440972222219</v>
      </c>
      <c r="X672" s="159">
        <v>45811.55972222222</v>
      </c>
      <c r="Y672" s="160">
        <v>45813</v>
      </c>
      <c r="Z672" s="470"/>
      <c r="AA672" s="470"/>
      <c r="AB672" s="942"/>
      <c r="AC672" s="161">
        <f t="shared" si="391"/>
        <v>-45805.440972222219</v>
      </c>
      <c r="AD672" s="161">
        <f t="shared" si="385"/>
        <v>-45811.55972222222</v>
      </c>
      <c r="AE672" s="446">
        <f t="shared" si="413"/>
        <v>0</v>
      </c>
      <c r="AF672" s="160">
        <f t="shared" si="386"/>
        <v>45823.0585021027</v>
      </c>
      <c r="AG672" s="160">
        <f t="shared" si="383"/>
        <v>45831.556510070826</v>
      </c>
      <c r="AH672" s="159">
        <f t="shared" si="387"/>
        <v>45855.440972222219</v>
      </c>
      <c r="AI672" s="162">
        <f t="shared" si="392"/>
        <v>-1666.2558962359096</v>
      </c>
      <c r="AJ672" s="224">
        <f t="shared" si="388"/>
        <v>0</v>
      </c>
      <c r="AK672" s="225">
        <f t="shared" si="393"/>
        <v>23</v>
      </c>
      <c r="AL672" s="170">
        <f t="shared" si="394"/>
        <v>30</v>
      </c>
      <c r="AM672" s="170">
        <f t="shared" si="395"/>
        <v>20.617529880478088</v>
      </c>
      <c r="AN672" s="170">
        <f t="shared" si="396"/>
        <v>26.115537848605577</v>
      </c>
      <c r="AO672" s="226">
        <f t="shared" si="397"/>
        <v>17.617529880478088</v>
      </c>
      <c r="AP672" s="227">
        <v>60</v>
      </c>
      <c r="AQ672" s="228">
        <f t="shared" si="398"/>
        <v>57</v>
      </c>
      <c r="AR672" s="228">
        <f t="shared" si="384"/>
        <v>52</v>
      </c>
      <c r="AS672" s="229">
        <f t="shared" si="399"/>
        <v>60</v>
      </c>
      <c r="AT672" s="982">
        <f t="shared" ca="1" si="400"/>
        <v>45895</v>
      </c>
      <c r="AU672" s="50"/>
      <c r="AV672" s="51"/>
      <c r="AW672" s="49"/>
      <c r="AX672" s="49"/>
      <c r="AY672" s="49"/>
      <c r="AZ672" s="300"/>
      <c r="BA672" s="52"/>
      <c r="BB672" s="304"/>
      <c r="BC672" s="231"/>
      <c r="BD672" s="232"/>
      <c r="BE672" s="222">
        <f t="shared" si="414"/>
        <v>15</v>
      </c>
      <c r="BF672" s="233">
        <f t="shared" si="389"/>
        <v>0</v>
      </c>
      <c r="BG672" s="234"/>
      <c r="BH672" s="235"/>
      <c r="BI672" s="234"/>
      <c r="BJ672" s="236"/>
      <c r="BK672" s="222"/>
      <c r="BL672" s="222"/>
      <c r="BM672" s="238"/>
      <c r="BN672" s="222"/>
      <c r="BO672" s="222"/>
      <c r="BP672" s="243"/>
      <c r="BQ672" s="244"/>
      <c r="BR672" s="238"/>
      <c r="BS672" s="68"/>
      <c r="BT672" s="69"/>
      <c r="BU672" s="69"/>
      <c r="BV672" s="69"/>
      <c r="BW672" s="75"/>
      <c r="BX672" s="81"/>
      <c r="BY672" s="66">
        <v>45813</v>
      </c>
      <c r="BZ672" s="944" t="s">
        <v>3371</v>
      </c>
      <c r="CA672" s="42" t="str">
        <f t="shared" si="401"/>
        <v>0</v>
      </c>
      <c r="CB672" s="62">
        <f t="shared" si="402"/>
        <v>-45805.440972222219</v>
      </c>
      <c r="CC672" s="42">
        <f t="shared" si="403"/>
        <v>0</v>
      </c>
      <c r="CD672" s="62">
        <f t="shared" si="404"/>
        <v>-45805.440972222219</v>
      </c>
      <c r="CE672" s="62">
        <f t="shared" si="405"/>
        <v>-1666.2558962359096</v>
      </c>
      <c r="CF672" s="145" t="str">
        <f t="shared" si="406"/>
        <v>0</v>
      </c>
      <c r="CG672" s="145"/>
      <c r="CH672" s="443">
        <f t="shared" si="407"/>
        <v>2.3120747785830482</v>
      </c>
      <c r="CI672" s="996">
        <f t="shared" si="408"/>
        <v>2.3120747785830482</v>
      </c>
      <c r="CJ672" s="261">
        <f t="shared" si="409"/>
        <v>0</v>
      </c>
      <c r="CK672" s="458">
        <f t="shared" si="410"/>
        <v>50.559027777781012</v>
      </c>
      <c r="CL672" t="str">
        <f t="shared" si="411"/>
        <v>REV</v>
      </c>
      <c r="CM672" t="str">
        <f t="shared" si="412"/>
        <v>0-3 MONTHS</v>
      </c>
      <c r="CN672" s="635"/>
      <c r="CO672" s="631"/>
      <c r="CP672" s="629"/>
      <c r="CQ672" s="635"/>
      <c r="CR672" s="697"/>
      <c r="CS672" s="633"/>
      <c r="CT672" s="635"/>
      <c r="CU672" s="631"/>
      <c r="CV672" s="638"/>
      <c r="CW672" s="853"/>
      <c r="CX672" s="856"/>
      <c r="CY672" s="856"/>
    </row>
    <row r="673" spans="1:103" s="359" customFormat="1" ht="15" customHeight="1" x14ac:dyDescent="0.25">
      <c r="A673" s="242">
        <v>45820</v>
      </c>
      <c r="B673" s="222"/>
      <c r="C673" s="852" t="s">
        <v>247</v>
      </c>
      <c r="D673" s="66" t="s">
        <v>320</v>
      </c>
      <c r="E673" s="404" t="s">
        <v>3372</v>
      </c>
      <c r="F673" s="95" t="s">
        <v>3373</v>
      </c>
      <c r="G673" s="95" t="s">
        <v>3374</v>
      </c>
      <c r="H673" s="95" t="s">
        <v>318</v>
      </c>
      <c r="I673" s="95" t="s">
        <v>239</v>
      </c>
      <c r="J673" s="854"/>
      <c r="K673" s="855"/>
      <c r="L673" s="101" t="s">
        <v>1957</v>
      </c>
      <c r="M673" s="101" t="s">
        <v>272</v>
      </c>
      <c r="N673" s="442" t="s">
        <v>3375</v>
      </c>
      <c r="O673" s="165">
        <v>45.60799999999999</v>
      </c>
      <c r="P673" s="933">
        <v>135.13</v>
      </c>
      <c r="Q673" s="157">
        <v>80</v>
      </c>
      <c r="R673" s="109" t="s">
        <v>548</v>
      </c>
      <c r="S673" s="110">
        <v>402109.55</v>
      </c>
      <c r="T673" s="93">
        <v>48869.9</v>
      </c>
      <c r="U673" s="857"/>
      <c r="V673" s="158">
        <f t="shared" si="390"/>
        <v>0</v>
      </c>
      <c r="W673" s="159">
        <v>45805.443055555559</v>
      </c>
      <c r="X673" s="159">
        <v>45819.645833333336</v>
      </c>
      <c r="Y673" s="160">
        <v>45820</v>
      </c>
      <c r="Z673" s="470"/>
      <c r="AA673" s="470">
        <v>45834</v>
      </c>
      <c r="AB673" s="942"/>
      <c r="AC673" s="161">
        <f t="shared" si="391"/>
        <v>28.556944444440887</v>
      </c>
      <c r="AD673" s="161">
        <f t="shared" si="385"/>
        <v>14.354166666664241</v>
      </c>
      <c r="AE673" s="446">
        <f t="shared" si="413"/>
        <v>-45834</v>
      </c>
      <c r="AF673" s="160">
        <f t="shared" si="386"/>
        <v>45825.788125978092</v>
      </c>
      <c r="AG673" s="160">
        <f t="shared" si="383"/>
        <v>45835.013478090768</v>
      </c>
      <c r="AH673" s="159">
        <f t="shared" si="387"/>
        <v>45855.443055555559</v>
      </c>
      <c r="AI673" s="162">
        <f t="shared" si="392"/>
        <v>0.91744029663135884</v>
      </c>
      <c r="AJ673" s="224">
        <f t="shared" si="388"/>
        <v>-763.9</v>
      </c>
      <c r="AK673" s="225">
        <f t="shared" si="393"/>
        <v>26</v>
      </c>
      <c r="AL673" s="170">
        <f t="shared" si="394"/>
        <v>34</v>
      </c>
      <c r="AM673" s="170">
        <f t="shared" si="395"/>
        <v>23.345070422535212</v>
      </c>
      <c r="AN673" s="170">
        <f t="shared" si="396"/>
        <v>29.570422535211268</v>
      </c>
      <c r="AO673" s="226">
        <f t="shared" si="397"/>
        <v>20.345070422535212</v>
      </c>
      <c r="AP673" s="227">
        <v>60</v>
      </c>
      <c r="AQ673" s="228">
        <f t="shared" si="398"/>
        <v>57</v>
      </c>
      <c r="AR673" s="228">
        <f t="shared" si="384"/>
        <v>52</v>
      </c>
      <c r="AS673" s="229">
        <f t="shared" si="399"/>
        <v>45894</v>
      </c>
      <c r="AT673" s="982">
        <f t="shared" ca="1" si="400"/>
        <v>61</v>
      </c>
      <c r="AU673" s="50"/>
      <c r="AV673" s="51"/>
      <c r="AW673" s="49"/>
      <c r="AX673" s="49"/>
      <c r="AY673" s="49"/>
      <c r="AZ673" s="300"/>
      <c r="BA673" s="52"/>
      <c r="BB673" s="304"/>
      <c r="BC673" s="231" t="s">
        <v>13</v>
      </c>
      <c r="BD673" s="232"/>
      <c r="BE673" s="222">
        <f t="shared" si="414"/>
        <v>45849</v>
      </c>
      <c r="BF673" s="233" t="e">
        <f t="shared" si="389"/>
        <v>#VALUE!</v>
      </c>
      <c r="BG673" s="234"/>
      <c r="BH673" s="235"/>
      <c r="BI673" s="234"/>
      <c r="BJ673" s="236"/>
      <c r="BK673" s="222"/>
      <c r="BL673" s="222"/>
      <c r="BM673" s="238"/>
      <c r="BN673" s="222"/>
      <c r="BO673" s="222"/>
      <c r="BP673" s="243"/>
      <c r="BQ673" s="244"/>
      <c r="BR673" s="238"/>
      <c r="BS673" s="68"/>
      <c r="BT673" s="69"/>
      <c r="BU673" s="69"/>
      <c r="BV673" s="69"/>
      <c r="BW673" s="75"/>
      <c r="BX673" s="81"/>
      <c r="BY673" s="66">
        <v>45825</v>
      </c>
      <c r="BZ673" s="944" t="s">
        <v>3376</v>
      </c>
      <c r="CA673" s="42" t="str">
        <f t="shared" si="401"/>
        <v>0</v>
      </c>
      <c r="CB673" s="62">
        <f t="shared" si="402"/>
        <v>28.556944444440887</v>
      </c>
      <c r="CC673" s="42">
        <f t="shared" si="403"/>
        <v>0</v>
      </c>
      <c r="CD673" s="62">
        <f t="shared" si="404"/>
        <v>28.556944444440887</v>
      </c>
      <c r="CE673" s="62">
        <f t="shared" si="405"/>
        <v>0.91744029663135884</v>
      </c>
      <c r="CF673" s="145">
        <f t="shared" si="406"/>
        <v>35</v>
      </c>
      <c r="CG673" s="145"/>
      <c r="CH673" s="443">
        <f t="shared" si="407"/>
        <v>2.0418746857716301</v>
      </c>
      <c r="CI673" s="996">
        <f t="shared" si="408"/>
        <v>2.0418746857716301</v>
      </c>
      <c r="CJ673" s="261">
        <f t="shared" si="409"/>
        <v>0.58333333333333337</v>
      </c>
      <c r="CK673" s="458" t="str">
        <f t="shared" si="410"/>
        <v/>
      </c>
      <c r="CL673" t="str">
        <f t="shared" si="411"/>
        <v>NON-REV</v>
      </c>
      <c r="CM673" t="str">
        <f t="shared" si="412"/>
        <v/>
      </c>
      <c r="CN673" s="635"/>
      <c r="CO673" s="631"/>
      <c r="CP673" s="629"/>
      <c r="CQ673" s="635"/>
      <c r="CR673" s="697"/>
      <c r="CS673" s="633"/>
      <c r="CT673" s="635"/>
      <c r="CU673" s="631"/>
      <c r="CV673" s="638"/>
      <c r="CW673" s="853"/>
      <c r="CX673" s="856"/>
      <c r="CY673" s="856"/>
    </row>
    <row r="674" spans="1:103" s="1103" customFormat="1" ht="15" customHeight="1" x14ac:dyDescent="0.2">
      <c r="A674" s="242">
        <v>45818</v>
      </c>
      <c r="B674" s="222">
        <v>45825</v>
      </c>
      <c r="C674" s="852"/>
      <c r="D674" s="66" t="s">
        <v>234</v>
      </c>
      <c r="E674" s="404" t="s">
        <v>3377</v>
      </c>
      <c r="F674" s="95" t="s">
        <v>926</v>
      </c>
      <c r="G674" s="95" t="s">
        <v>3378</v>
      </c>
      <c r="H674" s="95" t="s">
        <v>269</v>
      </c>
      <c r="I674" s="95" t="s">
        <v>239</v>
      </c>
      <c r="J674" s="1134" t="s">
        <v>3379</v>
      </c>
      <c r="K674" s="855"/>
      <c r="L674" s="101" t="s">
        <v>255</v>
      </c>
      <c r="M674" s="101" t="s">
        <v>331</v>
      </c>
      <c r="N674" s="442" t="s">
        <v>403</v>
      </c>
      <c r="O674" s="165">
        <v>157.80459999999999</v>
      </c>
      <c r="P674" s="165">
        <v>5029.47</v>
      </c>
      <c r="Q674" s="157">
        <v>31</v>
      </c>
      <c r="R674" s="109" t="s">
        <v>244</v>
      </c>
      <c r="S674" s="110">
        <v>4452082.21</v>
      </c>
      <c r="T674" s="93">
        <v>188797.42000000004</v>
      </c>
      <c r="U674" s="857"/>
      <c r="V674" s="158">
        <f t="shared" si="390"/>
        <v>0</v>
      </c>
      <c r="W674" s="159">
        <v>45805.55972222222</v>
      </c>
      <c r="X674" s="159">
        <v>45811.53125</v>
      </c>
      <c r="Y674" s="160">
        <v>45825</v>
      </c>
      <c r="Z674" s="470"/>
      <c r="AA674" s="470"/>
      <c r="AB674" s="942"/>
      <c r="AC674" s="161">
        <f t="shared" si="391"/>
        <v>-45805.55972222222</v>
      </c>
      <c r="AD674" s="161">
        <f t="shared" si="385"/>
        <v>-45811.53125</v>
      </c>
      <c r="AE674" s="446">
        <f t="shared" si="413"/>
        <v>0</v>
      </c>
      <c r="AF674" s="160">
        <f t="shared" si="386"/>
        <v>45832.03570475497</v>
      </c>
      <c r="AG674" s="160">
        <f t="shared" si="383"/>
        <v>45842.895966763703</v>
      </c>
      <c r="AH674" s="159">
        <f t="shared" si="387"/>
        <v>45855.55972222222</v>
      </c>
      <c r="AI674" s="162">
        <f t="shared" si="392"/>
        <v>-1165.4970195987653</v>
      </c>
      <c r="AJ674" s="224">
        <f t="shared" si="388"/>
        <v>0</v>
      </c>
      <c r="AK674" s="225">
        <f t="shared" si="393"/>
        <v>50</v>
      </c>
      <c r="AL674" s="170">
        <f t="shared" si="394"/>
        <v>36</v>
      </c>
      <c r="AM674" s="170">
        <f t="shared" si="395"/>
        <v>29.475982532751093</v>
      </c>
      <c r="AN674" s="170">
        <f t="shared" si="396"/>
        <v>37.336244541484717</v>
      </c>
      <c r="AO674" s="226">
        <f t="shared" si="397"/>
        <v>26.475982532751093</v>
      </c>
      <c r="AP674" s="227">
        <v>60</v>
      </c>
      <c r="AQ674" s="228">
        <f t="shared" si="398"/>
        <v>57</v>
      </c>
      <c r="AR674" s="228">
        <f t="shared" si="384"/>
        <v>52</v>
      </c>
      <c r="AS674" s="229">
        <f t="shared" si="399"/>
        <v>60</v>
      </c>
      <c r="AT674" s="982">
        <f t="shared" ca="1" si="400"/>
        <v>45895</v>
      </c>
      <c r="AU674" s="1077" t="s">
        <v>50</v>
      </c>
      <c r="AV674" s="1092" t="s">
        <v>247</v>
      </c>
      <c r="AW674" s="1079" t="s">
        <v>247</v>
      </c>
      <c r="AX674" s="1079"/>
      <c r="AY674" s="1079"/>
      <c r="AZ674" s="1080">
        <v>45832</v>
      </c>
      <c r="BA674" s="1101">
        <v>34</v>
      </c>
      <c r="BB674" s="1091">
        <v>45866</v>
      </c>
      <c r="BC674" s="231"/>
      <c r="BD674" s="232"/>
      <c r="BE674" s="222">
        <f t="shared" si="414"/>
        <v>15</v>
      </c>
      <c r="BF674" s="233">
        <f t="shared" si="389"/>
        <v>0</v>
      </c>
      <c r="BG674" s="234"/>
      <c r="BH674" s="235"/>
      <c r="BI674" s="234"/>
      <c r="BJ674" s="236"/>
      <c r="BK674" s="222"/>
      <c r="BL674" s="222"/>
      <c r="BM674" s="238"/>
      <c r="BN674" s="222"/>
      <c r="BO674" s="222"/>
      <c r="BP674" s="243"/>
      <c r="BQ674" s="244"/>
      <c r="BR674" s="238"/>
      <c r="BS674" s="68"/>
      <c r="BT674" s="69"/>
      <c r="BU674" s="69"/>
      <c r="BV674" s="69"/>
      <c r="BW674" s="75"/>
      <c r="BX674" s="81"/>
      <c r="BY674" s="66">
        <v>45818</v>
      </c>
      <c r="BZ674" s="944" t="s">
        <v>3380</v>
      </c>
      <c r="CA674" s="42" t="str">
        <f t="shared" si="401"/>
        <v>0</v>
      </c>
      <c r="CB674" s="62">
        <f t="shared" si="402"/>
        <v>-45805.55972222222</v>
      </c>
      <c r="CC674" s="42">
        <f t="shared" si="403"/>
        <v>34</v>
      </c>
      <c r="CD674" s="62">
        <f t="shared" si="404"/>
        <v>-45839.55972222222</v>
      </c>
      <c r="CE674" s="62">
        <f t="shared" si="405"/>
        <v>-1166.3621307098765</v>
      </c>
      <c r="CF674" s="1059" t="str">
        <f t="shared" si="406"/>
        <v>0</v>
      </c>
      <c r="CG674" s="1059"/>
      <c r="CH674" s="1082">
        <f t="shared" si="407"/>
        <v>1.6142026234568352</v>
      </c>
      <c r="CI674" s="1083">
        <f t="shared" si="408"/>
        <v>1.6142026234568352</v>
      </c>
      <c r="CJ674" s="1084">
        <f t="shared" si="409"/>
        <v>0</v>
      </c>
      <c r="CK674" s="1085">
        <f t="shared" si="410"/>
        <v>50.440277777779556</v>
      </c>
      <c r="CL674" s="1057" t="str">
        <f t="shared" si="411"/>
        <v>REV</v>
      </c>
      <c r="CM674" s="1057" t="str">
        <f t="shared" si="412"/>
        <v>0-3 MONTHS</v>
      </c>
      <c r="CN674" s="1086"/>
      <c r="CO674" s="1087"/>
      <c r="CP674" s="629"/>
      <c r="CQ674" s="1086"/>
      <c r="CR674" s="1088"/>
      <c r="CS674" s="1089"/>
      <c r="CT674" s="1086"/>
      <c r="CU674" s="1087"/>
      <c r="CV674" s="1090"/>
      <c r="CW674" s="853"/>
      <c r="CX674" s="856"/>
      <c r="CY674" s="856"/>
    </row>
    <row r="675" spans="1:103" s="359" customFormat="1" ht="15" customHeight="1" x14ac:dyDescent="0.25">
      <c r="A675" s="242">
        <v>45820</v>
      </c>
      <c r="B675" s="222">
        <v>45847</v>
      </c>
      <c r="C675" s="852"/>
      <c r="D675" s="66" t="s">
        <v>320</v>
      </c>
      <c r="E675" s="404" t="s">
        <v>3381</v>
      </c>
      <c r="F675" s="95" t="s">
        <v>3382</v>
      </c>
      <c r="G675" s="95" t="s">
        <v>1799</v>
      </c>
      <c r="H675" s="95" t="s">
        <v>318</v>
      </c>
      <c r="I675" s="95" t="s">
        <v>239</v>
      </c>
      <c r="J675" s="1134" t="s">
        <v>3383</v>
      </c>
      <c r="K675" s="855"/>
      <c r="L675" s="101" t="s">
        <v>5</v>
      </c>
      <c r="M675" s="101" t="s">
        <v>272</v>
      </c>
      <c r="N675" s="442" t="s">
        <v>403</v>
      </c>
      <c r="O675" s="165">
        <v>23.723299999999998</v>
      </c>
      <c r="P675" s="933">
        <v>75.19</v>
      </c>
      <c r="Q675" s="157">
        <v>28</v>
      </c>
      <c r="R675" s="109" t="s">
        <v>244</v>
      </c>
      <c r="S675" s="110">
        <v>301328.8</v>
      </c>
      <c r="T675" s="93">
        <v>48893.24</v>
      </c>
      <c r="U675" s="857"/>
      <c r="V675" s="158">
        <f t="shared" si="390"/>
        <v>0</v>
      </c>
      <c r="W675" s="159">
        <v>45805.700694444444</v>
      </c>
      <c r="X675" s="159">
        <v>45811.549305555556</v>
      </c>
      <c r="Y675" s="160">
        <v>45817</v>
      </c>
      <c r="Z675" s="470"/>
      <c r="AA675" s="470">
        <v>45841</v>
      </c>
      <c r="AB675" s="942"/>
      <c r="AC675" s="161">
        <f t="shared" si="391"/>
        <v>35.299305555556202</v>
      </c>
      <c r="AD675" s="161">
        <f t="shared" si="385"/>
        <v>29.450694444443798</v>
      </c>
      <c r="AE675" s="446">
        <f t="shared" si="413"/>
        <v>-45841</v>
      </c>
      <c r="AF675" s="160">
        <f t="shared" si="386"/>
        <v>45825.786196303183</v>
      </c>
      <c r="AG675" s="160">
        <f t="shared" si="383"/>
        <v>45834.942330132173</v>
      </c>
      <c r="AH675" s="159">
        <f t="shared" si="387"/>
        <v>45855.700694444444</v>
      </c>
      <c r="AI675" s="162">
        <f t="shared" si="392"/>
        <v>1.1468011104401712</v>
      </c>
      <c r="AJ675" s="224">
        <f t="shared" si="388"/>
        <v>-764.01666666666665</v>
      </c>
      <c r="AK675" s="225">
        <f t="shared" si="393"/>
        <v>23</v>
      </c>
      <c r="AL675" s="170">
        <f t="shared" si="394"/>
        <v>36</v>
      </c>
      <c r="AM675" s="170">
        <f t="shared" si="395"/>
        <v>23.085501858736059</v>
      </c>
      <c r="AN675" s="170">
        <f t="shared" si="396"/>
        <v>29.241635687732341</v>
      </c>
      <c r="AO675" s="226">
        <f t="shared" si="397"/>
        <v>20.085501858736059</v>
      </c>
      <c r="AP675" s="227">
        <v>60</v>
      </c>
      <c r="AQ675" s="228">
        <f t="shared" si="398"/>
        <v>57</v>
      </c>
      <c r="AR675" s="228">
        <f t="shared" si="384"/>
        <v>52</v>
      </c>
      <c r="AS675" s="229">
        <f t="shared" si="399"/>
        <v>45901</v>
      </c>
      <c r="AT675" s="982">
        <f t="shared" ca="1" si="400"/>
        <v>54</v>
      </c>
      <c r="AU675" s="50"/>
      <c r="AV675" s="51"/>
      <c r="AW675" s="49"/>
      <c r="AX675" s="49"/>
      <c r="AY675" s="49"/>
      <c r="AZ675" s="300"/>
      <c r="BA675" s="52"/>
      <c r="BB675" s="304"/>
      <c r="BC675" s="231" t="s">
        <v>13</v>
      </c>
      <c r="BD675" s="232"/>
      <c r="BE675" s="222">
        <f t="shared" si="414"/>
        <v>45856</v>
      </c>
      <c r="BF675" s="233" t="e">
        <f t="shared" si="389"/>
        <v>#VALUE!</v>
      </c>
      <c r="BG675" s="234"/>
      <c r="BH675" s="235"/>
      <c r="BI675" s="234"/>
      <c r="BJ675" s="236"/>
      <c r="BK675" s="222"/>
      <c r="BL675" s="222"/>
      <c r="BM675" s="238"/>
      <c r="BN675" s="222"/>
      <c r="BO675" s="222"/>
      <c r="BP675" s="243"/>
      <c r="BQ675" s="244" t="s">
        <v>247</v>
      </c>
      <c r="BR675" s="238">
        <v>45828</v>
      </c>
      <c r="BS675" s="68"/>
      <c r="BT675" s="69"/>
      <c r="BU675" s="69"/>
      <c r="BV675" s="69"/>
      <c r="BW675" s="75"/>
      <c r="BX675" s="81"/>
      <c r="BY675" s="66">
        <v>45825</v>
      </c>
      <c r="BZ675" s="944" t="s">
        <v>3384</v>
      </c>
      <c r="CA675" s="42" t="str">
        <f t="shared" si="401"/>
        <v>0</v>
      </c>
      <c r="CB675" s="62">
        <f t="shared" si="402"/>
        <v>35.299305555556202</v>
      </c>
      <c r="CC675" s="42">
        <f t="shared" si="403"/>
        <v>0</v>
      </c>
      <c r="CD675" s="62">
        <f t="shared" si="404"/>
        <v>35.299305555556202</v>
      </c>
      <c r="CE675" s="62">
        <f t="shared" si="405"/>
        <v>1.1468011104401712</v>
      </c>
      <c r="CF675" s="145">
        <f t="shared" si="406"/>
        <v>28</v>
      </c>
      <c r="CG675" s="145"/>
      <c r="CH675" s="443">
        <f t="shared" si="407"/>
        <v>2.0564629461889634</v>
      </c>
      <c r="CI675" s="996">
        <f t="shared" si="408"/>
        <v>2.0564629461889634</v>
      </c>
      <c r="CJ675" s="261">
        <f t="shared" si="409"/>
        <v>0.46666666666666667</v>
      </c>
      <c r="CK675" s="458" t="str">
        <f t="shared" si="410"/>
        <v/>
      </c>
      <c r="CL675" t="str">
        <f t="shared" si="411"/>
        <v>REV</v>
      </c>
      <c r="CM675" t="str">
        <f t="shared" si="412"/>
        <v/>
      </c>
      <c r="CN675" s="635"/>
      <c r="CO675" s="631"/>
      <c r="CP675" s="629"/>
      <c r="CQ675" s="635"/>
      <c r="CR675" s="697"/>
      <c r="CS675" s="633"/>
      <c r="CT675" s="635"/>
      <c r="CU675" s="631"/>
      <c r="CV675" s="638"/>
      <c r="CW675" s="853"/>
      <c r="CX675" s="856"/>
      <c r="CY675" s="856"/>
    </row>
    <row r="676" spans="1:103" s="359" customFormat="1" ht="15" customHeight="1" x14ac:dyDescent="0.25">
      <c r="A676" s="242">
        <v>45811</v>
      </c>
      <c r="B676" s="222">
        <v>45813</v>
      </c>
      <c r="C676" s="852"/>
      <c r="D676" s="66" t="s">
        <v>284</v>
      </c>
      <c r="E676" s="404" t="s">
        <v>3385</v>
      </c>
      <c r="F676" s="95" t="s">
        <v>3386</v>
      </c>
      <c r="G676" s="95" t="s">
        <v>3387</v>
      </c>
      <c r="H676" s="95" t="s">
        <v>253</v>
      </c>
      <c r="I676" s="95" t="s">
        <v>254</v>
      </c>
      <c r="J676" s="854"/>
      <c r="K676" s="855"/>
      <c r="L676" s="101" t="s">
        <v>1945</v>
      </c>
      <c r="M676" s="101" t="s">
        <v>272</v>
      </c>
      <c r="N676" s="442" t="s">
        <v>1946</v>
      </c>
      <c r="O676" s="165">
        <v>1.73</v>
      </c>
      <c r="P676" s="165">
        <v>3.54</v>
      </c>
      <c r="Q676" s="157">
        <v>20</v>
      </c>
      <c r="R676" s="109" t="s">
        <v>244</v>
      </c>
      <c r="S676" s="110">
        <v>21348.01</v>
      </c>
      <c r="T676" s="93">
        <v>3041.67</v>
      </c>
      <c r="U676" s="857"/>
      <c r="V676" s="158">
        <f t="shared" si="390"/>
        <v>0</v>
      </c>
      <c r="W676" s="159">
        <v>45806.443749999999</v>
      </c>
      <c r="X676" s="159">
        <v>45811.547222222223</v>
      </c>
      <c r="Y676" s="160">
        <v>45813</v>
      </c>
      <c r="Z676" s="470"/>
      <c r="AA676" s="470">
        <v>45877</v>
      </c>
      <c r="AB676" s="942"/>
      <c r="AC676" s="161">
        <f t="shared" si="391"/>
        <v>70.556250000001455</v>
      </c>
      <c r="AD676" s="161">
        <f t="shared" si="385"/>
        <v>65.452777777776646</v>
      </c>
      <c r="AE676" s="446">
        <f t="shared" si="413"/>
        <v>-45877</v>
      </c>
      <c r="AF676" s="160">
        <f t="shared" si="386"/>
        <v>45825.217943548385</v>
      </c>
      <c r="AG676" s="160">
        <f t="shared" si="383"/>
        <v>45834.024395161287</v>
      </c>
      <c r="AH676" s="159">
        <f t="shared" si="387"/>
        <v>45856.443749999999</v>
      </c>
      <c r="AI676" s="162">
        <f t="shared" si="392"/>
        <v>2.4302708333333838</v>
      </c>
      <c r="AJ676" s="224">
        <f t="shared" si="388"/>
        <v>-764.61666666666667</v>
      </c>
      <c r="AK676" s="225">
        <f t="shared" si="393"/>
        <v>20</v>
      </c>
      <c r="AL676" s="170">
        <f t="shared" si="394"/>
        <v>36</v>
      </c>
      <c r="AM676" s="170">
        <f t="shared" si="395"/>
        <v>21.774193548387096</v>
      </c>
      <c r="AN676" s="170">
        <f t="shared" si="396"/>
        <v>27.58064516129032</v>
      </c>
      <c r="AO676" s="226">
        <f t="shared" si="397"/>
        <v>18.774193548387096</v>
      </c>
      <c r="AP676" s="227">
        <v>60</v>
      </c>
      <c r="AQ676" s="228">
        <f t="shared" si="398"/>
        <v>57</v>
      </c>
      <c r="AR676" s="228">
        <f t="shared" si="384"/>
        <v>52</v>
      </c>
      <c r="AS676" s="229">
        <f t="shared" si="399"/>
        <v>45937</v>
      </c>
      <c r="AT676" s="982">
        <f t="shared" ca="1" si="400"/>
        <v>18</v>
      </c>
      <c r="AU676" s="50"/>
      <c r="AV676" s="51"/>
      <c r="AW676" s="49"/>
      <c r="AX676" s="49"/>
      <c r="AY676" s="49"/>
      <c r="AZ676" s="300"/>
      <c r="BA676" s="52"/>
      <c r="BB676" s="304"/>
      <c r="BC676" s="231" t="s">
        <v>13</v>
      </c>
      <c r="BD676" s="232"/>
      <c r="BE676" s="222">
        <f t="shared" si="414"/>
        <v>45892</v>
      </c>
      <c r="BF676" s="233" t="e">
        <f t="shared" si="389"/>
        <v>#VALUE!</v>
      </c>
      <c r="BG676" s="234"/>
      <c r="BH676" s="235"/>
      <c r="BI676" s="234"/>
      <c r="BJ676" s="236"/>
      <c r="BK676" s="222"/>
      <c r="BL676" s="222"/>
      <c r="BM676" s="238"/>
      <c r="BN676" s="222"/>
      <c r="BO676" s="222"/>
      <c r="BP676" s="243"/>
      <c r="BQ676" s="244"/>
      <c r="BR676" s="238"/>
      <c r="BS676" s="68"/>
      <c r="BT676" s="69"/>
      <c r="BU676" s="69"/>
      <c r="BV676" s="69"/>
      <c r="BW676" s="75"/>
      <c r="BX676" s="81"/>
      <c r="BY676" s="66" t="s">
        <v>308</v>
      </c>
      <c r="BZ676" s="944" t="s">
        <v>308</v>
      </c>
      <c r="CA676" s="42" t="str">
        <f t="shared" si="401"/>
        <v>0</v>
      </c>
      <c r="CB676" s="62">
        <f t="shared" si="402"/>
        <v>70.556250000001455</v>
      </c>
      <c r="CC676" s="42">
        <f t="shared" si="403"/>
        <v>0</v>
      </c>
      <c r="CD676" s="62">
        <f t="shared" si="404"/>
        <v>70.556250000001455</v>
      </c>
      <c r="CE676" s="62">
        <f t="shared" si="405"/>
        <v>2.4302708333333838</v>
      </c>
      <c r="CF676" s="145">
        <f t="shared" si="406"/>
        <v>-8</v>
      </c>
      <c r="CG676" s="145"/>
      <c r="CH676" s="443">
        <f t="shared" si="407"/>
        <v>2.1547152777778278</v>
      </c>
      <c r="CI676" s="996">
        <f t="shared" si="408"/>
        <v>2.1547152777778278</v>
      </c>
      <c r="CJ676" s="261">
        <f t="shared" si="409"/>
        <v>-0.13333333333333333</v>
      </c>
      <c r="CK676" s="458" t="str">
        <f t="shared" si="410"/>
        <v/>
      </c>
      <c r="CL676" t="str">
        <f t="shared" si="411"/>
        <v>REV</v>
      </c>
      <c r="CM676" t="str">
        <f t="shared" si="412"/>
        <v/>
      </c>
      <c r="CN676" s="635"/>
      <c r="CO676" s="631"/>
      <c r="CP676" s="629"/>
      <c r="CQ676" s="635"/>
      <c r="CR676" s="697"/>
      <c r="CS676" s="633"/>
      <c r="CT676" s="635"/>
      <c r="CU676" s="631"/>
      <c r="CV676" s="638"/>
      <c r="CW676" s="853"/>
      <c r="CX676" s="856"/>
      <c r="CY676" s="856"/>
    </row>
    <row r="677" spans="1:103" s="359" customFormat="1" ht="15" customHeight="1" x14ac:dyDescent="0.25">
      <c r="A677" s="242">
        <v>45813</v>
      </c>
      <c r="B677" s="222">
        <v>45847</v>
      </c>
      <c r="C677" s="852"/>
      <c r="D677" s="66" t="s">
        <v>320</v>
      </c>
      <c r="E677" s="404" t="s">
        <v>3388</v>
      </c>
      <c r="F677" s="95" t="s">
        <v>3389</v>
      </c>
      <c r="G677" s="95" t="s">
        <v>3390</v>
      </c>
      <c r="H677" s="95" t="s">
        <v>318</v>
      </c>
      <c r="I677" s="95" t="s">
        <v>239</v>
      </c>
      <c r="J677" s="854"/>
      <c r="K677" s="855"/>
      <c r="L677" s="101" t="s">
        <v>5</v>
      </c>
      <c r="M677" s="101" t="s">
        <v>272</v>
      </c>
      <c r="N677" s="442" t="s">
        <v>403</v>
      </c>
      <c r="O677" s="165">
        <v>1.75</v>
      </c>
      <c r="P677" s="933">
        <v>5.35</v>
      </c>
      <c r="Q677" s="157">
        <v>32</v>
      </c>
      <c r="R677" s="109" t="s">
        <v>244</v>
      </c>
      <c r="S677" s="110">
        <v>34987.269999999997</v>
      </c>
      <c r="T677" s="93">
        <v>4596.82</v>
      </c>
      <c r="U677" s="857"/>
      <c r="V677" s="158">
        <f t="shared" si="390"/>
        <v>0</v>
      </c>
      <c r="W677" s="159">
        <v>45806.45</v>
      </c>
      <c r="X677" s="159">
        <v>45811.546527777777</v>
      </c>
      <c r="Y677" s="160">
        <v>45817</v>
      </c>
      <c r="Z677" s="470"/>
      <c r="AA677" s="470">
        <v>45828</v>
      </c>
      <c r="AB677" s="942"/>
      <c r="AC677" s="161">
        <f t="shared" si="391"/>
        <v>21.55000000000291</v>
      </c>
      <c r="AD677" s="161">
        <f t="shared" si="385"/>
        <v>16.453472222223354</v>
      </c>
      <c r="AE677" s="446">
        <f t="shared" si="413"/>
        <v>-45828</v>
      </c>
      <c r="AF677" s="160">
        <f t="shared" si="386"/>
        <v>45825.224193548383</v>
      </c>
      <c r="AG677" s="160">
        <f t="shared" si="383"/>
        <v>45834.030645161285</v>
      </c>
      <c r="AH677" s="159">
        <f t="shared" si="387"/>
        <v>45856.45</v>
      </c>
      <c r="AI677" s="162">
        <f t="shared" si="392"/>
        <v>0.74227777777787796</v>
      </c>
      <c r="AJ677" s="224">
        <f t="shared" si="388"/>
        <v>-763.8</v>
      </c>
      <c r="AK677" s="225">
        <f t="shared" si="393"/>
        <v>20</v>
      </c>
      <c r="AL677" s="170">
        <f t="shared" si="394"/>
        <v>36</v>
      </c>
      <c r="AM677" s="170">
        <f t="shared" si="395"/>
        <v>21.774193548387096</v>
      </c>
      <c r="AN677" s="170">
        <f t="shared" si="396"/>
        <v>27.58064516129032</v>
      </c>
      <c r="AO677" s="226">
        <f t="shared" si="397"/>
        <v>18.774193548387096</v>
      </c>
      <c r="AP677" s="227">
        <v>60</v>
      </c>
      <c r="AQ677" s="228">
        <f t="shared" si="398"/>
        <v>57</v>
      </c>
      <c r="AR677" s="228">
        <f t="shared" si="384"/>
        <v>52</v>
      </c>
      <c r="AS677" s="229">
        <f t="shared" si="399"/>
        <v>45888</v>
      </c>
      <c r="AT677" s="982">
        <f t="shared" ca="1" si="400"/>
        <v>67</v>
      </c>
      <c r="AU677" s="50"/>
      <c r="AV677" s="51"/>
      <c r="AW677" s="49"/>
      <c r="AX677" s="49"/>
      <c r="AY677" s="49"/>
      <c r="AZ677" s="300"/>
      <c r="BA677" s="52"/>
      <c r="BB677" s="304"/>
      <c r="BC677" s="231" t="s">
        <v>13</v>
      </c>
      <c r="BD677" s="232"/>
      <c r="BE677" s="222">
        <f t="shared" si="414"/>
        <v>45843</v>
      </c>
      <c r="BF677" s="233" t="e">
        <f t="shared" si="389"/>
        <v>#VALUE!</v>
      </c>
      <c r="BG677" s="234"/>
      <c r="BH677" s="235"/>
      <c r="BI677" s="234"/>
      <c r="BJ677" s="236"/>
      <c r="BK677" s="222"/>
      <c r="BL677" s="222"/>
      <c r="BM677" s="238"/>
      <c r="BN677" s="222"/>
      <c r="BO677" s="222"/>
      <c r="BP677" s="243"/>
      <c r="BQ677" s="244" t="s">
        <v>247</v>
      </c>
      <c r="BR677" s="238"/>
      <c r="BS677" s="68"/>
      <c r="BT677" s="69"/>
      <c r="BU677" s="69"/>
      <c r="BV677" s="69"/>
      <c r="BW677" s="75"/>
      <c r="BX677" s="81"/>
      <c r="BY677" s="66" t="s">
        <v>308</v>
      </c>
      <c r="BZ677" s="944" t="s">
        <v>3391</v>
      </c>
      <c r="CA677" s="42" t="str">
        <f t="shared" si="401"/>
        <v>0</v>
      </c>
      <c r="CB677" s="62">
        <f t="shared" si="402"/>
        <v>21.55000000000291</v>
      </c>
      <c r="CC677" s="42">
        <f t="shared" si="403"/>
        <v>0</v>
      </c>
      <c r="CD677" s="62">
        <f t="shared" si="404"/>
        <v>21.55000000000291</v>
      </c>
      <c r="CE677" s="62">
        <f t="shared" si="405"/>
        <v>0.74227777777787796</v>
      </c>
      <c r="CF677" s="145">
        <f t="shared" si="406"/>
        <v>41</v>
      </c>
      <c r="CG677" s="145"/>
      <c r="CH677" s="443">
        <f t="shared" si="407"/>
        <v>2.1545000000001</v>
      </c>
      <c r="CI677" s="996">
        <f t="shared" si="408"/>
        <v>2.1545000000001</v>
      </c>
      <c r="CJ677" s="261">
        <f t="shared" si="409"/>
        <v>0.68333333333333335</v>
      </c>
      <c r="CK677" s="458" t="str">
        <f t="shared" si="410"/>
        <v/>
      </c>
      <c r="CL677" t="str">
        <f t="shared" si="411"/>
        <v>REV</v>
      </c>
      <c r="CM677" t="str">
        <f t="shared" si="412"/>
        <v/>
      </c>
      <c r="CN677" s="635"/>
      <c r="CO677" s="631"/>
      <c r="CP677" s="629"/>
      <c r="CQ677" s="635"/>
      <c r="CR677" s="697"/>
      <c r="CS677" s="633"/>
      <c r="CT677" s="635"/>
      <c r="CU677" s="631"/>
      <c r="CV677" s="638"/>
      <c r="CW677" s="853"/>
      <c r="CX677" s="856"/>
      <c r="CY677" s="856"/>
    </row>
    <row r="678" spans="1:103" s="359" customFormat="1" ht="15" customHeight="1" x14ac:dyDescent="0.25">
      <c r="A678" s="242">
        <v>45831</v>
      </c>
      <c r="B678" s="222">
        <v>45833</v>
      </c>
      <c r="C678" s="852"/>
      <c r="D678" s="66" t="s">
        <v>320</v>
      </c>
      <c r="E678" s="404" t="s">
        <v>3392</v>
      </c>
      <c r="F678" s="95" t="s">
        <v>3183</v>
      </c>
      <c r="G678" s="95" t="s">
        <v>3393</v>
      </c>
      <c r="H678" s="95" t="s">
        <v>269</v>
      </c>
      <c r="I678" s="95" t="s">
        <v>239</v>
      </c>
      <c r="J678" s="854"/>
      <c r="K678" s="855"/>
      <c r="L678" s="101" t="s">
        <v>242</v>
      </c>
      <c r="M678" s="101" t="s">
        <v>331</v>
      </c>
      <c r="N678" s="442" t="s">
        <v>467</v>
      </c>
      <c r="O678" s="165">
        <v>425.90649999999982</v>
      </c>
      <c r="P678" s="165">
        <v>1543.28</v>
      </c>
      <c r="Q678" s="157">
        <v>88.2</v>
      </c>
      <c r="R678" s="109" t="s">
        <v>244</v>
      </c>
      <c r="S678" s="110">
        <v>2406705.94</v>
      </c>
      <c r="T678" s="93">
        <v>456461.39999999921</v>
      </c>
      <c r="U678" s="857"/>
      <c r="V678" s="158">
        <f t="shared" si="390"/>
        <v>0</v>
      </c>
      <c r="W678" s="159">
        <v>45806.59097222222</v>
      </c>
      <c r="X678" s="159">
        <v>45828.57916666667</v>
      </c>
      <c r="Y678" s="160">
        <v>45833</v>
      </c>
      <c r="Z678" s="470"/>
      <c r="AA678" s="470"/>
      <c r="AB678" s="942"/>
      <c r="AC678" s="161">
        <f t="shared" si="391"/>
        <v>-45806.59097222222</v>
      </c>
      <c r="AD678" s="161">
        <f t="shared" si="385"/>
        <v>-45828.57916666667</v>
      </c>
      <c r="AE678" s="446">
        <f t="shared" si="413"/>
        <v>0</v>
      </c>
      <c r="AF678" s="160">
        <f t="shared" si="386"/>
        <v>45831.798936823987</v>
      </c>
      <c r="AG678" s="160">
        <f t="shared" si="383"/>
        <v>45842.321060717797</v>
      </c>
      <c r="AH678" s="159">
        <f t="shared" si="387"/>
        <v>45856.59097222222</v>
      </c>
      <c r="AI678" s="162">
        <f t="shared" si="392"/>
        <v>-1217.9164187908495</v>
      </c>
      <c r="AJ678" s="224">
        <f t="shared" si="388"/>
        <v>0</v>
      </c>
      <c r="AK678" s="225">
        <f t="shared" si="393"/>
        <v>50</v>
      </c>
      <c r="AL678" s="170">
        <f t="shared" si="394"/>
        <v>34</v>
      </c>
      <c r="AM678" s="170">
        <f t="shared" si="395"/>
        <v>28.207964601769909</v>
      </c>
      <c r="AN678" s="170">
        <f t="shared" si="396"/>
        <v>35.730088495575217</v>
      </c>
      <c r="AO678" s="226">
        <f t="shared" si="397"/>
        <v>25.207964601769909</v>
      </c>
      <c r="AP678" s="227">
        <v>60</v>
      </c>
      <c r="AQ678" s="228">
        <f t="shared" si="398"/>
        <v>57</v>
      </c>
      <c r="AR678" s="228">
        <f t="shared" si="384"/>
        <v>52</v>
      </c>
      <c r="AS678" s="229">
        <f t="shared" si="399"/>
        <v>60</v>
      </c>
      <c r="AT678" s="982">
        <f t="shared" ca="1" si="400"/>
        <v>45895</v>
      </c>
      <c r="AU678" s="50"/>
      <c r="AV678" s="51"/>
      <c r="AW678" s="49"/>
      <c r="AX678" s="49"/>
      <c r="AY678" s="49"/>
      <c r="AZ678" s="300"/>
      <c r="BA678" s="52"/>
      <c r="BB678" s="304"/>
      <c r="BC678" s="231"/>
      <c r="BD678" s="232"/>
      <c r="BE678" s="222">
        <f t="shared" si="414"/>
        <v>15</v>
      </c>
      <c r="BF678" s="233">
        <f t="shared" si="389"/>
        <v>0</v>
      </c>
      <c r="BG678" s="234"/>
      <c r="BH678" s="235"/>
      <c r="BI678" s="234"/>
      <c r="BJ678" s="236"/>
      <c r="BK678" s="222"/>
      <c r="BL678" s="222"/>
      <c r="BM678" s="238"/>
      <c r="BN678" s="222"/>
      <c r="BO678" s="222"/>
      <c r="BP678" s="243"/>
      <c r="BQ678" s="244"/>
      <c r="BR678" s="238"/>
      <c r="BS678" s="68"/>
      <c r="BT678" s="69"/>
      <c r="BU678" s="69"/>
      <c r="BV678" s="69"/>
      <c r="BW678" s="75"/>
      <c r="BX678" s="81"/>
      <c r="BY678" s="66">
        <v>45833</v>
      </c>
      <c r="BZ678" s="944" t="s">
        <v>3394</v>
      </c>
      <c r="CA678" s="42" t="str">
        <f t="shared" si="401"/>
        <v>0</v>
      </c>
      <c r="CB678" s="62">
        <f t="shared" si="402"/>
        <v>-45806.59097222222</v>
      </c>
      <c r="CC678" s="42">
        <f t="shared" si="403"/>
        <v>0</v>
      </c>
      <c r="CD678" s="62">
        <f t="shared" si="404"/>
        <v>-45806.59097222222</v>
      </c>
      <c r="CE678" s="62">
        <f t="shared" si="405"/>
        <v>-1217.9164187908495</v>
      </c>
      <c r="CF678" s="145" t="str">
        <f t="shared" si="406"/>
        <v>0</v>
      </c>
      <c r="CG678" s="145"/>
      <c r="CH678" s="443">
        <f t="shared" si="407"/>
        <v>1.659345915032727</v>
      </c>
      <c r="CI678" s="996">
        <f t="shared" si="408"/>
        <v>1.659345915032727</v>
      </c>
      <c r="CJ678" s="261">
        <f t="shared" si="409"/>
        <v>0</v>
      </c>
      <c r="CK678" s="458">
        <f t="shared" si="410"/>
        <v>49.409027777779556</v>
      </c>
      <c r="CL678" t="str">
        <f t="shared" si="411"/>
        <v>REV</v>
      </c>
      <c r="CM678" t="str">
        <f t="shared" si="412"/>
        <v>0-3 MONTHS</v>
      </c>
      <c r="CN678" s="635"/>
      <c r="CO678" s="631"/>
      <c r="CP678" s="629"/>
      <c r="CQ678" s="635"/>
      <c r="CR678" s="697"/>
      <c r="CS678" s="633"/>
      <c r="CT678" s="635"/>
      <c r="CU678" s="631"/>
      <c r="CV678" s="638"/>
      <c r="CW678" s="853"/>
      <c r="CX678" s="856"/>
      <c r="CY678" s="856"/>
    </row>
    <row r="679" spans="1:103" s="359" customFormat="1" ht="15" customHeight="1" x14ac:dyDescent="0.25">
      <c r="A679" s="242">
        <v>45820</v>
      </c>
      <c r="B679" s="222">
        <v>45818</v>
      </c>
      <c r="C679" s="852"/>
      <c r="D679" s="66" t="s">
        <v>284</v>
      </c>
      <c r="E679" s="404" t="s">
        <v>3395</v>
      </c>
      <c r="F679" s="95" t="s">
        <v>1975</v>
      </c>
      <c r="G679" s="95" t="s">
        <v>3396</v>
      </c>
      <c r="H679" s="95" t="s">
        <v>238</v>
      </c>
      <c r="I679" s="95" t="s">
        <v>239</v>
      </c>
      <c r="J679" s="854"/>
      <c r="K679" s="855"/>
      <c r="L679" s="101" t="s">
        <v>5</v>
      </c>
      <c r="M679" s="101" t="s">
        <v>272</v>
      </c>
      <c r="N679" s="442" t="s">
        <v>403</v>
      </c>
      <c r="O679" s="165">
        <v>69.832599999999985</v>
      </c>
      <c r="P679" s="165">
        <v>281.89999999999998</v>
      </c>
      <c r="Q679" s="157">
        <v>299</v>
      </c>
      <c r="R679" s="109" t="s">
        <v>244</v>
      </c>
      <c r="S679" s="110">
        <v>1217413.3799999999</v>
      </c>
      <c r="T679" s="93">
        <v>174981.58</v>
      </c>
      <c r="U679" s="857"/>
      <c r="V679" s="158">
        <f t="shared" si="390"/>
        <v>0</v>
      </c>
      <c r="W679" s="159">
        <v>45806.624305555553</v>
      </c>
      <c r="X679" s="159">
        <v>45811.561111111114</v>
      </c>
      <c r="Y679" s="160">
        <v>45818</v>
      </c>
      <c r="Z679" s="470"/>
      <c r="AA679" s="470">
        <v>45870.395833333336</v>
      </c>
      <c r="AB679" s="942"/>
      <c r="AC679" s="161">
        <f t="shared" si="391"/>
        <v>63.771527777782467</v>
      </c>
      <c r="AD679" s="161">
        <f t="shared" si="385"/>
        <v>58.834722222221899</v>
      </c>
      <c r="AE679" s="446">
        <f t="shared" si="413"/>
        <v>-45870.395833333336</v>
      </c>
      <c r="AF679" s="160">
        <f t="shared" si="386"/>
        <v>45825.652277583526</v>
      </c>
      <c r="AG679" s="160">
        <f t="shared" si="383"/>
        <v>45834.526403457654</v>
      </c>
      <c r="AH679" s="159">
        <f t="shared" si="387"/>
        <v>45856.624305555553</v>
      </c>
      <c r="AI679" s="162">
        <f t="shared" si="392"/>
        <v>2.1712686838625936</v>
      </c>
      <c r="AJ679" s="224">
        <f t="shared" si="388"/>
        <v>-764.50659722222224</v>
      </c>
      <c r="AK679" s="225">
        <f t="shared" si="393"/>
        <v>28</v>
      </c>
      <c r="AL679" s="170">
        <f t="shared" si="394"/>
        <v>30</v>
      </c>
      <c r="AM679" s="170">
        <f t="shared" si="395"/>
        <v>22.027972027972027</v>
      </c>
      <c r="AN679" s="170">
        <f t="shared" si="396"/>
        <v>27.9020979020979</v>
      </c>
      <c r="AO679" s="226">
        <f t="shared" si="397"/>
        <v>19.027972027972027</v>
      </c>
      <c r="AP679" s="227">
        <v>60</v>
      </c>
      <c r="AQ679" s="228">
        <f t="shared" si="398"/>
        <v>57</v>
      </c>
      <c r="AR679" s="228">
        <f t="shared" si="384"/>
        <v>52</v>
      </c>
      <c r="AS679" s="229">
        <f t="shared" si="399"/>
        <v>45930.395833333336</v>
      </c>
      <c r="AT679" s="982">
        <f t="shared" ca="1" si="400"/>
        <v>24.604166666664241</v>
      </c>
      <c r="AU679" s="50" t="s">
        <v>50</v>
      </c>
      <c r="AV679" s="51" t="s">
        <v>247</v>
      </c>
      <c r="AW679" s="49" t="s">
        <v>247</v>
      </c>
      <c r="AX679" s="49"/>
      <c r="AY679" s="49"/>
      <c r="AZ679" s="300">
        <v>45832</v>
      </c>
      <c r="BA679" s="52">
        <v>34</v>
      </c>
      <c r="BB679" s="304">
        <v>45866</v>
      </c>
      <c r="BC679" s="231" t="s">
        <v>13</v>
      </c>
      <c r="BD679" s="232"/>
      <c r="BE679" s="222">
        <f t="shared" si="414"/>
        <v>45885.395833333336</v>
      </c>
      <c r="BF679" s="233" t="e">
        <f t="shared" si="389"/>
        <v>#VALUE!</v>
      </c>
      <c r="BG679" s="234"/>
      <c r="BH679" s="235"/>
      <c r="BI679" s="234"/>
      <c r="BJ679" s="236"/>
      <c r="BK679" s="222"/>
      <c r="BL679" s="222"/>
      <c r="BM679" s="238"/>
      <c r="BN679" s="222"/>
      <c r="BO679" s="222"/>
      <c r="BP679" s="243"/>
      <c r="BQ679" s="244"/>
      <c r="BR679" s="238"/>
      <c r="BS679" s="68"/>
      <c r="BT679" s="69"/>
      <c r="BU679" s="69"/>
      <c r="BV679" s="69"/>
      <c r="BW679" s="75"/>
      <c r="BX679" s="81"/>
      <c r="BY679" s="66">
        <v>45818</v>
      </c>
      <c r="BZ679" s="944" t="s">
        <v>3397</v>
      </c>
      <c r="CA679" s="42" t="str">
        <f t="shared" si="401"/>
        <v>0</v>
      </c>
      <c r="CB679" s="62">
        <f t="shared" si="402"/>
        <v>63.771527777782467</v>
      </c>
      <c r="CC679" s="42">
        <f t="shared" si="403"/>
        <v>34</v>
      </c>
      <c r="CD679" s="62">
        <f t="shared" si="404"/>
        <v>29.771527777782467</v>
      </c>
      <c r="CE679" s="62">
        <f t="shared" si="405"/>
        <v>1.0136496362435459</v>
      </c>
      <c r="CF679" s="145">
        <f t="shared" si="406"/>
        <v>-1.3958333333357587</v>
      </c>
      <c r="CG679" s="145"/>
      <c r="CH679" s="443">
        <f t="shared" si="407"/>
        <v>2.123743882275209</v>
      </c>
      <c r="CI679" s="996">
        <f t="shared" si="408"/>
        <v>2.123743882275209</v>
      </c>
      <c r="CJ679" s="261">
        <f t="shared" si="409"/>
        <v>-2.3263888888929312E-2</v>
      </c>
      <c r="CK679" s="458" t="str">
        <f t="shared" si="410"/>
        <v/>
      </c>
      <c r="CL679" t="str">
        <f t="shared" si="411"/>
        <v>REV</v>
      </c>
      <c r="CM679" t="str">
        <f t="shared" si="412"/>
        <v/>
      </c>
      <c r="CN679" s="635"/>
      <c r="CO679" s="631"/>
      <c r="CP679" s="629"/>
      <c r="CQ679" s="635"/>
      <c r="CR679" s="697"/>
      <c r="CS679" s="633"/>
      <c r="CT679" s="635"/>
      <c r="CU679" s="631"/>
      <c r="CV679" s="638"/>
      <c r="CW679" s="853"/>
      <c r="CX679" s="856"/>
      <c r="CY679" s="856"/>
    </row>
    <row r="680" spans="1:103" s="359" customFormat="1" ht="15" customHeight="1" x14ac:dyDescent="0.25">
      <c r="A680" s="242">
        <v>45831</v>
      </c>
      <c r="B680" s="222">
        <v>45832</v>
      </c>
      <c r="C680" s="852"/>
      <c r="D680" s="66" t="s">
        <v>284</v>
      </c>
      <c r="E680" s="404" t="s">
        <v>3398</v>
      </c>
      <c r="F680" s="95" t="s">
        <v>3399</v>
      </c>
      <c r="G680" s="95" t="s">
        <v>1518</v>
      </c>
      <c r="H680" s="95" t="s">
        <v>238</v>
      </c>
      <c r="I680" s="95" t="s">
        <v>239</v>
      </c>
      <c r="J680" s="163" t="s">
        <v>3400</v>
      </c>
      <c r="K680" s="855"/>
      <c r="L680" s="101" t="s">
        <v>288</v>
      </c>
      <c r="M680" s="101" t="s">
        <v>331</v>
      </c>
      <c r="N680" s="442" t="s">
        <v>381</v>
      </c>
      <c r="O680" s="165">
        <v>26.989499999999996</v>
      </c>
      <c r="P680" s="165">
        <v>71.290000000000006</v>
      </c>
      <c r="Q680" s="157">
        <v>169</v>
      </c>
      <c r="R680" s="109" t="s">
        <v>244</v>
      </c>
      <c r="S680" s="110">
        <v>713706.73</v>
      </c>
      <c r="T680" s="93">
        <v>61280.9</v>
      </c>
      <c r="U680" s="857"/>
      <c r="V680" s="158">
        <f t="shared" si="390"/>
        <v>0</v>
      </c>
      <c r="W680" s="159">
        <v>45806.690972222219</v>
      </c>
      <c r="X680" s="159">
        <v>45831.4</v>
      </c>
      <c r="Y680" s="160">
        <v>45832</v>
      </c>
      <c r="Z680" s="470"/>
      <c r="AA680" s="470"/>
      <c r="AB680" s="942"/>
      <c r="AC680" s="161">
        <f t="shared" si="391"/>
        <v>-45806.690972222219</v>
      </c>
      <c r="AD680" s="161">
        <f t="shared" si="385"/>
        <v>-45831.4</v>
      </c>
      <c r="AE680" s="446">
        <f t="shared" si="413"/>
        <v>0</v>
      </c>
      <c r="AF680" s="160">
        <f t="shared" si="386"/>
        <v>45825.169571444007</v>
      </c>
      <c r="AG680" s="160">
        <f t="shared" si="383"/>
        <v>45833.897197903156</v>
      </c>
      <c r="AH680" s="159">
        <f t="shared" si="387"/>
        <v>45856.690972222219</v>
      </c>
      <c r="AI680" s="162">
        <f t="shared" si="392"/>
        <v>-1599.4999429159116</v>
      </c>
      <c r="AJ680" s="224">
        <f t="shared" si="388"/>
        <v>0</v>
      </c>
      <c r="AK680" s="225">
        <f t="shared" si="393"/>
        <v>23</v>
      </c>
      <c r="AL680" s="170">
        <f t="shared" si="394"/>
        <v>32</v>
      </c>
      <c r="AM680" s="170">
        <f t="shared" si="395"/>
        <v>21.478599221789885</v>
      </c>
      <c r="AN680" s="170">
        <f t="shared" si="396"/>
        <v>27.206225680933851</v>
      </c>
      <c r="AO680" s="226">
        <f t="shared" si="397"/>
        <v>18.478599221789885</v>
      </c>
      <c r="AP680" s="227">
        <v>60</v>
      </c>
      <c r="AQ680" s="228">
        <f t="shared" si="398"/>
        <v>57</v>
      </c>
      <c r="AR680" s="228">
        <f t="shared" si="384"/>
        <v>52</v>
      </c>
      <c r="AS680" s="229">
        <f t="shared" si="399"/>
        <v>60</v>
      </c>
      <c r="AT680" s="982">
        <f t="shared" ca="1" si="400"/>
        <v>45895</v>
      </c>
      <c r="AU680" s="50"/>
      <c r="AV680" s="51"/>
      <c r="AW680" s="49"/>
      <c r="AX680" s="49"/>
      <c r="AY680" s="49"/>
      <c r="AZ680" s="300"/>
      <c r="BA680" s="52"/>
      <c r="BB680" s="304"/>
      <c r="BC680" s="231"/>
      <c r="BD680" s="232"/>
      <c r="BE680" s="222">
        <f t="shared" si="414"/>
        <v>15</v>
      </c>
      <c r="BF680" s="233">
        <f t="shared" si="389"/>
        <v>0</v>
      </c>
      <c r="BG680" s="234"/>
      <c r="BH680" s="235"/>
      <c r="BI680" s="234"/>
      <c r="BJ680" s="236"/>
      <c r="BK680" s="222"/>
      <c r="BL680" s="222"/>
      <c r="BM680" s="238"/>
      <c r="BN680" s="222"/>
      <c r="BO680" s="222"/>
      <c r="BP680" s="243"/>
      <c r="BQ680" s="244" t="s">
        <v>247</v>
      </c>
      <c r="BR680" s="238"/>
      <c r="BS680" s="68"/>
      <c r="BT680" s="69"/>
      <c r="BU680" s="69"/>
      <c r="BV680" s="69"/>
      <c r="BW680" s="75"/>
      <c r="BX680" s="81"/>
      <c r="BY680" s="66">
        <v>45832</v>
      </c>
      <c r="BZ680" s="944">
        <v>527885</v>
      </c>
      <c r="CA680" s="42" t="str">
        <f t="shared" si="401"/>
        <v>0</v>
      </c>
      <c r="CB680" s="62">
        <f t="shared" si="402"/>
        <v>-45806.690972222219</v>
      </c>
      <c r="CC680" s="42">
        <f t="shared" si="403"/>
        <v>0</v>
      </c>
      <c r="CD680" s="62">
        <f t="shared" si="404"/>
        <v>-45806.690972222219</v>
      </c>
      <c r="CE680" s="62">
        <f t="shared" si="405"/>
        <v>-1599.4999429159116</v>
      </c>
      <c r="CF680" s="145" t="str">
        <f t="shared" si="406"/>
        <v>0</v>
      </c>
      <c r="CG680" s="145"/>
      <c r="CH680" s="443">
        <f t="shared" si="407"/>
        <v>2.1757364319143639</v>
      </c>
      <c r="CI680" s="996">
        <f t="shared" si="408"/>
        <v>2.1757364319143639</v>
      </c>
      <c r="CJ680" s="261">
        <f t="shared" si="409"/>
        <v>0</v>
      </c>
      <c r="CK680" s="458">
        <f t="shared" si="410"/>
        <v>49.309027777781012</v>
      </c>
      <c r="CL680" t="str">
        <f t="shared" si="411"/>
        <v>REV</v>
      </c>
      <c r="CM680" t="str">
        <f t="shared" si="412"/>
        <v>0-3 MONTHS</v>
      </c>
      <c r="CN680" s="635"/>
      <c r="CO680" s="631"/>
      <c r="CP680" s="629"/>
      <c r="CQ680" s="635"/>
      <c r="CR680" s="697"/>
      <c r="CS680" s="633"/>
      <c r="CT680" s="635"/>
      <c r="CU680" s="631"/>
      <c r="CV680" s="638"/>
      <c r="CW680" s="853"/>
      <c r="CX680" s="856"/>
      <c r="CY680" s="856"/>
    </row>
    <row r="681" spans="1:103" s="359" customFormat="1" ht="15" customHeight="1" x14ac:dyDescent="0.25">
      <c r="A681" s="242">
        <v>45831</v>
      </c>
      <c r="B681" s="222">
        <v>45832</v>
      </c>
      <c r="C681" s="852"/>
      <c r="D681" s="66" t="s">
        <v>284</v>
      </c>
      <c r="E681" s="404" t="s">
        <v>3401</v>
      </c>
      <c r="F681" s="95" t="s">
        <v>3402</v>
      </c>
      <c r="G681" s="95" t="s">
        <v>1518</v>
      </c>
      <c r="H681" s="95" t="s">
        <v>238</v>
      </c>
      <c r="I681" s="95" t="s">
        <v>239</v>
      </c>
      <c r="J681" s="163" t="s">
        <v>3403</v>
      </c>
      <c r="K681" s="855"/>
      <c r="L681" s="101" t="s">
        <v>288</v>
      </c>
      <c r="M681" s="101" t="s">
        <v>331</v>
      </c>
      <c r="N681" s="442" t="s">
        <v>381</v>
      </c>
      <c r="O681" s="165">
        <v>338.80459999999971</v>
      </c>
      <c r="P681" s="165">
        <v>1030.72</v>
      </c>
      <c r="Q681" s="157">
        <v>169</v>
      </c>
      <c r="R681" s="109" t="s">
        <v>244</v>
      </c>
      <c r="S681" s="110">
        <v>1615984.9</v>
      </c>
      <c r="T681" s="93">
        <v>413978.94999999984</v>
      </c>
      <c r="U681" s="857"/>
      <c r="V681" s="158">
        <f t="shared" si="390"/>
        <v>0</v>
      </c>
      <c r="W681" s="159">
        <v>45806.691666666666</v>
      </c>
      <c r="X681" s="159">
        <v>45831.399305555555</v>
      </c>
      <c r="Y681" s="160">
        <v>45832</v>
      </c>
      <c r="Z681" s="470"/>
      <c r="AA681" s="470"/>
      <c r="AB681" s="942"/>
      <c r="AC681" s="161">
        <f t="shared" si="391"/>
        <v>-45806.691666666666</v>
      </c>
      <c r="AD681" s="161">
        <f t="shared" si="385"/>
        <v>-45831.399305555555</v>
      </c>
      <c r="AE681" s="446">
        <f t="shared" si="413"/>
        <v>0</v>
      </c>
      <c r="AF681" s="160">
        <f t="shared" si="386"/>
        <v>45830.597496263079</v>
      </c>
      <c r="AG681" s="160">
        <f t="shared" si="383"/>
        <v>45840.772384155454</v>
      </c>
      <c r="AH681" s="159">
        <f t="shared" si="387"/>
        <v>45856.691666666666</v>
      </c>
      <c r="AI681" s="162">
        <f t="shared" si="392"/>
        <v>-1276.8615302083331</v>
      </c>
      <c r="AJ681" s="224">
        <f t="shared" si="388"/>
        <v>0</v>
      </c>
      <c r="AK681" s="225">
        <f t="shared" si="393"/>
        <v>50</v>
      </c>
      <c r="AL681" s="170">
        <f t="shared" si="394"/>
        <v>32</v>
      </c>
      <c r="AM681" s="170">
        <f t="shared" si="395"/>
        <v>26.905829596412559</v>
      </c>
      <c r="AN681" s="170">
        <f t="shared" si="396"/>
        <v>34.08071748878924</v>
      </c>
      <c r="AO681" s="226">
        <f t="shared" si="397"/>
        <v>23.905829596412559</v>
      </c>
      <c r="AP681" s="227">
        <v>60</v>
      </c>
      <c r="AQ681" s="228">
        <f t="shared" si="398"/>
        <v>57</v>
      </c>
      <c r="AR681" s="228">
        <f t="shared" si="384"/>
        <v>52</v>
      </c>
      <c r="AS681" s="229">
        <f t="shared" si="399"/>
        <v>60</v>
      </c>
      <c r="AT681" s="982">
        <f t="shared" ca="1" si="400"/>
        <v>45895</v>
      </c>
      <c r="AU681" s="50"/>
      <c r="AV681" s="51"/>
      <c r="AW681" s="49"/>
      <c r="AX681" s="49"/>
      <c r="AY681" s="49"/>
      <c r="AZ681" s="300"/>
      <c r="BA681" s="52"/>
      <c r="BB681" s="304"/>
      <c r="BC681" s="231"/>
      <c r="BD681" s="232"/>
      <c r="BE681" s="222">
        <f t="shared" si="414"/>
        <v>15</v>
      </c>
      <c r="BF681" s="233">
        <f t="shared" si="389"/>
        <v>0</v>
      </c>
      <c r="BG681" s="234"/>
      <c r="BH681" s="235"/>
      <c r="BI681" s="234"/>
      <c r="BJ681" s="236"/>
      <c r="BK681" s="222"/>
      <c r="BL681" s="222"/>
      <c r="BM681" s="238"/>
      <c r="BN681" s="222"/>
      <c r="BO681" s="222"/>
      <c r="BP681" s="243"/>
      <c r="BQ681" s="244" t="s">
        <v>247</v>
      </c>
      <c r="BR681" s="238"/>
      <c r="BS681" s="68"/>
      <c r="BT681" s="69"/>
      <c r="BU681" s="69"/>
      <c r="BV681" s="69"/>
      <c r="BW681" s="75"/>
      <c r="BX681" s="81"/>
      <c r="BY681" s="66">
        <v>45832</v>
      </c>
      <c r="BZ681" s="944" t="s">
        <v>3404</v>
      </c>
      <c r="CA681" s="42" t="str">
        <f t="shared" si="401"/>
        <v>0</v>
      </c>
      <c r="CB681" s="62">
        <f t="shared" si="402"/>
        <v>-45806.691666666666</v>
      </c>
      <c r="CC681" s="42">
        <f t="shared" si="403"/>
        <v>0</v>
      </c>
      <c r="CD681" s="62">
        <f t="shared" si="404"/>
        <v>-45806.691666666666</v>
      </c>
      <c r="CE681" s="62">
        <f t="shared" si="405"/>
        <v>-1276.8615302083331</v>
      </c>
      <c r="CF681" s="145" t="str">
        <f t="shared" si="406"/>
        <v>0</v>
      </c>
      <c r="CG681" s="145"/>
      <c r="CH681" s="443">
        <f t="shared" si="407"/>
        <v>1.7368447916666936</v>
      </c>
      <c r="CI681" s="996">
        <f t="shared" si="408"/>
        <v>1.7368447916666936</v>
      </c>
      <c r="CJ681" s="261">
        <f t="shared" si="409"/>
        <v>0</v>
      </c>
      <c r="CK681" s="458">
        <f t="shared" si="410"/>
        <v>49.308333333334303</v>
      </c>
      <c r="CL681" t="str">
        <f t="shared" si="411"/>
        <v>REV</v>
      </c>
      <c r="CM681" t="str">
        <f t="shared" si="412"/>
        <v>0-3 MONTHS</v>
      </c>
      <c r="CN681" s="635"/>
      <c r="CO681" s="631"/>
      <c r="CP681" s="629"/>
      <c r="CQ681" s="635"/>
      <c r="CR681" s="697"/>
      <c r="CS681" s="633"/>
      <c r="CT681" s="635"/>
      <c r="CU681" s="631"/>
      <c r="CV681" s="638"/>
      <c r="CW681" s="853"/>
      <c r="CX681" s="856"/>
      <c r="CY681" s="856"/>
    </row>
    <row r="682" spans="1:103" s="359" customFormat="1" ht="15" customHeight="1" x14ac:dyDescent="0.25">
      <c r="A682" s="242">
        <v>45831</v>
      </c>
      <c r="B682" s="222">
        <v>45833</v>
      </c>
      <c r="C682" s="852"/>
      <c r="D682" s="66" t="s">
        <v>284</v>
      </c>
      <c r="E682" s="404" t="s">
        <v>3405</v>
      </c>
      <c r="F682" s="95" t="s">
        <v>310</v>
      </c>
      <c r="G682" s="95" t="s">
        <v>3406</v>
      </c>
      <c r="H682" s="95" t="s">
        <v>238</v>
      </c>
      <c r="I682" s="95" t="s">
        <v>239</v>
      </c>
      <c r="J682" s="854"/>
      <c r="K682" s="855"/>
      <c r="L682" s="101" t="s">
        <v>242</v>
      </c>
      <c r="M682" s="101" t="s">
        <v>331</v>
      </c>
      <c r="N682" s="442" t="s">
        <v>467</v>
      </c>
      <c r="O682" s="165">
        <v>30.828700000000001</v>
      </c>
      <c r="P682" s="165">
        <v>50.38</v>
      </c>
      <c r="Q682" s="157">
        <v>0</v>
      </c>
      <c r="R682" s="109" t="s">
        <v>327</v>
      </c>
      <c r="S682" s="110">
        <v>77725.52</v>
      </c>
      <c r="T682" s="93">
        <v>27579.82</v>
      </c>
      <c r="U682" s="857"/>
      <c r="V682" s="158">
        <f t="shared" si="390"/>
        <v>0</v>
      </c>
      <c r="W682" s="159">
        <v>45806.693055555559</v>
      </c>
      <c r="X682" s="159">
        <v>45831.394444444442</v>
      </c>
      <c r="Y682" s="160">
        <v>45833</v>
      </c>
      <c r="Z682" s="470"/>
      <c r="AA682" s="470"/>
      <c r="AB682" s="942"/>
      <c r="AC682" s="161">
        <f t="shared" si="391"/>
        <v>-45806.693055555559</v>
      </c>
      <c r="AD682" s="161">
        <f t="shared" si="385"/>
        <v>-45831.394444444442</v>
      </c>
      <c r="AE682" s="446">
        <f t="shared" si="413"/>
        <v>0</v>
      </c>
      <c r="AF682" s="160">
        <f t="shared" si="386"/>
        <v>45825.467249103946</v>
      </c>
      <c r="AG682" s="160">
        <f t="shared" si="383"/>
        <v>45834.273700716847</v>
      </c>
      <c r="AH682" s="159">
        <f t="shared" si="387"/>
        <v>45856.693055555559</v>
      </c>
      <c r="AI682" s="162">
        <f t="shared" si="392"/>
        <v>-1577.7860941358026</v>
      </c>
      <c r="AJ682" s="224">
        <f t="shared" si="388"/>
        <v>0</v>
      </c>
      <c r="AK682" s="225">
        <f t="shared" si="393"/>
        <v>20</v>
      </c>
      <c r="AL682" s="170">
        <f t="shared" si="394"/>
        <v>36</v>
      </c>
      <c r="AM682" s="170">
        <f t="shared" si="395"/>
        <v>21.774193548387096</v>
      </c>
      <c r="AN682" s="170">
        <f t="shared" si="396"/>
        <v>27.58064516129032</v>
      </c>
      <c r="AO682" s="226">
        <f t="shared" si="397"/>
        <v>18.774193548387096</v>
      </c>
      <c r="AP682" s="227">
        <v>60</v>
      </c>
      <c r="AQ682" s="228">
        <f t="shared" si="398"/>
        <v>57</v>
      </c>
      <c r="AR682" s="228">
        <f t="shared" si="384"/>
        <v>52</v>
      </c>
      <c r="AS682" s="229">
        <f t="shared" si="399"/>
        <v>60</v>
      </c>
      <c r="AT682" s="982">
        <f t="shared" ca="1" si="400"/>
        <v>45895</v>
      </c>
      <c r="AU682" s="50"/>
      <c r="AV682" s="51"/>
      <c r="AW682" s="49"/>
      <c r="AX682" s="49"/>
      <c r="AY682" s="49"/>
      <c r="AZ682" s="300"/>
      <c r="BA682" s="52"/>
      <c r="BB682" s="304"/>
      <c r="BC682" s="231"/>
      <c r="BD682" s="232"/>
      <c r="BE682" s="222">
        <f t="shared" si="414"/>
        <v>15</v>
      </c>
      <c r="BF682" s="233">
        <f t="shared" si="389"/>
        <v>0</v>
      </c>
      <c r="BG682" s="234"/>
      <c r="BH682" s="235"/>
      <c r="BI682" s="234"/>
      <c r="BJ682" s="236"/>
      <c r="BK682" s="222"/>
      <c r="BL682" s="222"/>
      <c r="BM682" s="238"/>
      <c r="BN682" s="222"/>
      <c r="BO682" s="222"/>
      <c r="BP682" s="243"/>
      <c r="BQ682" s="244"/>
      <c r="BR682" s="238"/>
      <c r="BS682" s="68"/>
      <c r="BT682" s="69"/>
      <c r="BU682" s="69"/>
      <c r="BV682" s="69"/>
      <c r="BW682" s="75"/>
      <c r="BX682" s="81"/>
      <c r="BY682" s="66">
        <v>45833</v>
      </c>
      <c r="BZ682" s="944" t="s">
        <v>3407</v>
      </c>
      <c r="CA682" s="42" t="str">
        <f t="shared" si="401"/>
        <v>0</v>
      </c>
      <c r="CB682" s="62">
        <f t="shared" si="402"/>
        <v>-45806.693055555559</v>
      </c>
      <c r="CC682" s="42">
        <f t="shared" si="403"/>
        <v>0</v>
      </c>
      <c r="CD682" s="62">
        <f t="shared" si="404"/>
        <v>-45806.693055555559</v>
      </c>
      <c r="CE682" s="62">
        <f t="shared" si="405"/>
        <v>-1577.7860941358026</v>
      </c>
      <c r="CF682" s="145" t="str">
        <f t="shared" si="406"/>
        <v>0</v>
      </c>
      <c r="CG682" s="145"/>
      <c r="CH682" s="443">
        <f t="shared" si="407"/>
        <v>2.1461280864196306</v>
      </c>
      <c r="CI682" s="996">
        <f t="shared" si="408"/>
        <v>2.1461280864196306</v>
      </c>
      <c r="CJ682" s="261">
        <f t="shared" si="409"/>
        <v>0</v>
      </c>
      <c r="CK682" s="458">
        <f t="shared" si="410"/>
        <v>49.306944444440887</v>
      </c>
      <c r="CL682" t="str">
        <f t="shared" si="411"/>
        <v>NON-REV</v>
      </c>
      <c r="CM682" t="str">
        <f t="shared" si="412"/>
        <v>0-3 MONTHS</v>
      </c>
      <c r="CN682" s="635"/>
      <c r="CO682" s="631"/>
      <c r="CP682" s="629"/>
      <c r="CQ682" s="635"/>
      <c r="CR682" s="697"/>
      <c r="CS682" s="633"/>
      <c r="CT682" s="635"/>
      <c r="CU682" s="631"/>
      <c r="CV682" s="638"/>
      <c r="CW682" s="853"/>
      <c r="CX682" s="856"/>
      <c r="CY682" s="856"/>
    </row>
    <row r="683" spans="1:103" s="359" customFormat="1" ht="15" customHeight="1" x14ac:dyDescent="0.25">
      <c r="A683" s="242">
        <v>45825</v>
      </c>
      <c r="B683" s="222">
        <v>45826</v>
      </c>
      <c r="C683" s="852"/>
      <c r="D683" s="66" t="s">
        <v>320</v>
      </c>
      <c r="E683" s="404" t="s">
        <v>3408</v>
      </c>
      <c r="F683" s="95" t="s">
        <v>1045</v>
      </c>
      <c r="G683" s="95" t="s">
        <v>3409</v>
      </c>
      <c r="H683" s="95" t="s">
        <v>269</v>
      </c>
      <c r="I683" s="95" t="s">
        <v>239</v>
      </c>
      <c r="J683" s="854"/>
      <c r="K683" s="855"/>
      <c r="L683" s="101" t="s">
        <v>5</v>
      </c>
      <c r="M683" s="101" t="s">
        <v>272</v>
      </c>
      <c r="N683" s="442" t="s">
        <v>403</v>
      </c>
      <c r="O683" s="165">
        <v>1.79</v>
      </c>
      <c r="P683" s="933">
        <v>7.01</v>
      </c>
      <c r="Q683" s="157">
        <v>9</v>
      </c>
      <c r="R683" s="109" t="s">
        <v>548</v>
      </c>
      <c r="S683" s="110">
        <v>24060.560000000001</v>
      </c>
      <c r="T683" s="93">
        <v>6023.01</v>
      </c>
      <c r="U683" s="857"/>
      <c r="V683" s="158">
        <f t="shared" si="390"/>
        <v>0</v>
      </c>
      <c r="W683" s="159">
        <v>45807.635416666664</v>
      </c>
      <c r="X683" s="159">
        <v>45825.556250000001</v>
      </c>
      <c r="Y683" s="160">
        <v>45826</v>
      </c>
      <c r="Z683" s="470"/>
      <c r="AA683" s="470">
        <v>45835</v>
      </c>
      <c r="AB683" s="942"/>
      <c r="AC683" s="161">
        <f t="shared" si="391"/>
        <v>27.364583333335759</v>
      </c>
      <c r="AD683" s="161">
        <f t="shared" si="385"/>
        <v>9.4437499999985448</v>
      </c>
      <c r="AE683" s="446">
        <f t="shared" si="413"/>
        <v>-45835</v>
      </c>
      <c r="AF683" s="160">
        <f t="shared" si="386"/>
        <v>45826.409610215051</v>
      </c>
      <c r="AG683" s="160">
        <f t="shared" si="383"/>
        <v>45835.216061827952</v>
      </c>
      <c r="AH683" s="159">
        <f t="shared" si="387"/>
        <v>45857.635416666664</v>
      </c>
      <c r="AI683" s="162">
        <f t="shared" si="392"/>
        <v>0.9425578703704538</v>
      </c>
      <c r="AJ683" s="224">
        <f t="shared" si="388"/>
        <v>-763.91666666666663</v>
      </c>
      <c r="AK683" s="225">
        <f t="shared" si="393"/>
        <v>20</v>
      </c>
      <c r="AL683" s="170">
        <f t="shared" si="394"/>
        <v>36</v>
      </c>
      <c r="AM683" s="170">
        <f t="shared" si="395"/>
        <v>21.774193548387096</v>
      </c>
      <c r="AN683" s="170">
        <f t="shared" si="396"/>
        <v>27.58064516129032</v>
      </c>
      <c r="AO683" s="226">
        <f t="shared" si="397"/>
        <v>18.774193548387096</v>
      </c>
      <c r="AP683" s="227">
        <v>60</v>
      </c>
      <c r="AQ683" s="228">
        <f t="shared" si="398"/>
        <v>57</v>
      </c>
      <c r="AR683" s="228">
        <f t="shared" si="384"/>
        <v>52</v>
      </c>
      <c r="AS683" s="229">
        <f t="shared" si="399"/>
        <v>45895</v>
      </c>
      <c r="AT683" s="982">
        <f t="shared" ca="1" si="400"/>
        <v>60</v>
      </c>
      <c r="AU683" s="50"/>
      <c r="AV683" s="51"/>
      <c r="AW683" s="49"/>
      <c r="AX683" s="49"/>
      <c r="AY683" s="49"/>
      <c r="AZ683" s="300"/>
      <c r="BA683" s="52"/>
      <c r="BB683" s="304"/>
      <c r="BC683" s="231" t="s">
        <v>13</v>
      </c>
      <c r="BD683" s="232"/>
      <c r="BE683" s="222">
        <f t="shared" si="414"/>
        <v>45850</v>
      </c>
      <c r="BF683" s="233" t="e">
        <f t="shared" si="389"/>
        <v>#VALUE!</v>
      </c>
      <c r="BG683" s="234"/>
      <c r="BH683" s="235"/>
      <c r="BI683" s="234"/>
      <c r="BJ683" s="236"/>
      <c r="BK683" s="222"/>
      <c r="BL683" s="222"/>
      <c r="BM683" s="238"/>
      <c r="BN683" s="222"/>
      <c r="BO683" s="222"/>
      <c r="BP683" s="243"/>
      <c r="BQ683" s="244" t="s">
        <v>247</v>
      </c>
      <c r="BR683" s="238"/>
      <c r="BS683" s="68"/>
      <c r="BT683" s="69"/>
      <c r="BU683" s="69"/>
      <c r="BV683" s="69"/>
      <c r="BW683" s="75"/>
      <c r="BX683" s="81"/>
      <c r="BY683" s="66">
        <v>45826</v>
      </c>
      <c r="BZ683" s="944">
        <v>192502</v>
      </c>
      <c r="CA683" s="42" t="str">
        <f t="shared" si="401"/>
        <v>0</v>
      </c>
      <c r="CB683" s="62">
        <f t="shared" si="402"/>
        <v>27.364583333335759</v>
      </c>
      <c r="CC683" s="42">
        <f t="shared" si="403"/>
        <v>0</v>
      </c>
      <c r="CD683" s="62">
        <f t="shared" si="404"/>
        <v>27.364583333335759</v>
      </c>
      <c r="CE683" s="62">
        <f t="shared" si="405"/>
        <v>0.9425578703704538</v>
      </c>
      <c r="CF683" s="145">
        <f t="shared" si="406"/>
        <v>34</v>
      </c>
      <c r="CG683" s="145"/>
      <c r="CH683" s="443">
        <f t="shared" si="407"/>
        <v>2.113668981481565</v>
      </c>
      <c r="CI683" s="996">
        <f t="shared" si="408"/>
        <v>2.113668981481565</v>
      </c>
      <c r="CJ683" s="261">
        <f t="shared" si="409"/>
        <v>0.56666666666666665</v>
      </c>
      <c r="CK683" s="458" t="str">
        <f t="shared" si="410"/>
        <v/>
      </c>
      <c r="CL683" t="str">
        <f t="shared" si="411"/>
        <v>NON-REV</v>
      </c>
      <c r="CM683" t="str">
        <f t="shared" si="412"/>
        <v/>
      </c>
      <c r="CN683" s="635"/>
      <c r="CO683" s="631"/>
      <c r="CP683" s="629"/>
      <c r="CQ683" s="635"/>
      <c r="CR683" s="697"/>
      <c r="CS683" s="633"/>
      <c r="CT683" s="635"/>
      <c r="CU683" s="631"/>
      <c r="CV683" s="638"/>
      <c r="CW683" s="853"/>
      <c r="CX683" s="856"/>
      <c r="CY683" s="856"/>
    </row>
    <row r="684" spans="1:103" s="1103" customFormat="1" ht="15" customHeight="1" x14ac:dyDescent="0.2">
      <c r="A684" s="242">
        <v>45825</v>
      </c>
      <c r="B684" s="222">
        <v>45826</v>
      </c>
      <c r="C684" s="852"/>
      <c r="D684" s="66" t="s">
        <v>320</v>
      </c>
      <c r="E684" s="404" t="s">
        <v>3410</v>
      </c>
      <c r="F684" s="95" t="s">
        <v>1646</v>
      </c>
      <c r="G684" s="95" t="s">
        <v>1647</v>
      </c>
      <c r="H684" s="95" t="s">
        <v>269</v>
      </c>
      <c r="I684" s="95" t="s">
        <v>239</v>
      </c>
      <c r="J684" s="1134" t="s">
        <v>3383</v>
      </c>
      <c r="K684" s="855"/>
      <c r="L684" s="101" t="s">
        <v>255</v>
      </c>
      <c r="M684" s="101" t="s">
        <v>331</v>
      </c>
      <c r="N684" s="442" t="s">
        <v>403</v>
      </c>
      <c r="O684" s="165">
        <v>3.66</v>
      </c>
      <c r="P684" s="165">
        <v>7.29</v>
      </c>
      <c r="Q684" s="157">
        <v>6</v>
      </c>
      <c r="R684" s="109" t="s">
        <v>244</v>
      </c>
      <c r="S684" s="110">
        <v>29846.68</v>
      </c>
      <c r="T684" s="93">
        <v>6263.71</v>
      </c>
      <c r="U684" s="857"/>
      <c r="V684" s="158">
        <f t="shared" si="390"/>
        <v>0</v>
      </c>
      <c r="W684" s="159">
        <v>45810.382638888892</v>
      </c>
      <c r="X684" s="159">
        <v>45825.557638888888</v>
      </c>
      <c r="Y684" s="160">
        <v>45826</v>
      </c>
      <c r="Z684" s="470"/>
      <c r="AA684" s="470"/>
      <c r="AB684" s="942"/>
      <c r="AC684" s="161">
        <f t="shared" si="391"/>
        <v>-45810.382638888892</v>
      </c>
      <c r="AD684" s="161">
        <f t="shared" si="385"/>
        <v>-45825.557638888888</v>
      </c>
      <c r="AE684" s="446">
        <f t="shared" si="413"/>
        <v>0</v>
      </c>
      <c r="AF684" s="160">
        <f t="shared" si="386"/>
        <v>45829.156832437278</v>
      </c>
      <c r="AG684" s="160">
        <f t="shared" si="383"/>
        <v>45837.96328405018</v>
      </c>
      <c r="AH684" s="159">
        <f t="shared" si="387"/>
        <v>45860.382638888892</v>
      </c>
      <c r="AI684" s="162">
        <f t="shared" si="392"/>
        <v>-1577.9131797839509</v>
      </c>
      <c r="AJ684" s="224">
        <f t="shared" si="388"/>
        <v>0</v>
      </c>
      <c r="AK684" s="225">
        <f t="shared" si="393"/>
        <v>20</v>
      </c>
      <c r="AL684" s="170">
        <f t="shared" si="394"/>
        <v>36</v>
      </c>
      <c r="AM684" s="170">
        <f t="shared" si="395"/>
        <v>21.774193548387096</v>
      </c>
      <c r="AN684" s="170">
        <f t="shared" si="396"/>
        <v>27.58064516129032</v>
      </c>
      <c r="AO684" s="226">
        <f t="shared" si="397"/>
        <v>18.774193548387096</v>
      </c>
      <c r="AP684" s="227">
        <v>60</v>
      </c>
      <c r="AQ684" s="228">
        <f t="shared" si="398"/>
        <v>57</v>
      </c>
      <c r="AR684" s="228">
        <f t="shared" si="384"/>
        <v>52</v>
      </c>
      <c r="AS684" s="229">
        <f t="shared" si="399"/>
        <v>60</v>
      </c>
      <c r="AT684" s="982">
        <f t="shared" ca="1" si="400"/>
        <v>45895</v>
      </c>
      <c r="AU684" s="1077"/>
      <c r="AV684" s="1092"/>
      <c r="AW684" s="1079"/>
      <c r="AX684" s="1079"/>
      <c r="AY684" s="1079"/>
      <c r="AZ684" s="1080"/>
      <c r="BA684" s="1101"/>
      <c r="BB684" s="1091"/>
      <c r="BC684" s="231"/>
      <c r="BD684" s="232"/>
      <c r="BE684" s="222">
        <f t="shared" si="414"/>
        <v>15</v>
      </c>
      <c r="BF684" s="233">
        <f t="shared" si="389"/>
        <v>0</v>
      </c>
      <c r="BG684" s="234"/>
      <c r="BH684" s="235"/>
      <c r="BI684" s="234"/>
      <c r="BJ684" s="236"/>
      <c r="BK684" s="222"/>
      <c r="BL684" s="222"/>
      <c r="BM684" s="238"/>
      <c r="BN684" s="222"/>
      <c r="BO684" s="222"/>
      <c r="BP684" s="243"/>
      <c r="BQ684" s="244" t="s">
        <v>246</v>
      </c>
      <c r="BR684" s="238"/>
      <c r="BS684" s="68"/>
      <c r="BT684" s="69"/>
      <c r="BU684" s="69"/>
      <c r="BV684" s="69"/>
      <c r="BW684" s="75"/>
      <c r="BX684" s="81"/>
      <c r="BY684" s="66" t="s">
        <v>308</v>
      </c>
      <c r="BZ684" s="944" t="s">
        <v>3411</v>
      </c>
      <c r="CA684" s="42" t="str">
        <f t="shared" si="401"/>
        <v>0</v>
      </c>
      <c r="CB684" s="62">
        <f t="shared" si="402"/>
        <v>-45810.382638888892</v>
      </c>
      <c r="CC684" s="42">
        <f t="shared" si="403"/>
        <v>0</v>
      </c>
      <c r="CD684" s="62">
        <f t="shared" si="404"/>
        <v>-45810.382638888892</v>
      </c>
      <c r="CE684" s="62">
        <f t="shared" si="405"/>
        <v>-1577.9131797839509</v>
      </c>
      <c r="CF684" s="1059" t="str">
        <f t="shared" si="406"/>
        <v>0</v>
      </c>
      <c r="CG684" s="1059"/>
      <c r="CH684" s="1082">
        <f t="shared" si="407"/>
        <v>2.0190424382714989</v>
      </c>
      <c r="CI684" s="1083">
        <f t="shared" si="408"/>
        <v>2.0190424382714989</v>
      </c>
      <c r="CJ684" s="1084">
        <f t="shared" si="409"/>
        <v>0</v>
      </c>
      <c r="CK684" s="1085">
        <f t="shared" si="410"/>
        <v>45.617361111108039</v>
      </c>
      <c r="CL684" s="1057" t="str">
        <f t="shared" si="411"/>
        <v>REV</v>
      </c>
      <c r="CM684" s="1057" t="str">
        <f t="shared" si="412"/>
        <v>0-3 MONTHS</v>
      </c>
      <c r="CN684" s="1086"/>
      <c r="CO684" s="1087"/>
      <c r="CP684" s="629"/>
      <c r="CQ684" s="1086"/>
      <c r="CR684" s="1088"/>
      <c r="CS684" s="1089"/>
      <c r="CT684" s="1086"/>
      <c r="CU684" s="1087"/>
      <c r="CV684" s="1090"/>
      <c r="CW684" s="853"/>
      <c r="CX684" s="856"/>
      <c r="CY684" s="856"/>
    </row>
    <row r="685" spans="1:103" s="359" customFormat="1" ht="15" customHeight="1" x14ac:dyDescent="0.25">
      <c r="A685" s="242">
        <v>45825</v>
      </c>
      <c r="B685" s="222">
        <v>45826</v>
      </c>
      <c r="C685" s="852"/>
      <c r="D685" s="66" t="s">
        <v>234</v>
      </c>
      <c r="E685" s="404" t="s">
        <v>3412</v>
      </c>
      <c r="F685" s="95" t="s">
        <v>3413</v>
      </c>
      <c r="G685" s="95" t="s">
        <v>3414</v>
      </c>
      <c r="H685" s="95" t="s">
        <v>238</v>
      </c>
      <c r="I685" s="95" t="s">
        <v>239</v>
      </c>
      <c r="J685" s="1134" t="s">
        <v>3383</v>
      </c>
      <c r="K685" s="855"/>
      <c r="L685" s="101" t="s">
        <v>242</v>
      </c>
      <c r="M685" s="101" t="s">
        <v>272</v>
      </c>
      <c r="N685" s="442" t="s">
        <v>467</v>
      </c>
      <c r="O685" s="165">
        <v>10.353300000000001</v>
      </c>
      <c r="P685" s="933">
        <v>11.51</v>
      </c>
      <c r="Q685" s="157">
        <v>3</v>
      </c>
      <c r="R685" s="109" t="s">
        <v>244</v>
      </c>
      <c r="S685" s="110">
        <v>147032.26999999999</v>
      </c>
      <c r="T685" s="93">
        <v>9892.5</v>
      </c>
      <c r="U685" s="857"/>
      <c r="V685" s="158">
        <f t="shared" si="390"/>
        <v>0</v>
      </c>
      <c r="W685" s="159">
        <v>45810.438194444447</v>
      </c>
      <c r="X685" s="159">
        <v>45825.55972222222</v>
      </c>
      <c r="Y685" s="160">
        <v>45826</v>
      </c>
      <c r="Z685" s="470"/>
      <c r="AA685" s="470">
        <v>45836</v>
      </c>
      <c r="AB685" s="942"/>
      <c r="AC685" s="161">
        <f t="shared" si="391"/>
        <v>25.561805555553292</v>
      </c>
      <c r="AD685" s="161">
        <f t="shared" si="385"/>
        <v>10.440277777779556</v>
      </c>
      <c r="AE685" s="446">
        <f t="shared" si="413"/>
        <v>-45836</v>
      </c>
      <c r="AF685" s="160">
        <f t="shared" si="386"/>
        <v>45829.212387992833</v>
      </c>
      <c r="AG685" s="160">
        <f t="shared" ref="AG685:AG710" si="415">W685+AN685</f>
        <v>45838.018839605735</v>
      </c>
      <c r="AH685" s="159">
        <f t="shared" si="387"/>
        <v>45860.438194444447</v>
      </c>
      <c r="AI685" s="162">
        <f t="shared" si="392"/>
        <v>0.88046219135794668</v>
      </c>
      <c r="AJ685" s="224">
        <f t="shared" si="388"/>
        <v>-763.93333333333328</v>
      </c>
      <c r="AK685" s="225">
        <f t="shared" si="393"/>
        <v>20</v>
      </c>
      <c r="AL685" s="170">
        <f t="shared" si="394"/>
        <v>36</v>
      </c>
      <c r="AM685" s="170">
        <f t="shared" si="395"/>
        <v>21.774193548387096</v>
      </c>
      <c r="AN685" s="170">
        <f t="shared" si="396"/>
        <v>27.58064516129032</v>
      </c>
      <c r="AO685" s="226">
        <f t="shared" si="397"/>
        <v>18.774193548387096</v>
      </c>
      <c r="AP685" s="227">
        <v>60</v>
      </c>
      <c r="AQ685" s="228">
        <f t="shared" si="398"/>
        <v>57</v>
      </c>
      <c r="AR685" s="228">
        <f t="shared" ref="AR685:AR710" si="416">AQ685-5</f>
        <v>52</v>
      </c>
      <c r="AS685" s="229">
        <f t="shared" si="399"/>
        <v>45896</v>
      </c>
      <c r="AT685" s="982">
        <f t="shared" ca="1" si="400"/>
        <v>59</v>
      </c>
      <c r="AU685" s="50"/>
      <c r="AV685" s="51"/>
      <c r="AW685" s="49"/>
      <c r="AX685" s="49"/>
      <c r="AY685" s="49"/>
      <c r="AZ685" s="300"/>
      <c r="BA685" s="52"/>
      <c r="BB685" s="304"/>
      <c r="BC685" s="231" t="s">
        <v>12</v>
      </c>
      <c r="BD685" s="232"/>
      <c r="BE685" s="222">
        <f t="shared" si="414"/>
        <v>45851</v>
      </c>
      <c r="BF685" s="233">
        <f t="shared" si="389"/>
        <v>-4</v>
      </c>
      <c r="BG685" s="234">
        <v>45836</v>
      </c>
      <c r="BH685" s="235">
        <v>45847</v>
      </c>
      <c r="BI685" s="234"/>
      <c r="BJ685" s="236"/>
      <c r="BK685" s="222"/>
      <c r="BL685" s="222"/>
      <c r="BM685" s="238"/>
      <c r="BN685" s="222"/>
      <c r="BO685" s="222"/>
      <c r="BP685" s="243"/>
      <c r="BQ685" s="244" t="s">
        <v>247</v>
      </c>
      <c r="BR685" s="238">
        <v>45834</v>
      </c>
      <c r="BS685" s="68"/>
      <c r="BT685" s="69"/>
      <c r="BU685" s="69"/>
      <c r="BV685" s="69"/>
      <c r="BW685" s="75"/>
      <c r="BX685" s="81"/>
      <c r="BY685" s="66">
        <v>45826</v>
      </c>
      <c r="BZ685" s="944">
        <v>530762</v>
      </c>
      <c r="CA685" s="42" t="str">
        <f t="shared" si="401"/>
        <v>0</v>
      </c>
      <c r="CB685" s="62">
        <f t="shared" si="402"/>
        <v>25.561805555553292</v>
      </c>
      <c r="CC685" s="42">
        <f t="shared" si="403"/>
        <v>0</v>
      </c>
      <c r="CD685" s="62">
        <f t="shared" si="404"/>
        <v>25.561805555553292</v>
      </c>
      <c r="CE685" s="62">
        <f t="shared" si="405"/>
        <v>0.88046219135794668</v>
      </c>
      <c r="CF685" s="145">
        <f t="shared" si="406"/>
        <v>33</v>
      </c>
      <c r="CG685" s="145"/>
      <c r="CH685" s="443">
        <f t="shared" si="407"/>
        <v>2.0171288580246132</v>
      </c>
      <c r="CI685" s="996">
        <f t="shared" si="408"/>
        <v>2.0171288580246132</v>
      </c>
      <c r="CJ685" s="261">
        <f t="shared" si="409"/>
        <v>0.55000000000000004</v>
      </c>
      <c r="CK685" s="458" t="str">
        <f t="shared" si="410"/>
        <v/>
      </c>
      <c r="CL685" t="str">
        <f t="shared" si="411"/>
        <v>REV</v>
      </c>
      <c r="CM685" t="str">
        <f t="shared" si="412"/>
        <v/>
      </c>
      <c r="CN685" s="635"/>
      <c r="CO685" s="631"/>
      <c r="CP685" s="629"/>
      <c r="CQ685" s="635"/>
      <c r="CR685" s="697"/>
      <c r="CS685" s="633"/>
      <c r="CT685" s="635"/>
      <c r="CU685" s="631"/>
      <c r="CV685" s="638"/>
      <c r="CW685" s="853"/>
      <c r="CX685" s="856"/>
      <c r="CY685" s="856"/>
    </row>
    <row r="686" spans="1:103" s="359" customFormat="1" ht="15" customHeight="1" x14ac:dyDescent="0.25">
      <c r="A686" s="242">
        <v>45825</v>
      </c>
      <c r="B686" s="222">
        <v>45826</v>
      </c>
      <c r="C686" s="852"/>
      <c r="D686" s="66" t="s">
        <v>284</v>
      </c>
      <c r="E686" s="404" t="s">
        <v>3415</v>
      </c>
      <c r="F686" s="95" t="s">
        <v>3416</v>
      </c>
      <c r="G686" s="95" t="s">
        <v>1507</v>
      </c>
      <c r="H686" s="95" t="s">
        <v>253</v>
      </c>
      <c r="I686" s="95" t="s">
        <v>254</v>
      </c>
      <c r="J686" s="854"/>
      <c r="K686" s="855"/>
      <c r="L686" s="101" t="s">
        <v>1945</v>
      </c>
      <c r="M686" s="101" t="s">
        <v>272</v>
      </c>
      <c r="N686" s="442" t="s">
        <v>1946</v>
      </c>
      <c r="O686" s="165">
        <v>9.8533000000000008</v>
      </c>
      <c r="P686" s="165">
        <v>11.75</v>
      </c>
      <c r="Q686" s="157">
        <v>19</v>
      </c>
      <c r="R686" s="109" t="s">
        <v>244</v>
      </c>
      <c r="S686" s="110">
        <v>139959.44</v>
      </c>
      <c r="T686" s="93">
        <v>10098.780000000001</v>
      </c>
      <c r="U686" s="857"/>
      <c r="V686" s="158">
        <f t="shared" si="390"/>
        <v>0</v>
      </c>
      <c r="W686" s="159">
        <v>45810.669444444444</v>
      </c>
      <c r="X686" s="159">
        <v>45825.5625</v>
      </c>
      <c r="Y686" s="160">
        <v>45826</v>
      </c>
      <c r="Z686" s="470"/>
      <c r="AA686" s="470">
        <v>45870.539583333331</v>
      </c>
      <c r="AB686" s="942"/>
      <c r="AC686" s="161">
        <f t="shared" si="391"/>
        <v>59.870138888887595</v>
      </c>
      <c r="AD686" s="161">
        <f t="shared" ref="AD686:AD710" si="417">AA686-X686</f>
        <v>44.977083333331393</v>
      </c>
      <c r="AE686" s="446">
        <f t="shared" si="413"/>
        <v>-45870.539583333331</v>
      </c>
      <c r="AF686" s="160">
        <f t="shared" ref="AF686:AF710" si="418">W686+AO686</f>
        <v>45829.44363799283</v>
      </c>
      <c r="AG686" s="160">
        <f t="shared" si="415"/>
        <v>45838.250089605732</v>
      </c>
      <c r="AH686" s="159">
        <f t="shared" ref="AH686:AH710" si="419">W686+50</f>
        <v>45860.669444444444</v>
      </c>
      <c r="AI686" s="162">
        <f t="shared" si="392"/>
        <v>2.0621936728394612</v>
      </c>
      <c r="AJ686" s="224">
        <f t="shared" ref="AJ686:AJ710" si="420">AE686/AP686</f>
        <v>-764.50899305555549</v>
      </c>
      <c r="AK686" s="225">
        <f t="shared" si="393"/>
        <v>20</v>
      </c>
      <c r="AL686" s="170">
        <f t="shared" si="394"/>
        <v>36</v>
      </c>
      <c r="AM686" s="170">
        <f t="shared" si="395"/>
        <v>21.774193548387096</v>
      </c>
      <c r="AN686" s="170">
        <f t="shared" si="396"/>
        <v>27.58064516129032</v>
      </c>
      <c r="AO686" s="226">
        <f t="shared" si="397"/>
        <v>18.774193548387096</v>
      </c>
      <c r="AP686" s="227">
        <v>60</v>
      </c>
      <c r="AQ686" s="228">
        <f t="shared" si="398"/>
        <v>57</v>
      </c>
      <c r="AR686" s="228">
        <f t="shared" si="416"/>
        <v>52</v>
      </c>
      <c r="AS686" s="229">
        <f t="shared" si="399"/>
        <v>45930.539583333331</v>
      </c>
      <c r="AT686" s="982">
        <f t="shared" ca="1" si="400"/>
        <v>24.460416666668607</v>
      </c>
      <c r="AU686" s="50"/>
      <c r="AV686" s="51"/>
      <c r="AW686" s="49"/>
      <c r="AX686" s="49"/>
      <c r="AY686" s="49"/>
      <c r="AZ686" s="300"/>
      <c r="BA686" s="52"/>
      <c r="BB686" s="304"/>
      <c r="BC686" s="231" t="s">
        <v>13</v>
      </c>
      <c r="BD686" s="232"/>
      <c r="BE686" s="222">
        <f t="shared" si="414"/>
        <v>45885.539583333331</v>
      </c>
      <c r="BF686" s="233" t="e">
        <f t="shared" si="389"/>
        <v>#VALUE!</v>
      </c>
      <c r="BG686" s="234"/>
      <c r="BH686" s="235"/>
      <c r="BI686" s="234"/>
      <c r="BJ686" s="236"/>
      <c r="BK686" s="222"/>
      <c r="BL686" s="222"/>
      <c r="BM686" s="238"/>
      <c r="BN686" s="222"/>
      <c r="BO686" s="222"/>
      <c r="BP686" s="243"/>
      <c r="BQ686" s="244" t="s">
        <v>247</v>
      </c>
      <c r="BR686" s="238"/>
      <c r="BS686" s="68"/>
      <c r="BT686" s="69"/>
      <c r="BU686" s="69"/>
      <c r="BV686" s="69"/>
      <c r="BW686" s="75"/>
      <c r="BX686" s="81"/>
      <c r="BY686" s="66">
        <v>45826</v>
      </c>
      <c r="BZ686" s="944" t="s">
        <v>3417</v>
      </c>
      <c r="CA686" s="42" t="str">
        <f t="shared" si="401"/>
        <v>0</v>
      </c>
      <c r="CB686" s="62">
        <f t="shared" si="402"/>
        <v>59.870138888887595</v>
      </c>
      <c r="CC686" s="42">
        <f t="shared" si="403"/>
        <v>0</v>
      </c>
      <c r="CD686" s="62">
        <f t="shared" si="404"/>
        <v>59.870138888887595</v>
      </c>
      <c r="CE686" s="62">
        <f t="shared" si="405"/>
        <v>2.0621936728394612</v>
      </c>
      <c r="CF686" s="145">
        <f t="shared" si="406"/>
        <v>-1.5395833333313931</v>
      </c>
      <c r="CG686" s="145"/>
      <c r="CH686" s="443">
        <f t="shared" si="407"/>
        <v>2.0091635802469359</v>
      </c>
      <c r="CI686" s="996">
        <f t="shared" si="408"/>
        <v>2.0091635802469359</v>
      </c>
      <c r="CJ686" s="261">
        <f t="shared" si="409"/>
        <v>-2.5659722222189884E-2</v>
      </c>
      <c r="CK686" s="458" t="str">
        <f t="shared" si="410"/>
        <v/>
      </c>
      <c r="CL686" t="str">
        <f t="shared" si="411"/>
        <v>REV</v>
      </c>
      <c r="CM686" t="str">
        <f t="shared" si="412"/>
        <v/>
      </c>
      <c r="CN686" s="635"/>
      <c r="CO686" s="631"/>
      <c r="CP686" s="629"/>
      <c r="CQ686" s="635"/>
      <c r="CR686" s="697"/>
      <c r="CS686" s="633"/>
      <c r="CT686" s="635"/>
      <c r="CU686" s="631"/>
      <c r="CV686" s="638"/>
      <c r="CW686" s="853"/>
      <c r="CX686" s="856"/>
      <c r="CY686" s="856"/>
    </row>
    <row r="687" spans="1:103" s="359" customFormat="1" ht="15" customHeight="1" x14ac:dyDescent="0.25">
      <c r="A687" s="242">
        <v>45825</v>
      </c>
      <c r="B687" s="222">
        <v>45826</v>
      </c>
      <c r="C687" s="852"/>
      <c r="D687" s="66" t="s">
        <v>320</v>
      </c>
      <c r="E687" s="404" t="s">
        <v>3418</v>
      </c>
      <c r="F687" s="95" t="s">
        <v>3419</v>
      </c>
      <c r="G687" s="95" t="s">
        <v>3420</v>
      </c>
      <c r="H687" s="95" t="s">
        <v>378</v>
      </c>
      <c r="I687" s="95" t="s">
        <v>239</v>
      </c>
      <c r="J687" s="163" t="s">
        <v>2775</v>
      </c>
      <c r="K687" s="855"/>
      <c r="L687" s="101" t="s">
        <v>288</v>
      </c>
      <c r="M687" s="101" t="s">
        <v>331</v>
      </c>
      <c r="N687" s="442" t="s">
        <v>381</v>
      </c>
      <c r="O687" s="165">
        <v>83.227380000000025</v>
      </c>
      <c r="P687" s="165">
        <v>203.42</v>
      </c>
      <c r="Q687" s="157">
        <v>44</v>
      </c>
      <c r="R687" s="109" t="s">
        <v>244</v>
      </c>
      <c r="S687" s="110">
        <v>449581.74</v>
      </c>
      <c r="T687" s="93">
        <v>76859.460000000021</v>
      </c>
      <c r="U687" s="857"/>
      <c r="V687" s="158">
        <f t="shared" si="390"/>
        <v>0</v>
      </c>
      <c r="W687" s="159">
        <v>45810.69027777778</v>
      </c>
      <c r="X687" s="159">
        <v>45825.561111111114</v>
      </c>
      <c r="Y687" s="160">
        <v>45826</v>
      </c>
      <c r="Z687" s="470"/>
      <c r="AA687" s="470"/>
      <c r="AB687" s="942"/>
      <c r="AC687" s="161">
        <f t="shared" si="391"/>
        <v>-45810.69027777778</v>
      </c>
      <c r="AD687" s="161">
        <f t="shared" si="417"/>
        <v>-45825.561111111114</v>
      </c>
      <c r="AE687" s="446">
        <f t="shared" si="413"/>
        <v>0</v>
      </c>
      <c r="AF687" s="160">
        <f t="shared" si="418"/>
        <v>45832.558698830413</v>
      </c>
      <c r="AG687" s="160">
        <f t="shared" si="415"/>
        <v>45842.19027777778</v>
      </c>
      <c r="AH687" s="159">
        <f t="shared" si="419"/>
        <v>45860.69027777778</v>
      </c>
      <c r="AI687" s="162">
        <f t="shared" si="392"/>
        <v>-1381.592246472663</v>
      </c>
      <c r="AJ687" s="224">
        <f t="shared" si="420"/>
        <v>0</v>
      </c>
      <c r="AK687" s="225">
        <f t="shared" si="393"/>
        <v>28</v>
      </c>
      <c r="AL687" s="170">
        <f t="shared" si="394"/>
        <v>36</v>
      </c>
      <c r="AM687" s="170">
        <f t="shared" si="395"/>
        <v>24.868421052631579</v>
      </c>
      <c r="AN687" s="170">
        <f t="shared" si="396"/>
        <v>31.499999999999996</v>
      </c>
      <c r="AO687" s="226">
        <f t="shared" si="397"/>
        <v>21.868421052631579</v>
      </c>
      <c r="AP687" s="227">
        <v>60</v>
      </c>
      <c r="AQ687" s="228">
        <f t="shared" si="398"/>
        <v>57</v>
      </c>
      <c r="AR687" s="228">
        <f t="shared" si="416"/>
        <v>52</v>
      </c>
      <c r="AS687" s="229">
        <f t="shared" si="399"/>
        <v>60</v>
      </c>
      <c r="AT687" s="982">
        <f t="shared" ca="1" si="400"/>
        <v>45895</v>
      </c>
      <c r="AU687" s="50"/>
      <c r="AV687" s="51"/>
      <c r="AW687" s="49"/>
      <c r="AX687" s="49"/>
      <c r="AY687" s="49"/>
      <c r="AZ687" s="300"/>
      <c r="BA687" s="52"/>
      <c r="BB687" s="304"/>
      <c r="BC687" s="231"/>
      <c r="BD687" s="232"/>
      <c r="BE687" s="222">
        <f t="shared" si="414"/>
        <v>15</v>
      </c>
      <c r="BF687" s="233">
        <f t="shared" si="389"/>
        <v>0</v>
      </c>
      <c r="BG687" s="234"/>
      <c r="BH687" s="235"/>
      <c r="BI687" s="234"/>
      <c r="BJ687" s="236"/>
      <c r="BK687" s="222"/>
      <c r="BL687" s="222"/>
      <c r="BM687" s="238"/>
      <c r="BN687" s="222"/>
      <c r="BO687" s="222"/>
      <c r="BP687" s="243"/>
      <c r="BQ687" s="244" t="s">
        <v>247</v>
      </c>
      <c r="BR687" s="238"/>
      <c r="BS687" s="68"/>
      <c r="BT687" s="69"/>
      <c r="BU687" s="69"/>
      <c r="BV687" s="69"/>
      <c r="BW687" s="75"/>
      <c r="BX687" s="81"/>
      <c r="BY687" s="66">
        <v>45826</v>
      </c>
      <c r="BZ687" s="944" t="s">
        <v>3421</v>
      </c>
      <c r="CA687" s="42" t="str">
        <f t="shared" si="401"/>
        <v>0</v>
      </c>
      <c r="CB687" s="62">
        <f t="shared" si="402"/>
        <v>-45810.69027777778</v>
      </c>
      <c r="CC687" s="42">
        <f t="shared" si="403"/>
        <v>0</v>
      </c>
      <c r="CD687" s="62">
        <f t="shared" si="404"/>
        <v>-45810.69027777778</v>
      </c>
      <c r="CE687" s="62">
        <f t="shared" si="405"/>
        <v>-1381.592246472663</v>
      </c>
      <c r="CF687" s="145" t="str">
        <f t="shared" si="406"/>
        <v>0</v>
      </c>
      <c r="CG687" s="145"/>
      <c r="CH687" s="443">
        <f t="shared" si="407"/>
        <v>1.7585471781304576</v>
      </c>
      <c r="CI687" s="996">
        <f t="shared" si="408"/>
        <v>1.7585471781304576</v>
      </c>
      <c r="CJ687" s="261">
        <f t="shared" si="409"/>
        <v>0</v>
      </c>
      <c r="CK687" s="458">
        <f t="shared" si="410"/>
        <v>45.309722222220444</v>
      </c>
      <c r="CL687" t="str">
        <f t="shared" si="411"/>
        <v>REV</v>
      </c>
      <c r="CM687" t="str">
        <f t="shared" si="412"/>
        <v>0-3 MONTHS</v>
      </c>
      <c r="CN687" s="635"/>
      <c r="CO687" s="631"/>
      <c r="CP687" s="629"/>
      <c r="CQ687" s="635"/>
      <c r="CR687" s="697"/>
      <c r="CS687" s="633"/>
      <c r="CT687" s="635"/>
      <c r="CU687" s="631"/>
      <c r="CV687" s="638"/>
      <c r="CW687" s="853"/>
      <c r="CX687" s="856"/>
      <c r="CY687" s="856"/>
    </row>
    <row r="688" spans="1:103" s="359" customFormat="1" ht="15" customHeight="1" x14ac:dyDescent="0.25">
      <c r="A688" s="242">
        <v>45833</v>
      </c>
      <c r="B688" s="222">
        <v>45833</v>
      </c>
      <c r="C688" s="852"/>
      <c r="D688" s="66" t="s">
        <v>320</v>
      </c>
      <c r="E688" s="404" t="s">
        <v>3422</v>
      </c>
      <c r="F688" s="95" t="s">
        <v>3423</v>
      </c>
      <c r="G688" s="95" t="s">
        <v>3424</v>
      </c>
      <c r="H688" s="95" t="s">
        <v>269</v>
      </c>
      <c r="I688" s="95" t="s">
        <v>239</v>
      </c>
      <c r="J688" s="854"/>
      <c r="K688" s="855"/>
      <c r="L688" s="101" t="s">
        <v>263</v>
      </c>
      <c r="M688" s="101" t="s">
        <v>331</v>
      </c>
      <c r="N688" s="442" t="s">
        <v>467</v>
      </c>
      <c r="O688" s="165">
        <v>67.850999999999999</v>
      </c>
      <c r="P688" s="165">
        <v>230.55</v>
      </c>
      <c r="Q688" s="157">
        <v>35</v>
      </c>
      <c r="R688" s="109" t="s">
        <v>244</v>
      </c>
      <c r="S688" s="110">
        <v>435025.16</v>
      </c>
      <c r="T688" s="93">
        <v>63566.859999999993</v>
      </c>
      <c r="U688" s="857"/>
      <c r="V688" s="158">
        <f t="shared" si="390"/>
        <v>0</v>
      </c>
      <c r="W688" s="159">
        <v>45811.512499999997</v>
      </c>
      <c r="X688" s="159">
        <v>45825.568749999999</v>
      </c>
      <c r="Y688" s="160">
        <v>45833</v>
      </c>
      <c r="Z688" s="470"/>
      <c r="AA688" s="470"/>
      <c r="AB688" s="942"/>
      <c r="AC688" s="161">
        <f t="shared" si="391"/>
        <v>-45811.512499999997</v>
      </c>
      <c r="AD688" s="161">
        <f t="shared" si="417"/>
        <v>-45825.568749999999</v>
      </c>
      <c r="AE688" s="446">
        <f t="shared" si="413"/>
        <v>0</v>
      </c>
      <c r="AF688" s="160">
        <f t="shared" si="418"/>
        <v>45833.380921052631</v>
      </c>
      <c r="AG688" s="160">
        <f t="shared" si="415"/>
        <v>45843.012499999997</v>
      </c>
      <c r="AH688" s="159">
        <f t="shared" si="419"/>
        <v>45861.512499999997</v>
      </c>
      <c r="AI688" s="162">
        <f t="shared" si="392"/>
        <v>-1381.6170436507934</v>
      </c>
      <c r="AJ688" s="224">
        <f t="shared" si="420"/>
        <v>0</v>
      </c>
      <c r="AK688" s="225">
        <f t="shared" si="393"/>
        <v>28</v>
      </c>
      <c r="AL688" s="170">
        <f t="shared" si="394"/>
        <v>36</v>
      </c>
      <c r="AM688" s="170">
        <f t="shared" si="395"/>
        <v>24.868421052631579</v>
      </c>
      <c r="AN688" s="170">
        <f t="shared" si="396"/>
        <v>31.499999999999996</v>
      </c>
      <c r="AO688" s="226">
        <f t="shared" si="397"/>
        <v>21.868421052631579</v>
      </c>
      <c r="AP688" s="227">
        <v>60</v>
      </c>
      <c r="AQ688" s="228">
        <f t="shared" si="398"/>
        <v>57</v>
      </c>
      <c r="AR688" s="228">
        <f t="shared" si="416"/>
        <v>52</v>
      </c>
      <c r="AS688" s="229">
        <f t="shared" si="399"/>
        <v>60</v>
      </c>
      <c r="AT688" s="982">
        <f t="shared" ca="1" si="400"/>
        <v>45895</v>
      </c>
      <c r="AU688" s="50"/>
      <c r="AV688" s="51"/>
      <c r="AW688" s="49"/>
      <c r="AX688" s="49"/>
      <c r="AY688" s="49"/>
      <c r="AZ688" s="300"/>
      <c r="BA688" s="52"/>
      <c r="BB688" s="304"/>
      <c r="BC688" s="231"/>
      <c r="BD688" s="232"/>
      <c r="BE688" s="222">
        <f t="shared" si="414"/>
        <v>15</v>
      </c>
      <c r="BF688" s="233">
        <f t="shared" si="389"/>
        <v>0</v>
      </c>
      <c r="BG688" s="234"/>
      <c r="BH688" s="235"/>
      <c r="BI688" s="234"/>
      <c r="BJ688" s="236"/>
      <c r="BK688" s="222"/>
      <c r="BL688" s="222"/>
      <c r="BM688" s="238"/>
      <c r="BN688" s="222"/>
      <c r="BO688" s="222"/>
      <c r="BP688" s="243"/>
      <c r="BQ688" s="244" t="s">
        <v>247</v>
      </c>
      <c r="BR688" s="238"/>
      <c r="BS688" s="68"/>
      <c r="BT688" s="69"/>
      <c r="BU688" s="69"/>
      <c r="BV688" s="69"/>
      <c r="BW688" s="75"/>
      <c r="BX688" s="81"/>
      <c r="BY688" s="66">
        <v>45833</v>
      </c>
      <c r="BZ688" s="944" t="s">
        <v>3425</v>
      </c>
      <c r="CA688" s="42" t="str">
        <f t="shared" si="401"/>
        <v>0</v>
      </c>
      <c r="CB688" s="62">
        <f t="shared" si="402"/>
        <v>-45811.512499999997</v>
      </c>
      <c r="CC688" s="42">
        <f t="shared" si="403"/>
        <v>0</v>
      </c>
      <c r="CD688" s="62">
        <f t="shared" si="404"/>
        <v>-45811.512499999997</v>
      </c>
      <c r="CE688" s="62">
        <f t="shared" si="405"/>
        <v>-1381.6170436507934</v>
      </c>
      <c r="CF688" s="145" t="str">
        <f t="shared" si="406"/>
        <v>0</v>
      </c>
      <c r="CG688" s="145"/>
      <c r="CH688" s="443">
        <f t="shared" si="407"/>
        <v>1.7337500000000876</v>
      </c>
      <c r="CI688" s="996">
        <f t="shared" si="408"/>
        <v>1.7337500000000876</v>
      </c>
      <c r="CJ688" s="261">
        <f t="shared" si="409"/>
        <v>0</v>
      </c>
      <c r="CK688" s="458">
        <f t="shared" si="410"/>
        <v>44.48750000000291</v>
      </c>
      <c r="CL688" t="str">
        <f t="shared" si="411"/>
        <v>REV</v>
      </c>
      <c r="CM688" t="str">
        <f t="shared" si="412"/>
        <v>0-3 MONTHS</v>
      </c>
      <c r="CN688" s="635"/>
      <c r="CO688" s="631"/>
      <c r="CP688" s="629"/>
      <c r="CQ688" s="635"/>
      <c r="CR688" s="697"/>
      <c r="CS688" s="633"/>
      <c r="CT688" s="635"/>
      <c r="CU688" s="631"/>
      <c r="CV688" s="638"/>
      <c r="CW688" s="853"/>
      <c r="CX688" s="856"/>
      <c r="CY688" s="856"/>
    </row>
    <row r="689" spans="1:103" s="359" customFormat="1" ht="15" customHeight="1" x14ac:dyDescent="0.25">
      <c r="A689" s="242">
        <v>45825</v>
      </c>
      <c r="B689" s="222">
        <v>45826</v>
      </c>
      <c r="C689" s="852" t="s">
        <v>247</v>
      </c>
      <c r="D689" s="66" t="s">
        <v>284</v>
      </c>
      <c r="E689" s="404" t="s">
        <v>3426</v>
      </c>
      <c r="F689" s="95" t="s">
        <v>3427</v>
      </c>
      <c r="G689" s="95" t="s">
        <v>3428</v>
      </c>
      <c r="H689" s="95" t="s">
        <v>269</v>
      </c>
      <c r="I689" s="95" t="s">
        <v>239</v>
      </c>
      <c r="J689" s="854"/>
      <c r="K689" s="855"/>
      <c r="L689" s="101" t="s">
        <v>242</v>
      </c>
      <c r="M689" s="101" t="s">
        <v>272</v>
      </c>
      <c r="N689" s="442" t="s">
        <v>467</v>
      </c>
      <c r="O689" s="165">
        <v>11.530000000000001</v>
      </c>
      <c r="P689" s="933">
        <v>114.42</v>
      </c>
      <c r="Q689" s="157">
        <v>224</v>
      </c>
      <c r="R689" s="109" t="s">
        <v>548</v>
      </c>
      <c r="S689" s="110">
        <v>269699.65000000002</v>
      </c>
      <c r="T689" s="93">
        <v>98338.36</v>
      </c>
      <c r="U689" s="857"/>
      <c r="V689" s="158">
        <f t="shared" si="390"/>
        <v>0</v>
      </c>
      <c r="W689" s="159">
        <v>45812.381944444445</v>
      </c>
      <c r="X689" s="159">
        <v>45825.563888888886</v>
      </c>
      <c r="Y689" s="160">
        <v>45826</v>
      </c>
      <c r="Z689" s="470"/>
      <c r="AA689" s="470">
        <v>45845</v>
      </c>
      <c r="AB689" s="942"/>
      <c r="AC689" s="161">
        <f t="shared" si="391"/>
        <v>32.618055555554747</v>
      </c>
      <c r="AD689" s="161">
        <f t="shared" si="417"/>
        <v>19.43611111111386</v>
      </c>
      <c r="AE689" s="446">
        <f t="shared" si="413"/>
        <v>-45845</v>
      </c>
      <c r="AF689" s="160">
        <f t="shared" si="418"/>
        <v>45830.88929738562</v>
      </c>
      <c r="AG689" s="160">
        <f t="shared" si="415"/>
        <v>45839.62459150327</v>
      </c>
      <c r="AH689" s="159">
        <f t="shared" si="419"/>
        <v>45862.381944444445</v>
      </c>
      <c r="AI689" s="162">
        <f t="shared" si="392"/>
        <v>1.1374501424501142</v>
      </c>
      <c r="AJ689" s="224">
        <f t="shared" si="420"/>
        <v>-764.08333333333337</v>
      </c>
      <c r="AK689" s="225">
        <f t="shared" si="393"/>
        <v>26</v>
      </c>
      <c r="AL689" s="170">
        <f t="shared" si="394"/>
        <v>30</v>
      </c>
      <c r="AM689" s="170">
        <f t="shared" si="395"/>
        <v>21.507352941176471</v>
      </c>
      <c r="AN689" s="170">
        <f t="shared" si="396"/>
        <v>27.242647058823529</v>
      </c>
      <c r="AO689" s="226">
        <f t="shared" si="397"/>
        <v>18.507352941176471</v>
      </c>
      <c r="AP689" s="227">
        <v>60</v>
      </c>
      <c r="AQ689" s="228">
        <f t="shared" si="398"/>
        <v>57</v>
      </c>
      <c r="AR689" s="228">
        <f t="shared" si="416"/>
        <v>52</v>
      </c>
      <c r="AS689" s="229">
        <f t="shared" si="399"/>
        <v>45905</v>
      </c>
      <c r="AT689" s="982">
        <f t="shared" ca="1" si="400"/>
        <v>50</v>
      </c>
      <c r="AU689" s="50"/>
      <c r="AV689" s="51"/>
      <c r="AW689" s="49"/>
      <c r="AX689" s="49"/>
      <c r="AY689" s="49"/>
      <c r="AZ689" s="300"/>
      <c r="BA689" s="52"/>
      <c r="BB689" s="304"/>
      <c r="BC689" s="231" t="s">
        <v>12</v>
      </c>
      <c r="BD689" s="232"/>
      <c r="BE689" s="222">
        <f t="shared" si="414"/>
        <v>45860</v>
      </c>
      <c r="BF689" s="233">
        <f t="shared" si="389"/>
        <v>-8</v>
      </c>
      <c r="BG689" s="234">
        <v>45845</v>
      </c>
      <c r="BH689" s="235">
        <v>45852</v>
      </c>
      <c r="BI689" s="234"/>
      <c r="BJ689" s="236"/>
      <c r="BK689" s="222"/>
      <c r="BL689" s="222"/>
      <c r="BM689" s="238"/>
      <c r="BN689" s="222"/>
      <c r="BO689" s="222"/>
      <c r="BP689" s="243"/>
      <c r="BQ689" s="244" t="s">
        <v>247</v>
      </c>
      <c r="BR689" s="238"/>
      <c r="BS689" s="68"/>
      <c r="BT689" s="69"/>
      <c r="BU689" s="69"/>
      <c r="BV689" s="69"/>
      <c r="BW689" s="75"/>
      <c r="BX689" s="81"/>
      <c r="BY689" s="66" t="s">
        <v>308</v>
      </c>
      <c r="BZ689" s="944" t="s">
        <v>3429</v>
      </c>
      <c r="CA689" s="42" t="str">
        <f t="shared" si="401"/>
        <v>0</v>
      </c>
      <c r="CB689" s="62">
        <f t="shared" si="402"/>
        <v>32.618055555554747</v>
      </c>
      <c r="CC689" s="42">
        <f t="shared" si="403"/>
        <v>0</v>
      </c>
      <c r="CD689" s="62">
        <f t="shared" si="404"/>
        <v>32.618055555554747</v>
      </c>
      <c r="CE689" s="62">
        <f t="shared" si="405"/>
        <v>1.1374501424501142</v>
      </c>
      <c r="CF689" s="145">
        <f t="shared" si="406"/>
        <v>24</v>
      </c>
      <c r="CG689" s="145"/>
      <c r="CH689" s="443">
        <f t="shared" si="407"/>
        <v>1.9743732193731911</v>
      </c>
      <c r="CI689" s="996">
        <f t="shared" si="408"/>
        <v>1.9743732193731911</v>
      </c>
      <c r="CJ689" s="261">
        <f t="shared" si="409"/>
        <v>0.4</v>
      </c>
      <c r="CK689" s="458" t="str">
        <f t="shared" si="410"/>
        <v/>
      </c>
      <c r="CL689" t="str">
        <f t="shared" si="411"/>
        <v>NON-REV</v>
      </c>
      <c r="CM689" t="str">
        <f t="shared" si="412"/>
        <v/>
      </c>
      <c r="CN689" s="635"/>
      <c r="CO689" s="631"/>
      <c r="CP689" s="629"/>
      <c r="CQ689" s="635"/>
      <c r="CR689" s="697"/>
      <c r="CS689" s="633"/>
      <c r="CT689" s="635"/>
      <c r="CU689" s="631"/>
      <c r="CV689" s="638"/>
      <c r="CW689" s="853"/>
      <c r="CX689" s="856"/>
      <c r="CY689" s="856"/>
    </row>
    <row r="690" spans="1:103" s="359" customFormat="1" ht="15" customHeight="1" x14ac:dyDescent="0.25">
      <c r="A690" s="242">
        <v>45820</v>
      </c>
      <c r="B690" s="222"/>
      <c r="C690" s="852"/>
      <c r="D690" s="66" t="s">
        <v>320</v>
      </c>
      <c r="E690" s="404" t="s">
        <v>3430</v>
      </c>
      <c r="F690" s="95" t="s">
        <v>3431</v>
      </c>
      <c r="G690" s="95" t="s">
        <v>3236</v>
      </c>
      <c r="H690" s="95" t="s">
        <v>318</v>
      </c>
      <c r="I690" s="95" t="s">
        <v>239</v>
      </c>
      <c r="J690" s="854"/>
      <c r="K690" s="855"/>
      <c r="L690" s="101" t="s">
        <v>1957</v>
      </c>
      <c r="M690" s="101" t="s">
        <v>272</v>
      </c>
      <c r="N690" s="442" t="s">
        <v>3375</v>
      </c>
      <c r="O690" s="165">
        <v>2.5100000000000002</v>
      </c>
      <c r="P690" s="933">
        <v>6.4</v>
      </c>
      <c r="Q690" s="157">
        <v>18</v>
      </c>
      <c r="R690" s="109" t="s">
        <v>548</v>
      </c>
      <c r="S690" s="110">
        <v>24098.69</v>
      </c>
      <c r="T690" s="93">
        <v>5499.119999999999</v>
      </c>
      <c r="U690" s="857"/>
      <c r="V690" s="158">
        <f t="shared" si="390"/>
        <v>0</v>
      </c>
      <c r="W690" s="159">
        <v>45812.534722222219</v>
      </c>
      <c r="X690" s="159">
        <v>45819.613888888889</v>
      </c>
      <c r="Y690" s="160">
        <v>45820</v>
      </c>
      <c r="Z690" s="470"/>
      <c r="AA690" s="470">
        <v>45834</v>
      </c>
      <c r="AB690" s="942"/>
      <c r="AC690" s="161">
        <f t="shared" si="391"/>
        <v>21.465277777781012</v>
      </c>
      <c r="AD690" s="161">
        <f t="shared" si="417"/>
        <v>14.386111111110949</v>
      </c>
      <c r="AE690" s="446">
        <f t="shared" si="413"/>
        <v>-45834</v>
      </c>
      <c r="AF690" s="160">
        <f t="shared" si="418"/>
        <v>45831.308915770605</v>
      </c>
      <c r="AG690" s="160">
        <f t="shared" si="415"/>
        <v>45840.115367383507</v>
      </c>
      <c r="AH690" s="159">
        <f t="shared" si="419"/>
        <v>45862.534722222219</v>
      </c>
      <c r="AI690" s="162">
        <f t="shared" si="392"/>
        <v>0.73935956790134594</v>
      </c>
      <c r="AJ690" s="224">
        <f t="shared" si="420"/>
        <v>-763.9</v>
      </c>
      <c r="AK690" s="225">
        <f t="shared" si="393"/>
        <v>20</v>
      </c>
      <c r="AL690" s="170">
        <f t="shared" si="394"/>
        <v>36</v>
      </c>
      <c r="AM690" s="170">
        <f t="shared" si="395"/>
        <v>21.774193548387096</v>
      </c>
      <c r="AN690" s="170">
        <f t="shared" si="396"/>
        <v>27.58064516129032</v>
      </c>
      <c r="AO690" s="226">
        <f t="shared" si="397"/>
        <v>18.774193548387096</v>
      </c>
      <c r="AP690" s="227">
        <v>60</v>
      </c>
      <c r="AQ690" s="228">
        <f t="shared" si="398"/>
        <v>57</v>
      </c>
      <c r="AR690" s="228">
        <f t="shared" si="416"/>
        <v>52</v>
      </c>
      <c r="AS690" s="229">
        <f t="shared" si="399"/>
        <v>45894</v>
      </c>
      <c r="AT690" s="982">
        <f t="shared" ca="1" si="400"/>
        <v>61</v>
      </c>
      <c r="AU690" s="50"/>
      <c r="AV690" s="51"/>
      <c r="AW690" s="49"/>
      <c r="AX690" s="49"/>
      <c r="AY690" s="49"/>
      <c r="AZ690" s="300"/>
      <c r="BA690" s="52"/>
      <c r="BB690" s="304"/>
      <c r="BC690" s="231" t="s">
        <v>13</v>
      </c>
      <c r="BD690" s="232"/>
      <c r="BE690" s="222">
        <f t="shared" si="414"/>
        <v>45849</v>
      </c>
      <c r="BF690" s="233" t="e">
        <f t="shared" si="389"/>
        <v>#VALUE!</v>
      </c>
      <c r="BG690" s="234"/>
      <c r="BH690" s="235"/>
      <c r="BI690" s="234"/>
      <c r="BJ690" s="236"/>
      <c r="BK690" s="222"/>
      <c r="BL690" s="222"/>
      <c r="BM690" s="238"/>
      <c r="BN690" s="222"/>
      <c r="BO690" s="222"/>
      <c r="BP690" s="243"/>
      <c r="BQ690" s="244"/>
      <c r="BR690" s="238"/>
      <c r="BS690" s="68"/>
      <c r="BT690" s="69"/>
      <c r="BU690" s="69"/>
      <c r="BV690" s="69"/>
      <c r="BW690" s="75"/>
      <c r="BX690" s="81"/>
      <c r="BY690" s="66" t="s">
        <v>308</v>
      </c>
      <c r="BZ690" s="944" t="s">
        <v>3432</v>
      </c>
      <c r="CA690" s="42" t="str">
        <f t="shared" si="401"/>
        <v>0</v>
      </c>
      <c r="CB690" s="62">
        <f t="shared" si="402"/>
        <v>21.465277777781012</v>
      </c>
      <c r="CC690" s="42">
        <f t="shared" si="403"/>
        <v>0</v>
      </c>
      <c r="CD690" s="62">
        <f t="shared" si="404"/>
        <v>21.465277777781012</v>
      </c>
      <c r="CE690" s="62">
        <f t="shared" si="405"/>
        <v>0.73935956790134594</v>
      </c>
      <c r="CF690" s="145">
        <f t="shared" si="406"/>
        <v>35</v>
      </c>
      <c r="CG690" s="145"/>
      <c r="CH690" s="443">
        <f t="shared" ref="CH690:CH721" si="421" xml:space="preserve"> (0.3)*(($CF$1-W690)/AK690)+(0.7)*(($CF$1-W690)/AL690)</f>
        <v>1.9449151234569015</v>
      </c>
      <c r="CI690" s="996">
        <f t="shared" si="408"/>
        <v>1.9449151234569015</v>
      </c>
      <c r="CJ690" s="261">
        <f t="shared" ref="CJ690:CJ721" si="422">CF690/AP690</f>
        <v>0.58333333333333337</v>
      </c>
      <c r="CK690" s="458" t="str">
        <f t="shared" ref="CK690:CK721" si="423">IF(AA690&gt;0,"",$CK$1-W690)</f>
        <v/>
      </c>
      <c r="CL690" t="str">
        <f t="shared" ref="CL690:CL721" si="424">IF(R690="NEW","REV","NON-REV")</f>
        <v>NON-REV</v>
      </c>
      <c r="CM690" t="str">
        <f t="shared" ref="CM690:CM721" si="425">IF(CK690="","",IF(CK690&lt;91,"0-3 MONTHS",(IF(CK690&lt;181,"4-6 MONTHS",(IF(CK690&lt;271,"7-9 MONTHS",IF(CK690&gt;270,"10 MONTHS AND ABOVE",)))))))</f>
        <v/>
      </c>
      <c r="CN690" s="635"/>
      <c r="CO690" s="631"/>
      <c r="CP690" s="629"/>
      <c r="CQ690" s="635"/>
      <c r="CR690" s="697"/>
      <c r="CS690" s="633"/>
      <c r="CT690" s="635"/>
      <c r="CU690" s="631"/>
      <c r="CV690" s="638"/>
      <c r="CW690" s="853"/>
      <c r="CX690" s="856"/>
      <c r="CY690" s="856"/>
    </row>
    <row r="691" spans="1:103" s="359" customFormat="1" ht="15" customHeight="1" x14ac:dyDescent="0.25">
      <c r="A691" s="242">
        <v>45831</v>
      </c>
      <c r="B691" s="222">
        <v>45833</v>
      </c>
      <c r="C691" s="852"/>
      <c r="D691" s="66" t="s">
        <v>320</v>
      </c>
      <c r="E691" s="404" t="s">
        <v>3433</v>
      </c>
      <c r="F691" s="95" t="s">
        <v>3434</v>
      </c>
      <c r="G691" s="95" t="s">
        <v>3435</v>
      </c>
      <c r="H691" s="95" t="s">
        <v>318</v>
      </c>
      <c r="I691" s="95" t="s">
        <v>239</v>
      </c>
      <c r="J691" s="854" t="s">
        <v>3436</v>
      </c>
      <c r="K691" s="855"/>
      <c r="L691" s="101" t="s">
        <v>5</v>
      </c>
      <c r="M691" s="101" t="s">
        <v>272</v>
      </c>
      <c r="N691" s="442" t="s">
        <v>403</v>
      </c>
      <c r="O691" s="165">
        <v>535.50969999999927</v>
      </c>
      <c r="P691" s="165">
        <v>1589.87</v>
      </c>
      <c r="Q691" s="157">
        <v>0</v>
      </c>
      <c r="R691" s="109" t="s">
        <v>327</v>
      </c>
      <c r="S691" s="110">
        <v>2393214.0099999998</v>
      </c>
      <c r="T691" s="93">
        <v>623353.52000000037</v>
      </c>
      <c r="U691" s="857"/>
      <c r="V691" s="158">
        <f t="shared" si="390"/>
        <v>0</v>
      </c>
      <c r="W691" s="159">
        <v>45812.696527777778</v>
      </c>
      <c r="X691" s="159">
        <v>45828.543749999997</v>
      </c>
      <c r="Y691" s="160">
        <v>45833</v>
      </c>
      <c r="Z691" s="470"/>
      <c r="AA691" s="470">
        <v>45868</v>
      </c>
      <c r="AB691" s="942"/>
      <c r="AC691" s="161">
        <f t="shared" si="391"/>
        <v>55.303472222221899</v>
      </c>
      <c r="AD691" s="161">
        <f t="shared" si="417"/>
        <v>39.45625000000291</v>
      </c>
      <c r="AE691" s="446">
        <f t="shared" si="413"/>
        <v>-45868</v>
      </c>
      <c r="AF691" s="160">
        <f t="shared" si="418"/>
        <v>45839.172510310527</v>
      </c>
      <c r="AG691" s="160">
        <f t="shared" si="415"/>
        <v>45850.03277231926</v>
      </c>
      <c r="AH691" s="159">
        <f t="shared" si="419"/>
        <v>45862.696527777778</v>
      </c>
      <c r="AI691" s="162">
        <f t="shared" si="392"/>
        <v>1.4071661265432014</v>
      </c>
      <c r="AJ691" s="224">
        <f t="shared" si="420"/>
        <v>-764.4666666666667</v>
      </c>
      <c r="AK691" s="225">
        <f t="shared" si="393"/>
        <v>50</v>
      </c>
      <c r="AL691" s="170">
        <f t="shared" si="394"/>
        <v>36</v>
      </c>
      <c r="AM691" s="170">
        <f t="shared" si="395"/>
        <v>29.475982532751093</v>
      </c>
      <c r="AN691" s="170">
        <f t="shared" si="396"/>
        <v>37.336244541484717</v>
      </c>
      <c r="AO691" s="226">
        <f t="shared" si="397"/>
        <v>26.475982532751093</v>
      </c>
      <c r="AP691" s="227">
        <v>60</v>
      </c>
      <c r="AQ691" s="228">
        <f t="shared" si="398"/>
        <v>57</v>
      </c>
      <c r="AR691" s="228">
        <f t="shared" si="416"/>
        <v>52</v>
      </c>
      <c r="AS691" s="229">
        <f t="shared" si="399"/>
        <v>45928</v>
      </c>
      <c r="AT691" s="982">
        <f t="shared" ca="1" si="400"/>
        <v>27</v>
      </c>
      <c r="AU691" s="50"/>
      <c r="AV691" s="51"/>
      <c r="AW691" s="49"/>
      <c r="AX691" s="49"/>
      <c r="AY691" s="49"/>
      <c r="AZ691" s="300"/>
      <c r="BA691" s="52"/>
      <c r="BB691" s="304"/>
      <c r="BC691" s="231" t="s">
        <v>13</v>
      </c>
      <c r="BD691" s="232"/>
      <c r="BE691" s="222">
        <f t="shared" si="414"/>
        <v>45883</v>
      </c>
      <c r="BF691" s="233" t="e">
        <f t="shared" si="389"/>
        <v>#VALUE!</v>
      </c>
      <c r="BG691" s="234"/>
      <c r="BH691" s="235"/>
      <c r="BI691" s="234"/>
      <c r="BJ691" s="236"/>
      <c r="BK691" s="222"/>
      <c r="BL691" s="222"/>
      <c r="BM691" s="238"/>
      <c r="BN691" s="222"/>
      <c r="BO691" s="222"/>
      <c r="BP691" s="243"/>
      <c r="BQ691" s="244"/>
      <c r="BR691" s="238"/>
      <c r="BS691" s="68"/>
      <c r="BT691" s="69"/>
      <c r="BU691" s="69"/>
      <c r="BV691" s="69"/>
      <c r="BW691" s="75"/>
      <c r="BX691" s="81"/>
      <c r="BY691" s="66"/>
      <c r="BZ691" s="944"/>
      <c r="CA691" s="42" t="str">
        <f t="shared" ref="CA691:CA722" si="426">IF(AY691="Y",BA691,"0")</f>
        <v>0</v>
      </c>
      <c r="CB691" s="62">
        <f t="shared" ref="CB691:CB722" si="427">AC691-CA691</f>
        <v>55.303472222221899</v>
      </c>
      <c r="CC691" s="42">
        <f t="shared" ref="CC691:CC722" si="428">BA691</f>
        <v>0</v>
      </c>
      <c r="CD691" s="62">
        <f t="shared" si="404"/>
        <v>55.303472222221899</v>
      </c>
      <c r="CE691" s="62">
        <f t="shared" si="405"/>
        <v>1.4071661265432014</v>
      </c>
      <c r="CF691" s="145">
        <f t="shared" si="406"/>
        <v>1</v>
      </c>
      <c r="CG691" s="145"/>
      <c r="CH691" s="443">
        <f t="shared" si="421"/>
        <v>1.432610570987646</v>
      </c>
      <c r="CI691" s="996">
        <f t="shared" si="408"/>
        <v>1.432610570987646</v>
      </c>
      <c r="CJ691" s="261">
        <f t="shared" si="422"/>
        <v>1.6666666666666666E-2</v>
      </c>
      <c r="CK691" s="458" t="str">
        <f t="shared" si="423"/>
        <v/>
      </c>
      <c r="CL691" t="str">
        <f t="shared" si="424"/>
        <v>NON-REV</v>
      </c>
      <c r="CM691" t="str">
        <f t="shared" si="425"/>
        <v/>
      </c>
      <c r="CN691" s="635"/>
      <c r="CO691" s="631"/>
      <c r="CP691" s="629"/>
      <c r="CQ691" s="635"/>
      <c r="CR691" s="697"/>
      <c r="CS691" s="633"/>
      <c r="CT691" s="635"/>
      <c r="CU691" s="631"/>
      <c r="CV691" s="638"/>
      <c r="CW691" s="853"/>
      <c r="CX691" s="856"/>
      <c r="CY691" s="856"/>
    </row>
    <row r="692" spans="1:103" s="359" customFormat="1" ht="15" customHeight="1" x14ac:dyDescent="0.25">
      <c r="A692" s="222" t="s">
        <v>308</v>
      </c>
      <c r="B692" s="222" t="s">
        <v>308</v>
      </c>
      <c r="C692" s="852"/>
      <c r="D692" s="66" t="s">
        <v>284</v>
      </c>
      <c r="E692" s="404" t="s">
        <v>3437</v>
      </c>
      <c r="F692" s="95" t="s">
        <v>3438</v>
      </c>
      <c r="G692" s="95" t="s">
        <v>3439</v>
      </c>
      <c r="H692" s="95" t="s">
        <v>238</v>
      </c>
      <c r="I692" s="95" t="s">
        <v>239</v>
      </c>
      <c r="J692" s="854"/>
      <c r="K692" s="855"/>
      <c r="L692" s="101" t="s">
        <v>1957</v>
      </c>
      <c r="M692" s="101" t="s">
        <v>272</v>
      </c>
      <c r="N692" s="442" t="s">
        <v>3375</v>
      </c>
      <c r="O692" s="933">
        <v>19.850000000000001</v>
      </c>
      <c r="P692" s="933">
        <v>19.850000000000001</v>
      </c>
      <c r="Q692" s="157">
        <v>10</v>
      </c>
      <c r="R692" s="109" t="s">
        <v>548</v>
      </c>
      <c r="S692" s="110">
        <v>43763.67</v>
      </c>
      <c r="T692" s="93"/>
      <c r="U692" s="857"/>
      <c r="V692" s="158" t="e">
        <f t="shared" si="390"/>
        <v>#DIV/0!</v>
      </c>
      <c r="W692" s="159">
        <v>45813.37222222222</v>
      </c>
      <c r="X692" s="159">
        <v>45819.654861111114</v>
      </c>
      <c r="Y692" s="160" t="s">
        <v>308</v>
      </c>
      <c r="Z692" s="470"/>
      <c r="AA692" s="470">
        <v>45839</v>
      </c>
      <c r="AB692" s="942"/>
      <c r="AC692" s="161">
        <f t="shared" si="391"/>
        <v>25.627777777779556</v>
      </c>
      <c r="AD692" s="161">
        <f t="shared" si="417"/>
        <v>19.34513888888614</v>
      </c>
      <c r="AE692" s="446">
        <f t="shared" si="413"/>
        <v>-45839</v>
      </c>
      <c r="AF692" s="160">
        <f t="shared" si="418"/>
        <v>45832.146415770607</v>
      </c>
      <c r="AG692" s="160">
        <f t="shared" si="415"/>
        <v>45840.952867383508</v>
      </c>
      <c r="AH692" s="159">
        <f t="shared" si="419"/>
        <v>45863.37222222222</v>
      </c>
      <c r="AI692" s="162">
        <f t="shared" si="392"/>
        <v>0.88273456790129579</v>
      </c>
      <c r="AJ692" s="224">
        <f t="shared" si="420"/>
        <v>-763.98333333333335</v>
      </c>
      <c r="AK692" s="225">
        <f t="shared" si="393"/>
        <v>20</v>
      </c>
      <c r="AL692" s="170">
        <f t="shared" si="394"/>
        <v>36</v>
      </c>
      <c r="AM692" s="170">
        <f t="shared" si="395"/>
        <v>21.774193548387096</v>
      </c>
      <c r="AN692" s="170">
        <f t="shared" si="396"/>
        <v>27.58064516129032</v>
      </c>
      <c r="AO692" s="226">
        <f t="shared" si="397"/>
        <v>18.774193548387096</v>
      </c>
      <c r="AP692" s="227">
        <v>60</v>
      </c>
      <c r="AQ692" s="228">
        <f t="shared" si="398"/>
        <v>57</v>
      </c>
      <c r="AR692" s="228">
        <f t="shared" si="416"/>
        <v>52</v>
      </c>
      <c r="AS692" s="229">
        <f t="shared" si="399"/>
        <v>45899</v>
      </c>
      <c r="AT692" s="982">
        <f t="shared" ca="1" si="400"/>
        <v>56</v>
      </c>
      <c r="AU692" s="50"/>
      <c r="AV692" s="51"/>
      <c r="AW692" s="49"/>
      <c r="AX692" s="49"/>
      <c r="AY692" s="49"/>
      <c r="AZ692" s="300"/>
      <c r="BA692" s="52"/>
      <c r="BB692" s="304"/>
      <c r="BC692" s="231" t="s">
        <v>13</v>
      </c>
      <c r="BD692" s="232"/>
      <c r="BE692" s="222">
        <f t="shared" si="414"/>
        <v>45854</v>
      </c>
      <c r="BF692" s="233" t="e">
        <f t="shared" ref="BF692:BF710" si="429">IF(ISBLANK(AA692),0,IF(ISBLANK(BH692),(BE692-$L$1),(BH692-BE692)))</f>
        <v>#VALUE!</v>
      </c>
      <c r="BG692" s="234"/>
      <c r="BH692" s="235"/>
      <c r="BI692" s="234"/>
      <c r="BJ692" s="236"/>
      <c r="BK692" s="222"/>
      <c r="BL692" s="222"/>
      <c r="BM692" s="238"/>
      <c r="BN692" s="222"/>
      <c r="BO692" s="222"/>
      <c r="BP692" s="243"/>
      <c r="BQ692" s="244"/>
      <c r="BR692" s="238"/>
      <c r="BS692" s="68"/>
      <c r="BT692" s="69"/>
      <c r="BU692" s="69"/>
      <c r="BV692" s="69"/>
      <c r="BW692" s="75"/>
      <c r="BX692" s="81"/>
      <c r="BY692" s="66"/>
      <c r="BZ692" s="944" t="s">
        <v>3440</v>
      </c>
      <c r="CA692" s="42" t="str">
        <f t="shared" si="426"/>
        <v>0</v>
      </c>
      <c r="CB692" s="62">
        <f t="shared" si="427"/>
        <v>25.627777777779556</v>
      </c>
      <c r="CC692" s="42">
        <f t="shared" si="428"/>
        <v>0</v>
      </c>
      <c r="CD692" s="62">
        <f t="shared" si="404"/>
        <v>25.627777777779556</v>
      </c>
      <c r="CE692" s="62">
        <f t="shared" si="405"/>
        <v>0.88273456790129579</v>
      </c>
      <c r="CF692" s="145">
        <f t="shared" si="406"/>
        <v>30</v>
      </c>
      <c r="CG692" s="145"/>
      <c r="CH692" s="443">
        <f t="shared" si="421"/>
        <v>1.9160679012346291</v>
      </c>
      <c r="CI692" s="996">
        <f t="shared" si="408"/>
        <v>1.9160679012346291</v>
      </c>
      <c r="CJ692" s="261">
        <f t="shared" si="422"/>
        <v>0.5</v>
      </c>
      <c r="CK692" s="458" t="str">
        <f t="shared" si="423"/>
        <v/>
      </c>
      <c r="CL692" t="str">
        <f t="shared" si="424"/>
        <v>NON-REV</v>
      </c>
      <c r="CM692" t="str">
        <f t="shared" si="425"/>
        <v/>
      </c>
      <c r="CN692" s="635"/>
      <c r="CO692" s="631"/>
      <c r="CP692" s="629"/>
      <c r="CQ692" s="635"/>
      <c r="CR692" s="697"/>
      <c r="CS692" s="633"/>
      <c r="CT692" s="635"/>
      <c r="CU692" s="631"/>
      <c r="CV692" s="638"/>
      <c r="CW692" s="853"/>
      <c r="CX692" s="856"/>
      <c r="CY692" s="856"/>
    </row>
    <row r="693" spans="1:103" s="359" customFormat="1" ht="15" customHeight="1" x14ac:dyDescent="0.25">
      <c r="A693" s="222" t="s">
        <v>308</v>
      </c>
      <c r="B693" s="222" t="s">
        <v>308</v>
      </c>
      <c r="C693" s="852"/>
      <c r="D693" s="66" t="s">
        <v>320</v>
      </c>
      <c r="E693" s="404" t="s">
        <v>3441</v>
      </c>
      <c r="F693" s="95" t="s">
        <v>3442</v>
      </c>
      <c r="G693" s="95" t="s">
        <v>3443</v>
      </c>
      <c r="H693" s="95" t="s">
        <v>238</v>
      </c>
      <c r="I693" s="95" t="s">
        <v>239</v>
      </c>
      <c r="J693" s="854"/>
      <c r="K693" s="855"/>
      <c r="L693" s="101" t="s">
        <v>1957</v>
      </c>
      <c r="M693" s="101" t="s">
        <v>272</v>
      </c>
      <c r="N693" s="442" t="s">
        <v>580</v>
      </c>
      <c r="O693" s="933">
        <v>122.18</v>
      </c>
      <c r="P693" s="933">
        <v>122.18</v>
      </c>
      <c r="Q693" s="157">
        <v>57</v>
      </c>
      <c r="R693" s="109" t="s">
        <v>244</v>
      </c>
      <c r="S693" s="110">
        <v>338451.36</v>
      </c>
      <c r="T693" s="93"/>
      <c r="U693" s="857"/>
      <c r="V693" s="158" t="e">
        <f t="shared" si="390"/>
        <v>#DIV/0!</v>
      </c>
      <c r="W693" s="159">
        <v>45813.453472222223</v>
      </c>
      <c r="X693" s="159">
        <v>45819.654166666667</v>
      </c>
      <c r="Y693" s="160" t="s">
        <v>308</v>
      </c>
      <c r="Z693" s="470"/>
      <c r="AA693" s="470">
        <v>45833</v>
      </c>
      <c r="AB693" s="942"/>
      <c r="AC693" s="161">
        <f t="shared" si="391"/>
        <v>19.546527777776646</v>
      </c>
      <c r="AD693" s="161">
        <f t="shared" si="417"/>
        <v>13.345833333332848</v>
      </c>
      <c r="AE693" s="446">
        <f t="shared" si="413"/>
        <v>-45833</v>
      </c>
      <c r="AF693" s="160">
        <f t="shared" si="418"/>
        <v>45833.798542644756</v>
      </c>
      <c r="AG693" s="160">
        <f t="shared" si="415"/>
        <v>45843.023894757433</v>
      </c>
      <c r="AH693" s="159">
        <f t="shared" si="419"/>
        <v>45863.453472222223</v>
      </c>
      <c r="AI693" s="162">
        <f t="shared" si="392"/>
        <v>0.62796537204621794</v>
      </c>
      <c r="AJ693" s="224">
        <f t="shared" si="420"/>
        <v>-763.88333333333333</v>
      </c>
      <c r="AK693" s="225">
        <f t="shared" si="393"/>
        <v>26</v>
      </c>
      <c r="AL693" s="170">
        <f t="shared" si="394"/>
        <v>34</v>
      </c>
      <c r="AM693" s="170">
        <f t="shared" si="395"/>
        <v>23.345070422535212</v>
      </c>
      <c r="AN693" s="170">
        <f t="shared" si="396"/>
        <v>29.570422535211268</v>
      </c>
      <c r="AO693" s="226">
        <f t="shared" si="397"/>
        <v>20.345070422535212</v>
      </c>
      <c r="AP693" s="227">
        <v>60</v>
      </c>
      <c r="AQ693" s="228">
        <f t="shared" si="398"/>
        <v>57</v>
      </c>
      <c r="AR693" s="228">
        <f t="shared" si="416"/>
        <v>52</v>
      </c>
      <c r="AS693" s="229">
        <f t="shared" si="399"/>
        <v>45893</v>
      </c>
      <c r="AT693" s="982">
        <f t="shared" ca="1" si="400"/>
        <v>62</v>
      </c>
      <c r="AU693" s="50"/>
      <c r="AV693" s="51"/>
      <c r="AW693" s="49"/>
      <c r="AX693" s="49"/>
      <c r="AY693" s="49"/>
      <c r="AZ693" s="300"/>
      <c r="BA693" s="52"/>
      <c r="BB693" s="304"/>
      <c r="BC693" s="231" t="s">
        <v>13</v>
      </c>
      <c r="BD693" s="232"/>
      <c r="BE693" s="222">
        <f t="shared" si="414"/>
        <v>45848</v>
      </c>
      <c r="BF693" s="233" t="e">
        <f t="shared" si="429"/>
        <v>#VALUE!</v>
      </c>
      <c r="BG693" s="234"/>
      <c r="BH693" s="235"/>
      <c r="BI693" s="234"/>
      <c r="BJ693" s="236"/>
      <c r="BK693" s="222"/>
      <c r="BL693" s="222"/>
      <c r="BM693" s="238"/>
      <c r="BN693" s="222"/>
      <c r="BO693" s="222"/>
      <c r="BP693" s="243"/>
      <c r="BQ693" s="244"/>
      <c r="BR693" s="238"/>
      <c r="BS693" s="68"/>
      <c r="BT693" s="69"/>
      <c r="BU693" s="69"/>
      <c r="BV693" s="69"/>
      <c r="BW693" s="75"/>
      <c r="BX693" s="81"/>
      <c r="BY693" s="66"/>
      <c r="BZ693" s="944" t="s">
        <v>3444</v>
      </c>
      <c r="CA693" s="42" t="str">
        <f t="shared" si="426"/>
        <v>0</v>
      </c>
      <c r="CB693" s="62">
        <f t="shared" si="427"/>
        <v>19.546527777776646</v>
      </c>
      <c r="CC693" s="42">
        <f t="shared" si="428"/>
        <v>0</v>
      </c>
      <c r="CD693" s="62">
        <f t="shared" si="404"/>
        <v>19.546527777776646</v>
      </c>
      <c r="CE693" s="62">
        <f t="shared" si="405"/>
        <v>0.62796537204621794</v>
      </c>
      <c r="CF693" s="145">
        <f t="shared" si="406"/>
        <v>36</v>
      </c>
      <c r="CG693" s="145"/>
      <c r="CH693" s="443">
        <f t="shared" si="421"/>
        <v>1.7845264580190685</v>
      </c>
      <c r="CI693" s="996">
        <f t="shared" si="408"/>
        <v>1.7845264580190685</v>
      </c>
      <c r="CJ693" s="261">
        <f t="shared" si="422"/>
        <v>0.6</v>
      </c>
      <c r="CK693" s="458" t="str">
        <f t="shared" si="423"/>
        <v/>
      </c>
      <c r="CL693" t="str">
        <f t="shared" si="424"/>
        <v>REV</v>
      </c>
      <c r="CM693" t="str">
        <f t="shared" si="425"/>
        <v/>
      </c>
      <c r="CN693" s="635"/>
      <c r="CO693" s="631"/>
      <c r="CP693" s="629"/>
      <c r="CQ693" s="635"/>
      <c r="CR693" s="697"/>
      <c r="CS693" s="633"/>
      <c r="CT693" s="635"/>
      <c r="CU693" s="631"/>
      <c r="CV693" s="638"/>
      <c r="CW693" s="853"/>
      <c r="CX693" s="856"/>
      <c r="CY693" s="856"/>
    </row>
    <row r="694" spans="1:103" s="359" customFormat="1" ht="15" customHeight="1" x14ac:dyDescent="0.25">
      <c r="A694" s="222" t="s">
        <v>308</v>
      </c>
      <c r="B694" s="222" t="s">
        <v>308</v>
      </c>
      <c r="C694" s="852" t="s">
        <v>247</v>
      </c>
      <c r="D694" s="66" t="s">
        <v>320</v>
      </c>
      <c r="E694" s="404" t="s">
        <v>3445</v>
      </c>
      <c r="F694" s="95" t="s">
        <v>3446</v>
      </c>
      <c r="G694" s="95" t="s">
        <v>3447</v>
      </c>
      <c r="H694" s="95" t="s">
        <v>238</v>
      </c>
      <c r="I694" s="95" t="s">
        <v>239</v>
      </c>
      <c r="J694" s="854"/>
      <c r="K694" s="855"/>
      <c r="L694" s="101" t="s">
        <v>1945</v>
      </c>
      <c r="M694" s="101" t="s">
        <v>256</v>
      </c>
      <c r="N694" s="442" t="s">
        <v>1946</v>
      </c>
      <c r="O694" s="933">
        <v>31.58</v>
      </c>
      <c r="P694" s="933">
        <v>31.58</v>
      </c>
      <c r="Q694" s="157">
        <v>76</v>
      </c>
      <c r="R694" s="109" t="s">
        <v>244</v>
      </c>
      <c r="S694" s="110">
        <v>228445.28</v>
      </c>
      <c r="T694" s="93"/>
      <c r="U694" s="857"/>
      <c r="V694" s="158" t="e">
        <f t="shared" si="390"/>
        <v>#DIV/0!</v>
      </c>
      <c r="W694" s="159">
        <v>45813.454861111109</v>
      </c>
      <c r="X694" s="159">
        <v>45819.65347222222</v>
      </c>
      <c r="Y694" s="160" t="s">
        <v>308</v>
      </c>
      <c r="Z694" s="470"/>
      <c r="AA694" s="470">
        <v>45830</v>
      </c>
      <c r="AB694" s="942">
        <v>45848.331944444442</v>
      </c>
      <c r="AC694" s="161">
        <f t="shared" si="391"/>
        <v>16.545138888890506</v>
      </c>
      <c r="AD694" s="161">
        <f t="shared" si="417"/>
        <v>10.346527777779556</v>
      </c>
      <c r="AE694" s="446">
        <f t="shared" si="413"/>
        <v>18.331944444442343</v>
      </c>
      <c r="AF694" s="160">
        <f t="shared" si="418"/>
        <v>45831.529241276396</v>
      </c>
      <c r="AG694" s="160">
        <f t="shared" si="415"/>
        <v>45840.149075987145</v>
      </c>
      <c r="AH694" s="159">
        <f t="shared" si="419"/>
        <v>45863.454861111109</v>
      </c>
      <c r="AI694" s="162">
        <f t="shared" si="392"/>
        <v>0.58881229575169147</v>
      </c>
      <c r="AJ694" s="224">
        <f t="shared" si="420"/>
        <v>0.30553240740737236</v>
      </c>
      <c r="AK694" s="225">
        <f t="shared" si="393"/>
        <v>20</v>
      </c>
      <c r="AL694" s="170">
        <f t="shared" si="394"/>
        <v>34</v>
      </c>
      <c r="AM694" s="170">
        <f t="shared" si="395"/>
        <v>21.074380165289259</v>
      </c>
      <c r="AN694" s="170">
        <f t="shared" si="396"/>
        <v>26.694214876033058</v>
      </c>
      <c r="AO694" s="226">
        <f t="shared" si="397"/>
        <v>18.074380165289259</v>
      </c>
      <c r="AP694" s="227">
        <v>60</v>
      </c>
      <c r="AQ694" s="228">
        <f t="shared" si="398"/>
        <v>57</v>
      </c>
      <c r="AR694" s="228">
        <f t="shared" si="416"/>
        <v>52</v>
      </c>
      <c r="AS694" s="229">
        <f t="shared" si="399"/>
        <v>45890</v>
      </c>
      <c r="AT694" s="982">
        <f t="shared" ca="1" si="400"/>
        <v>65</v>
      </c>
      <c r="AU694" s="50"/>
      <c r="AV694" s="51"/>
      <c r="AW694" s="49"/>
      <c r="AX694" s="49"/>
      <c r="AY694" s="49"/>
      <c r="AZ694" s="300"/>
      <c r="BA694" s="52"/>
      <c r="BB694" s="304"/>
      <c r="BC694" s="231" t="s">
        <v>14</v>
      </c>
      <c r="BD694" s="232"/>
      <c r="BE694" s="222">
        <f t="shared" si="414"/>
        <v>45845</v>
      </c>
      <c r="BF694" s="233" t="e">
        <f t="shared" si="429"/>
        <v>#VALUE!</v>
      </c>
      <c r="BG694" s="234"/>
      <c r="BH694" s="235"/>
      <c r="BI694" s="234"/>
      <c r="BJ694" s="236"/>
      <c r="BK694" s="222"/>
      <c r="BL694" s="222"/>
      <c r="BM694" s="238"/>
      <c r="BN694" s="222"/>
      <c r="BO694" s="222"/>
      <c r="BP694" s="243"/>
      <c r="BQ694" s="244"/>
      <c r="BR694" s="238"/>
      <c r="BS694" s="68"/>
      <c r="BT694" s="69"/>
      <c r="BU694" s="69"/>
      <c r="BV694" s="69"/>
      <c r="BW694" s="75"/>
      <c r="BX694" s="81"/>
      <c r="BY694" s="66"/>
      <c r="BZ694" s="944" t="s">
        <v>3448</v>
      </c>
      <c r="CA694" s="42" t="str">
        <f t="shared" si="426"/>
        <v>0</v>
      </c>
      <c r="CB694" s="62">
        <f t="shared" si="427"/>
        <v>16.545138888890506</v>
      </c>
      <c r="CC694" s="42">
        <f t="shared" si="428"/>
        <v>0</v>
      </c>
      <c r="CD694" s="62">
        <f t="shared" si="404"/>
        <v>16.545138888890506</v>
      </c>
      <c r="CE694" s="62">
        <f t="shared" si="405"/>
        <v>0.58881229575169147</v>
      </c>
      <c r="CF694" s="145">
        <f t="shared" si="406"/>
        <v>39</v>
      </c>
      <c r="CG694" s="145"/>
      <c r="CH694" s="443">
        <f t="shared" si="421"/>
        <v>1.9767534722222795</v>
      </c>
      <c r="CI694" s="996">
        <f t="shared" si="408"/>
        <v>1.9767534722222795</v>
      </c>
      <c r="CJ694" s="261">
        <f t="shared" si="422"/>
        <v>0.65</v>
      </c>
      <c r="CK694" s="458" t="str">
        <f t="shared" si="423"/>
        <v/>
      </c>
      <c r="CL694" t="str">
        <f t="shared" si="424"/>
        <v>REV</v>
      </c>
      <c r="CM694" t="str">
        <f t="shared" si="425"/>
        <v/>
      </c>
      <c r="CN694" s="635"/>
      <c r="CO694" s="631"/>
      <c r="CP694" s="629"/>
      <c r="CQ694" s="635"/>
      <c r="CR694" s="697"/>
      <c r="CS694" s="633"/>
      <c r="CT694" s="635"/>
      <c r="CU694" s="631"/>
      <c r="CV694" s="638"/>
      <c r="CW694" s="853"/>
      <c r="CX694" s="856"/>
      <c r="CY694" s="856"/>
    </row>
    <row r="695" spans="1:103" s="359" customFormat="1" ht="15" customHeight="1" x14ac:dyDescent="0.25">
      <c r="A695" s="222" t="s">
        <v>308</v>
      </c>
      <c r="B695" s="222" t="s">
        <v>308</v>
      </c>
      <c r="C695" s="852"/>
      <c r="D695" s="66" t="s">
        <v>320</v>
      </c>
      <c r="E695" s="404" t="s">
        <v>3449</v>
      </c>
      <c r="F695" s="95" t="s">
        <v>876</v>
      </c>
      <c r="G695" s="95" t="s">
        <v>3253</v>
      </c>
      <c r="H695" s="95" t="s">
        <v>238</v>
      </c>
      <c r="I695" s="95" t="s">
        <v>239</v>
      </c>
      <c r="J695" s="854"/>
      <c r="K695" s="855"/>
      <c r="L695" s="101" t="s">
        <v>1945</v>
      </c>
      <c r="M695" s="101" t="s">
        <v>256</v>
      </c>
      <c r="N695" s="442" t="s">
        <v>1946</v>
      </c>
      <c r="O695" s="933">
        <v>47.73</v>
      </c>
      <c r="P695" s="933">
        <v>47.73</v>
      </c>
      <c r="Q695" s="157">
        <v>155</v>
      </c>
      <c r="R695" s="109" t="s">
        <v>244</v>
      </c>
      <c r="S695" s="110">
        <v>471898.23</v>
      </c>
      <c r="T695" s="93"/>
      <c r="U695" s="857"/>
      <c r="V695" s="158" t="e">
        <f t="shared" si="390"/>
        <v>#DIV/0!</v>
      </c>
      <c r="W695" s="159">
        <v>45813.456250000003</v>
      </c>
      <c r="X695" s="159">
        <v>45819.652777777781</v>
      </c>
      <c r="Y695" s="160" t="s">
        <v>308</v>
      </c>
      <c r="Z695" s="470"/>
      <c r="AA695" s="470">
        <v>45832</v>
      </c>
      <c r="AB695" s="942">
        <v>45848.334722222222</v>
      </c>
      <c r="AC695" s="161">
        <f t="shared" si="391"/>
        <v>18.54374999999709</v>
      </c>
      <c r="AD695" s="161">
        <f t="shared" si="417"/>
        <v>12.347222222218988</v>
      </c>
      <c r="AE695" s="446">
        <f t="shared" si="413"/>
        <v>16.334722222221899</v>
      </c>
      <c r="AF695" s="160">
        <f t="shared" si="418"/>
        <v>45830.795233050849</v>
      </c>
      <c r="AG695" s="160">
        <f t="shared" si="415"/>
        <v>45839.218961864412</v>
      </c>
      <c r="AH695" s="159">
        <f t="shared" si="419"/>
        <v>45863.456250000003</v>
      </c>
      <c r="AI695" s="162">
        <f t="shared" si="392"/>
        <v>0.68380078124989274</v>
      </c>
      <c r="AJ695" s="224">
        <f t="shared" si="420"/>
        <v>0.272245370370365</v>
      </c>
      <c r="AK695" s="225">
        <f t="shared" si="393"/>
        <v>20</v>
      </c>
      <c r="AL695" s="170">
        <f t="shared" si="394"/>
        <v>32</v>
      </c>
      <c r="AM695" s="170">
        <f t="shared" si="395"/>
        <v>20.33898305084746</v>
      </c>
      <c r="AN695" s="170">
        <f t="shared" si="396"/>
        <v>25.762711864406779</v>
      </c>
      <c r="AO695" s="226">
        <f t="shared" si="397"/>
        <v>17.33898305084746</v>
      </c>
      <c r="AP695" s="227">
        <v>60</v>
      </c>
      <c r="AQ695" s="228">
        <f t="shared" si="398"/>
        <v>57</v>
      </c>
      <c r="AR695" s="228">
        <f t="shared" si="416"/>
        <v>52</v>
      </c>
      <c r="AS695" s="229">
        <f t="shared" si="399"/>
        <v>45892</v>
      </c>
      <c r="AT695" s="982">
        <f t="shared" ca="1" si="400"/>
        <v>63</v>
      </c>
      <c r="AU695" s="50"/>
      <c r="AV695" s="51"/>
      <c r="AW695" s="49"/>
      <c r="AX695" s="49"/>
      <c r="AY695" s="49"/>
      <c r="AZ695" s="300"/>
      <c r="BA695" s="52"/>
      <c r="BB695" s="304"/>
      <c r="BC695" s="231" t="s">
        <v>14</v>
      </c>
      <c r="BD695" s="232"/>
      <c r="BE695" s="222">
        <f t="shared" si="414"/>
        <v>45847</v>
      </c>
      <c r="BF695" s="233" t="e">
        <f t="shared" si="429"/>
        <v>#VALUE!</v>
      </c>
      <c r="BG695" s="234"/>
      <c r="BH695" s="235"/>
      <c r="BI695" s="234"/>
      <c r="BJ695" s="236"/>
      <c r="BK695" s="222"/>
      <c r="BL695" s="222"/>
      <c r="BM695" s="238"/>
      <c r="BN695" s="222"/>
      <c r="BO695" s="222"/>
      <c r="BP695" s="243"/>
      <c r="BQ695" s="244"/>
      <c r="BR695" s="238"/>
      <c r="BS695" s="68"/>
      <c r="BT695" s="69"/>
      <c r="BU695" s="69"/>
      <c r="BV695" s="69"/>
      <c r="BW695" s="75"/>
      <c r="BX695" s="81"/>
      <c r="BY695" s="66"/>
      <c r="BZ695" s="944" t="s">
        <v>3450</v>
      </c>
      <c r="CA695" s="42" t="str">
        <f t="shared" si="426"/>
        <v>0</v>
      </c>
      <c r="CB695" s="62">
        <f t="shared" si="427"/>
        <v>18.54374999999709</v>
      </c>
      <c r="CC695" s="42">
        <f t="shared" si="428"/>
        <v>0</v>
      </c>
      <c r="CD695" s="62">
        <f t="shared" si="404"/>
        <v>18.54374999999709</v>
      </c>
      <c r="CE695" s="62">
        <f t="shared" si="405"/>
        <v>0.68380078124989274</v>
      </c>
      <c r="CF695" s="145">
        <f t="shared" si="406"/>
        <v>37</v>
      </c>
      <c r="CG695" s="145"/>
      <c r="CH695" s="443">
        <f t="shared" si="421"/>
        <v>2.0481757812498929</v>
      </c>
      <c r="CI695" s="996">
        <f t="shared" si="408"/>
        <v>2.0481757812498929</v>
      </c>
      <c r="CJ695" s="261">
        <f t="shared" si="422"/>
        <v>0.6166666666666667</v>
      </c>
      <c r="CK695" s="458" t="str">
        <f t="shared" si="423"/>
        <v/>
      </c>
      <c r="CL695" t="str">
        <f t="shared" si="424"/>
        <v>REV</v>
      </c>
      <c r="CM695" t="str">
        <f t="shared" si="425"/>
        <v/>
      </c>
      <c r="CN695" s="635"/>
      <c r="CO695" s="631"/>
      <c r="CP695" s="629"/>
      <c r="CQ695" s="635"/>
      <c r="CR695" s="697"/>
      <c r="CS695" s="633"/>
      <c r="CT695" s="635"/>
      <c r="CU695" s="631"/>
      <c r="CV695" s="638"/>
      <c r="CW695" s="853"/>
      <c r="CX695" s="856"/>
      <c r="CY695" s="856"/>
    </row>
    <row r="696" spans="1:103" s="359" customFormat="1" ht="15" customHeight="1" x14ac:dyDescent="0.25">
      <c r="A696" s="242">
        <v>45833</v>
      </c>
      <c r="B696" s="222">
        <v>45832</v>
      </c>
      <c r="C696" s="852"/>
      <c r="D696" s="66" t="s">
        <v>320</v>
      </c>
      <c r="E696" s="404" t="s">
        <v>3451</v>
      </c>
      <c r="F696" s="95" t="s">
        <v>3452</v>
      </c>
      <c r="G696" s="95" t="s">
        <v>3453</v>
      </c>
      <c r="H696" s="95" t="s">
        <v>378</v>
      </c>
      <c r="I696" s="95" t="s">
        <v>239</v>
      </c>
      <c r="J696" s="854"/>
      <c r="K696" s="855"/>
      <c r="L696" s="101" t="s">
        <v>288</v>
      </c>
      <c r="M696" s="101" t="s">
        <v>272</v>
      </c>
      <c r="N696" s="442" t="s">
        <v>381</v>
      </c>
      <c r="O696" s="165">
        <v>0.2</v>
      </c>
      <c r="P696" s="933">
        <v>0.2</v>
      </c>
      <c r="Q696" s="157">
        <v>3</v>
      </c>
      <c r="R696" s="109" t="s">
        <v>244</v>
      </c>
      <c r="S696" s="110">
        <v>14441.33</v>
      </c>
      <c r="T696" s="93">
        <v>171.85</v>
      </c>
      <c r="U696" s="857"/>
      <c r="V696" s="158">
        <f t="shared" si="390"/>
        <v>0</v>
      </c>
      <c r="W696" s="159">
        <v>45813.529861111114</v>
      </c>
      <c r="X696" s="159">
        <v>45825.569444444445</v>
      </c>
      <c r="Y696" s="160">
        <v>45832</v>
      </c>
      <c r="Z696" s="470">
        <v>45847</v>
      </c>
      <c r="AA696" s="470">
        <v>45847</v>
      </c>
      <c r="AB696" s="942"/>
      <c r="AC696" s="161">
        <f t="shared" si="391"/>
        <v>33.47013888888614</v>
      </c>
      <c r="AD696" s="161">
        <f t="shared" si="417"/>
        <v>21.430555555554747</v>
      </c>
      <c r="AE696" s="446">
        <f t="shared" si="413"/>
        <v>-45847</v>
      </c>
      <c r="AF696" s="160">
        <f t="shared" si="418"/>
        <v>45832.3040546595</v>
      </c>
      <c r="AG696" s="160">
        <f t="shared" si="415"/>
        <v>45841.110506272402</v>
      </c>
      <c r="AH696" s="159">
        <f t="shared" si="419"/>
        <v>45863.529861111114</v>
      </c>
      <c r="AI696" s="162">
        <f t="shared" si="392"/>
        <v>1.1528603395060781</v>
      </c>
      <c r="AJ696" s="224">
        <f t="shared" si="420"/>
        <v>-764.11666666666667</v>
      </c>
      <c r="AK696" s="225">
        <f t="shared" si="393"/>
        <v>20</v>
      </c>
      <c r="AL696" s="170">
        <f t="shared" si="394"/>
        <v>36</v>
      </c>
      <c r="AM696" s="170">
        <f t="shared" si="395"/>
        <v>21.774193548387096</v>
      </c>
      <c r="AN696" s="170">
        <f t="shared" si="396"/>
        <v>27.58064516129032</v>
      </c>
      <c r="AO696" s="226">
        <f t="shared" si="397"/>
        <v>18.774193548387096</v>
      </c>
      <c r="AP696" s="227">
        <v>60</v>
      </c>
      <c r="AQ696" s="228">
        <f t="shared" si="398"/>
        <v>57</v>
      </c>
      <c r="AR696" s="228">
        <f t="shared" si="416"/>
        <v>52</v>
      </c>
      <c r="AS696" s="229">
        <f t="shared" si="399"/>
        <v>45907</v>
      </c>
      <c r="AT696" s="982">
        <f t="shared" ca="1" si="400"/>
        <v>48</v>
      </c>
      <c r="AU696" s="50"/>
      <c r="AV696" s="51"/>
      <c r="AW696" s="49"/>
      <c r="AX696" s="49"/>
      <c r="AY696" s="49"/>
      <c r="AZ696" s="300"/>
      <c r="BA696" s="52"/>
      <c r="BB696" s="304"/>
      <c r="BC696" s="231" t="s">
        <v>12</v>
      </c>
      <c r="BD696" s="232"/>
      <c r="BE696" s="222">
        <f t="shared" si="414"/>
        <v>45862</v>
      </c>
      <c r="BF696" s="233">
        <f t="shared" si="429"/>
        <v>22</v>
      </c>
      <c r="BG696" s="234">
        <v>45847</v>
      </c>
      <c r="BH696" s="235">
        <v>45884</v>
      </c>
      <c r="BI696" s="234"/>
      <c r="BJ696" s="236"/>
      <c r="BK696" s="222"/>
      <c r="BL696" s="222"/>
      <c r="BM696" s="238"/>
      <c r="BN696" s="222"/>
      <c r="BO696" s="222"/>
      <c r="BP696" s="243"/>
      <c r="BQ696" s="244" t="s">
        <v>246</v>
      </c>
      <c r="BR696" s="238"/>
      <c r="BS696" s="68"/>
      <c r="BT696" s="69"/>
      <c r="BU696" s="69"/>
      <c r="BV696" s="69"/>
      <c r="BW696" s="75"/>
      <c r="BX696" s="81"/>
      <c r="BY696" s="66" t="s">
        <v>308</v>
      </c>
      <c r="BZ696" s="944">
        <v>35014</v>
      </c>
      <c r="CA696" s="42" t="str">
        <f t="shared" si="426"/>
        <v>0</v>
      </c>
      <c r="CB696" s="62">
        <f t="shared" si="427"/>
        <v>33.47013888888614</v>
      </c>
      <c r="CC696" s="42">
        <f t="shared" si="428"/>
        <v>0</v>
      </c>
      <c r="CD696" s="62">
        <f t="shared" si="404"/>
        <v>33.47013888888614</v>
      </c>
      <c r="CE696" s="62">
        <f t="shared" si="405"/>
        <v>1.1528603395060781</v>
      </c>
      <c r="CF696" s="145">
        <f t="shared" si="406"/>
        <v>22</v>
      </c>
      <c r="CG696" s="145"/>
      <c r="CH696" s="443">
        <f t="shared" si="421"/>
        <v>1.9106381172838558</v>
      </c>
      <c r="CI696" s="996">
        <f t="shared" si="408"/>
        <v>1.9106381172838558</v>
      </c>
      <c r="CJ696" s="261">
        <f t="shared" si="422"/>
        <v>0.36666666666666664</v>
      </c>
      <c r="CK696" s="458" t="str">
        <f t="shared" si="423"/>
        <v/>
      </c>
      <c r="CL696" t="str">
        <f t="shared" si="424"/>
        <v>REV</v>
      </c>
      <c r="CM696" t="str">
        <f t="shared" si="425"/>
        <v/>
      </c>
      <c r="CN696" s="635"/>
      <c r="CO696" s="631"/>
      <c r="CP696" s="629"/>
      <c r="CQ696" s="635"/>
      <c r="CR696" s="697"/>
      <c r="CS696" s="633"/>
      <c r="CT696" s="635"/>
      <c r="CU696" s="631"/>
      <c r="CV696" s="638"/>
      <c r="CW696" s="853"/>
      <c r="CX696" s="856"/>
      <c r="CY696" s="856"/>
    </row>
    <row r="697" spans="1:103" s="359" customFormat="1" ht="15" customHeight="1" x14ac:dyDescent="0.25">
      <c r="A697" s="222" t="s">
        <v>308</v>
      </c>
      <c r="B697" s="222" t="s">
        <v>308</v>
      </c>
      <c r="C697" s="852"/>
      <c r="D697" s="66" t="s">
        <v>284</v>
      </c>
      <c r="E697" s="404" t="s">
        <v>3454</v>
      </c>
      <c r="F697" s="95" t="s">
        <v>3455</v>
      </c>
      <c r="G697" s="95" t="s">
        <v>3456</v>
      </c>
      <c r="H697" s="95" t="s">
        <v>378</v>
      </c>
      <c r="I697" s="95" t="s">
        <v>239</v>
      </c>
      <c r="J697" s="854"/>
      <c r="K697" s="855"/>
      <c r="L697" s="101" t="s">
        <v>1957</v>
      </c>
      <c r="M697" s="101" t="s">
        <v>272</v>
      </c>
      <c r="N697" s="442" t="s">
        <v>580</v>
      </c>
      <c r="O697" s="933">
        <v>4.17</v>
      </c>
      <c r="P697" s="933">
        <v>4.17</v>
      </c>
      <c r="Q697" s="157">
        <v>28</v>
      </c>
      <c r="R697" s="109" t="s">
        <v>244</v>
      </c>
      <c r="S697" s="110">
        <v>22871.59</v>
      </c>
      <c r="T697" s="93"/>
      <c r="U697" s="857"/>
      <c r="V697" s="158" t="e">
        <f t="shared" si="390"/>
        <v>#DIV/0!</v>
      </c>
      <c r="W697" s="159">
        <v>45813.618055555555</v>
      </c>
      <c r="X697" s="159">
        <v>45819.545138888891</v>
      </c>
      <c r="Y697" s="160" t="s">
        <v>308</v>
      </c>
      <c r="Z697" s="470"/>
      <c r="AA697" s="470">
        <v>45829</v>
      </c>
      <c r="AB697" s="942"/>
      <c r="AC697" s="161">
        <f t="shared" si="391"/>
        <v>15.381944444445253</v>
      </c>
      <c r="AD697" s="161">
        <f t="shared" si="417"/>
        <v>9.4548611111094942</v>
      </c>
      <c r="AE697" s="446">
        <f t="shared" si="413"/>
        <v>-45829</v>
      </c>
      <c r="AF697" s="160">
        <f t="shared" si="418"/>
        <v>45832.392249103941</v>
      </c>
      <c r="AG697" s="160">
        <f t="shared" si="415"/>
        <v>45841.198700716843</v>
      </c>
      <c r="AH697" s="159">
        <f t="shared" si="419"/>
        <v>45863.618055555555</v>
      </c>
      <c r="AI697" s="162">
        <f t="shared" si="392"/>
        <v>0.52982253086422537</v>
      </c>
      <c r="AJ697" s="224">
        <f t="shared" si="420"/>
        <v>-763.81666666666672</v>
      </c>
      <c r="AK697" s="225">
        <f t="shared" si="393"/>
        <v>20</v>
      </c>
      <c r="AL697" s="170">
        <f t="shared" si="394"/>
        <v>36</v>
      </c>
      <c r="AM697" s="170">
        <f t="shared" si="395"/>
        <v>21.774193548387096</v>
      </c>
      <c r="AN697" s="170">
        <f t="shared" si="396"/>
        <v>27.58064516129032</v>
      </c>
      <c r="AO697" s="226">
        <f t="shared" si="397"/>
        <v>18.774193548387096</v>
      </c>
      <c r="AP697" s="227">
        <v>60</v>
      </c>
      <c r="AQ697" s="228">
        <f t="shared" si="398"/>
        <v>57</v>
      </c>
      <c r="AR697" s="228">
        <f t="shared" si="416"/>
        <v>52</v>
      </c>
      <c r="AS697" s="229">
        <f t="shared" si="399"/>
        <v>45889</v>
      </c>
      <c r="AT697" s="982">
        <f t="shared" ca="1" si="400"/>
        <v>66</v>
      </c>
      <c r="AU697" s="50"/>
      <c r="AV697" s="51"/>
      <c r="AW697" s="49"/>
      <c r="AX697" s="49"/>
      <c r="AY697" s="49"/>
      <c r="AZ697" s="300"/>
      <c r="BA697" s="52"/>
      <c r="BB697" s="304"/>
      <c r="BC697" s="231" t="s">
        <v>13</v>
      </c>
      <c r="BD697" s="232"/>
      <c r="BE697" s="222">
        <f t="shared" si="414"/>
        <v>45844</v>
      </c>
      <c r="BF697" s="233" t="e">
        <f t="shared" si="429"/>
        <v>#VALUE!</v>
      </c>
      <c r="BG697" s="234"/>
      <c r="BH697" s="235"/>
      <c r="BI697" s="234"/>
      <c r="BJ697" s="236"/>
      <c r="BK697" s="222"/>
      <c r="BL697" s="222"/>
      <c r="BM697" s="238"/>
      <c r="BN697" s="222"/>
      <c r="BO697" s="222"/>
      <c r="BP697" s="243"/>
      <c r="BQ697" s="244"/>
      <c r="BR697" s="238"/>
      <c r="BS697" s="68"/>
      <c r="BT697" s="69"/>
      <c r="BU697" s="69"/>
      <c r="BV697" s="69"/>
      <c r="BW697" s="75"/>
      <c r="BX697" s="81"/>
      <c r="BY697" s="66"/>
      <c r="BZ697" s="944" t="s">
        <v>3457</v>
      </c>
      <c r="CA697" s="42" t="str">
        <f t="shared" si="426"/>
        <v>0</v>
      </c>
      <c r="CB697" s="62">
        <f t="shared" si="427"/>
        <v>15.381944444445253</v>
      </c>
      <c r="CC697" s="42">
        <f t="shared" si="428"/>
        <v>0</v>
      </c>
      <c r="CD697" s="62">
        <f t="shared" si="404"/>
        <v>15.381944444445253</v>
      </c>
      <c r="CE697" s="62">
        <f t="shared" si="405"/>
        <v>0.52982253086422537</v>
      </c>
      <c r="CF697" s="145">
        <f t="shared" si="406"/>
        <v>40</v>
      </c>
      <c r="CG697" s="145"/>
      <c r="CH697" s="443">
        <f t="shared" si="421"/>
        <v>1.907600308642003</v>
      </c>
      <c r="CI697" s="996">
        <f t="shared" si="408"/>
        <v>1.907600308642003</v>
      </c>
      <c r="CJ697" s="261">
        <f t="shared" si="422"/>
        <v>0.66666666666666663</v>
      </c>
      <c r="CK697" s="458" t="str">
        <f t="shared" si="423"/>
        <v/>
      </c>
      <c r="CL697" t="str">
        <f t="shared" si="424"/>
        <v>REV</v>
      </c>
      <c r="CM697" t="str">
        <f t="shared" si="425"/>
        <v/>
      </c>
      <c r="CN697" s="635"/>
      <c r="CO697" s="631"/>
      <c r="CP697" s="629"/>
      <c r="CQ697" s="635"/>
      <c r="CR697" s="697"/>
      <c r="CS697" s="633"/>
      <c r="CT697" s="635"/>
      <c r="CU697" s="631"/>
      <c r="CV697" s="638"/>
      <c r="CW697" s="853"/>
      <c r="CX697" s="856"/>
      <c r="CY697" s="856"/>
    </row>
    <row r="698" spans="1:103" s="359" customFormat="1" ht="15" customHeight="1" x14ac:dyDescent="0.25">
      <c r="A698" s="222" t="s">
        <v>308</v>
      </c>
      <c r="B698" s="222" t="s">
        <v>308</v>
      </c>
      <c r="C698" s="852"/>
      <c r="D698" s="66" t="s">
        <v>320</v>
      </c>
      <c r="E698" s="404" t="s">
        <v>3458</v>
      </c>
      <c r="F698" s="95" t="s">
        <v>3459</v>
      </c>
      <c r="G698" s="95" t="s">
        <v>3460</v>
      </c>
      <c r="H698" s="95" t="s">
        <v>318</v>
      </c>
      <c r="I698" s="95" t="s">
        <v>239</v>
      </c>
      <c r="J698" s="854"/>
      <c r="K698" s="855"/>
      <c r="L698" s="101" t="s">
        <v>1957</v>
      </c>
      <c r="M698" s="101" t="s">
        <v>272</v>
      </c>
      <c r="N698" s="442" t="s">
        <v>3375</v>
      </c>
      <c r="O698" s="933">
        <v>30.53</v>
      </c>
      <c r="P698" s="933">
        <v>30.53</v>
      </c>
      <c r="Q698" s="157">
        <v>80</v>
      </c>
      <c r="R698" s="109" t="s">
        <v>548</v>
      </c>
      <c r="S698" s="110">
        <v>262032.82</v>
      </c>
      <c r="T698" s="93"/>
      <c r="U698" s="857"/>
      <c r="V698" s="158" t="e">
        <f t="shared" si="390"/>
        <v>#DIV/0!</v>
      </c>
      <c r="W698" s="159">
        <v>45813.68472222222</v>
      </c>
      <c r="X698" s="159">
        <v>45819.654861111114</v>
      </c>
      <c r="Y698" s="160" t="s">
        <v>308</v>
      </c>
      <c r="Z698" s="470"/>
      <c r="AA698" s="470">
        <v>45834</v>
      </c>
      <c r="AB698" s="942"/>
      <c r="AC698" s="161">
        <f t="shared" si="391"/>
        <v>20.315277777779556</v>
      </c>
      <c r="AD698" s="161">
        <f t="shared" si="417"/>
        <v>14.34513888888614</v>
      </c>
      <c r="AE698" s="446">
        <f t="shared" si="413"/>
        <v>-45834</v>
      </c>
      <c r="AF698" s="160">
        <f t="shared" si="418"/>
        <v>45831.759102387507</v>
      </c>
      <c r="AG698" s="160">
        <f t="shared" si="415"/>
        <v>45840.378937098256</v>
      </c>
      <c r="AH698" s="159">
        <f t="shared" si="419"/>
        <v>45863.68472222222</v>
      </c>
      <c r="AI698" s="162">
        <f t="shared" si="392"/>
        <v>0.72298488562097818</v>
      </c>
      <c r="AJ698" s="224">
        <f t="shared" si="420"/>
        <v>-763.9</v>
      </c>
      <c r="AK698" s="225">
        <f t="shared" si="393"/>
        <v>20</v>
      </c>
      <c r="AL698" s="170">
        <f t="shared" si="394"/>
        <v>34</v>
      </c>
      <c r="AM698" s="170">
        <f t="shared" si="395"/>
        <v>21.074380165289259</v>
      </c>
      <c r="AN698" s="170">
        <f t="shared" si="396"/>
        <v>26.694214876033058</v>
      </c>
      <c r="AO698" s="226">
        <f t="shared" si="397"/>
        <v>18.074380165289259</v>
      </c>
      <c r="AP698" s="227">
        <v>60</v>
      </c>
      <c r="AQ698" s="228">
        <f t="shared" si="398"/>
        <v>57</v>
      </c>
      <c r="AR698" s="228">
        <f t="shared" si="416"/>
        <v>52</v>
      </c>
      <c r="AS698" s="229">
        <f t="shared" si="399"/>
        <v>45894</v>
      </c>
      <c r="AT698" s="982">
        <f t="shared" ca="1" si="400"/>
        <v>61</v>
      </c>
      <c r="AU698" s="50"/>
      <c r="AV698" s="51"/>
      <c r="AW698" s="49"/>
      <c r="AX698" s="49"/>
      <c r="AY698" s="49"/>
      <c r="AZ698" s="300"/>
      <c r="BA698" s="52"/>
      <c r="BB698" s="304"/>
      <c r="BC698" s="231" t="s">
        <v>13</v>
      </c>
      <c r="BD698" s="232"/>
      <c r="BE698" s="222">
        <f t="shared" si="414"/>
        <v>45849</v>
      </c>
      <c r="BF698" s="233" t="e">
        <f t="shared" si="429"/>
        <v>#VALUE!</v>
      </c>
      <c r="BG698" s="234"/>
      <c r="BH698" s="235"/>
      <c r="BI698" s="234"/>
      <c r="BJ698" s="236"/>
      <c r="BK698" s="222"/>
      <c r="BL698" s="222"/>
      <c r="BM698" s="238"/>
      <c r="BN698" s="222"/>
      <c r="BO698" s="222"/>
      <c r="BP698" s="243"/>
      <c r="BQ698" s="244"/>
      <c r="BR698" s="238"/>
      <c r="BS698" s="68"/>
      <c r="BT698" s="69"/>
      <c r="BU698" s="69"/>
      <c r="BV698" s="69"/>
      <c r="BW698" s="75"/>
      <c r="BX698" s="81"/>
      <c r="BY698" s="66"/>
      <c r="BZ698" s="944" t="s">
        <v>3461</v>
      </c>
      <c r="CA698" s="42" t="str">
        <f t="shared" si="426"/>
        <v>0</v>
      </c>
      <c r="CB698" s="62">
        <f t="shared" si="427"/>
        <v>20.315277777779556</v>
      </c>
      <c r="CC698" s="42">
        <f t="shared" si="428"/>
        <v>0</v>
      </c>
      <c r="CD698" s="62">
        <f t="shared" si="404"/>
        <v>20.315277777779556</v>
      </c>
      <c r="CE698" s="62">
        <f t="shared" si="405"/>
        <v>0.72298488562097818</v>
      </c>
      <c r="CF698" s="145">
        <f t="shared" si="406"/>
        <v>35</v>
      </c>
      <c r="CG698" s="145"/>
      <c r="CH698" s="443">
        <f t="shared" si="421"/>
        <v>1.9685731209150958</v>
      </c>
      <c r="CI698" s="996">
        <f t="shared" si="408"/>
        <v>1.9685731209150958</v>
      </c>
      <c r="CJ698" s="261">
        <f t="shared" si="422"/>
        <v>0.58333333333333337</v>
      </c>
      <c r="CK698" s="458" t="str">
        <f t="shared" si="423"/>
        <v/>
      </c>
      <c r="CL698" t="str">
        <f t="shared" si="424"/>
        <v>NON-REV</v>
      </c>
      <c r="CM698" t="str">
        <f t="shared" si="425"/>
        <v/>
      </c>
      <c r="CN698" s="635"/>
      <c r="CO698" s="631"/>
      <c r="CP698" s="629"/>
      <c r="CQ698" s="635"/>
      <c r="CR698" s="697"/>
      <c r="CS698" s="633"/>
      <c r="CT698" s="635"/>
      <c r="CU698" s="631"/>
      <c r="CV698" s="638"/>
      <c r="CW698" s="853"/>
      <c r="CX698" s="856"/>
      <c r="CY698" s="856"/>
    </row>
    <row r="699" spans="1:103" s="359" customFormat="1" ht="15" customHeight="1" x14ac:dyDescent="0.25">
      <c r="A699" s="242">
        <v>45825</v>
      </c>
      <c r="B699" s="222">
        <v>45826</v>
      </c>
      <c r="C699" s="852"/>
      <c r="D699" s="66" t="s">
        <v>234</v>
      </c>
      <c r="E699" s="404" t="s">
        <v>3462</v>
      </c>
      <c r="F699" s="95" t="s">
        <v>3463</v>
      </c>
      <c r="G699" s="95" t="s">
        <v>667</v>
      </c>
      <c r="H699" s="95" t="s">
        <v>253</v>
      </c>
      <c r="I699" s="95" t="s">
        <v>254</v>
      </c>
      <c r="J699" s="854" t="s">
        <v>2221</v>
      </c>
      <c r="K699" s="855"/>
      <c r="L699" s="101" t="s">
        <v>263</v>
      </c>
      <c r="M699" s="101" t="s">
        <v>331</v>
      </c>
      <c r="N699" s="442" t="s">
        <v>467</v>
      </c>
      <c r="O699" s="165">
        <v>137.74730000000002</v>
      </c>
      <c r="P699" s="165">
        <v>374.84</v>
      </c>
      <c r="Q699" s="157">
        <v>827</v>
      </c>
      <c r="R699" s="109" t="s">
        <v>244</v>
      </c>
      <c r="S699" s="110">
        <v>2219583.9900000002</v>
      </c>
      <c r="T699" s="93">
        <v>255668.99000000002</v>
      </c>
      <c r="U699" s="857"/>
      <c r="V699" s="158">
        <f t="shared" si="390"/>
        <v>0</v>
      </c>
      <c r="W699" s="159">
        <v>45817.586805555555</v>
      </c>
      <c r="X699" s="159">
        <v>45825.565972222219</v>
      </c>
      <c r="Y699" s="160">
        <v>45826</v>
      </c>
      <c r="Z699" s="470"/>
      <c r="AA699" s="470"/>
      <c r="AB699" s="942"/>
      <c r="AC699" s="161">
        <f t="shared" si="391"/>
        <v>-45817.586805555555</v>
      </c>
      <c r="AD699" s="161">
        <f t="shared" si="417"/>
        <v>-45825.565972222219</v>
      </c>
      <c r="AE699" s="446">
        <f t="shared" si="413"/>
        <v>0</v>
      </c>
      <c r="AF699" s="160">
        <f t="shared" si="418"/>
        <v>45833.135192652328</v>
      </c>
      <c r="AG699" s="160">
        <f t="shared" si="415"/>
        <v>45841.081429211466</v>
      </c>
      <c r="AH699" s="159">
        <f t="shared" si="419"/>
        <v>45867.586805555555</v>
      </c>
      <c r="AI699" s="162">
        <f t="shared" si="392"/>
        <v>-1852.624162137681</v>
      </c>
      <c r="AJ699" s="224">
        <f t="shared" si="420"/>
        <v>0</v>
      </c>
      <c r="AK699" s="225">
        <f t="shared" si="393"/>
        <v>30</v>
      </c>
      <c r="AL699" s="170">
        <f t="shared" si="394"/>
        <v>23</v>
      </c>
      <c r="AM699" s="170">
        <f t="shared" si="395"/>
        <v>18.548387096774192</v>
      </c>
      <c r="AN699" s="170">
        <f t="shared" si="396"/>
        <v>23.494623655913976</v>
      </c>
      <c r="AO699" s="226">
        <f t="shared" si="397"/>
        <v>15.548387096774192</v>
      </c>
      <c r="AP699" s="227">
        <v>60</v>
      </c>
      <c r="AQ699" s="228">
        <f t="shared" si="398"/>
        <v>57</v>
      </c>
      <c r="AR699" s="228">
        <f t="shared" si="416"/>
        <v>52</v>
      </c>
      <c r="AS699" s="229">
        <f t="shared" si="399"/>
        <v>60</v>
      </c>
      <c r="AT699" s="982">
        <f t="shared" ca="1" si="400"/>
        <v>45895</v>
      </c>
      <c r="AU699" s="50" t="s">
        <v>43</v>
      </c>
      <c r="AV699" s="51" t="s">
        <v>247</v>
      </c>
      <c r="AW699" s="49"/>
      <c r="AX699" s="49"/>
      <c r="AY699" s="49"/>
      <c r="AZ699" s="300">
        <v>45840</v>
      </c>
      <c r="BA699" s="52"/>
      <c r="BB699" s="304"/>
      <c r="BC699" s="231"/>
      <c r="BD699" s="232"/>
      <c r="BE699" s="222">
        <f t="shared" si="414"/>
        <v>15</v>
      </c>
      <c r="BF699" s="233">
        <f t="shared" si="429"/>
        <v>0</v>
      </c>
      <c r="BG699" s="234"/>
      <c r="BH699" s="235"/>
      <c r="BI699" s="234"/>
      <c r="BJ699" s="236"/>
      <c r="BK699" s="222"/>
      <c r="BL699" s="222"/>
      <c r="BM699" s="238"/>
      <c r="BN699" s="222"/>
      <c r="BO699" s="222"/>
      <c r="BP699" s="243"/>
      <c r="BQ699" s="244" t="s">
        <v>247</v>
      </c>
      <c r="BR699" s="238"/>
      <c r="BS699" s="68"/>
      <c r="BT699" s="69"/>
      <c r="BU699" s="69"/>
      <c r="BV699" s="69"/>
      <c r="BW699" s="75"/>
      <c r="BX699" s="81"/>
      <c r="BY699" s="66">
        <v>45826</v>
      </c>
      <c r="BZ699" s="944" t="s">
        <v>3464</v>
      </c>
      <c r="CA699" s="42" t="str">
        <f t="shared" si="426"/>
        <v>0</v>
      </c>
      <c r="CB699" s="62">
        <f t="shared" si="427"/>
        <v>-45817.586805555555</v>
      </c>
      <c r="CC699" s="42">
        <f t="shared" si="428"/>
        <v>0</v>
      </c>
      <c r="CD699" s="62">
        <f t="shared" si="404"/>
        <v>-45817.586805555555</v>
      </c>
      <c r="CE699" s="62">
        <f t="shared" si="405"/>
        <v>-1852.624162137681</v>
      </c>
      <c r="CF699" s="145" t="str">
        <f t="shared" si="406"/>
        <v>0</v>
      </c>
      <c r="CG699" s="145"/>
      <c r="CH699" s="443">
        <f t="shared" si="421"/>
        <v>2.0788813405797431</v>
      </c>
      <c r="CI699" s="996">
        <f t="shared" si="408"/>
        <v>2.0788813405797431</v>
      </c>
      <c r="CJ699" s="261">
        <f t="shared" si="422"/>
        <v>0</v>
      </c>
      <c r="CK699" s="458">
        <f t="shared" si="423"/>
        <v>38.413194444445253</v>
      </c>
      <c r="CL699" t="str">
        <f t="shared" si="424"/>
        <v>REV</v>
      </c>
      <c r="CM699" t="str">
        <f t="shared" si="425"/>
        <v>0-3 MONTHS</v>
      </c>
      <c r="CN699" s="635"/>
      <c r="CO699" s="631"/>
      <c r="CP699" s="629"/>
      <c r="CQ699" s="635"/>
      <c r="CR699" s="697"/>
      <c r="CS699" s="633"/>
      <c r="CT699" s="635"/>
      <c r="CU699" s="631"/>
      <c r="CV699" s="638"/>
      <c r="CW699" s="853"/>
      <c r="CX699" s="856"/>
      <c r="CY699" s="856"/>
    </row>
    <row r="700" spans="1:103" s="359" customFormat="1" ht="15" customHeight="1" x14ac:dyDescent="0.25">
      <c r="A700" s="242">
        <v>45831</v>
      </c>
      <c r="B700" s="222">
        <v>45833</v>
      </c>
      <c r="C700" s="852"/>
      <c r="D700" s="66" t="s">
        <v>234</v>
      </c>
      <c r="E700" s="404" t="s">
        <v>3465</v>
      </c>
      <c r="F700" s="95" t="s">
        <v>3466</v>
      </c>
      <c r="G700" s="95" t="s">
        <v>2234</v>
      </c>
      <c r="H700" s="95" t="s">
        <v>318</v>
      </c>
      <c r="I700" s="95" t="s">
        <v>239</v>
      </c>
      <c r="J700" s="854"/>
      <c r="K700" s="855"/>
      <c r="L700" s="101" t="s">
        <v>5</v>
      </c>
      <c r="M700" s="101" t="s">
        <v>272</v>
      </c>
      <c r="N700" s="442" t="s">
        <v>403</v>
      </c>
      <c r="O700" s="165">
        <v>177.76899999999995</v>
      </c>
      <c r="P700" s="165">
        <v>432.8</v>
      </c>
      <c r="Q700" s="157">
        <v>1985</v>
      </c>
      <c r="R700" s="109" t="s">
        <v>244</v>
      </c>
      <c r="S700" s="110">
        <v>1408047.89</v>
      </c>
      <c r="T700" s="93">
        <v>205548.49000000005</v>
      </c>
      <c r="U700" s="857"/>
      <c r="V700" s="158">
        <f t="shared" si="390"/>
        <v>0</v>
      </c>
      <c r="W700" s="159">
        <v>45817.67291666667</v>
      </c>
      <c r="X700" s="159">
        <v>45825.572916666664</v>
      </c>
      <c r="Y700" s="160">
        <v>45833</v>
      </c>
      <c r="Z700" s="470"/>
      <c r="AA700" s="470">
        <v>45855</v>
      </c>
      <c r="AB700" s="942"/>
      <c r="AC700" s="161">
        <f t="shared" si="391"/>
        <v>37.327083333329938</v>
      </c>
      <c r="AD700" s="161">
        <f t="shared" si="417"/>
        <v>29.427083333335759</v>
      </c>
      <c r="AE700" s="446">
        <f t="shared" si="413"/>
        <v>-45855</v>
      </c>
      <c r="AF700" s="160">
        <f t="shared" si="418"/>
        <v>45831.574325117377</v>
      </c>
      <c r="AG700" s="160">
        <f t="shared" si="415"/>
        <v>45839.081367370898</v>
      </c>
      <c r="AH700" s="159">
        <f t="shared" si="419"/>
        <v>45867.67291666667</v>
      </c>
      <c r="AI700" s="162">
        <f t="shared" si="392"/>
        <v>1.6563893229165159</v>
      </c>
      <c r="AJ700" s="224">
        <f t="shared" si="420"/>
        <v>-764.25</v>
      </c>
      <c r="AK700" s="225">
        <f t="shared" si="393"/>
        <v>32</v>
      </c>
      <c r="AL700" s="170">
        <f t="shared" si="394"/>
        <v>20</v>
      </c>
      <c r="AM700" s="170">
        <f t="shared" si="395"/>
        <v>16.901408450704228</v>
      </c>
      <c r="AN700" s="170">
        <f t="shared" si="396"/>
        <v>21.408450704225352</v>
      </c>
      <c r="AO700" s="226">
        <f t="shared" si="397"/>
        <v>13.901408450704228</v>
      </c>
      <c r="AP700" s="227">
        <v>60</v>
      </c>
      <c r="AQ700" s="228">
        <f t="shared" si="398"/>
        <v>57</v>
      </c>
      <c r="AR700" s="228">
        <f t="shared" si="416"/>
        <v>52</v>
      </c>
      <c r="AS700" s="229">
        <f t="shared" si="399"/>
        <v>45915</v>
      </c>
      <c r="AT700" s="982">
        <f t="shared" ca="1" si="400"/>
        <v>40</v>
      </c>
      <c r="AU700" s="50" t="s">
        <v>50</v>
      </c>
      <c r="AV700" s="51" t="s">
        <v>247</v>
      </c>
      <c r="AW700" s="49" t="s">
        <v>247</v>
      </c>
      <c r="AX700" s="49"/>
      <c r="AY700" s="49"/>
      <c r="AZ700" s="300">
        <v>45832</v>
      </c>
      <c r="BA700" s="52">
        <v>34</v>
      </c>
      <c r="BB700" s="304">
        <v>45866</v>
      </c>
      <c r="BC700" s="231" t="s">
        <v>13</v>
      </c>
      <c r="BD700" s="232"/>
      <c r="BE700" s="222">
        <f t="shared" si="414"/>
        <v>45870</v>
      </c>
      <c r="BF700" s="233" t="e">
        <f t="shared" si="429"/>
        <v>#VALUE!</v>
      </c>
      <c r="BG700" s="234"/>
      <c r="BH700" s="235"/>
      <c r="BI700" s="234"/>
      <c r="BJ700" s="236"/>
      <c r="BK700" s="222"/>
      <c r="BL700" s="222"/>
      <c r="BM700" s="238"/>
      <c r="BN700" s="222"/>
      <c r="BO700" s="222"/>
      <c r="BP700" s="243"/>
      <c r="BQ700" s="244"/>
      <c r="BR700" s="238"/>
      <c r="BS700" s="68"/>
      <c r="BT700" s="69"/>
      <c r="BU700" s="69"/>
      <c r="BV700" s="69"/>
      <c r="BW700" s="75"/>
      <c r="BX700" s="81"/>
      <c r="BY700" s="66"/>
      <c r="BZ700" s="944" t="s">
        <v>3467</v>
      </c>
      <c r="CA700" s="42" t="str">
        <f t="shared" si="426"/>
        <v>0</v>
      </c>
      <c r="CB700" s="62">
        <f t="shared" si="427"/>
        <v>37.327083333329938</v>
      </c>
      <c r="CC700" s="42">
        <f t="shared" si="428"/>
        <v>34</v>
      </c>
      <c r="CD700" s="62">
        <f t="shared" si="404"/>
        <v>3.3270833333299379</v>
      </c>
      <c r="CE700" s="62">
        <f t="shared" si="405"/>
        <v>0.14763932291651599</v>
      </c>
      <c r="CF700" s="145">
        <f t="shared" si="406"/>
        <v>14</v>
      </c>
      <c r="CG700" s="145"/>
      <c r="CH700" s="443">
        <f t="shared" si="421"/>
        <v>2.2776393229165159</v>
      </c>
      <c r="CI700" s="996">
        <f t="shared" si="408"/>
        <v>2.2776393229165159</v>
      </c>
      <c r="CJ700" s="261">
        <f t="shared" si="422"/>
        <v>0.23333333333333334</v>
      </c>
      <c r="CK700" s="458" t="str">
        <f t="shared" si="423"/>
        <v/>
      </c>
      <c r="CL700" t="str">
        <f t="shared" si="424"/>
        <v>REV</v>
      </c>
      <c r="CM700" t="str">
        <f t="shared" si="425"/>
        <v/>
      </c>
      <c r="CN700" s="635"/>
      <c r="CO700" s="631"/>
      <c r="CP700" s="629"/>
      <c r="CQ700" s="635"/>
      <c r="CR700" s="697"/>
      <c r="CS700" s="633"/>
      <c r="CT700" s="635"/>
      <c r="CU700" s="631"/>
      <c r="CV700" s="638"/>
      <c r="CW700" s="853"/>
      <c r="CX700" s="856"/>
      <c r="CY700" s="856"/>
    </row>
    <row r="701" spans="1:103" s="359" customFormat="1" ht="15" customHeight="1" x14ac:dyDescent="0.25">
      <c r="A701" s="242">
        <v>45831</v>
      </c>
      <c r="B701" s="222">
        <v>45833</v>
      </c>
      <c r="C701" s="852"/>
      <c r="D701" s="66" t="s">
        <v>320</v>
      </c>
      <c r="E701" s="404" t="s">
        <v>3468</v>
      </c>
      <c r="F701" s="95" t="s">
        <v>949</v>
      </c>
      <c r="G701" s="95" t="s">
        <v>3469</v>
      </c>
      <c r="H701" s="95" t="s">
        <v>378</v>
      </c>
      <c r="I701" s="95" t="s">
        <v>239</v>
      </c>
      <c r="J701" s="854"/>
      <c r="K701" s="855"/>
      <c r="L701" s="101" t="s">
        <v>242</v>
      </c>
      <c r="M701" s="345" t="s">
        <v>272</v>
      </c>
      <c r="N701" s="442" t="s">
        <v>467</v>
      </c>
      <c r="O701" s="165">
        <v>12.753299999999999</v>
      </c>
      <c r="P701" s="165">
        <v>18.05</v>
      </c>
      <c r="Q701" s="157">
        <v>132</v>
      </c>
      <c r="R701" s="109" t="s">
        <v>244</v>
      </c>
      <c r="S701" s="110">
        <v>238081.43</v>
      </c>
      <c r="T701" s="93">
        <v>15511.93</v>
      </c>
      <c r="U701" s="857"/>
      <c r="V701" s="158">
        <f t="shared" si="390"/>
        <v>0</v>
      </c>
      <c r="W701" s="159">
        <v>45817.676388888889</v>
      </c>
      <c r="X701" s="159">
        <v>45825.574999999997</v>
      </c>
      <c r="Y701" s="160">
        <v>45833</v>
      </c>
      <c r="Z701" s="470">
        <v>45867</v>
      </c>
      <c r="AA701" s="470">
        <v>45867</v>
      </c>
      <c r="AB701" s="942"/>
      <c r="AC701" s="161">
        <f t="shared" si="391"/>
        <v>49.323611111110949</v>
      </c>
      <c r="AD701" s="161">
        <f t="shared" si="417"/>
        <v>41.42500000000291</v>
      </c>
      <c r="AE701" s="446">
        <f t="shared" si="413"/>
        <v>-45867</v>
      </c>
      <c r="AF701" s="160">
        <f t="shared" si="418"/>
        <v>45835.015371939735</v>
      </c>
      <c r="AG701" s="160">
        <f t="shared" si="415"/>
        <v>45843.439100753298</v>
      </c>
      <c r="AH701" s="159">
        <f t="shared" si="419"/>
        <v>45867.676388888889</v>
      </c>
      <c r="AI701" s="162">
        <f t="shared" si="392"/>
        <v>1.8188081597222161</v>
      </c>
      <c r="AJ701" s="224">
        <f t="shared" si="420"/>
        <v>-764.45</v>
      </c>
      <c r="AK701" s="225">
        <f t="shared" si="393"/>
        <v>20</v>
      </c>
      <c r="AL701" s="170">
        <f t="shared" si="394"/>
        <v>32</v>
      </c>
      <c r="AM701" s="170">
        <f t="shared" si="395"/>
        <v>20.33898305084746</v>
      </c>
      <c r="AN701" s="170">
        <f t="shared" si="396"/>
        <v>25.762711864406779</v>
      </c>
      <c r="AO701" s="226">
        <f t="shared" si="397"/>
        <v>17.33898305084746</v>
      </c>
      <c r="AP701" s="227">
        <v>60</v>
      </c>
      <c r="AQ701" s="228">
        <f t="shared" si="398"/>
        <v>57</v>
      </c>
      <c r="AR701" s="228">
        <f t="shared" si="416"/>
        <v>52</v>
      </c>
      <c r="AS701" s="229">
        <f t="shared" si="399"/>
        <v>45927</v>
      </c>
      <c r="AT701" s="982">
        <f t="shared" ca="1" si="400"/>
        <v>28</v>
      </c>
      <c r="AU701" s="50"/>
      <c r="AV701" s="51"/>
      <c r="AW701" s="49"/>
      <c r="AX701" s="49"/>
      <c r="AY701" s="49"/>
      <c r="AZ701" s="300"/>
      <c r="BA701" s="52"/>
      <c r="BB701" s="304"/>
      <c r="BC701" s="231" t="s">
        <v>13</v>
      </c>
      <c r="BD701" s="232"/>
      <c r="BE701" s="222">
        <f t="shared" si="414"/>
        <v>45882</v>
      </c>
      <c r="BF701" s="233" t="e">
        <f t="shared" si="429"/>
        <v>#VALUE!</v>
      </c>
      <c r="BG701" s="234"/>
      <c r="BH701" s="235"/>
      <c r="BI701" s="234"/>
      <c r="BJ701" s="236"/>
      <c r="BK701" s="222"/>
      <c r="BL701" s="222"/>
      <c r="BM701" s="238"/>
      <c r="BN701" s="222"/>
      <c r="BO701" s="222"/>
      <c r="BP701" s="243"/>
      <c r="BQ701" s="244"/>
      <c r="BR701" s="238"/>
      <c r="BS701" s="68"/>
      <c r="BT701" s="69"/>
      <c r="BU701" s="69"/>
      <c r="BV701" s="69"/>
      <c r="BW701" s="75"/>
      <c r="BX701" s="81"/>
      <c r="BY701" s="66"/>
      <c r="BZ701" s="944" t="s">
        <v>3470</v>
      </c>
      <c r="CA701" s="42" t="str">
        <f t="shared" si="426"/>
        <v>0</v>
      </c>
      <c r="CB701" s="62">
        <f t="shared" si="427"/>
        <v>49.323611111110949</v>
      </c>
      <c r="CC701" s="42">
        <f t="shared" si="428"/>
        <v>0</v>
      </c>
      <c r="CD701" s="62">
        <f t="shared" si="404"/>
        <v>49.323611111110949</v>
      </c>
      <c r="CE701" s="62">
        <f t="shared" si="405"/>
        <v>1.8188081597222161</v>
      </c>
      <c r="CF701" s="145">
        <f t="shared" si="406"/>
        <v>2</v>
      </c>
      <c r="CG701" s="145"/>
      <c r="CH701" s="443">
        <f t="shared" si="421"/>
        <v>1.8925581597222161</v>
      </c>
      <c r="CI701" s="996">
        <f t="shared" si="408"/>
        <v>1.8925581597222161</v>
      </c>
      <c r="CJ701" s="261">
        <f t="shared" si="422"/>
        <v>3.3333333333333333E-2</v>
      </c>
      <c r="CK701" s="458" t="str">
        <f t="shared" si="423"/>
        <v/>
      </c>
      <c r="CL701" t="str">
        <f t="shared" si="424"/>
        <v>REV</v>
      </c>
      <c r="CM701" t="str">
        <f t="shared" si="425"/>
        <v/>
      </c>
      <c r="CN701" s="635"/>
      <c r="CO701" s="631"/>
      <c r="CP701" s="629"/>
      <c r="CQ701" s="635"/>
      <c r="CR701" s="697"/>
      <c r="CS701" s="633"/>
      <c r="CT701" s="635"/>
      <c r="CU701" s="631"/>
      <c r="CV701" s="638"/>
      <c r="CW701" s="853"/>
      <c r="CX701" s="856"/>
      <c r="CY701" s="856"/>
    </row>
    <row r="702" spans="1:103" s="359" customFormat="1" ht="15" customHeight="1" x14ac:dyDescent="0.25">
      <c r="A702" s="242">
        <v>45831</v>
      </c>
      <c r="B702" s="222">
        <v>45833</v>
      </c>
      <c r="C702" s="852"/>
      <c r="D702" s="66" t="s">
        <v>320</v>
      </c>
      <c r="E702" s="404" t="s">
        <v>3471</v>
      </c>
      <c r="F702" s="95" t="s">
        <v>949</v>
      </c>
      <c r="G702" s="95" t="s">
        <v>3469</v>
      </c>
      <c r="H702" s="95" t="s">
        <v>378</v>
      </c>
      <c r="I702" s="95" t="s">
        <v>239</v>
      </c>
      <c r="J702" s="854"/>
      <c r="K702" s="855"/>
      <c r="L702" s="101" t="s">
        <v>242</v>
      </c>
      <c r="M702" s="345" t="s">
        <v>272</v>
      </c>
      <c r="N702" s="442" t="s">
        <v>467</v>
      </c>
      <c r="O702" s="165">
        <v>14.782799999999998</v>
      </c>
      <c r="P702" s="165">
        <v>20.84</v>
      </c>
      <c r="Q702" s="157">
        <v>105</v>
      </c>
      <c r="R702" s="109" t="s">
        <v>244</v>
      </c>
      <c r="S702" s="110">
        <v>242193.8</v>
      </c>
      <c r="T702" s="93">
        <v>17504.510000000002</v>
      </c>
      <c r="U702" s="857"/>
      <c r="V702" s="158">
        <f t="shared" si="390"/>
        <v>0</v>
      </c>
      <c r="W702" s="159">
        <v>45817.677777777775</v>
      </c>
      <c r="X702" s="159">
        <v>45825.574305555558</v>
      </c>
      <c r="Y702" s="160">
        <v>45833</v>
      </c>
      <c r="Z702" s="470">
        <v>45867</v>
      </c>
      <c r="AA702" s="470">
        <v>45867</v>
      </c>
      <c r="AB702" s="942"/>
      <c r="AC702" s="161">
        <f t="shared" si="391"/>
        <v>49.322222222224809</v>
      </c>
      <c r="AD702" s="161">
        <f t="shared" si="417"/>
        <v>41.425694444442343</v>
      </c>
      <c r="AE702" s="446">
        <f t="shared" si="413"/>
        <v>-45867</v>
      </c>
      <c r="AF702" s="160">
        <f t="shared" si="418"/>
        <v>45835.016760828621</v>
      </c>
      <c r="AG702" s="160">
        <f t="shared" si="415"/>
        <v>45843.440489642184</v>
      </c>
      <c r="AH702" s="159">
        <f t="shared" si="419"/>
        <v>45867.677777777775</v>
      </c>
      <c r="AI702" s="162">
        <f t="shared" si="392"/>
        <v>1.8187569444445395</v>
      </c>
      <c r="AJ702" s="224">
        <f t="shared" si="420"/>
        <v>-764.45</v>
      </c>
      <c r="AK702" s="225">
        <f t="shared" si="393"/>
        <v>20</v>
      </c>
      <c r="AL702" s="170">
        <f t="shared" si="394"/>
        <v>32</v>
      </c>
      <c r="AM702" s="170">
        <f t="shared" si="395"/>
        <v>20.33898305084746</v>
      </c>
      <c r="AN702" s="170">
        <f t="shared" si="396"/>
        <v>25.762711864406779</v>
      </c>
      <c r="AO702" s="226">
        <f t="shared" si="397"/>
        <v>17.33898305084746</v>
      </c>
      <c r="AP702" s="227">
        <v>60</v>
      </c>
      <c r="AQ702" s="228">
        <f t="shared" si="398"/>
        <v>57</v>
      </c>
      <c r="AR702" s="228">
        <f t="shared" si="416"/>
        <v>52</v>
      </c>
      <c r="AS702" s="229">
        <f t="shared" si="399"/>
        <v>45927</v>
      </c>
      <c r="AT702" s="982">
        <f t="shared" ca="1" si="400"/>
        <v>28</v>
      </c>
      <c r="AU702" s="50"/>
      <c r="AV702" s="51"/>
      <c r="AW702" s="49"/>
      <c r="AX702" s="49"/>
      <c r="AY702" s="49"/>
      <c r="AZ702" s="300"/>
      <c r="BA702" s="52"/>
      <c r="BB702" s="304"/>
      <c r="BC702" s="231" t="s">
        <v>12</v>
      </c>
      <c r="BD702" s="232"/>
      <c r="BE702" s="222">
        <f t="shared" si="414"/>
        <v>45882</v>
      </c>
      <c r="BF702" s="233">
        <f t="shared" si="429"/>
        <v>-7</v>
      </c>
      <c r="BG702" s="234">
        <v>45868</v>
      </c>
      <c r="BH702" s="235">
        <v>45875</v>
      </c>
      <c r="BI702" s="234"/>
      <c r="BJ702" s="236"/>
      <c r="BK702" s="222"/>
      <c r="BL702" s="222"/>
      <c r="BM702" s="238"/>
      <c r="BN702" s="222"/>
      <c r="BO702" s="222"/>
      <c r="BP702" s="243"/>
      <c r="BQ702" s="244"/>
      <c r="BR702" s="238"/>
      <c r="BS702" s="68"/>
      <c r="BT702" s="69"/>
      <c r="BU702" s="69"/>
      <c r="BV702" s="69"/>
      <c r="BW702" s="75"/>
      <c r="BX702" s="81"/>
      <c r="BY702" s="66">
        <v>45856</v>
      </c>
      <c r="BZ702" s="944" t="s">
        <v>3472</v>
      </c>
      <c r="CA702" s="42" t="str">
        <f t="shared" si="426"/>
        <v>0</v>
      </c>
      <c r="CB702" s="62">
        <f t="shared" si="427"/>
        <v>49.322222222224809</v>
      </c>
      <c r="CC702" s="42">
        <f t="shared" si="428"/>
        <v>0</v>
      </c>
      <c r="CD702" s="62">
        <f t="shared" si="404"/>
        <v>49.322222222224809</v>
      </c>
      <c r="CE702" s="62">
        <f t="shared" si="405"/>
        <v>1.8187569444445395</v>
      </c>
      <c r="CF702" s="145">
        <f t="shared" si="406"/>
        <v>2</v>
      </c>
      <c r="CG702" s="145"/>
      <c r="CH702" s="443">
        <f t="shared" si="421"/>
        <v>1.8925069444445399</v>
      </c>
      <c r="CI702" s="996">
        <f t="shared" si="408"/>
        <v>1.8925069444445399</v>
      </c>
      <c r="CJ702" s="261">
        <f t="shared" si="422"/>
        <v>3.3333333333333333E-2</v>
      </c>
      <c r="CK702" s="458" t="str">
        <f t="shared" si="423"/>
        <v/>
      </c>
      <c r="CL702" t="str">
        <f t="shared" si="424"/>
        <v>REV</v>
      </c>
      <c r="CM702" t="str">
        <f t="shared" si="425"/>
        <v/>
      </c>
      <c r="CN702" s="635"/>
      <c r="CO702" s="631"/>
      <c r="CP702" s="629"/>
      <c r="CQ702" s="635"/>
      <c r="CR702" s="697"/>
      <c r="CS702" s="633"/>
      <c r="CT702" s="635"/>
      <c r="CU702" s="631"/>
      <c r="CV702" s="638"/>
      <c r="CW702" s="853"/>
      <c r="CX702" s="856"/>
      <c r="CY702" s="856"/>
    </row>
    <row r="703" spans="1:103" s="359" customFormat="1" ht="15" customHeight="1" x14ac:dyDescent="0.25">
      <c r="A703" s="242">
        <v>45831</v>
      </c>
      <c r="B703" s="222">
        <v>45833</v>
      </c>
      <c r="C703" s="852"/>
      <c r="D703" s="66" t="s">
        <v>320</v>
      </c>
      <c r="E703" s="404" t="s">
        <v>3473</v>
      </c>
      <c r="F703" s="95" t="s">
        <v>949</v>
      </c>
      <c r="G703" s="95" t="s">
        <v>3474</v>
      </c>
      <c r="H703" s="95" t="s">
        <v>378</v>
      </c>
      <c r="I703" s="95" t="s">
        <v>239</v>
      </c>
      <c r="J703" s="854"/>
      <c r="K703" s="855"/>
      <c r="L703" s="101" t="s">
        <v>242</v>
      </c>
      <c r="M703" s="345" t="s">
        <v>272</v>
      </c>
      <c r="N703" s="442" t="s">
        <v>467</v>
      </c>
      <c r="O703" s="165">
        <v>12.9033</v>
      </c>
      <c r="P703" s="165">
        <v>24.77</v>
      </c>
      <c r="Q703" s="157">
        <v>105</v>
      </c>
      <c r="R703" s="109" t="s">
        <v>244</v>
      </c>
      <c r="S703" s="110">
        <v>254041.17</v>
      </c>
      <c r="T703" s="93">
        <v>21285.88</v>
      </c>
      <c r="U703" s="857"/>
      <c r="V703" s="158">
        <f t="shared" si="390"/>
        <v>0</v>
      </c>
      <c r="W703" s="159">
        <v>45817.679166666669</v>
      </c>
      <c r="X703" s="159">
        <v>45825.575694444444</v>
      </c>
      <c r="Y703" s="160">
        <v>45833</v>
      </c>
      <c r="Z703" s="470">
        <v>45867</v>
      </c>
      <c r="AA703" s="470">
        <v>45867</v>
      </c>
      <c r="AB703" s="942"/>
      <c r="AC703" s="161">
        <f t="shared" si="391"/>
        <v>49.320833333331393</v>
      </c>
      <c r="AD703" s="161">
        <f t="shared" si="417"/>
        <v>41.424305555556202</v>
      </c>
      <c r="AE703" s="446">
        <f t="shared" si="413"/>
        <v>-45867</v>
      </c>
      <c r="AF703" s="160">
        <f t="shared" si="418"/>
        <v>45835.018149717514</v>
      </c>
      <c r="AG703" s="160">
        <f t="shared" si="415"/>
        <v>45843.441878531077</v>
      </c>
      <c r="AH703" s="159">
        <f t="shared" si="419"/>
        <v>45867.679166666669</v>
      </c>
      <c r="AI703" s="162">
        <f t="shared" si="392"/>
        <v>1.8187057291665951</v>
      </c>
      <c r="AJ703" s="224">
        <f t="shared" si="420"/>
        <v>-764.45</v>
      </c>
      <c r="AK703" s="225">
        <f t="shared" si="393"/>
        <v>20</v>
      </c>
      <c r="AL703" s="170">
        <f t="shared" si="394"/>
        <v>32</v>
      </c>
      <c r="AM703" s="170">
        <f t="shared" si="395"/>
        <v>20.33898305084746</v>
      </c>
      <c r="AN703" s="170">
        <f t="shared" si="396"/>
        <v>25.762711864406779</v>
      </c>
      <c r="AO703" s="226">
        <f t="shared" si="397"/>
        <v>17.33898305084746</v>
      </c>
      <c r="AP703" s="227">
        <v>60</v>
      </c>
      <c r="AQ703" s="228">
        <f t="shared" si="398"/>
        <v>57</v>
      </c>
      <c r="AR703" s="228">
        <f t="shared" si="416"/>
        <v>52</v>
      </c>
      <c r="AS703" s="229">
        <f t="shared" si="399"/>
        <v>45927</v>
      </c>
      <c r="AT703" s="982">
        <f t="shared" ca="1" si="400"/>
        <v>28</v>
      </c>
      <c r="AU703" s="50"/>
      <c r="AV703" s="51"/>
      <c r="AW703" s="49"/>
      <c r="AX703" s="49"/>
      <c r="AY703" s="49"/>
      <c r="AZ703" s="300"/>
      <c r="BA703" s="52"/>
      <c r="BB703" s="304"/>
      <c r="BC703" s="231" t="s">
        <v>12</v>
      </c>
      <c r="BD703" s="232"/>
      <c r="BE703" s="222">
        <f t="shared" si="414"/>
        <v>45882</v>
      </c>
      <c r="BF703" s="233">
        <f t="shared" si="429"/>
        <v>-7</v>
      </c>
      <c r="BG703" s="234">
        <v>45868</v>
      </c>
      <c r="BH703" s="235">
        <v>45875</v>
      </c>
      <c r="BI703" s="234"/>
      <c r="BJ703" s="236"/>
      <c r="BK703" s="222"/>
      <c r="BL703" s="222"/>
      <c r="BM703" s="238"/>
      <c r="BN703" s="222"/>
      <c r="BO703" s="222"/>
      <c r="BP703" s="243"/>
      <c r="BQ703" s="244"/>
      <c r="BR703" s="238"/>
      <c r="BS703" s="68"/>
      <c r="BT703" s="69"/>
      <c r="BU703" s="69"/>
      <c r="BV703" s="69"/>
      <c r="BW703" s="75"/>
      <c r="BX703" s="81"/>
      <c r="BY703" s="66">
        <v>45856</v>
      </c>
      <c r="BZ703" s="944" t="s">
        <v>3475</v>
      </c>
      <c r="CA703" s="42" t="str">
        <f t="shared" si="426"/>
        <v>0</v>
      </c>
      <c r="CB703" s="62">
        <f t="shared" si="427"/>
        <v>49.320833333331393</v>
      </c>
      <c r="CC703" s="42">
        <f t="shared" si="428"/>
        <v>0</v>
      </c>
      <c r="CD703" s="62">
        <f t="shared" si="404"/>
        <v>49.320833333331393</v>
      </c>
      <c r="CE703" s="62">
        <f t="shared" si="405"/>
        <v>1.8187057291665951</v>
      </c>
      <c r="CF703" s="145">
        <f t="shared" si="406"/>
        <v>2</v>
      </c>
      <c r="CG703" s="145"/>
      <c r="CH703" s="443">
        <f t="shared" si="421"/>
        <v>1.8924557291665951</v>
      </c>
      <c r="CI703" s="996">
        <f t="shared" si="408"/>
        <v>1.8924557291665951</v>
      </c>
      <c r="CJ703" s="261">
        <f t="shared" si="422"/>
        <v>3.3333333333333333E-2</v>
      </c>
      <c r="CK703" s="458" t="str">
        <f t="shared" si="423"/>
        <v/>
      </c>
      <c r="CL703" t="str">
        <f t="shared" si="424"/>
        <v>REV</v>
      </c>
      <c r="CM703" t="str">
        <f t="shared" si="425"/>
        <v/>
      </c>
      <c r="CN703" s="635"/>
      <c r="CO703" s="631"/>
      <c r="CP703" s="629"/>
      <c r="CQ703" s="635"/>
      <c r="CR703" s="697"/>
      <c r="CS703" s="633"/>
      <c r="CT703" s="635"/>
      <c r="CU703" s="631"/>
      <c r="CV703" s="638"/>
      <c r="CW703" s="853"/>
      <c r="CX703" s="856"/>
      <c r="CY703" s="856"/>
    </row>
    <row r="704" spans="1:103" s="359" customFormat="1" ht="15" customHeight="1" x14ac:dyDescent="0.25">
      <c r="A704" s="242"/>
      <c r="B704" s="222">
        <v>45833</v>
      </c>
      <c r="C704" s="852"/>
      <c r="D704" s="66" t="s">
        <v>320</v>
      </c>
      <c r="E704" s="404" t="s">
        <v>3476</v>
      </c>
      <c r="F704" s="95" t="s">
        <v>949</v>
      </c>
      <c r="G704" s="95" t="s">
        <v>3469</v>
      </c>
      <c r="H704" s="95" t="s">
        <v>378</v>
      </c>
      <c r="I704" s="95" t="s">
        <v>239</v>
      </c>
      <c r="J704" s="854"/>
      <c r="K704" s="855"/>
      <c r="L704" s="101" t="s">
        <v>242</v>
      </c>
      <c r="M704" s="345" t="s">
        <v>272</v>
      </c>
      <c r="N704" s="442" t="s">
        <v>467</v>
      </c>
      <c r="O704" s="165">
        <v>19.600000000000001</v>
      </c>
      <c r="P704" s="165">
        <v>19.600000000000001</v>
      </c>
      <c r="Q704" s="157">
        <v>72</v>
      </c>
      <c r="R704" s="109" t="s">
        <v>244</v>
      </c>
      <c r="S704" s="110">
        <v>203441.12</v>
      </c>
      <c r="T704" s="93"/>
      <c r="U704" s="857"/>
      <c r="V704" s="158" t="e">
        <f t="shared" si="390"/>
        <v>#DIV/0!</v>
      </c>
      <c r="W704" s="159">
        <v>45817.689583333333</v>
      </c>
      <c r="X704" s="159">
        <v>45825.573611111111</v>
      </c>
      <c r="Y704" s="160">
        <v>45833</v>
      </c>
      <c r="Z704" s="470">
        <v>45867</v>
      </c>
      <c r="AA704" s="470">
        <v>45867</v>
      </c>
      <c r="AB704" s="942"/>
      <c r="AC704" s="161">
        <f t="shared" si="391"/>
        <v>49.310416666667152</v>
      </c>
      <c r="AD704" s="161">
        <f t="shared" si="417"/>
        <v>41.426388888889051</v>
      </c>
      <c r="AE704" s="446">
        <f t="shared" si="413"/>
        <v>-45867</v>
      </c>
      <c r="AF704" s="160">
        <f t="shared" si="418"/>
        <v>45835.763963498619</v>
      </c>
      <c r="AG704" s="160">
        <f t="shared" si="415"/>
        <v>45844.383798209368</v>
      </c>
      <c r="AH704" s="159">
        <f t="shared" si="419"/>
        <v>45867.689583333333</v>
      </c>
      <c r="AI704" s="162">
        <f t="shared" si="392"/>
        <v>1.7548707107843309</v>
      </c>
      <c r="AJ704" s="224">
        <f t="shared" si="420"/>
        <v>-764.45</v>
      </c>
      <c r="AK704" s="225">
        <f t="shared" si="393"/>
        <v>20</v>
      </c>
      <c r="AL704" s="170">
        <f t="shared" si="394"/>
        <v>34</v>
      </c>
      <c r="AM704" s="170">
        <f t="shared" si="395"/>
        <v>21.074380165289259</v>
      </c>
      <c r="AN704" s="170">
        <f t="shared" si="396"/>
        <v>26.694214876033058</v>
      </c>
      <c r="AO704" s="226">
        <f t="shared" si="397"/>
        <v>18.074380165289259</v>
      </c>
      <c r="AP704" s="227">
        <v>60</v>
      </c>
      <c r="AQ704" s="228">
        <f t="shared" si="398"/>
        <v>57</v>
      </c>
      <c r="AR704" s="228">
        <f t="shared" si="416"/>
        <v>52</v>
      </c>
      <c r="AS704" s="229">
        <f t="shared" si="399"/>
        <v>45927</v>
      </c>
      <c r="AT704" s="982">
        <f t="shared" ca="1" si="400"/>
        <v>28</v>
      </c>
      <c r="AU704" s="50"/>
      <c r="AV704" s="51"/>
      <c r="AW704" s="49"/>
      <c r="AX704" s="49"/>
      <c r="AY704" s="49"/>
      <c r="AZ704" s="300"/>
      <c r="BA704" s="52"/>
      <c r="BB704" s="304"/>
      <c r="BC704" s="231" t="s">
        <v>12</v>
      </c>
      <c r="BD704" s="232"/>
      <c r="BE704" s="222">
        <f t="shared" si="414"/>
        <v>45882</v>
      </c>
      <c r="BF704" s="233">
        <f t="shared" si="429"/>
        <v>-7</v>
      </c>
      <c r="BG704" s="234">
        <v>45868</v>
      </c>
      <c r="BH704" s="235">
        <v>45875</v>
      </c>
      <c r="BI704" s="234"/>
      <c r="BJ704" s="236"/>
      <c r="BK704" s="222"/>
      <c r="BL704" s="222"/>
      <c r="BM704" s="238"/>
      <c r="BN704" s="222"/>
      <c r="BO704" s="222"/>
      <c r="BP704" s="243"/>
      <c r="BQ704" s="244"/>
      <c r="BR704" s="238"/>
      <c r="BS704" s="68"/>
      <c r="BT704" s="69"/>
      <c r="BU704" s="69"/>
      <c r="BV704" s="69"/>
      <c r="BW704" s="75"/>
      <c r="BX704" s="81"/>
      <c r="BY704" s="66">
        <v>45856</v>
      </c>
      <c r="BZ704" s="944" t="s">
        <v>3477</v>
      </c>
      <c r="CA704" s="42" t="str">
        <f t="shared" si="426"/>
        <v>0</v>
      </c>
      <c r="CB704" s="62">
        <f t="shared" si="427"/>
        <v>49.310416666667152</v>
      </c>
      <c r="CC704" s="42">
        <f t="shared" si="428"/>
        <v>0</v>
      </c>
      <c r="CD704" s="62">
        <f t="shared" si="404"/>
        <v>49.310416666667152</v>
      </c>
      <c r="CE704" s="62">
        <f t="shared" si="405"/>
        <v>1.7548707107843309</v>
      </c>
      <c r="CF704" s="145">
        <f t="shared" si="406"/>
        <v>2</v>
      </c>
      <c r="CG704" s="145"/>
      <c r="CH704" s="443">
        <f t="shared" si="421"/>
        <v>1.8260471813725663</v>
      </c>
      <c r="CI704" s="996">
        <f t="shared" si="408"/>
        <v>1.8260471813725663</v>
      </c>
      <c r="CJ704" s="261">
        <f t="shared" si="422"/>
        <v>3.3333333333333333E-2</v>
      </c>
      <c r="CK704" s="458" t="str">
        <f t="shared" si="423"/>
        <v/>
      </c>
      <c r="CL704" t="str">
        <f t="shared" si="424"/>
        <v>REV</v>
      </c>
      <c r="CM704" t="str">
        <f t="shared" si="425"/>
        <v/>
      </c>
      <c r="CN704" s="635"/>
      <c r="CO704" s="631"/>
      <c r="CP704" s="629"/>
      <c r="CQ704" s="635"/>
      <c r="CR704" s="697"/>
      <c r="CS704" s="633"/>
      <c r="CT704" s="635"/>
      <c r="CU704" s="631"/>
      <c r="CV704" s="638"/>
      <c r="CW704" s="853"/>
      <c r="CX704" s="856"/>
      <c r="CY704" s="856"/>
    </row>
    <row r="705" spans="1:103" s="359" customFormat="1" ht="15" customHeight="1" x14ac:dyDescent="0.25">
      <c r="A705" s="242">
        <v>45825</v>
      </c>
      <c r="B705" s="222">
        <v>45826</v>
      </c>
      <c r="C705" s="852" t="s">
        <v>247</v>
      </c>
      <c r="D705" s="66" t="s">
        <v>234</v>
      </c>
      <c r="E705" s="404" t="s">
        <v>3478</v>
      </c>
      <c r="F705" s="95" t="s">
        <v>3479</v>
      </c>
      <c r="G705" s="95" t="s">
        <v>2646</v>
      </c>
      <c r="H705" s="95" t="s">
        <v>238</v>
      </c>
      <c r="I705" s="95" t="s">
        <v>239</v>
      </c>
      <c r="J705" s="854"/>
      <c r="K705" s="855"/>
      <c r="L705" s="101" t="s">
        <v>288</v>
      </c>
      <c r="M705" s="101" t="s">
        <v>272</v>
      </c>
      <c r="N705" s="442" t="s">
        <v>381</v>
      </c>
      <c r="O705" s="165">
        <v>793.14370000000019</v>
      </c>
      <c r="P705" s="165">
        <v>1598.32</v>
      </c>
      <c r="Q705" s="157">
        <v>182</v>
      </c>
      <c r="R705" s="109" t="s">
        <v>244</v>
      </c>
      <c r="S705" s="110">
        <v>3728690.42</v>
      </c>
      <c r="T705" s="93">
        <v>1032941.6999999991</v>
      </c>
      <c r="U705" s="857"/>
      <c r="V705" s="158">
        <f t="shared" si="390"/>
        <v>0</v>
      </c>
      <c r="W705" s="159">
        <v>45817.70416666667</v>
      </c>
      <c r="X705" s="159">
        <v>45825.452777777777</v>
      </c>
      <c r="Y705" s="160">
        <v>45826</v>
      </c>
      <c r="Z705" s="470"/>
      <c r="AA705" s="470">
        <v>45855</v>
      </c>
      <c r="AB705" s="942"/>
      <c r="AC705" s="161">
        <f t="shared" si="391"/>
        <v>37.295833333329938</v>
      </c>
      <c r="AD705" s="161">
        <f t="shared" si="417"/>
        <v>29.547222222223354</v>
      </c>
      <c r="AE705" s="446">
        <f t="shared" si="413"/>
        <v>-45855</v>
      </c>
      <c r="AF705" s="160">
        <f t="shared" si="418"/>
        <v>45841.609996263083</v>
      </c>
      <c r="AG705" s="160">
        <f t="shared" si="415"/>
        <v>45851.784884155459</v>
      </c>
      <c r="AH705" s="159">
        <f t="shared" si="419"/>
        <v>45867.70416666667</v>
      </c>
      <c r="AI705" s="162">
        <f t="shared" si="392"/>
        <v>1.039621354166572</v>
      </c>
      <c r="AJ705" s="224">
        <f t="shared" si="420"/>
        <v>-764.25</v>
      </c>
      <c r="AK705" s="225">
        <f t="shared" si="393"/>
        <v>50</v>
      </c>
      <c r="AL705" s="170">
        <f t="shared" si="394"/>
        <v>32</v>
      </c>
      <c r="AM705" s="170">
        <f t="shared" si="395"/>
        <v>26.905829596412559</v>
      </c>
      <c r="AN705" s="170">
        <f t="shared" si="396"/>
        <v>34.08071748878924</v>
      </c>
      <c r="AO705" s="226">
        <f t="shared" si="397"/>
        <v>23.905829596412559</v>
      </c>
      <c r="AP705" s="227">
        <v>60</v>
      </c>
      <c r="AQ705" s="228">
        <f t="shared" si="398"/>
        <v>57</v>
      </c>
      <c r="AR705" s="228">
        <f t="shared" si="416"/>
        <v>52</v>
      </c>
      <c r="AS705" s="229">
        <f t="shared" si="399"/>
        <v>45915</v>
      </c>
      <c r="AT705" s="982">
        <f t="shared" ca="1" si="400"/>
        <v>40</v>
      </c>
      <c r="AU705" s="50" t="s">
        <v>50</v>
      </c>
      <c r="AV705" s="51" t="s">
        <v>247</v>
      </c>
      <c r="AW705" s="49" t="s">
        <v>247</v>
      </c>
      <c r="AX705" s="49"/>
      <c r="AY705" s="49"/>
      <c r="AZ705" s="300">
        <v>45832</v>
      </c>
      <c r="BA705" s="52">
        <v>34</v>
      </c>
      <c r="BB705" s="304">
        <v>45866</v>
      </c>
      <c r="BC705" s="231" t="s">
        <v>13</v>
      </c>
      <c r="BD705" s="232"/>
      <c r="BE705" s="222">
        <f t="shared" si="414"/>
        <v>45870</v>
      </c>
      <c r="BF705" s="233" t="e">
        <f t="shared" si="429"/>
        <v>#VALUE!</v>
      </c>
      <c r="BG705" s="234"/>
      <c r="BH705" s="235"/>
      <c r="BI705" s="234"/>
      <c r="BJ705" s="236"/>
      <c r="BK705" s="222"/>
      <c r="BL705" s="222"/>
      <c r="BM705" s="238"/>
      <c r="BN705" s="222"/>
      <c r="BO705" s="222"/>
      <c r="BP705" s="243"/>
      <c r="BQ705" s="244" t="s">
        <v>247</v>
      </c>
      <c r="BR705" s="238"/>
      <c r="BS705" s="68"/>
      <c r="BT705" s="69"/>
      <c r="BU705" s="69"/>
      <c r="BV705" s="69"/>
      <c r="BW705" s="75"/>
      <c r="BX705" s="81"/>
      <c r="BY705" s="66">
        <v>45826</v>
      </c>
      <c r="BZ705" s="944" t="s">
        <v>3480</v>
      </c>
      <c r="CA705" s="42" t="str">
        <f t="shared" si="426"/>
        <v>0</v>
      </c>
      <c r="CB705" s="62">
        <f t="shared" si="427"/>
        <v>37.295833333329938</v>
      </c>
      <c r="CC705" s="42">
        <f t="shared" si="428"/>
        <v>34</v>
      </c>
      <c r="CD705" s="62">
        <f t="shared" si="404"/>
        <v>3.2958333333299379</v>
      </c>
      <c r="CE705" s="62">
        <f t="shared" si="405"/>
        <v>9.1871354166572008E-2</v>
      </c>
      <c r="CF705" s="145">
        <f t="shared" si="406"/>
        <v>14</v>
      </c>
      <c r="CG705" s="145"/>
      <c r="CH705" s="443">
        <f t="shared" si="421"/>
        <v>1.429871354166572</v>
      </c>
      <c r="CI705" s="996">
        <f t="shared" si="408"/>
        <v>1.429871354166572</v>
      </c>
      <c r="CJ705" s="261">
        <f t="shared" si="422"/>
        <v>0.23333333333333334</v>
      </c>
      <c r="CK705" s="458" t="str">
        <f t="shared" si="423"/>
        <v/>
      </c>
      <c r="CL705" t="str">
        <f t="shared" si="424"/>
        <v>REV</v>
      </c>
      <c r="CM705" t="str">
        <f t="shared" si="425"/>
        <v/>
      </c>
      <c r="CN705" s="635"/>
      <c r="CO705" s="631"/>
      <c r="CP705" s="629"/>
      <c r="CQ705" s="635"/>
      <c r="CR705" s="697"/>
      <c r="CS705" s="633"/>
      <c r="CT705" s="635"/>
      <c r="CU705" s="631"/>
      <c r="CV705" s="638"/>
      <c r="CW705" s="853"/>
      <c r="CX705" s="856"/>
      <c r="CY705" s="856"/>
    </row>
    <row r="706" spans="1:103" s="1103" customFormat="1" ht="15" customHeight="1" x14ac:dyDescent="0.2">
      <c r="A706" s="242">
        <v>45831</v>
      </c>
      <c r="B706" s="222">
        <v>45833</v>
      </c>
      <c r="C706" s="852"/>
      <c r="D706" s="66" t="s">
        <v>320</v>
      </c>
      <c r="E706" s="404" t="s">
        <v>3481</v>
      </c>
      <c r="F706" s="95" t="s">
        <v>3482</v>
      </c>
      <c r="G706" s="95" t="s">
        <v>3483</v>
      </c>
      <c r="H706" s="95" t="s">
        <v>238</v>
      </c>
      <c r="I706" s="95" t="s">
        <v>239</v>
      </c>
      <c r="J706" s="1134" t="s">
        <v>3484</v>
      </c>
      <c r="K706" s="855"/>
      <c r="L706" s="101" t="s">
        <v>255</v>
      </c>
      <c r="M706" s="101" t="s">
        <v>331</v>
      </c>
      <c r="N706" s="442" t="s">
        <v>403</v>
      </c>
      <c r="O706" s="165">
        <v>223.77279999999993</v>
      </c>
      <c r="P706" s="165">
        <v>741.71</v>
      </c>
      <c r="Q706" s="157">
        <v>10</v>
      </c>
      <c r="R706" s="109" t="s">
        <v>244</v>
      </c>
      <c r="S706" s="110">
        <v>983981.23</v>
      </c>
      <c r="T706" s="93">
        <v>232920.47000000015</v>
      </c>
      <c r="U706" s="857"/>
      <c r="V706" s="158">
        <f t="shared" si="390"/>
        <v>0</v>
      </c>
      <c r="W706" s="159">
        <v>45817.729166666664</v>
      </c>
      <c r="X706" s="159">
        <v>45828.574999999997</v>
      </c>
      <c r="Y706" s="160">
        <v>45833</v>
      </c>
      <c r="Z706" s="470"/>
      <c r="AA706" s="470"/>
      <c r="AB706" s="942"/>
      <c r="AC706" s="161">
        <f t="shared" si="391"/>
        <v>-45817.729166666664</v>
      </c>
      <c r="AD706" s="161">
        <f t="shared" si="417"/>
        <v>-45828.574999999997</v>
      </c>
      <c r="AE706" s="446">
        <f t="shared" si="413"/>
        <v>0</v>
      </c>
      <c r="AF706" s="160">
        <f t="shared" si="418"/>
        <v>45842.564218213054</v>
      </c>
      <c r="AG706" s="160">
        <f t="shared" si="415"/>
        <v>45852.98689862543</v>
      </c>
      <c r="AH706" s="159">
        <f t="shared" si="419"/>
        <v>45867.729166666664</v>
      </c>
      <c r="AI706" s="162">
        <f t="shared" si="392"/>
        <v>-1234.5332581018517</v>
      </c>
      <c r="AJ706" s="224">
        <f t="shared" si="420"/>
        <v>0</v>
      </c>
      <c r="AK706" s="225">
        <f t="shared" si="393"/>
        <v>40</v>
      </c>
      <c r="AL706" s="170">
        <f t="shared" si="394"/>
        <v>36</v>
      </c>
      <c r="AM706" s="170">
        <f t="shared" si="395"/>
        <v>27.835051546391753</v>
      </c>
      <c r="AN706" s="170">
        <f t="shared" si="396"/>
        <v>35.257731958762882</v>
      </c>
      <c r="AO706" s="226">
        <f t="shared" si="397"/>
        <v>24.835051546391753</v>
      </c>
      <c r="AP706" s="227">
        <v>60</v>
      </c>
      <c r="AQ706" s="228">
        <f t="shared" si="398"/>
        <v>57</v>
      </c>
      <c r="AR706" s="228">
        <f t="shared" si="416"/>
        <v>52</v>
      </c>
      <c r="AS706" s="229">
        <f t="shared" si="399"/>
        <v>60</v>
      </c>
      <c r="AT706" s="982">
        <f t="shared" ca="1" si="400"/>
        <v>45895</v>
      </c>
      <c r="AU706" s="1077" t="s">
        <v>50</v>
      </c>
      <c r="AV706" s="1092" t="s">
        <v>247</v>
      </c>
      <c r="AW706" s="1079" t="s">
        <v>247</v>
      </c>
      <c r="AX706" s="1079"/>
      <c r="AY706" s="1079"/>
      <c r="AZ706" s="1080">
        <v>45832</v>
      </c>
      <c r="BA706" s="1101">
        <v>34</v>
      </c>
      <c r="BB706" s="1091">
        <v>45866</v>
      </c>
      <c r="BC706" s="231"/>
      <c r="BD706" s="232"/>
      <c r="BE706" s="222">
        <f t="shared" si="414"/>
        <v>15</v>
      </c>
      <c r="BF706" s="233">
        <f t="shared" si="429"/>
        <v>0</v>
      </c>
      <c r="BG706" s="234"/>
      <c r="BH706" s="235"/>
      <c r="BI706" s="234"/>
      <c r="BJ706" s="236"/>
      <c r="BK706" s="222"/>
      <c r="BL706" s="222"/>
      <c r="BM706" s="238"/>
      <c r="BN706" s="222"/>
      <c r="BO706" s="222"/>
      <c r="BP706" s="243"/>
      <c r="BQ706" s="244"/>
      <c r="BR706" s="238"/>
      <c r="BS706" s="68"/>
      <c r="BT706" s="69"/>
      <c r="BU706" s="69"/>
      <c r="BV706" s="69"/>
      <c r="BW706" s="75"/>
      <c r="BX706" s="81"/>
      <c r="BY706" s="66">
        <v>45873</v>
      </c>
      <c r="BZ706" s="944" t="s">
        <v>3485</v>
      </c>
      <c r="CA706" s="42" t="str">
        <f t="shared" si="426"/>
        <v>0</v>
      </c>
      <c r="CB706" s="62">
        <f t="shared" si="427"/>
        <v>-45817.729166666664</v>
      </c>
      <c r="CC706" s="42">
        <f t="shared" si="428"/>
        <v>34</v>
      </c>
      <c r="CD706" s="62">
        <f t="shared" si="404"/>
        <v>-45851.729166666664</v>
      </c>
      <c r="CE706" s="62">
        <f t="shared" si="405"/>
        <v>-1235.4493692129629</v>
      </c>
      <c r="CF706" s="1059" t="str">
        <f t="shared" si="406"/>
        <v>0</v>
      </c>
      <c r="CG706" s="1059"/>
      <c r="CH706" s="1082">
        <f t="shared" si="421"/>
        <v>1.3814641203704356</v>
      </c>
      <c r="CI706" s="1083">
        <f t="shared" si="408"/>
        <v>1.3814641203704356</v>
      </c>
      <c r="CJ706" s="1084">
        <f t="shared" si="422"/>
        <v>0</v>
      </c>
      <c r="CK706" s="1085">
        <f t="shared" si="423"/>
        <v>38.270833333335759</v>
      </c>
      <c r="CL706" s="1057" t="str">
        <f t="shared" si="424"/>
        <v>REV</v>
      </c>
      <c r="CM706" s="1057" t="str">
        <f t="shared" si="425"/>
        <v>0-3 MONTHS</v>
      </c>
      <c r="CN706" s="1086"/>
      <c r="CO706" s="1087"/>
      <c r="CP706" s="629"/>
      <c r="CQ706" s="1086"/>
      <c r="CR706" s="1088"/>
      <c r="CS706" s="1089"/>
      <c r="CT706" s="1086"/>
      <c r="CU706" s="1087"/>
      <c r="CV706" s="1090"/>
      <c r="CW706" s="853"/>
      <c r="CX706" s="856"/>
      <c r="CY706" s="856"/>
    </row>
    <row r="707" spans="1:103" s="359" customFormat="1" ht="15" customHeight="1" x14ac:dyDescent="0.25">
      <c r="A707" s="222" t="s">
        <v>308</v>
      </c>
      <c r="B707" s="222" t="s">
        <v>308</v>
      </c>
      <c r="C707" s="852"/>
      <c r="D707" s="66" t="s">
        <v>234</v>
      </c>
      <c r="E707" s="404" t="s">
        <v>3486</v>
      </c>
      <c r="F707" s="95" t="s">
        <v>3487</v>
      </c>
      <c r="G707" s="95" t="s">
        <v>3488</v>
      </c>
      <c r="H707" s="95" t="s">
        <v>378</v>
      </c>
      <c r="I707" s="95" t="s">
        <v>239</v>
      </c>
      <c r="J707" s="1134" t="s">
        <v>2981</v>
      </c>
      <c r="K707" s="855"/>
      <c r="L707" s="101" t="s">
        <v>1957</v>
      </c>
      <c r="M707" s="101" t="s">
        <v>272</v>
      </c>
      <c r="N707" s="442" t="s">
        <v>580</v>
      </c>
      <c r="O707" s="165">
        <v>143.6</v>
      </c>
      <c r="P707" s="165">
        <v>143.6</v>
      </c>
      <c r="Q707" s="157">
        <v>127</v>
      </c>
      <c r="R707" s="109" t="s">
        <v>244</v>
      </c>
      <c r="S707" s="110">
        <v>649332.21</v>
      </c>
      <c r="T707" s="93"/>
      <c r="U707" s="857"/>
      <c r="V707" s="158" t="e">
        <f t="shared" ref="V707:V723" si="430">U707/T707</f>
        <v>#DIV/0!</v>
      </c>
      <c r="W707" s="159">
        <v>45818.365277777775</v>
      </c>
      <c r="X707" s="159">
        <v>45825.578472222223</v>
      </c>
      <c r="Y707" s="160" t="s">
        <v>308</v>
      </c>
      <c r="Z707" s="470"/>
      <c r="AA707" s="470">
        <v>45855.688194444447</v>
      </c>
      <c r="AB707" s="942"/>
      <c r="AC707" s="161">
        <f t="shared" ref="AC707:AC710" si="431">AA707-W707</f>
        <v>37.322916666671517</v>
      </c>
      <c r="AD707" s="161">
        <f t="shared" si="417"/>
        <v>30.109722222223354</v>
      </c>
      <c r="AE707" s="446">
        <f t="shared" si="413"/>
        <v>-45855.688194444447</v>
      </c>
      <c r="AF707" s="160">
        <f t="shared" si="418"/>
        <v>45837.811320943241</v>
      </c>
      <c r="AG707" s="160">
        <f t="shared" si="415"/>
        <v>45846.796932454032</v>
      </c>
      <c r="AH707" s="159">
        <f t="shared" si="419"/>
        <v>45868.365277777775</v>
      </c>
      <c r="AI707" s="162">
        <f t="shared" ref="AI707:AI710" si="432" xml:space="preserve"> (0.3)*(AC707/AK707)+(0.7)*(AC707/AL707)</f>
        <v>1.2470878405450339</v>
      </c>
      <c r="AJ707" s="224">
        <f t="shared" si="420"/>
        <v>-764.26146990740745</v>
      </c>
      <c r="AK707" s="225">
        <f t="shared" ref="AK707:AK710" si="433">IF(P707&lt;51,20,(IF(P707&lt;101,23,(IF(P707&lt;201,26,IF(P707&lt;301,28,IF(P707&lt;401,30,(IF(P707&lt;501,32,(IF(P707&lt;1001,40,50)))))))))))</f>
        <v>26</v>
      </c>
      <c r="AL707" s="170">
        <f t="shared" ref="AL707:AL710" si="434">IF(Q707&lt;51,36,(IF(Q707&lt;101,34,(IF(Q707&lt;201,32,IF(Q707&lt;301,30,IF(Q707&lt;401,28,(IF(Q707&lt;501,26,(IF(Q707&lt;1001,23,20)))))))))))</f>
        <v>32</v>
      </c>
      <c r="AM707" s="170">
        <f t="shared" ref="AM707:AM710" si="435">(0.75)/((0.3/AK707)+(0.7/AL707))</f>
        <v>22.446043165467625</v>
      </c>
      <c r="AN707" s="170">
        <f t="shared" ref="AN707:AN710" si="436">(0.95)/((0.3/AK707)+(0.7/AL707))</f>
        <v>28.431654676258994</v>
      </c>
      <c r="AO707" s="226">
        <f t="shared" ref="AO707:AO710" si="437">AM707-3</f>
        <v>19.446043165467625</v>
      </c>
      <c r="AP707" s="227">
        <v>60</v>
      </c>
      <c r="AQ707" s="228">
        <f t="shared" ref="AQ707:AQ710" si="438">0.95*AP707</f>
        <v>57</v>
      </c>
      <c r="AR707" s="228">
        <f t="shared" si="416"/>
        <v>52</v>
      </c>
      <c r="AS707" s="229">
        <f t="shared" ref="AS707:AS710" si="439">AA707+AP707</f>
        <v>45915.688194444447</v>
      </c>
      <c r="AT707" s="982">
        <f t="shared" ref="AT707:AT757" ca="1" si="440">IFERROR(TODAY()-AA707,"")</f>
        <v>39.311805555553292</v>
      </c>
      <c r="AU707" s="50"/>
      <c r="AV707" s="51"/>
      <c r="AW707" s="49"/>
      <c r="AX707" s="49"/>
      <c r="AY707" s="49"/>
      <c r="AZ707" s="300"/>
      <c r="BA707" s="52"/>
      <c r="BB707" s="304"/>
      <c r="BC707" s="231" t="s">
        <v>13</v>
      </c>
      <c r="BD707" s="232"/>
      <c r="BE707" s="222">
        <f t="shared" si="414"/>
        <v>45870.688194444447</v>
      </c>
      <c r="BF707" s="233" t="e">
        <f t="shared" si="429"/>
        <v>#VALUE!</v>
      </c>
      <c r="BG707" s="234"/>
      <c r="BH707" s="235"/>
      <c r="BI707" s="234"/>
      <c r="BJ707" s="236"/>
      <c r="BK707" s="222"/>
      <c r="BL707" s="222"/>
      <c r="BM707" s="238"/>
      <c r="BN707" s="222"/>
      <c r="BO707" s="222"/>
      <c r="BP707" s="243"/>
      <c r="BQ707" s="244"/>
      <c r="BR707" s="238"/>
      <c r="BS707" s="68"/>
      <c r="BT707" s="69"/>
      <c r="BU707" s="69"/>
      <c r="BV707" s="69"/>
      <c r="BW707" s="75"/>
      <c r="BX707" s="81"/>
      <c r="BY707" s="66"/>
      <c r="BZ707" s="944"/>
      <c r="CA707" s="42" t="str">
        <f t="shared" si="426"/>
        <v>0</v>
      </c>
      <c r="CB707" s="62">
        <f t="shared" si="427"/>
        <v>37.322916666671517</v>
      </c>
      <c r="CC707" s="42">
        <f t="shared" si="428"/>
        <v>0</v>
      </c>
      <c r="CD707" s="62">
        <f t="shared" ref="CD707:CD770" si="441">AC707-BA707</f>
        <v>37.322916666671517</v>
      </c>
      <c r="CE707" s="62">
        <f t="shared" ref="CE707:CE757" si="442" xml:space="preserve"> (0.3)*(CD707/AK707)+(0.7)*(CD707/AL707)</f>
        <v>1.2470878405450339</v>
      </c>
      <c r="CF707" s="145">
        <f t="shared" ref="CF707:CF770" si="443">IF(AA707="","0",$CF$1-AA707)</f>
        <v>13.311805555553292</v>
      </c>
      <c r="CG707" s="145"/>
      <c r="CH707" s="443">
        <f t="shared" si="421"/>
        <v>1.6918813434829922</v>
      </c>
      <c r="CI707" s="996">
        <f t="shared" ref="CI707:CI770" si="444">CH707-CG707</f>
        <v>1.6918813434829922</v>
      </c>
      <c r="CJ707" s="261">
        <f t="shared" si="422"/>
        <v>0.2218634259258882</v>
      </c>
      <c r="CK707" s="458" t="str">
        <f t="shared" si="423"/>
        <v/>
      </c>
      <c r="CL707" t="str">
        <f t="shared" si="424"/>
        <v>REV</v>
      </c>
      <c r="CM707" t="str">
        <f t="shared" si="425"/>
        <v/>
      </c>
      <c r="CN707" s="635"/>
      <c r="CO707" s="631"/>
      <c r="CP707" s="629"/>
      <c r="CQ707" s="635"/>
      <c r="CR707" s="697"/>
      <c r="CS707" s="633"/>
      <c r="CT707" s="635"/>
      <c r="CU707" s="631"/>
      <c r="CV707" s="638"/>
      <c r="CW707" s="853"/>
      <c r="CX707" s="856"/>
      <c r="CY707" s="856"/>
    </row>
    <row r="708" spans="1:103" s="359" customFormat="1" ht="15" customHeight="1" x14ac:dyDescent="0.25">
      <c r="A708" s="242">
        <v>45831</v>
      </c>
      <c r="B708" s="222">
        <v>45832</v>
      </c>
      <c r="C708" s="852"/>
      <c r="D708" s="66" t="s">
        <v>320</v>
      </c>
      <c r="E708" s="404" t="s">
        <v>3489</v>
      </c>
      <c r="F708" s="95" t="s">
        <v>3490</v>
      </c>
      <c r="G708" s="95" t="s">
        <v>3491</v>
      </c>
      <c r="H708" s="95" t="s">
        <v>378</v>
      </c>
      <c r="I708" s="95" t="s">
        <v>239</v>
      </c>
      <c r="J708" s="854"/>
      <c r="K708" s="855"/>
      <c r="L708" s="101" t="s">
        <v>288</v>
      </c>
      <c r="M708" s="101" t="s">
        <v>272</v>
      </c>
      <c r="N708" s="442" t="s">
        <v>381</v>
      </c>
      <c r="O708" s="165">
        <v>0.53</v>
      </c>
      <c r="P708" s="933">
        <v>1.19</v>
      </c>
      <c r="Q708" s="157">
        <v>1.5</v>
      </c>
      <c r="R708" s="109" t="s">
        <v>244</v>
      </c>
      <c r="S708" s="110">
        <v>15994.32</v>
      </c>
      <c r="T708" s="93">
        <v>1022.47</v>
      </c>
      <c r="U708" s="857"/>
      <c r="V708" s="158">
        <f t="shared" si="430"/>
        <v>0</v>
      </c>
      <c r="W708" s="159">
        <v>45818.368055555555</v>
      </c>
      <c r="X708" s="159">
        <v>45825.570138888892</v>
      </c>
      <c r="Y708" s="160">
        <v>45832</v>
      </c>
      <c r="Z708" s="470"/>
      <c r="AA708" s="470">
        <v>45847</v>
      </c>
      <c r="AB708" s="942"/>
      <c r="AC708" s="161">
        <f t="shared" si="431"/>
        <v>28.631944444445253</v>
      </c>
      <c r="AD708" s="161">
        <f t="shared" si="417"/>
        <v>21.429861111108039</v>
      </c>
      <c r="AE708" s="446">
        <f t="shared" si="413"/>
        <v>-45847</v>
      </c>
      <c r="AF708" s="160">
        <f t="shared" si="418"/>
        <v>45837.142249103941</v>
      </c>
      <c r="AG708" s="160">
        <f t="shared" si="415"/>
        <v>45845.948700716843</v>
      </c>
      <c r="AH708" s="159">
        <f t="shared" si="419"/>
        <v>45868.368055555555</v>
      </c>
      <c r="AI708" s="162">
        <f t="shared" si="432"/>
        <v>0.98621141975311422</v>
      </c>
      <c r="AJ708" s="224">
        <f t="shared" si="420"/>
        <v>-764.11666666666667</v>
      </c>
      <c r="AK708" s="225">
        <f t="shared" si="433"/>
        <v>20</v>
      </c>
      <c r="AL708" s="170">
        <f t="shared" si="434"/>
        <v>36</v>
      </c>
      <c r="AM708" s="170">
        <f t="shared" si="435"/>
        <v>21.774193548387096</v>
      </c>
      <c r="AN708" s="170">
        <f t="shared" si="436"/>
        <v>27.58064516129032</v>
      </c>
      <c r="AO708" s="226">
        <f t="shared" si="437"/>
        <v>18.774193548387096</v>
      </c>
      <c r="AP708" s="227">
        <v>60</v>
      </c>
      <c r="AQ708" s="228">
        <f t="shared" si="438"/>
        <v>57</v>
      </c>
      <c r="AR708" s="228">
        <f t="shared" si="416"/>
        <v>52</v>
      </c>
      <c r="AS708" s="229">
        <f t="shared" si="439"/>
        <v>45907</v>
      </c>
      <c r="AT708" s="982">
        <f t="shared" ca="1" si="440"/>
        <v>48</v>
      </c>
      <c r="AU708" s="50"/>
      <c r="AV708" s="51"/>
      <c r="AW708" s="49"/>
      <c r="AX708" s="49"/>
      <c r="AY708" s="49"/>
      <c r="AZ708" s="300"/>
      <c r="BA708" s="52"/>
      <c r="BB708" s="304"/>
      <c r="BC708" s="231" t="s">
        <v>13</v>
      </c>
      <c r="BD708" s="232"/>
      <c r="BE708" s="222">
        <f t="shared" si="414"/>
        <v>45862</v>
      </c>
      <c r="BF708" s="233" t="e">
        <f t="shared" si="429"/>
        <v>#VALUE!</v>
      </c>
      <c r="BG708" s="234"/>
      <c r="BH708" s="235"/>
      <c r="BI708" s="234"/>
      <c r="BJ708" s="236"/>
      <c r="BK708" s="222"/>
      <c r="BL708" s="222"/>
      <c r="BM708" s="238"/>
      <c r="BN708" s="222"/>
      <c r="BO708" s="222"/>
      <c r="BP708" s="243"/>
      <c r="BQ708" s="244" t="s">
        <v>246</v>
      </c>
      <c r="BR708" s="238"/>
      <c r="BS708" s="68"/>
      <c r="BT708" s="69"/>
      <c r="BU708" s="69"/>
      <c r="BV708" s="69"/>
      <c r="BW708" s="75"/>
      <c r="BX708" s="81"/>
      <c r="BY708" s="66" t="s">
        <v>308</v>
      </c>
      <c r="BZ708" s="944" t="s">
        <v>3492</v>
      </c>
      <c r="CA708" s="42" t="str">
        <f t="shared" si="426"/>
        <v>0</v>
      </c>
      <c r="CB708" s="62">
        <f t="shared" si="427"/>
        <v>28.631944444445253</v>
      </c>
      <c r="CC708" s="42">
        <f t="shared" si="428"/>
        <v>0</v>
      </c>
      <c r="CD708" s="62">
        <f t="shared" si="441"/>
        <v>28.631944444445253</v>
      </c>
      <c r="CE708" s="62">
        <f t="shared" si="442"/>
        <v>0.98621141975311422</v>
      </c>
      <c r="CF708" s="145">
        <f t="shared" si="443"/>
        <v>22</v>
      </c>
      <c r="CG708" s="145"/>
      <c r="CH708" s="443">
        <f t="shared" si="421"/>
        <v>1.7439891975308917</v>
      </c>
      <c r="CI708" s="996">
        <f t="shared" si="444"/>
        <v>1.7439891975308917</v>
      </c>
      <c r="CJ708" s="261">
        <f t="shared" si="422"/>
        <v>0.36666666666666664</v>
      </c>
      <c r="CK708" s="458" t="str">
        <f t="shared" si="423"/>
        <v/>
      </c>
      <c r="CL708" t="str">
        <f t="shared" si="424"/>
        <v>REV</v>
      </c>
      <c r="CM708" t="str">
        <f t="shared" si="425"/>
        <v/>
      </c>
      <c r="CN708" s="635"/>
      <c r="CO708" s="631"/>
      <c r="CP708" s="629"/>
      <c r="CQ708" s="635"/>
      <c r="CR708" s="697"/>
      <c r="CS708" s="633"/>
      <c r="CT708" s="635"/>
      <c r="CU708" s="631"/>
      <c r="CV708" s="638"/>
      <c r="CW708" s="853"/>
      <c r="CX708" s="856"/>
      <c r="CY708" s="856"/>
    </row>
    <row r="709" spans="1:103" s="359" customFormat="1" ht="15" customHeight="1" x14ac:dyDescent="0.25">
      <c r="A709" s="222" t="s">
        <v>308</v>
      </c>
      <c r="B709" s="222" t="s">
        <v>308</v>
      </c>
      <c r="C709" s="852"/>
      <c r="D709" s="66" t="s">
        <v>284</v>
      </c>
      <c r="E709" s="404" t="s">
        <v>3493</v>
      </c>
      <c r="F709" s="95" t="s">
        <v>3494</v>
      </c>
      <c r="G709" s="95" t="s">
        <v>282</v>
      </c>
      <c r="H709" s="95" t="s">
        <v>238</v>
      </c>
      <c r="I709" s="95" t="s">
        <v>239</v>
      </c>
      <c r="J709" s="854"/>
      <c r="K709" s="855"/>
      <c r="L709" s="101" t="s">
        <v>1945</v>
      </c>
      <c r="M709" s="101" t="s">
        <v>256</v>
      </c>
      <c r="N709" s="442" t="s">
        <v>1946</v>
      </c>
      <c r="O709" s="933">
        <v>17.329999999999998</v>
      </c>
      <c r="P709" s="933">
        <v>17.329999999999998</v>
      </c>
      <c r="Q709" s="157">
        <v>22</v>
      </c>
      <c r="R709" s="109" t="s">
        <v>244</v>
      </c>
      <c r="S709" s="110">
        <v>262559.48</v>
      </c>
      <c r="T709" s="93"/>
      <c r="U709" s="857"/>
      <c r="V709" s="158" t="e">
        <f t="shared" si="430"/>
        <v>#DIV/0!</v>
      </c>
      <c r="W709" s="159">
        <v>45818.643750000003</v>
      </c>
      <c r="X709" s="159">
        <v>45825.583333333336</v>
      </c>
      <c r="Y709" s="160" t="s">
        <v>308</v>
      </c>
      <c r="Z709" s="470"/>
      <c r="AA709" s="470">
        <v>45834</v>
      </c>
      <c r="AB709" s="942">
        <v>45861.352083333331</v>
      </c>
      <c r="AC709" s="161">
        <f t="shared" si="431"/>
        <v>15.35624999999709</v>
      </c>
      <c r="AD709" s="161">
        <f t="shared" si="417"/>
        <v>8.4166666666642413</v>
      </c>
      <c r="AE709" s="446">
        <f t="shared" si="413"/>
        <v>27.352083333331393</v>
      </c>
      <c r="AF709" s="160">
        <f t="shared" si="418"/>
        <v>45837.417943548389</v>
      </c>
      <c r="AG709" s="160">
        <f t="shared" si="415"/>
        <v>45846.224395161291</v>
      </c>
      <c r="AH709" s="159">
        <f t="shared" si="419"/>
        <v>45868.643750000003</v>
      </c>
      <c r="AI709" s="162">
        <f t="shared" si="432"/>
        <v>0.5289374999998997</v>
      </c>
      <c r="AJ709" s="224">
        <f t="shared" si="420"/>
        <v>0.45586805555552323</v>
      </c>
      <c r="AK709" s="225">
        <f t="shared" si="433"/>
        <v>20</v>
      </c>
      <c r="AL709" s="170">
        <f t="shared" si="434"/>
        <v>36</v>
      </c>
      <c r="AM709" s="170">
        <f t="shared" si="435"/>
        <v>21.774193548387096</v>
      </c>
      <c r="AN709" s="170">
        <f t="shared" si="436"/>
        <v>27.58064516129032</v>
      </c>
      <c r="AO709" s="226">
        <f t="shared" si="437"/>
        <v>18.774193548387096</v>
      </c>
      <c r="AP709" s="227">
        <v>60</v>
      </c>
      <c r="AQ709" s="228">
        <f t="shared" si="438"/>
        <v>57</v>
      </c>
      <c r="AR709" s="228">
        <f t="shared" si="416"/>
        <v>52</v>
      </c>
      <c r="AS709" s="229">
        <f t="shared" si="439"/>
        <v>45894</v>
      </c>
      <c r="AT709" s="982">
        <f t="shared" ca="1" si="440"/>
        <v>61</v>
      </c>
      <c r="AU709" s="50"/>
      <c r="AV709" s="51"/>
      <c r="AW709" s="49"/>
      <c r="AX709" s="49"/>
      <c r="AY709" s="49"/>
      <c r="AZ709" s="300"/>
      <c r="BA709" s="52"/>
      <c r="BB709" s="304"/>
      <c r="BC709" s="231" t="s">
        <v>14</v>
      </c>
      <c r="BD709" s="232"/>
      <c r="BE709" s="222">
        <f t="shared" si="414"/>
        <v>45849</v>
      </c>
      <c r="BF709" s="233" t="e">
        <f t="shared" si="429"/>
        <v>#VALUE!</v>
      </c>
      <c r="BG709" s="234"/>
      <c r="BH709" s="235"/>
      <c r="BI709" s="234"/>
      <c r="BJ709" s="236"/>
      <c r="BK709" s="222"/>
      <c r="BL709" s="222"/>
      <c r="BM709" s="238"/>
      <c r="BN709" s="222"/>
      <c r="BO709" s="222"/>
      <c r="BP709" s="243"/>
      <c r="BQ709" s="244" t="s">
        <v>247</v>
      </c>
      <c r="BR709" s="238"/>
      <c r="BS709" s="68"/>
      <c r="BT709" s="69"/>
      <c r="BU709" s="69"/>
      <c r="BV709" s="69"/>
      <c r="BW709" s="75"/>
      <c r="BX709" s="81"/>
      <c r="BY709" s="66"/>
      <c r="BZ709" s="944" t="s">
        <v>3495</v>
      </c>
      <c r="CA709" s="42" t="str">
        <f t="shared" si="426"/>
        <v>0</v>
      </c>
      <c r="CB709" s="62">
        <f t="shared" si="427"/>
        <v>15.35624999999709</v>
      </c>
      <c r="CC709" s="42">
        <f t="shared" si="428"/>
        <v>0</v>
      </c>
      <c r="CD709" s="62">
        <f t="shared" si="441"/>
        <v>15.35624999999709</v>
      </c>
      <c r="CE709" s="62">
        <f t="shared" si="442"/>
        <v>0.5289374999998997</v>
      </c>
      <c r="CF709" s="145">
        <f t="shared" si="443"/>
        <v>35</v>
      </c>
      <c r="CG709" s="145"/>
      <c r="CH709" s="443">
        <f t="shared" si="421"/>
        <v>1.7344930555554554</v>
      </c>
      <c r="CI709" s="996">
        <f t="shared" si="444"/>
        <v>1.7344930555554554</v>
      </c>
      <c r="CJ709" s="261">
        <f t="shared" si="422"/>
        <v>0.58333333333333337</v>
      </c>
      <c r="CK709" s="458" t="str">
        <f t="shared" si="423"/>
        <v/>
      </c>
      <c r="CL709" t="str">
        <f t="shared" si="424"/>
        <v>REV</v>
      </c>
      <c r="CM709" t="str">
        <f t="shared" si="425"/>
        <v/>
      </c>
      <c r="CN709" s="635"/>
      <c r="CO709" s="631"/>
      <c r="CP709" s="629"/>
      <c r="CQ709" s="635"/>
      <c r="CR709" s="697"/>
      <c r="CS709" s="633"/>
      <c r="CT709" s="635"/>
      <c r="CU709" s="631"/>
      <c r="CV709" s="638"/>
      <c r="CW709" s="853"/>
      <c r="CX709" s="856"/>
      <c r="CY709" s="856"/>
    </row>
    <row r="710" spans="1:103" s="359" customFormat="1" ht="15" customHeight="1" x14ac:dyDescent="0.25">
      <c r="A710" s="242">
        <v>45833</v>
      </c>
      <c r="B710" s="222">
        <v>45833</v>
      </c>
      <c r="C710" s="852"/>
      <c r="D710" s="66" t="s">
        <v>320</v>
      </c>
      <c r="E710" s="404" t="s">
        <v>3496</v>
      </c>
      <c r="F710" s="95" t="s">
        <v>3497</v>
      </c>
      <c r="G710" s="95" t="s">
        <v>3498</v>
      </c>
      <c r="H710" s="95" t="s">
        <v>269</v>
      </c>
      <c r="I710" s="95" t="s">
        <v>239</v>
      </c>
      <c r="J710" s="854"/>
      <c r="K710" s="855"/>
      <c r="L710" s="101" t="s">
        <v>263</v>
      </c>
      <c r="M710" s="101" t="s">
        <v>331</v>
      </c>
      <c r="N710" s="442" t="s">
        <v>467</v>
      </c>
      <c r="O710" s="165">
        <v>156.46</v>
      </c>
      <c r="P710" s="165">
        <v>389.91</v>
      </c>
      <c r="Q710" s="157">
        <v>41.9</v>
      </c>
      <c r="R710" s="109" t="s">
        <v>548</v>
      </c>
      <c r="S710" s="110">
        <v>618984.53</v>
      </c>
      <c r="T710" s="93">
        <v>134436.98000000001</v>
      </c>
      <c r="U710" s="857"/>
      <c r="V710" s="158">
        <f t="shared" si="430"/>
        <v>0</v>
      </c>
      <c r="W710" s="159">
        <v>45818.69027777778</v>
      </c>
      <c r="X710" s="159">
        <v>45825.588194444441</v>
      </c>
      <c r="Y710" s="160">
        <v>45833</v>
      </c>
      <c r="Z710" s="470"/>
      <c r="AA710" s="470"/>
      <c r="AB710" s="942"/>
      <c r="AC710" s="161">
        <f t="shared" si="431"/>
        <v>-45818.69027777778</v>
      </c>
      <c r="AD710" s="161">
        <f t="shared" si="417"/>
        <v>-45825.588194444441</v>
      </c>
      <c r="AE710" s="446">
        <f t="shared" si="413"/>
        <v>0</v>
      </c>
      <c r="AF710" s="160">
        <f t="shared" si="418"/>
        <v>45841.161975890987</v>
      </c>
      <c r="AG710" s="160">
        <f t="shared" si="415"/>
        <v>45850.954428721176</v>
      </c>
      <c r="AH710" s="159">
        <f t="shared" si="419"/>
        <v>45868.69027777778</v>
      </c>
      <c r="AI710" s="162">
        <f t="shared" si="432"/>
        <v>-1349.1058804012346</v>
      </c>
      <c r="AJ710" s="224">
        <f t="shared" si="420"/>
        <v>0</v>
      </c>
      <c r="AK710" s="225">
        <f t="shared" si="433"/>
        <v>30</v>
      </c>
      <c r="AL710" s="170">
        <f t="shared" si="434"/>
        <v>36</v>
      </c>
      <c r="AM710" s="170">
        <f t="shared" si="435"/>
        <v>25.471698113207545</v>
      </c>
      <c r="AN710" s="170">
        <f t="shared" si="436"/>
        <v>32.264150943396224</v>
      </c>
      <c r="AO710" s="226">
        <f t="shared" si="437"/>
        <v>22.471698113207545</v>
      </c>
      <c r="AP710" s="227">
        <v>60</v>
      </c>
      <c r="AQ710" s="228">
        <f t="shared" si="438"/>
        <v>57</v>
      </c>
      <c r="AR710" s="228">
        <f t="shared" si="416"/>
        <v>52</v>
      </c>
      <c r="AS710" s="229">
        <f t="shared" si="439"/>
        <v>60</v>
      </c>
      <c r="AT710" s="982">
        <f t="shared" ca="1" si="440"/>
        <v>45895</v>
      </c>
      <c r="AU710" s="50"/>
      <c r="AV710" s="51"/>
      <c r="AW710" s="49"/>
      <c r="AX710" s="49"/>
      <c r="AY710" s="49"/>
      <c r="AZ710" s="300"/>
      <c r="BA710" s="52"/>
      <c r="BB710" s="304"/>
      <c r="BC710" s="231"/>
      <c r="BD710" s="232"/>
      <c r="BE710" s="222">
        <f t="shared" si="414"/>
        <v>15</v>
      </c>
      <c r="BF710" s="233">
        <f t="shared" si="429"/>
        <v>0</v>
      </c>
      <c r="BG710" s="234"/>
      <c r="BH710" s="235"/>
      <c r="BI710" s="234"/>
      <c r="BJ710" s="236"/>
      <c r="BK710" s="222"/>
      <c r="BL710" s="222"/>
      <c r="BM710" s="238"/>
      <c r="BN710" s="222"/>
      <c r="BO710" s="222"/>
      <c r="BP710" s="243"/>
      <c r="BQ710" s="244"/>
      <c r="BR710" s="238"/>
      <c r="BS710" s="68"/>
      <c r="BT710" s="69"/>
      <c r="BU710" s="69"/>
      <c r="BV710" s="69"/>
      <c r="BW710" s="75"/>
      <c r="BX710" s="81"/>
      <c r="BY710" s="66">
        <v>45856</v>
      </c>
      <c r="BZ710" s="944" t="s">
        <v>3499</v>
      </c>
      <c r="CA710" s="42" t="str">
        <f t="shared" si="426"/>
        <v>0</v>
      </c>
      <c r="CB710" s="62">
        <f t="shared" si="427"/>
        <v>-45818.69027777778</v>
      </c>
      <c r="CC710" s="42">
        <f t="shared" si="428"/>
        <v>0</v>
      </c>
      <c r="CD710" s="62">
        <f t="shared" si="441"/>
        <v>-45818.69027777778</v>
      </c>
      <c r="CE710" s="62">
        <f t="shared" si="442"/>
        <v>-1349.1058804012346</v>
      </c>
      <c r="CF710" s="145" t="str">
        <f t="shared" si="443"/>
        <v>0</v>
      </c>
      <c r="CG710" s="145"/>
      <c r="CH710" s="443">
        <f t="shared" si="421"/>
        <v>1.4813418209876019</v>
      </c>
      <c r="CI710" s="996">
        <f t="shared" si="444"/>
        <v>1.4813418209876019</v>
      </c>
      <c r="CJ710" s="261">
        <f t="shared" si="422"/>
        <v>0</v>
      </c>
      <c r="CK710" s="458">
        <f t="shared" si="423"/>
        <v>37.309722222220444</v>
      </c>
      <c r="CL710" t="str">
        <f t="shared" si="424"/>
        <v>NON-REV</v>
      </c>
      <c r="CM710" t="str">
        <f t="shared" si="425"/>
        <v>0-3 MONTHS</v>
      </c>
      <c r="CN710" s="635"/>
      <c r="CO710" s="631"/>
      <c r="CP710" s="629"/>
      <c r="CQ710" s="635"/>
      <c r="CR710" s="697"/>
      <c r="CS710" s="633"/>
      <c r="CT710" s="635"/>
      <c r="CU710" s="631"/>
      <c r="CV710" s="638"/>
      <c r="CW710" s="853"/>
      <c r="CX710" s="856"/>
      <c r="CY710" s="856"/>
    </row>
    <row r="711" spans="1:103" s="359" customFormat="1" ht="15" customHeight="1" x14ac:dyDescent="0.25">
      <c r="A711" s="242">
        <v>45826</v>
      </c>
      <c r="B711" s="222">
        <v>45827</v>
      </c>
      <c r="C711" s="852"/>
      <c r="D711" s="66" t="s">
        <v>234</v>
      </c>
      <c r="E711" s="404" t="s">
        <v>3500</v>
      </c>
      <c r="F711" s="95" t="s">
        <v>3501</v>
      </c>
      <c r="G711" s="95" t="s">
        <v>3502</v>
      </c>
      <c r="H711" s="95" t="s">
        <v>1513</v>
      </c>
      <c r="I711" s="95" t="s">
        <v>239</v>
      </c>
      <c r="J711" s="854"/>
      <c r="K711" s="855"/>
      <c r="L711" s="101" t="s">
        <v>5</v>
      </c>
      <c r="M711" s="101" t="s">
        <v>272</v>
      </c>
      <c r="N711" s="442" t="s">
        <v>403</v>
      </c>
      <c r="O711" s="165">
        <v>385.08</v>
      </c>
      <c r="P711" s="165">
        <v>541.65</v>
      </c>
      <c r="Q711" s="157">
        <v>0</v>
      </c>
      <c r="R711" s="109" t="s">
        <v>548</v>
      </c>
      <c r="S711" s="110">
        <v>734206.72</v>
      </c>
      <c r="T711" s="93"/>
      <c r="U711" s="857"/>
      <c r="V711" s="158" t="e">
        <f t="shared" si="430"/>
        <v>#DIV/0!</v>
      </c>
      <c r="W711" s="159">
        <v>45819.429166666669</v>
      </c>
      <c r="X711" s="159">
        <v>45825.586805555555</v>
      </c>
      <c r="Y711" s="160">
        <v>45827</v>
      </c>
      <c r="Z711" s="470">
        <v>45856</v>
      </c>
      <c r="AA711" s="470">
        <v>45856</v>
      </c>
      <c r="AB711" s="942"/>
      <c r="AC711" s="161">
        <f t="shared" ref="AC711:AC743" si="445">AA711-W711</f>
        <v>36.570833333331393</v>
      </c>
      <c r="AD711" s="161">
        <f t="shared" ref="AD711:AD743" si="446">AA711-X711</f>
        <v>30.413194444445253</v>
      </c>
      <c r="AE711" s="446">
        <f t="shared" ref="AE711:AE743" si="447">AB711-AA711</f>
        <v>-45856</v>
      </c>
      <c r="AF711" s="160">
        <f t="shared" ref="AF711:AF743" si="448">W711+AO711</f>
        <v>45844.264218213058</v>
      </c>
      <c r="AG711" s="160">
        <f t="shared" ref="AG711:AG743" si="449">W711+AN711</f>
        <v>45854.686898625434</v>
      </c>
      <c r="AH711" s="159">
        <f t="shared" ref="AH711:AH743" si="450">W711+50</f>
        <v>45869.429166666669</v>
      </c>
      <c r="AI711" s="162">
        <f t="shared" ref="AI711:AI743" si="451" xml:space="preserve"> (0.3)*(AC711/AK711)+(0.7)*(AC711/AL711)</f>
        <v>0.98538078703698462</v>
      </c>
      <c r="AJ711" s="224">
        <f t="shared" ref="AJ711:AJ743" si="452">AE711/AP711</f>
        <v>-764.26666666666665</v>
      </c>
      <c r="AK711" s="225">
        <f t="shared" ref="AK711:AK743" si="453">IF(P711&lt;51,20,(IF(P711&lt;101,23,(IF(P711&lt;201,26,IF(P711&lt;301,28,IF(P711&lt;401,30,(IF(P711&lt;501,32,(IF(P711&lt;1001,40,50)))))))))))</f>
        <v>40</v>
      </c>
      <c r="AL711" s="170">
        <f t="shared" ref="AL711:AL743" si="454">IF(Q711&lt;51,36,(IF(Q711&lt;101,34,(IF(Q711&lt;201,32,IF(Q711&lt;301,30,IF(Q711&lt;401,28,(IF(Q711&lt;501,26,(IF(Q711&lt;1001,23,20)))))))))))</f>
        <v>36</v>
      </c>
      <c r="AM711" s="170">
        <f t="shared" ref="AM711:AM743" si="455">(0.75)/((0.3/AK711)+(0.7/AL711))</f>
        <v>27.835051546391753</v>
      </c>
      <c r="AN711" s="170">
        <f t="shared" ref="AN711:AN743" si="456">(0.95)/((0.3/AK711)+(0.7/AL711))</f>
        <v>35.257731958762882</v>
      </c>
      <c r="AO711" s="226">
        <f t="shared" ref="AO711:AO743" si="457">AM711-3</f>
        <v>24.835051546391753</v>
      </c>
      <c r="AP711" s="227">
        <v>60</v>
      </c>
      <c r="AQ711" s="228">
        <f t="shared" ref="AQ711:AQ743" si="458">0.95*AP711</f>
        <v>57</v>
      </c>
      <c r="AR711" s="228">
        <f t="shared" ref="AR711:AR743" si="459">AQ711-5</f>
        <v>52</v>
      </c>
      <c r="AS711" s="229">
        <f t="shared" ref="AS711:AS743" si="460">AA711+AP711</f>
        <v>45916</v>
      </c>
      <c r="AT711" s="982">
        <f t="shared" ca="1" si="440"/>
        <v>39</v>
      </c>
      <c r="AU711" s="50"/>
      <c r="AV711" s="51"/>
      <c r="AW711" s="49"/>
      <c r="AX711" s="49"/>
      <c r="AY711" s="49"/>
      <c r="AZ711" s="300"/>
      <c r="BA711" s="52"/>
      <c r="BB711" s="304"/>
      <c r="BC711" s="231" t="s">
        <v>12</v>
      </c>
      <c r="BD711" s="232"/>
      <c r="BE711" s="222">
        <f t="shared" ref="BE711:BE743" si="461">AA711+15</f>
        <v>45871</v>
      </c>
      <c r="BF711" s="233" t="e">
        <f t="shared" ref="BF711:BF743" si="462">IF(ISBLANK(AA711),0,IF(ISBLANK(BH711),(BE711-$L$1),(BH711-BE711)))</f>
        <v>#VALUE!</v>
      </c>
      <c r="BG711" s="234">
        <v>45856</v>
      </c>
      <c r="BH711" s="235"/>
      <c r="BI711" s="234"/>
      <c r="BJ711" s="236"/>
      <c r="BK711" s="222"/>
      <c r="BL711" s="222"/>
      <c r="BM711" s="238"/>
      <c r="BN711" s="222"/>
      <c r="BO711" s="222"/>
      <c r="BP711" s="243"/>
      <c r="BQ711" s="244"/>
      <c r="BR711" s="238"/>
      <c r="BS711" s="68"/>
      <c r="BT711" s="69"/>
      <c r="BU711" s="69"/>
      <c r="BV711" s="69"/>
      <c r="BW711" s="75"/>
      <c r="BX711" s="81"/>
      <c r="BY711" s="66">
        <v>45826</v>
      </c>
      <c r="BZ711" s="944" t="s">
        <v>3503</v>
      </c>
      <c r="CA711" s="42" t="str">
        <f t="shared" si="426"/>
        <v>0</v>
      </c>
      <c r="CB711" s="62">
        <f t="shared" si="427"/>
        <v>36.570833333331393</v>
      </c>
      <c r="CC711" s="42">
        <f t="shared" si="428"/>
        <v>0</v>
      </c>
      <c r="CD711" s="62">
        <f t="shared" si="441"/>
        <v>36.570833333331393</v>
      </c>
      <c r="CE711" s="62">
        <f t="shared" si="442"/>
        <v>0.98538078703698462</v>
      </c>
      <c r="CF711" s="145">
        <f t="shared" si="443"/>
        <v>13</v>
      </c>
      <c r="CG711" s="145"/>
      <c r="CH711" s="443">
        <f t="shared" si="421"/>
        <v>1.3356585648147625</v>
      </c>
      <c r="CI711" s="996">
        <f t="shared" si="444"/>
        <v>1.3356585648147625</v>
      </c>
      <c r="CJ711" s="261">
        <f t="shared" si="422"/>
        <v>0.21666666666666667</v>
      </c>
      <c r="CK711" s="458" t="str">
        <f t="shared" si="423"/>
        <v/>
      </c>
      <c r="CL711" t="str">
        <f t="shared" si="424"/>
        <v>NON-REV</v>
      </c>
      <c r="CM711" t="str">
        <f t="shared" si="425"/>
        <v/>
      </c>
      <c r="CN711" s="635"/>
      <c r="CO711" s="631"/>
      <c r="CP711" s="629"/>
      <c r="CQ711" s="635"/>
      <c r="CR711" s="697"/>
      <c r="CS711" s="633"/>
      <c r="CT711" s="635"/>
      <c r="CU711" s="631"/>
      <c r="CV711" s="638"/>
      <c r="CW711" s="853"/>
      <c r="CX711" s="856"/>
      <c r="CY711" s="856"/>
    </row>
    <row r="712" spans="1:103" s="359" customFormat="1" ht="15" customHeight="1" x14ac:dyDescent="0.25">
      <c r="A712" s="222" t="s">
        <v>308</v>
      </c>
      <c r="B712" s="222" t="s">
        <v>308</v>
      </c>
      <c r="C712" s="852"/>
      <c r="D712" s="66" t="s">
        <v>234</v>
      </c>
      <c r="E712" s="404" t="s">
        <v>3504</v>
      </c>
      <c r="F712" s="95" t="s">
        <v>3505</v>
      </c>
      <c r="G712" s="95" t="s">
        <v>3506</v>
      </c>
      <c r="H712" s="95" t="s">
        <v>318</v>
      </c>
      <c r="I712" s="95" t="s">
        <v>239</v>
      </c>
      <c r="J712" s="854"/>
      <c r="K712" s="855"/>
      <c r="L712" s="101" t="s">
        <v>1945</v>
      </c>
      <c r="M712" s="101" t="s">
        <v>256</v>
      </c>
      <c r="N712" s="442" t="s">
        <v>1946</v>
      </c>
      <c r="O712" s="165">
        <v>11.37</v>
      </c>
      <c r="P712" s="165">
        <v>11.37</v>
      </c>
      <c r="Q712" s="157">
        <v>22</v>
      </c>
      <c r="R712" s="109" t="s">
        <v>244</v>
      </c>
      <c r="S712" s="110">
        <v>136992.51999999999</v>
      </c>
      <c r="T712" s="93">
        <v>138623.07999999999</v>
      </c>
      <c r="U712" s="857"/>
      <c r="V712" s="158">
        <f t="shared" si="430"/>
        <v>0</v>
      </c>
      <c r="W712" s="159">
        <v>45819.539583333331</v>
      </c>
      <c r="X712" s="159">
        <v>45825.582638888889</v>
      </c>
      <c r="Y712" s="160" t="s">
        <v>308</v>
      </c>
      <c r="Z712" s="470"/>
      <c r="AA712" s="470">
        <v>45839</v>
      </c>
      <c r="AB712" s="942">
        <v>45861.354166666664</v>
      </c>
      <c r="AC712" s="161">
        <f t="shared" si="445"/>
        <v>19.460416666668607</v>
      </c>
      <c r="AD712" s="161">
        <f t="shared" si="446"/>
        <v>13.417361111110949</v>
      </c>
      <c r="AE712" s="446">
        <f t="shared" si="447"/>
        <v>22.354166666664241</v>
      </c>
      <c r="AF712" s="160">
        <f t="shared" si="448"/>
        <v>45838.313776881718</v>
      </c>
      <c r="AG712" s="160">
        <f t="shared" si="449"/>
        <v>45847.120228494619</v>
      </c>
      <c r="AH712" s="159">
        <f t="shared" si="450"/>
        <v>45869.539583333331</v>
      </c>
      <c r="AI712" s="162">
        <f t="shared" si="451"/>
        <v>0.6703032407408076</v>
      </c>
      <c r="AJ712" s="224">
        <f t="shared" si="452"/>
        <v>0.37256944444440404</v>
      </c>
      <c r="AK712" s="225">
        <f t="shared" si="453"/>
        <v>20</v>
      </c>
      <c r="AL712" s="170">
        <f t="shared" si="454"/>
        <v>36</v>
      </c>
      <c r="AM712" s="170">
        <f t="shared" si="455"/>
        <v>21.774193548387096</v>
      </c>
      <c r="AN712" s="170">
        <f t="shared" si="456"/>
        <v>27.58064516129032</v>
      </c>
      <c r="AO712" s="226">
        <f t="shared" si="457"/>
        <v>18.774193548387096</v>
      </c>
      <c r="AP712" s="227">
        <v>60</v>
      </c>
      <c r="AQ712" s="228">
        <f t="shared" si="458"/>
        <v>57</v>
      </c>
      <c r="AR712" s="228">
        <f t="shared" si="459"/>
        <v>52</v>
      </c>
      <c r="AS712" s="229">
        <f t="shared" si="460"/>
        <v>45899</v>
      </c>
      <c r="AT712" s="982">
        <f t="shared" ca="1" si="440"/>
        <v>56</v>
      </c>
      <c r="AU712" s="50"/>
      <c r="AV712" s="51"/>
      <c r="AW712" s="49"/>
      <c r="AX712" s="49"/>
      <c r="AY712" s="49"/>
      <c r="AZ712" s="300"/>
      <c r="BA712" s="52"/>
      <c r="BB712" s="304"/>
      <c r="BC712" s="231" t="s">
        <v>14</v>
      </c>
      <c r="BD712" s="232"/>
      <c r="BE712" s="222">
        <f t="shared" si="461"/>
        <v>45854</v>
      </c>
      <c r="BF712" s="233" t="e">
        <f t="shared" si="462"/>
        <v>#VALUE!</v>
      </c>
      <c r="BG712" s="234"/>
      <c r="BH712" s="235"/>
      <c r="BI712" s="234"/>
      <c r="BJ712" s="236"/>
      <c r="BK712" s="222"/>
      <c r="BL712" s="222"/>
      <c r="BM712" s="238"/>
      <c r="BN712" s="222"/>
      <c r="BO712" s="222"/>
      <c r="BP712" s="243"/>
      <c r="BQ712" s="244"/>
      <c r="BR712" s="238"/>
      <c r="BS712" s="68"/>
      <c r="BT712" s="69"/>
      <c r="BU712" s="69"/>
      <c r="BV712" s="69"/>
      <c r="BW712" s="75"/>
      <c r="BX712" s="81"/>
      <c r="BY712" s="66"/>
      <c r="BZ712" s="944"/>
      <c r="CA712" s="42" t="str">
        <f t="shared" si="426"/>
        <v>0</v>
      </c>
      <c r="CB712" s="62">
        <f t="shared" si="427"/>
        <v>19.460416666668607</v>
      </c>
      <c r="CC712" s="42">
        <f t="shared" si="428"/>
        <v>0</v>
      </c>
      <c r="CD712" s="62">
        <f t="shared" si="441"/>
        <v>19.460416666668607</v>
      </c>
      <c r="CE712" s="62">
        <f t="shared" si="442"/>
        <v>0.6703032407408076</v>
      </c>
      <c r="CF712" s="145">
        <f t="shared" si="443"/>
        <v>30</v>
      </c>
      <c r="CG712" s="145"/>
      <c r="CH712" s="443">
        <f t="shared" si="421"/>
        <v>1.7036365740741408</v>
      </c>
      <c r="CI712" s="996">
        <f t="shared" si="444"/>
        <v>1.7036365740741408</v>
      </c>
      <c r="CJ712" s="261">
        <f t="shared" si="422"/>
        <v>0.5</v>
      </c>
      <c r="CK712" s="458" t="str">
        <f t="shared" si="423"/>
        <v/>
      </c>
      <c r="CL712" t="str">
        <f t="shared" si="424"/>
        <v>REV</v>
      </c>
      <c r="CM712" t="str">
        <f t="shared" si="425"/>
        <v/>
      </c>
      <c r="CN712" s="635"/>
      <c r="CO712" s="631"/>
      <c r="CP712" s="629"/>
      <c r="CQ712" s="635"/>
      <c r="CR712" s="697"/>
      <c r="CS712" s="633"/>
      <c r="CT712" s="635"/>
      <c r="CU712" s="631"/>
      <c r="CV712" s="638"/>
      <c r="CW712" s="853"/>
      <c r="CX712" s="856"/>
      <c r="CY712" s="856"/>
    </row>
    <row r="713" spans="1:103" s="1103" customFormat="1" ht="15" customHeight="1" x14ac:dyDescent="0.2">
      <c r="A713" s="242">
        <v>45831</v>
      </c>
      <c r="B713" s="222">
        <v>45833</v>
      </c>
      <c r="C713" s="852"/>
      <c r="D713" s="66" t="s">
        <v>284</v>
      </c>
      <c r="E713" s="404" t="s">
        <v>3507</v>
      </c>
      <c r="F713" s="95" t="s">
        <v>3508</v>
      </c>
      <c r="G713" s="95" t="s">
        <v>3509</v>
      </c>
      <c r="H713" s="95" t="s">
        <v>238</v>
      </c>
      <c r="I713" s="95" t="s">
        <v>239</v>
      </c>
      <c r="J713" s="854"/>
      <c r="K713" s="855"/>
      <c r="L713" s="101" t="s">
        <v>255</v>
      </c>
      <c r="M713" s="101" t="s">
        <v>555</v>
      </c>
      <c r="N713" s="442" t="s">
        <v>403</v>
      </c>
      <c r="O713" s="165">
        <v>20.350000000000001</v>
      </c>
      <c r="P713" s="165">
        <v>28.78</v>
      </c>
      <c r="Q713" s="157">
        <v>0</v>
      </c>
      <c r="R713" s="109" t="s">
        <v>319</v>
      </c>
      <c r="S713" s="110">
        <v>29818.48</v>
      </c>
      <c r="T713" s="93">
        <v>24762.87</v>
      </c>
      <c r="U713" s="857"/>
      <c r="V713" s="158">
        <f t="shared" si="430"/>
        <v>0</v>
      </c>
      <c r="W713" s="159">
        <v>45821.673020833332</v>
      </c>
      <c r="X713" s="159">
        <v>45831.365972222222</v>
      </c>
      <c r="Y713" s="160">
        <v>45833</v>
      </c>
      <c r="Z713" s="470"/>
      <c r="AA713" s="470"/>
      <c r="AB713" s="942"/>
      <c r="AC713" s="161">
        <f t="shared" si="445"/>
        <v>-45821.673020833332</v>
      </c>
      <c r="AD713" s="161">
        <f t="shared" si="446"/>
        <v>-45831.365972222222</v>
      </c>
      <c r="AE713" s="446">
        <f t="shared" si="447"/>
        <v>0</v>
      </c>
      <c r="AF713" s="160">
        <f t="shared" si="448"/>
        <v>45840.447214381718</v>
      </c>
      <c r="AG713" s="160">
        <f t="shared" si="449"/>
        <v>45849.25366599462</v>
      </c>
      <c r="AH713" s="159">
        <f t="shared" si="450"/>
        <v>45871.673020833332</v>
      </c>
      <c r="AI713" s="162">
        <f t="shared" si="451"/>
        <v>-1578.3020707175924</v>
      </c>
      <c r="AJ713" s="224">
        <f t="shared" si="452"/>
        <v>0</v>
      </c>
      <c r="AK713" s="225">
        <f t="shared" si="453"/>
        <v>20</v>
      </c>
      <c r="AL713" s="170">
        <f t="shared" si="454"/>
        <v>36</v>
      </c>
      <c r="AM713" s="170">
        <f t="shared" si="455"/>
        <v>21.774193548387096</v>
      </c>
      <c r="AN713" s="170">
        <f t="shared" si="456"/>
        <v>27.58064516129032</v>
      </c>
      <c r="AO713" s="226">
        <f t="shared" si="457"/>
        <v>18.774193548387096</v>
      </c>
      <c r="AP713" s="227">
        <v>60</v>
      </c>
      <c r="AQ713" s="228">
        <f t="shared" si="458"/>
        <v>57</v>
      </c>
      <c r="AR713" s="228">
        <f t="shared" si="459"/>
        <v>52</v>
      </c>
      <c r="AS713" s="229">
        <f t="shared" si="460"/>
        <v>60</v>
      </c>
      <c r="AT713" s="982">
        <f t="shared" ca="1" si="440"/>
        <v>45895</v>
      </c>
      <c r="AU713" s="1077"/>
      <c r="AV713" s="1092"/>
      <c r="AW713" s="1079"/>
      <c r="AX713" s="1079"/>
      <c r="AY713" s="1079"/>
      <c r="AZ713" s="1080"/>
      <c r="BA713" s="1101"/>
      <c r="BB713" s="1091"/>
      <c r="BC713" s="231"/>
      <c r="BD713" s="232"/>
      <c r="BE713" s="222">
        <f t="shared" si="461"/>
        <v>15</v>
      </c>
      <c r="BF713" s="233">
        <f t="shared" si="462"/>
        <v>0</v>
      </c>
      <c r="BG713" s="234"/>
      <c r="BH713" s="235"/>
      <c r="BI713" s="234"/>
      <c r="BJ713" s="236"/>
      <c r="BK713" s="222"/>
      <c r="BL713" s="222"/>
      <c r="BM713" s="238"/>
      <c r="BN713" s="222"/>
      <c r="BO713" s="222"/>
      <c r="BP713" s="243"/>
      <c r="BQ713" s="244"/>
      <c r="BR713" s="238"/>
      <c r="BS713" s="68"/>
      <c r="BT713" s="69"/>
      <c r="BU713" s="69"/>
      <c r="BV713" s="69"/>
      <c r="BW713" s="75"/>
      <c r="BX713" s="81"/>
      <c r="BY713" s="66" t="s">
        <v>308</v>
      </c>
      <c r="BZ713" s="944" t="s">
        <v>308</v>
      </c>
      <c r="CA713" s="42" t="str">
        <f t="shared" si="426"/>
        <v>0</v>
      </c>
      <c r="CB713" s="62">
        <f t="shared" si="427"/>
        <v>-45821.673020833332</v>
      </c>
      <c r="CC713" s="42">
        <f t="shared" si="428"/>
        <v>0</v>
      </c>
      <c r="CD713" s="62">
        <f t="shared" si="441"/>
        <v>-45821.673020833332</v>
      </c>
      <c r="CE713" s="62">
        <f t="shared" si="442"/>
        <v>-1578.3020707175924</v>
      </c>
      <c r="CF713" s="1059" t="str">
        <f t="shared" si="443"/>
        <v>0</v>
      </c>
      <c r="CG713" s="1059"/>
      <c r="CH713" s="1082">
        <f t="shared" si="421"/>
        <v>1.6301515046296764</v>
      </c>
      <c r="CI713" s="1083">
        <f t="shared" si="444"/>
        <v>1.6301515046296764</v>
      </c>
      <c r="CJ713" s="1084">
        <f t="shared" si="422"/>
        <v>0</v>
      </c>
      <c r="CK713" s="1085">
        <f t="shared" si="423"/>
        <v>34.326979166668025</v>
      </c>
      <c r="CL713" s="1057" t="str">
        <f t="shared" si="424"/>
        <v>NON-REV</v>
      </c>
      <c r="CM713" s="1057" t="str">
        <f t="shared" si="425"/>
        <v>0-3 MONTHS</v>
      </c>
      <c r="CN713" s="1086"/>
      <c r="CO713" s="1087"/>
      <c r="CP713" s="629"/>
      <c r="CQ713" s="1086"/>
      <c r="CR713" s="1088"/>
      <c r="CS713" s="1089"/>
      <c r="CT713" s="1086"/>
      <c r="CU713" s="1087"/>
      <c r="CV713" s="1090"/>
      <c r="CW713" s="853"/>
      <c r="CX713" s="856"/>
      <c r="CY713" s="856"/>
    </row>
    <row r="714" spans="1:103" s="1103" customFormat="1" ht="15" customHeight="1" x14ac:dyDescent="0.2">
      <c r="A714" s="242">
        <v>45831</v>
      </c>
      <c r="B714" s="222">
        <v>45833</v>
      </c>
      <c r="C714" s="852"/>
      <c r="D714" s="66" t="s">
        <v>284</v>
      </c>
      <c r="E714" s="404" t="s">
        <v>3510</v>
      </c>
      <c r="F714" s="95" t="s">
        <v>3511</v>
      </c>
      <c r="G714" s="95" t="s">
        <v>3512</v>
      </c>
      <c r="H714" s="95" t="s">
        <v>238</v>
      </c>
      <c r="I714" s="95" t="s">
        <v>239</v>
      </c>
      <c r="J714" s="1134" t="s">
        <v>3484</v>
      </c>
      <c r="K714" s="855"/>
      <c r="L714" s="101" t="s">
        <v>255</v>
      </c>
      <c r="M714" s="101" t="s">
        <v>331</v>
      </c>
      <c r="N714" s="442" t="s">
        <v>403</v>
      </c>
      <c r="O714" s="165">
        <v>55.009500000000003</v>
      </c>
      <c r="P714" s="165">
        <v>169.28</v>
      </c>
      <c r="Q714" s="157">
        <v>170</v>
      </c>
      <c r="R714" s="109" t="s">
        <v>244</v>
      </c>
      <c r="S714" s="110">
        <v>829725.58</v>
      </c>
      <c r="T714" s="93">
        <v>78190.450000000012</v>
      </c>
      <c r="U714" s="857"/>
      <c r="V714" s="158">
        <f t="shared" si="430"/>
        <v>0</v>
      </c>
      <c r="W714" s="159">
        <v>45821.667916666665</v>
      </c>
      <c r="X714" s="159">
        <v>45828.576388888891</v>
      </c>
      <c r="Y714" s="160">
        <v>45833</v>
      </c>
      <c r="Z714" s="470"/>
      <c r="AA714" s="470"/>
      <c r="AB714" s="942"/>
      <c r="AC714" s="161">
        <f t="shared" si="445"/>
        <v>-45821.667916666665</v>
      </c>
      <c r="AD714" s="161">
        <f t="shared" si="446"/>
        <v>-45828.576388888891</v>
      </c>
      <c r="AE714" s="446">
        <f t="shared" si="447"/>
        <v>0</v>
      </c>
      <c r="AF714" s="160">
        <f t="shared" si="448"/>
        <v>45841.113959832132</v>
      </c>
      <c r="AG714" s="160">
        <f t="shared" si="449"/>
        <v>45850.099571342922</v>
      </c>
      <c r="AH714" s="159">
        <f t="shared" si="450"/>
        <v>45871.667916666665</v>
      </c>
      <c r="AI714" s="162">
        <f t="shared" si="451"/>
        <v>-1531.0605385616986</v>
      </c>
      <c r="AJ714" s="224">
        <f t="shared" si="452"/>
        <v>0</v>
      </c>
      <c r="AK714" s="225">
        <f t="shared" si="453"/>
        <v>26</v>
      </c>
      <c r="AL714" s="170">
        <f t="shared" si="454"/>
        <v>32</v>
      </c>
      <c r="AM714" s="170">
        <f t="shared" si="455"/>
        <v>22.446043165467625</v>
      </c>
      <c r="AN714" s="170">
        <f t="shared" si="456"/>
        <v>28.431654676258994</v>
      </c>
      <c r="AO714" s="226">
        <f t="shared" si="457"/>
        <v>19.446043165467625</v>
      </c>
      <c r="AP714" s="227">
        <v>60</v>
      </c>
      <c r="AQ714" s="228">
        <f t="shared" si="458"/>
        <v>57</v>
      </c>
      <c r="AR714" s="228">
        <f t="shared" si="459"/>
        <v>52</v>
      </c>
      <c r="AS714" s="229">
        <f t="shared" si="460"/>
        <v>60</v>
      </c>
      <c r="AT714" s="982">
        <f t="shared" ca="1" si="440"/>
        <v>45895</v>
      </c>
      <c r="AU714" s="1077" t="s">
        <v>50</v>
      </c>
      <c r="AV714" s="1092" t="s">
        <v>247</v>
      </c>
      <c r="AW714" s="1079" t="s">
        <v>247</v>
      </c>
      <c r="AX714" s="1079"/>
      <c r="AY714" s="1079"/>
      <c r="AZ714" s="1080">
        <v>45832</v>
      </c>
      <c r="BA714" s="1101">
        <v>34</v>
      </c>
      <c r="BB714" s="1091">
        <v>45866</v>
      </c>
      <c r="BC714" s="231"/>
      <c r="BD714" s="232"/>
      <c r="BE714" s="222">
        <f t="shared" si="461"/>
        <v>15</v>
      </c>
      <c r="BF714" s="233">
        <f t="shared" si="462"/>
        <v>0</v>
      </c>
      <c r="BG714" s="234"/>
      <c r="BH714" s="235"/>
      <c r="BI714" s="234"/>
      <c r="BJ714" s="236"/>
      <c r="BK714" s="222"/>
      <c r="BL714" s="222"/>
      <c r="BM714" s="238"/>
      <c r="BN714" s="222"/>
      <c r="BO714" s="222"/>
      <c r="BP714" s="243"/>
      <c r="BQ714" s="244"/>
      <c r="BR714" s="238"/>
      <c r="BS714" s="68"/>
      <c r="BT714" s="69"/>
      <c r="BU714" s="69"/>
      <c r="BV714" s="69"/>
      <c r="BW714" s="75"/>
      <c r="BX714" s="81"/>
      <c r="BY714" s="66"/>
      <c r="BZ714" s="944"/>
      <c r="CA714" s="42" t="str">
        <f t="shared" si="426"/>
        <v>0</v>
      </c>
      <c r="CB714" s="62">
        <f t="shared" si="427"/>
        <v>-45821.667916666665</v>
      </c>
      <c r="CC714" s="42">
        <f t="shared" si="428"/>
        <v>34</v>
      </c>
      <c r="CD714" s="62">
        <f t="shared" si="441"/>
        <v>-45855.667916666665</v>
      </c>
      <c r="CE714" s="62">
        <f t="shared" si="442"/>
        <v>-1532.1965962540062</v>
      </c>
      <c r="CF714" s="1059" t="str">
        <f t="shared" si="443"/>
        <v>0</v>
      </c>
      <c r="CG714" s="1059"/>
      <c r="CH714" s="1082">
        <f t="shared" si="421"/>
        <v>1.5815287459936318</v>
      </c>
      <c r="CI714" s="1083">
        <f t="shared" si="444"/>
        <v>1.5815287459936318</v>
      </c>
      <c r="CJ714" s="1084">
        <f t="shared" si="422"/>
        <v>0</v>
      </c>
      <c r="CK714" s="1085">
        <f t="shared" si="423"/>
        <v>34.332083333334594</v>
      </c>
      <c r="CL714" s="1057" t="str">
        <f t="shared" si="424"/>
        <v>REV</v>
      </c>
      <c r="CM714" s="1057" t="str">
        <f t="shared" si="425"/>
        <v>0-3 MONTHS</v>
      </c>
      <c r="CN714" s="1086"/>
      <c r="CO714" s="1087"/>
      <c r="CP714" s="629"/>
      <c r="CQ714" s="1086"/>
      <c r="CR714" s="1088"/>
      <c r="CS714" s="1089"/>
      <c r="CT714" s="1086"/>
      <c r="CU714" s="1087"/>
      <c r="CV714" s="1090"/>
      <c r="CW714" s="853"/>
      <c r="CX714" s="856"/>
      <c r="CY714" s="856"/>
    </row>
    <row r="715" spans="1:103" s="359" customFormat="1" ht="15" customHeight="1" x14ac:dyDescent="0.25">
      <c r="A715" s="242">
        <v>45831</v>
      </c>
      <c r="B715" s="222">
        <v>45833</v>
      </c>
      <c r="C715" s="852"/>
      <c r="D715" s="66" t="s">
        <v>284</v>
      </c>
      <c r="E715" s="404" t="s">
        <v>3513</v>
      </c>
      <c r="F715" s="95" t="s">
        <v>3514</v>
      </c>
      <c r="G715" s="95" t="s">
        <v>3515</v>
      </c>
      <c r="H715" s="95" t="s">
        <v>238</v>
      </c>
      <c r="I715" s="95" t="s">
        <v>239</v>
      </c>
      <c r="J715" s="1134" t="s">
        <v>2981</v>
      </c>
      <c r="K715" s="855"/>
      <c r="L715" s="101" t="s">
        <v>288</v>
      </c>
      <c r="M715" s="101" t="s">
        <v>272</v>
      </c>
      <c r="N715" s="442" t="s">
        <v>381</v>
      </c>
      <c r="O715" s="165">
        <v>80.507999999999996</v>
      </c>
      <c r="P715" s="165">
        <v>243.39</v>
      </c>
      <c r="Q715" s="157">
        <v>226</v>
      </c>
      <c r="R715" s="109" t="s">
        <v>244</v>
      </c>
      <c r="S715" s="110">
        <v>1028667.62</v>
      </c>
      <c r="T715" s="93">
        <v>141894.62000000002</v>
      </c>
      <c r="U715" s="857"/>
      <c r="V715" s="158">
        <f t="shared" si="430"/>
        <v>0</v>
      </c>
      <c r="W715" s="159">
        <v>45821.665532407409</v>
      </c>
      <c r="X715" s="159">
        <v>45828.577777777777</v>
      </c>
      <c r="Y715" s="160">
        <v>45833</v>
      </c>
      <c r="Z715" s="470"/>
      <c r="AA715" s="470">
        <v>45882</v>
      </c>
      <c r="AB715" s="942"/>
      <c r="AC715" s="161">
        <f t="shared" si="445"/>
        <v>60.334467592590954</v>
      </c>
      <c r="AD715" s="161">
        <f t="shared" si="446"/>
        <v>53.422222222223354</v>
      </c>
      <c r="AE715" s="446">
        <f t="shared" si="447"/>
        <v>-45882</v>
      </c>
      <c r="AF715" s="160">
        <f t="shared" si="448"/>
        <v>45840.693504435381</v>
      </c>
      <c r="AG715" s="160">
        <f t="shared" si="449"/>
        <v>45849.56763030951</v>
      </c>
      <c r="AH715" s="159">
        <f t="shared" si="450"/>
        <v>45871.665532407409</v>
      </c>
      <c r="AI715" s="162">
        <f t="shared" si="451"/>
        <v>2.054244968033454</v>
      </c>
      <c r="AJ715" s="224">
        <f t="shared" si="452"/>
        <v>-764.7</v>
      </c>
      <c r="AK715" s="225">
        <f t="shared" si="453"/>
        <v>28</v>
      </c>
      <c r="AL715" s="170">
        <f t="shared" si="454"/>
        <v>30</v>
      </c>
      <c r="AM715" s="170">
        <f t="shared" si="455"/>
        <v>22.027972027972027</v>
      </c>
      <c r="AN715" s="170">
        <f t="shared" si="456"/>
        <v>27.9020979020979</v>
      </c>
      <c r="AO715" s="226">
        <f t="shared" si="457"/>
        <v>19.027972027972027</v>
      </c>
      <c r="AP715" s="227">
        <v>60</v>
      </c>
      <c r="AQ715" s="228">
        <f t="shared" si="458"/>
        <v>57</v>
      </c>
      <c r="AR715" s="228">
        <f t="shared" si="459"/>
        <v>52</v>
      </c>
      <c r="AS715" s="229">
        <f t="shared" si="460"/>
        <v>45942</v>
      </c>
      <c r="AT715" s="982">
        <f t="shared" ca="1" si="440"/>
        <v>13</v>
      </c>
      <c r="AU715" s="50" t="s">
        <v>3516</v>
      </c>
      <c r="AV715" s="51" t="s">
        <v>247</v>
      </c>
      <c r="AW715" s="49" t="s">
        <v>247</v>
      </c>
      <c r="AX715" s="49"/>
      <c r="AY715" s="49"/>
      <c r="AZ715" s="300">
        <v>45832</v>
      </c>
      <c r="BA715" s="52">
        <f>BB715-AZ715</f>
        <v>44</v>
      </c>
      <c r="BB715" s="304">
        <v>45876</v>
      </c>
      <c r="BC715" s="231"/>
      <c r="BD715" s="232"/>
      <c r="BE715" s="222">
        <f t="shared" si="461"/>
        <v>45897</v>
      </c>
      <c r="BF715" s="233" t="e">
        <f t="shared" si="462"/>
        <v>#VALUE!</v>
      </c>
      <c r="BG715" s="234"/>
      <c r="BH715" s="235"/>
      <c r="BI715" s="234"/>
      <c r="BJ715" s="236"/>
      <c r="BK715" s="222"/>
      <c r="BL715" s="222"/>
      <c r="BM715" s="238"/>
      <c r="BN715" s="222"/>
      <c r="BO715" s="222"/>
      <c r="BP715" s="243"/>
      <c r="BQ715" s="244"/>
      <c r="BR715" s="238"/>
      <c r="BS715" s="68"/>
      <c r="BT715" s="69"/>
      <c r="BU715" s="69"/>
      <c r="BV715" s="69"/>
      <c r="BW715" s="75"/>
      <c r="BX715" s="81"/>
      <c r="BY715" s="66"/>
      <c r="BZ715" s="944"/>
      <c r="CA715" s="42" t="str">
        <f t="shared" si="426"/>
        <v>0</v>
      </c>
      <c r="CB715" s="62">
        <f t="shared" si="427"/>
        <v>60.334467592590954</v>
      </c>
      <c r="CC715" s="42">
        <f t="shared" si="428"/>
        <v>44</v>
      </c>
      <c r="CD715" s="62">
        <f t="shared" si="441"/>
        <v>16.334467592590954</v>
      </c>
      <c r="CE715" s="62">
        <f t="shared" si="442"/>
        <v>0.55614972993821576</v>
      </c>
      <c r="CF715" s="145">
        <f t="shared" si="443"/>
        <v>-13</v>
      </c>
      <c r="CG715" s="145"/>
      <c r="CH715" s="443">
        <f t="shared" si="421"/>
        <v>1.6116259204144061</v>
      </c>
      <c r="CI715" s="996">
        <f t="shared" si="444"/>
        <v>1.6116259204144061</v>
      </c>
      <c r="CJ715" s="261">
        <f t="shared" si="422"/>
        <v>-0.21666666666666667</v>
      </c>
      <c r="CK715" s="458" t="str">
        <f t="shared" si="423"/>
        <v/>
      </c>
      <c r="CL715" t="str">
        <f t="shared" si="424"/>
        <v>REV</v>
      </c>
      <c r="CM715" t="str">
        <f t="shared" si="425"/>
        <v/>
      </c>
      <c r="CN715" s="635"/>
      <c r="CO715" s="631"/>
      <c r="CP715" s="629"/>
      <c r="CQ715" s="635"/>
      <c r="CR715" s="697"/>
      <c r="CS715" s="633"/>
      <c r="CT715" s="635"/>
      <c r="CU715" s="631"/>
      <c r="CV715" s="638"/>
      <c r="CW715" s="853"/>
      <c r="CX715" s="856"/>
      <c r="CY715" s="856"/>
    </row>
    <row r="716" spans="1:103" s="359" customFormat="1" ht="15" customHeight="1" x14ac:dyDescent="0.25">
      <c r="A716" s="242">
        <v>45854</v>
      </c>
      <c r="B716" s="222">
        <v>45834</v>
      </c>
      <c r="C716" s="852"/>
      <c r="D716" s="66" t="s">
        <v>234</v>
      </c>
      <c r="E716" s="404" t="s">
        <v>3517</v>
      </c>
      <c r="F716" s="95" t="s">
        <v>1527</v>
      </c>
      <c r="G716" s="95" t="s">
        <v>3518</v>
      </c>
      <c r="H716" s="95" t="s">
        <v>269</v>
      </c>
      <c r="I716" s="95" t="s">
        <v>239</v>
      </c>
      <c r="J716" s="854" t="s">
        <v>3519</v>
      </c>
      <c r="K716" s="855"/>
      <c r="L716" s="101" t="s">
        <v>242</v>
      </c>
      <c r="M716" s="101" t="s">
        <v>272</v>
      </c>
      <c r="N716" s="442" t="s">
        <v>467</v>
      </c>
      <c r="O716" s="165">
        <v>71.39</v>
      </c>
      <c r="P716" s="165">
        <v>91.67</v>
      </c>
      <c r="Q716" s="157">
        <v>50</v>
      </c>
      <c r="R716" s="109" t="s">
        <v>548</v>
      </c>
      <c r="S716" s="110">
        <v>333572.57</v>
      </c>
      <c r="T716" s="93"/>
      <c r="U716" s="857"/>
      <c r="V716" s="158" t="e">
        <f t="shared" si="430"/>
        <v>#DIV/0!</v>
      </c>
      <c r="W716" s="159">
        <v>45825.331053240741</v>
      </c>
      <c r="X716" s="159">
        <v>45833.432638888888</v>
      </c>
      <c r="Y716" s="160">
        <v>45834</v>
      </c>
      <c r="Z716" s="470"/>
      <c r="AA716" s="470">
        <v>45868</v>
      </c>
      <c r="AB716" s="942"/>
      <c r="AC716" s="161">
        <f t="shared" si="445"/>
        <v>42.668946759258688</v>
      </c>
      <c r="AD716" s="161">
        <f t="shared" si="446"/>
        <v>34.567361111112405</v>
      </c>
      <c r="AE716" s="446">
        <f t="shared" si="447"/>
        <v>-45868</v>
      </c>
      <c r="AF716" s="160">
        <f t="shared" si="448"/>
        <v>45845.41655509948</v>
      </c>
      <c r="AG716" s="160">
        <f t="shared" si="449"/>
        <v>45854.572688928471</v>
      </c>
      <c r="AH716" s="159">
        <f t="shared" si="450"/>
        <v>45875.331053240741</v>
      </c>
      <c r="AI716" s="162">
        <f t="shared" si="451"/>
        <v>1.3862254442319548</v>
      </c>
      <c r="AJ716" s="224">
        <f t="shared" si="452"/>
        <v>-764.4666666666667</v>
      </c>
      <c r="AK716" s="225">
        <f t="shared" si="453"/>
        <v>23</v>
      </c>
      <c r="AL716" s="170">
        <f t="shared" si="454"/>
        <v>36</v>
      </c>
      <c r="AM716" s="170">
        <f t="shared" si="455"/>
        <v>23.085501858736059</v>
      </c>
      <c r="AN716" s="170">
        <f t="shared" si="456"/>
        <v>29.241635687732341</v>
      </c>
      <c r="AO716" s="226">
        <f t="shared" si="457"/>
        <v>20.085501858736059</v>
      </c>
      <c r="AP716" s="227">
        <v>60</v>
      </c>
      <c r="AQ716" s="228">
        <f t="shared" si="458"/>
        <v>57</v>
      </c>
      <c r="AR716" s="228">
        <f t="shared" si="459"/>
        <v>52</v>
      </c>
      <c r="AS716" s="229">
        <f t="shared" si="460"/>
        <v>45928</v>
      </c>
      <c r="AT716" s="982">
        <f t="shared" ca="1" si="440"/>
        <v>27</v>
      </c>
      <c r="AU716" s="50"/>
      <c r="AV716" s="51"/>
      <c r="AW716" s="49"/>
      <c r="AX716" s="49"/>
      <c r="AY716" s="49"/>
      <c r="AZ716" s="300"/>
      <c r="BA716" s="52"/>
      <c r="BB716" s="304"/>
      <c r="BC716" s="231" t="s">
        <v>13</v>
      </c>
      <c r="BD716" s="232"/>
      <c r="BE716" s="222">
        <f t="shared" si="461"/>
        <v>45883</v>
      </c>
      <c r="BF716" s="233" t="e">
        <f t="shared" si="462"/>
        <v>#VALUE!</v>
      </c>
      <c r="BG716" s="234"/>
      <c r="BH716" s="235"/>
      <c r="BI716" s="234"/>
      <c r="BJ716" s="236"/>
      <c r="BK716" s="222"/>
      <c r="BL716" s="222"/>
      <c r="BM716" s="238"/>
      <c r="BN716" s="222"/>
      <c r="BO716" s="222"/>
      <c r="BP716" s="243"/>
      <c r="BQ716" s="244"/>
      <c r="BR716" s="238"/>
      <c r="BS716" s="68"/>
      <c r="BT716" s="69"/>
      <c r="BU716" s="69"/>
      <c r="BV716" s="69"/>
      <c r="BW716" s="75"/>
      <c r="BX716" s="81"/>
      <c r="BY716" s="66"/>
      <c r="BZ716" s="944"/>
      <c r="CA716" s="42" t="str">
        <f t="shared" si="426"/>
        <v>0</v>
      </c>
      <c r="CB716" s="62">
        <f t="shared" si="427"/>
        <v>42.668946759258688</v>
      </c>
      <c r="CC716" s="42">
        <f t="shared" si="428"/>
        <v>0</v>
      </c>
      <c r="CD716" s="62">
        <f t="shared" si="441"/>
        <v>42.668946759258688</v>
      </c>
      <c r="CE716" s="62">
        <f t="shared" si="442"/>
        <v>1.3862254442319548</v>
      </c>
      <c r="CF716" s="145">
        <f t="shared" si="443"/>
        <v>1</v>
      </c>
      <c r="CG716" s="145"/>
      <c r="CH716" s="443">
        <f t="shared" si="421"/>
        <v>1.4187133669372689</v>
      </c>
      <c r="CI716" s="996">
        <f t="shared" si="444"/>
        <v>1.4187133669372689</v>
      </c>
      <c r="CJ716" s="261">
        <f t="shared" si="422"/>
        <v>1.6666666666666666E-2</v>
      </c>
      <c r="CK716" s="458" t="str">
        <f t="shared" si="423"/>
        <v/>
      </c>
      <c r="CL716" t="str">
        <f t="shared" si="424"/>
        <v>NON-REV</v>
      </c>
      <c r="CM716" t="str">
        <f t="shared" si="425"/>
        <v/>
      </c>
      <c r="CN716" s="635"/>
      <c r="CO716" s="631"/>
      <c r="CP716" s="629"/>
      <c r="CQ716" s="635"/>
      <c r="CR716" s="697"/>
      <c r="CS716" s="633"/>
      <c r="CT716" s="635"/>
      <c r="CU716" s="631"/>
      <c r="CV716" s="638"/>
      <c r="CW716" s="853"/>
      <c r="CX716" s="856"/>
      <c r="CY716" s="856"/>
    </row>
    <row r="717" spans="1:103" s="359" customFormat="1" ht="15" customHeight="1" x14ac:dyDescent="0.25">
      <c r="A717" s="242">
        <v>45838</v>
      </c>
      <c r="B717" s="222">
        <v>45834</v>
      </c>
      <c r="C717" s="852"/>
      <c r="D717" s="66" t="s">
        <v>320</v>
      </c>
      <c r="E717" s="404" t="s">
        <v>3520</v>
      </c>
      <c r="F717" s="95" t="s">
        <v>3521</v>
      </c>
      <c r="G717" s="95" t="s">
        <v>3522</v>
      </c>
      <c r="H717" s="95" t="s">
        <v>238</v>
      </c>
      <c r="I717" s="95" t="s">
        <v>239</v>
      </c>
      <c r="J717" s="854"/>
      <c r="K717" s="855"/>
      <c r="L717" s="101" t="s">
        <v>242</v>
      </c>
      <c r="M717" s="101" t="s">
        <v>272</v>
      </c>
      <c r="N717" s="442" t="s">
        <v>467</v>
      </c>
      <c r="O717" s="165">
        <v>124.91</v>
      </c>
      <c r="P717" s="165">
        <v>281.47000000000003</v>
      </c>
      <c r="Q717" s="157">
        <v>150</v>
      </c>
      <c r="R717" s="109" t="s">
        <v>244</v>
      </c>
      <c r="S717" s="110">
        <v>856243.05</v>
      </c>
      <c r="T717" s="93">
        <v>107326.76000000002</v>
      </c>
      <c r="U717" s="857"/>
      <c r="V717" s="158">
        <f t="shared" si="430"/>
        <v>0</v>
      </c>
      <c r="W717" s="159">
        <v>45824.599027777775</v>
      </c>
      <c r="X717" s="159">
        <v>45833.433333333334</v>
      </c>
      <c r="Y717" s="160">
        <v>45834</v>
      </c>
      <c r="Z717" s="470"/>
      <c r="AA717" s="470">
        <v>45878.473611111112</v>
      </c>
      <c r="AB717" s="942"/>
      <c r="AC717" s="161">
        <f t="shared" si="445"/>
        <v>53.874583333337796</v>
      </c>
      <c r="AD717" s="161">
        <f t="shared" si="446"/>
        <v>45.040277777778101</v>
      </c>
      <c r="AE717" s="446">
        <f t="shared" si="447"/>
        <v>-45878.473611111112</v>
      </c>
      <c r="AF717" s="160">
        <f t="shared" si="448"/>
        <v>45844.612726407911</v>
      </c>
      <c r="AG717" s="160">
        <f t="shared" si="449"/>
        <v>45853.749712709279</v>
      </c>
      <c r="AH717" s="159">
        <f t="shared" si="450"/>
        <v>45874.599027777775</v>
      </c>
      <c r="AI717" s="162">
        <f t="shared" si="451"/>
        <v>1.7557341889882405</v>
      </c>
      <c r="AJ717" s="224">
        <f t="shared" si="452"/>
        <v>-764.64122685185191</v>
      </c>
      <c r="AK717" s="225">
        <f t="shared" si="453"/>
        <v>28</v>
      </c>
      <c r="AL717" s="170">
        <f t="shared" si="454"/>
        <v>32</v>
      </c>
      <c r="AM717" s="170">
        <f t="shared" si="455"/>
        <v>23.013698630136989</v>
      </c>
      <c r="AN717" s="170">
        <f t="shared" si="456"/>
        <v>29.150684931506852</v>
      </c>
      <c r="AO717" s="226">
        <f t="shared" si="457"/>
        <v>20.013698630136989</v>
      </c>
      <c r="AP717" s="227">
        <v>60</v>
      </c>
      <c r="AQ717" s="228">
        <f t="shared" si="458"/>
        <v>57</v>
      </c>
      <c r="AR717" s="228">
        <f t="shared" si="459"/>
        <v>52</v>
      </c>
      <c r="AS717" s="229">
        <f t="shared" si="460"/>
        <v>45938.473611111112</v>
      </c>
      <c r="AT717" s="982">
        <f t="shared" ca="1" si="440"/>
        <v>16.526388888887595</v>
      </c>
      <c r="AU717" s="50"/>
      <c r="AV717" s="51"/>
      <c r="AW717" s="49"/>
      <c r="AX717" s="49"/>
      <c r="AY717" s="49"/>
      <c r="AZ717" s="300"/>
      <c r="BA717" s="52"/>
      <c r="BB717" s="304"/>
      <c r="BC717" s="231" t="s">
        <v>13</v>
      </c>
      <c r="BD717" s="232"/>
      <c r="BE717" s="222">
        <f t="shared" si="461"/>
        <v>45893.473611111112</v>
      </c>
      <c r="BF717" s="233" t="e">
        <f t="shared" si="462"/>
        <v>#VALUE!</v>
      </c>
      <c r="BG717" s="234"/>
      <c r="BH717" s="235"/>
      <c r="BI717" s="234"/>
      <c r="BJ717" s="236"/>
      <c r="BK717" s="222"/>
      <c r="BL717" s="222"/>
      <c r="BM717" s="238"/>
      <c r="BN717" s="222"/>
      <c r="BO717" s="222"/>
      <c r="BP717" s="243"/>
      <c r="BQ717" s="244"/>
      <c r="BR717" s="238"/>
      <c r="BS717" s="68"/>
      <c r="BT717" s="69"/>
      <c r="BU717" s="69"/>
      <c r="BV717" s="69"/>
      <c r="BW717" s="75"/>
      <c r="BX717" s="81"/>
      <c r="BY717" s="66">
        <v>45839</v>
      </c>
      <c r="BZ717" s="944" t="s">
        <v>3523</v>
      </c>
      <c r="CA717" s="42" t="str">
        <f t="shared" si="426"/>
        <v>0</v>
      </c>
      <c r="CB717" s="62">
        <f t="shared" si="427"/>
        <v>53.874583333337796</v>
      </c>
      <c r="CC717" s="42">
        <f t="shared" si="428"/>
        <v>0</v>
      </c>
      <c r="CD717" s="62">
        <f t="shared" si="441"/>
        <v>53.874583333337796</v>
      </c>
      <c r="CE717" s="62">
        <f t="shared" si="442"/>
        <v>1.7557341889882405</v>
      </c>
      <c r="CF717" s="145">
        <f t="shared" si="443"/>
        <v>-9.4736111111124046</v>
      </c>
      <c r="CG717" s="145"/>
      <c r="CH717" s="443">
        <f t="shared" si="421"/>
        <v>1.4469959697421668</v>
      </c>
      <c r="CI717" s="996">
        <f t="shared" si="444"/>
        <v>1.4469959697421668</v>
      </c>
      <c r="CJ717" s="261">
        <f t="shared" si="422"/>
        <v>-0.15789351851854008</v>
      </c>
      <c r="CK717" s="458" t="str">
        <f t="shared" si="423"/>
        <v/>
      </c>
      <c r="CL717" t="str">
        <f t="shared" si="424"/>
        <v>REV</v>
      </c>
      <c r="CM717" t="str">
        <f t="shared" si="425"/>
        <v/>
      </c>
      <c r="CN717" s="635"/>
      <c r="CO717" s="631"/>
      <c r="CP717" s="629"/>
      <c r="CQ717" s="635"/>
      <c r="CR717" s="697"/>
      <c r="CS717" s="633"/>
      <c r="CT717" s="635"/>
      <c r="CU717" s="631"/>
      <c r="CV717" s="638"/>
      <c r="CW717" s="853"/>
      <c r="CX717" s="856"/>
      <c r="CY717" s="856"/>
    </row>
    <row r="718" spans="1:103" s="359" customFormat="1" ht="15" customHeight="1" x14ac:dyDescent="0.25">
      <c r="A718" s="242">
        <v>45834</v>
      </c>
      <c r="B718" s="222">
        <v>45834</v>
      </c>
      <c r="C718" s="852"/>
      <c r="D718" s="66" t="s">
        <v>320</v>
      </c>
      <c r="E718" s="404" t="s">
        <v>3524</v>
      </c>
      <c r="F718" s="95" t="s">
        <v>3525</v>
      </c>
      <c r="G718" s="95" t="s">
        <v>3526</v>
      </c>
      <c r="H718" s="95" t="s">
        <v>253</v>
      </c>
      <c r="I718" s="95" t="s">
        <v>254</v>
      </c>
      <c r="J718" s="854"/>
      <c r="K718" s="855"/>
      <c r="L718" s="101" t="s">
        <v>263</v>
      </c>
      <c r="M718" s="101" t="s">
        <v>331</v>
      </c>
      <c r="N718" s="442" t="s">
        <v>467</v>
      </c>
      <c r="O718" s="165">
        <v>268.32</v>
      </c>
      <c r="P718" s="165">
        <v>812.1</v>
      </c>
      <c r="Q718" s="157">
        <v>22.5</v>
      </c>
      <c r="R718" s="109" t="s">
        <v>244</v>
      </c>
      <c r="S718" s="110">
        <v>1282397.3899999999</v>
      </c>
      <c r="T718" s="93">
        <v>230146.57000000007</v>
      </c>
      <c r="U718" s="857"/>
      <c r="V718" s="158">
        <f t="shared" si="430"/>
        <v>0</v>
      </c>
      <c r="W718" s="159">
        <v>45824.609340277777</v>
      </c>
      <c r="X718" s="159">
        <v>45833.438888888886</v>
      </c>
      <c r="Y718" s="160">
        <v>45834</v>
      </c>
      <c r="Z718" s="470"/>
      <c r="AA718" s="470"/>
      <c r="AB718" s="942"/>
      <c r="AC718" s="161">
        <f t="shared" si="445"/>
        <v>-45824.609340277777</v>
      </c>
      <c r="AD718" s="161">
        <f t="shared" si="446"/>
        <v>-45833.438888888886</v>
      </c>
      <c r="AE718" s="446">
        <f t="shared" si="447"/>
        <v>0</v>
      </c>
      <c r="AF718" s="160">
        <f t="shared" si="448"/>
        <v>45849.444391824167</v>
      </c>
      <c r="AG718" s="160">
        <f t="shared" si="449"/>
        <v>45859.867072236542</v>
      </c>
      <c r="AH718" s="159">
        <f t="shared" si="450"/>
        <v>45874.609340277777</v>
      </c>
      <c r="AI718" s="162">
        <f t="shared" si="451"/>
        <v>-1234.7186405574844</v>
      </c>
      <c r="AJ718" s="224">
        <f t="shared" si="452"/>
        <v>0</v>
      </c>
      <c r="AK718" s="225">
        <f t="shared" si="453"/>
        <v>40</v>
      </c>
      <c r="AL718" s="170">
        <f t="shared" si="454"/>
        <v>36</v>
      </c>
      <c r="AM718" s="170">
        <f t="shared" si="455"/>
        <v>27.835051546391753</v>
      </c>
      <c r="AN718" s="170">
        <f t="shared" si="456"/>
        <v>35.257731958762882</v>
      </c>
      <c r="AO718" s="226">
        <f t="shared" si="457"/>
        <v>24.835051546391753</v>
      </c>
      <c r="AP718" s="227">
        <v>60</v>
      </c>
      <c r="AQ718" s="228">
        <f t="shared" si="458"/>
        <v>57</v>
      </c>
      <c r="AR718" s="228">
        <f t="shared" si="459"/>
        <v>52</v>
      </c>
      <c r="AS718" s="229">
        <f t="shared" si="460"/>
        <v>60</v>
      </c>
      <c r="AT718" s="982">
        <f t="shared" ca="1" si="440"/>
        <v>45895</v>
      </c>
      <c r="AU718" s="50"/>
      <c r="AV718" s="51"/>
      <c r="AW718" s="49"/>
      <c r="AX718" s="49"/>
      <c r="AY718" s="49"/>
      <c r="AZ718" s="300"/>
      <c r="BA718" s="52"/>
      <c r="BB718" s="304"/>
      <c r="BC718" s="231"/>
      <c r="BD718" s="232"/>
      <c r="BE718" s="222">
        <f t="shared" si="461"/>
        <v>15</v>
      </c>
      <c r="BF718" s="233">
        <f t="shared" si="462"/>
        <v>0</v>
      </c>
      <c r="BG718" s="234"/>
      <c r="BH718" s="235"/>
      <c r="BI718" s="234"/>
      <c r="BJ718" s="236"/>
      <c r="BK718" s="222"/>
      <c r="BL718" s="222"/>
      <c r="BM718" s="238"/>
      <c r="BN718" s="222"/>
      <c r="BO718" s="222"/>
      <c r="BP718" s="243"/>
      <c r="BQ718" s="244"/>
      <c r="BR718" s="238"/>
      <c r="BS718" s="68"/>
      <c r="BT718" s="69"/>
      <c r="BU718" s="69"/>
      <c r="BV718" s="69"/>
      <c r="BW718" s="75"/>
      <c r="BX718" s="81"/>
      <c r="BY718" s="66">
        <v>45856</v>
      </c>
      <c r="BZ718" s="944" t="s">
        <v>3527</v>
      </c>
      <c r="CA718" s="42" t="str">
        <f t="shared" si="426"/>
        <v>0</v>
      </c>
      <c r="CB718" s="62">
        <f t="shared" si="427"/>
        <v>-45824.609340277777</v>
      </c>
      <c r="CC718" s="42">
        <f t="shared" si="428"/>
        <v>0</v>
      </c>
      <c r="CD718" s="62">
        <f t="shared" si="441"/>
        <v>-45824.609340277777</v>
      </c>
      <c r="CE718" s="62">
        <f t="shared" si="442"/>
        <v>-1234.7186405574844</v>
      </c>
      <c r="CF718" s="145" t="str">
        <f t="shared" si="443"/>
        <v>0</v>
      </c>
      <c r="CG718" s="145"/>
      <c r="CH718" s="443">
        <f t="shared" si="421"/>
        <v>1.1960816647376769</v>
      </c>
      <c r="CI718" s="996">
        <f t="shared" si="444"/>
        <v>1.1960816647376769</v>
      </c>
      <c r="CJ718" s="261">
        <f t="shared" si="422"/>
        <v>0</v>
      </c>
      <c r="CK718" s="458">
        <f t="shared" si="423"/>
        <v>31.390659722223063</v>
      </c>
      <c r="CL718" t="str">
        <f t="shared" si="424"/>
        <v>REV</v>
      </c>
      <c r="CM718" t="str">
        <f t="shared" si="425"/>
        <v>0-3 MONTHS</v>
      </c>
      <c r="CN718" s="635"/>
      <c r="CO718" s="631"/>
      <c r="CP718" s="629"/>
      <c r="CQ718" s="635"/>
      <c r="CR718" s="697"/>
      <c r="CS718" s="633"/>
      <c r="CT718" s="635"/>
      <c r="CU718" s="631"/>
      <c r="CV718" s="638"/>
      <c r="CW718" s="853"/>
      <c r="CX718" s="856"/>
      <c r="CY718" s="856"/>
    </row>
    <row r="719" spans="1:103" s="359" customFormat="1" ht="15" customHeight="1" x14ac:dyDescent="0.25">
      <c r="A719" s="242">
        <v>45833</v>
      </c>
      <c r="B719" s="222">
        <v>45833</v>
      </c>
      <c r="C719" s="852"/>
      <c r="D719" s="66" t="s">
        <v>234</v>
      </c>
      <c r="E719" s="404" t="s">
        <v>3528</v>
      </c>
      <c r="F719" s="95" t="s">
        <v>3529</v>
      </c>
      <c r="G719" s="95" t="s">
        <v>3502</v>
      </c>
      <c r="H719" s="95" t="s">
        <v>1513</v>
      </c>
      <c r="I719" s="95" t="s">
        <v>239</v>
      </c>
      <c r="J719" s="854"/>
      <c r="K719" s="855"/>
      <c r="L719" s="101" t="s">
        <v>5</v>
      </c>
      <c r="M719" s="101" t="s">
        <v>272</v>
      </c>
      <c r="N719" s="442" t="s">
        <v>403</v>
      </c>
      <c r="O719" s="165">
        <v>303.45999999999998</v>
      </c>
      <c r="P719" s="165">
        <v>946.62</v>
      </c>
      <c r="Q719" s="157">
        <v>0</v>
      </c>
      <c r="R719" s="109" t="s">
        <v>327</v>
      </c>
      <c r="S719" s="110">
        <v>1474311.77</v>
      </c>
      <c r="T719" s="93"/>
      <c r="U719" s="857"/>
      <c r="V719" s="158" t="e">
        <f t="shared" si="430"/>
        <v>#DIV/0!</v>
      </c>
      <c r="W719" s="159">
        <v>45821.623611111114</v>
      </c>
      <c r="X719" s="159">
        <v>45824.639166666668</v>
      </c>
      <c r="Y719" s="160">
        <v>45833</v>
      </c>
      <c r="Z719" s="470"/>
      <c r="AA719" s="470">
        <v>45868</v>
      </c>
      <c r="AB719" s="942"/>
      <c r="AC719" s="161">
        <f t="shared" si="445"/>
        <v>46.37638888888614</v>
      </c>
      <c r="AD719" s="161">
        <f t="shared" si="446"/>
        <v>43.360833333332266</v>
      </c>
      <c r="AE719" s="446">
        <f t="shared" si="447"/>
        <v>-45868</v>
      </c>
      <c r="AF719" s="160">
        <f t="shared" si="448"/>
        <v>45846.458662657504</v>
      </c>
      <c r="AG719" s="160">
        <f t="shared" si="449"/>
        <v>45856.881343069879</v>
      </c>
      <c r="AH719" s="159">
        <f t="shared" si="450"/>
        <v>45871.623611111114</v>
      </c>
      <c r="AI719" s="162">
        <f t="shared" si="451"/>
        <v>1.2495860339505431</v>
      </c>
      <c r="AJ719" s="224">
        <f t="shared" si="452"/>
        <v>-764.4666666666667</v>
      </c>
      <c r="AK719" s="225">
        <f t="shared" si="453"/>
        <v>40</v>
      </c>
      <c r="AL719" s="170">
        <f t="shared" si="454"/>
        <v>36</v>
      </c>
      <c r="AM719" s="170">
        <f t="shared" si="455"/>
        <v>27.835051546391753</v>
      </c>
      <c r="AN719" s="170">
        <f t="shared" si="456"/>
        <v>35.257731958762882</v>
      </c>
      <c r="AO719" s="226">
        <f t="shared" si="457"/>
        <v>24.835051546391753</v>
      </c>
      <c r="AP719" s="227">
        <v>60</v>
      </c>
      <c r="AQ719" s="228">
        <f t="shared" si="458"/>
        <v>57</v>
      </c>
      <c r="AR719" s="228">
        <f t="shared" si="459"/>
        <v>52</v>
      </c>
      <c r="AS719" s="229">
        <f t="shared" si="460"/>
        <v>45928</v>
      </c>
      <c r="AT719" s="982">
        <f t="shared" ca="1" si="440"/>
        <v>27</v>
      </c>
      <c r="AU719" s="50"/>
      <c r="AV719" s="51"/>
      <c r="AW719" s="49"/>
      <c r="AX719" s="49"/>
      <c r="AY719" s="49"/>
      <c r="AZ719" s="300"/>
      <c r="BA719" s="52"/>
      <c r="BB719" s="304"/>
      <c r="BC719" s="231" t="s">
        <v>13</v>
      </c>
      <c r="BD719" s="232"/>
      <c r="BE719" s="222">
        <f t="shared" si="461"/>
        <v>45883</v>
      </c>
      <c r="BF719" s="233" t="e">
        <f t="shared" si="462"/>
        <v>#VALUE!</v>
      </c>
      <c r="BG719" s="234"/>
      <c r="BH719" s="235"/>
      <c r="BI719" s="234"/>
      <c r="BJ719" s="236"/>
      <c r="BK719" s="222"/>
      <c r="BL719" s="222"/>
      <c r="BM719" s="238"/>
      <c r="BN719" s="222"/>
      <c r="BO719" s="222"/>
      <c r="BP719" s="243"/>
      <c r="BQ719" s="244"/>
      <c r="BR719" s="238"/>
      <c r="BS719" s="68"/>
      <c r="BT719" s="69"/>
      <c r="BU719" s="69"/>
      <c r="BV719" s="69"/>
      <c r="BW719" s="75"/>
      <c r="BX719" s="81"/>
      <c r="BY719" s="66"/>
      <c r="BZ719" s="944"/>
      <c r="CA719" s="42" t="str">
        <f t="shared" si="426"/>
        <v>0</v>
      </c>
      <c r="CB719" s="62">
        <f t="shared" si="427"/>
        <v>46.37638888888614</v>
      </c>
      <c r="CC719" s="42">
        <f t="shared" si="428"/>
        <v>0</v>
      </c>
      <c r="CD719" s="62">
        <f t="shared" si="441"/>
        <v>46.37638888888614</v>
      </c>
      <c r="CE719" s="62">
        <f t="shared" si="442"/>
        <v>1.2495860339505431</v>
      </c>
      <c r="CF719" s="145">
        <f t="shared" si="443"/>
        <v>1</v>
      </c>
      <c r="CG719" s="145"/>
      <c r="CH719" s="443">
        <f t="shared" si="421"/>
        <v>1.2765304783949876</v>
      </c>
      <c r="CI719" s="996">
        <f t="shared" si="444"/>
        <v>1.2765304783949876</v>
      </c>
      <c r="CJ719" s="261">
        <f t="shared" si="422"/>
        <v>1.6666666666666666E-2</v>
      </c>
      <c r="CK719" s="458" t="str">
        <f t="shared" si="423"/>
        <v/>
      </c>
      <c r="CL719" t="str">
        <f t="shared" si="424"/>
        <v>NON-REV</v>
      </c>
      <c r="CM719" t="str">
        <f t="shared" si="425"/>
        <v/>
      </c>
      <c r="CN719" s="635"/>
      <c r="CO719" s="631"/>
      <c r="CP719" s="629"/>
      <c r="CQ719" s="635"/>
      <c r="CR719" s="697"/>
      <c r="CS719" s="633"/>
      <c r="CT719" s="635"/>
      <c r="CU719" s="631"/>
      <c r="CV719" s="638"/>
      <c r="CW719" s="853"/>
      <c r="CX719" s="856"/>
      <c r="CY719" s="856"/>
    </row>
    <row r="720" spans="1:103" s="359" customFormat="1" ht="15" customHeight="1" x14ac:dyDescent="0.25">
      <c r="A720" s="242">
        <v>45835</v>
      </c>
      <c r="B720" s="222">
        <v>45832</v>
      </c>
      <c r="C720" s="852"/>
      <c r="D720" s="66" t="s">
        <v>320</v>
      </c>
      <c r="E720" s="404" t="s">
        <v>3530</v>
      </c>
      <c r="F720" s="95" t="s">
        <v>3531</v>
      </c>
      <c r="G720" s="95" t="s">
        <v>1496</v>
      </c>
      <c r="H720" s="95" t="s">
        <v>378</v>
      </c>
      <c r="I720" s="95" t="s">
        <v>239</v>
      </c>
      <c r="J720" s="854"/>
      <c r="K720" s="855"/>
      <c r="L720" s="101" t="s">
        <v>288</v>
      </c>
      <c r="M720" s="101" t="s">
        <v>272</v>
      </c>
      <c r="N720" s="442" t="s">
        <v>381</v>
      </c>
      <c r="O720" s="165">
        <v>38.679000000000002</v>
      </c>
      <c r="P720" s="933">
        <v>123.9</v>
      </c>
      <c r="Q720" s="157">
        <v>80</v>
      </c>
      <c r="R720" s="109" t="s">
        <v>244</v>
      </c>
      <c r="S720" s="110">
        <v>385800.5</v>
      </c>
      <c r="T720" s="93">
        <v>39223.769999999997</v>
      </c>
      <c r="U720" s="857"/>
      <c r="V720" s="158">
        <f t="shared" si="430"/>
        <v>0</v>
      </c>
      <c r="W720" s="159">
        <v>45821.623611111114</v>
      </c>
      <c r="X720" s="159">
        <v>45827.518750000003</v>
      </c>
      <c r="Y720" s="160">
        <v>45832</v>
      </c>
      <c r="Z720" s="470">
        <v>45847</v>
      </c>
      <c r="AA720" s="470">
        <v>45847</v>
      </c>
      <c r="AB720" s="942"/>
      <c r="AC720" s="161">
        <f t="shared" si="445"/>
        <v>25.37638888888614</v>
      </c>
      <c r="AD720" s="161">
        <f t="shared" si="446"/>
        <v>19.48124999999709</v>
      </c>
      <c r="AE720" s="446">
        <f t="shared" si="447"/>
        <v>-45847</v>
      </c>
      <c r="AF720" s="160">
        <f t="shared" si="448"/>
        <v>45841.968681533646</v>
      </c>
      <c r="AG720" s="160">
        <f t="shared" si="449"/>
        <v>45851.194033646323</v>
      </c>
      <c r="AH720" s="159">
        <f t="shared" si="450"/>
        <v>45871.623611111114</v>
      </c>
      <c r="AI720" s="162">
        <f t="shared" si="451"/>
        <v>0.81525955253887594</v>
      </c>
      <c r="AJ720" s="224">
        <f t="shared" si="452"/>
        <v>-764.11666666666667</v>
      </c>
      <c r="AK720" s="225">
        <f t="shared" si="453"/>
        <v>26</v>
      </c>
      <c r="AL720" s="170">
        <f t="shared" si="454"/>
        <v>34</v>
      </c>
      <c r="AM720" s="170">
        <f t="shared" si="455"/>
        <v>23.345070422535212</v>
      </c>
      <c r="AN720" s="170">
        <f t="shared" si="456"/>
        <v>29.570422535211268</v>
      </c>
      <c r="AO720" s="226">
        <f t="shared" si="457"/>
        <v>20.345070422535212</v>
      </c>
      <c r="AP720" s="227">
        <v>60</v>
      </c>
      <c r="AQ720" s="228">
        <f t="shared" si="458"/>
        <v>57</v>
      </c>
      <c r="AR720" s="228">
        <f t="shared" si="459"/>
        <v>52</v>
      </c>
      <c r="AS720" s="229">
        <f t="shared" si="460"/>
        <v>45907</v>
      </c>
      <c r="AT720" s="982">
        <f t="shared" ca="1" si="440"/>
        <v>48</v>
      </c>
      <c r="AU720" s="50"/>
      <c r="AV720" s="51"/>
      <c r="AW720" s="49"/>
      <c r="AX720" s="49"/>
      <c r="AY720" s="49"/>
      <c r="AZ720" s="300"/>
      <c r="BA720" s="52"/>
      <c r="BB720" s="304"/>
      <c r="BC720" s="231" t="s">
        <v>12</v>
      </c>
      <c r="BD720" s="232"/>
      <c r="BE720" s="222">
        <f t="shared" si="461"/>
        <v>45862</v>
      </c>
      <c r="BF720" s="233">
        <f t="shared" si="462"/>
        <v>22</v>
      </c>
      <c r="BG720" s="234">
        <v>45847</v>
      </c>
      <c r="BH720" s="235">
        <v>45884</v>
      </c>
      <c r="BI720" s="234"/>
      <c r="BJ720" s="236"/>
      <c r="BK720" s="222"/>
      <c r="BL720" s="222"/>
      <c r="BM720" s="238"/>
      <c r="BN720" s="222"/>
      <c r="BO720" s="222"/>
      <c r="BP720" s="243"/>
      <c r="BQ720" s="244" t="s">
        <v>247</v>
      </c>
      <c r="BR720" s="238"/>
      <c r="BS720" s="68"/>
      <c r="BT720" s="69"/>
      <c r="BU720" s="69"/>
      <c r="BV720" s="69"/>
      <c r="BW720" s="75"/>
      <c r="BX720" s="81"/>
      <c r="BY720" s="66">
        <v>45832</v>
      </c>
      <c r="BZ720" s="944" t="s">
        <v>3532</v>
      </c>
      <c r="CA720" s="42" t="str">
        <f t="shared" si="426"/>
        <v>0</v>
      </c>
      <c r="CB720" s="62">
        <f t="shared" si="427"/>
        <v>25.37638888888614</v>
      </c>
      <c r="CC720" s="42">
        <f t="shared" si="428"/>
        <v>0</v>
      </c>
      <c r="CD720" s="62">
        <f t="shared" si="441"/>
        <v>25.37638888888614</v>
      </c>
      <c r="CE720" s="62">
        <f t="shared" si="442"/>
        <v>0.81525955253887594</v>
      </c>
      <c r="CF720" s="145">
        <f t="shared" si="443"/>
        <v>22</v>
      </c>
      <c r="CG720" s="145"/>
      <c r="CH720" s="443">
        <f t="shared" si="421"/>
        <v>1.522046882855618</v>
      </c>
      <c r="CI720" s="996">
        <f t="shared" si="444"/>
        <v>1.522046882855618</v>
      </c>
      <c r="CJ720" s="261">
        <f t="shared" si="422"/>
        <v>0.36666666666666664</v>
      </c>
      <c r="CK720" s="458" t="str">
        <f t="shared" si="423"/>
        <v/>
      </c>
      <c r="CL720" t="str">
        <f t="shared" si="424"/>
        <v>REV</v>
      </c>
      <c r="CM720" t="str">
        <f t="shared" si="425"/>
        <v/>
      </c>
      <c r="CN720" s="635"/>
      <c r="CO720" s="631"/>
      <c r="CP720" s="629"/>
      <c r="CQ720" s="635"/>
      <c r="CR720" s="697"/>
      <c r="CS720" s="633"/>
      <c r="CT720" s="635"/>
      <c r="CU720" s="631"/>
      <c r="CV720" s="638"/>
      <c r="CW720" s="853"/>
      <c r="CX720" s="856"/>
      <c r="CY720" s="856"/>
    </row>
    <row r="721" spans="1:103" s="359" customFormat="1" ht="15" customHeight="1" x14ac:dyDescent="0.25">
      <c r="A721" s="222" t="s">
        <v>308</v>
      </c>
      <c r="B721" s="222" t="s">
        <v>308</v>
      </c>
      <c r="C721" s="852"/>
      <c r="D721" s="66" t="s">
        <v>320</v>
      </c>
      <c r="E721" s="404" t="s">
        <v>3533</v>
      </c>
      <c r="F721" s="95" t="s">
        <v>3534</v>
      </c>
      <c r="G721" s="95" t="s">
        <v>3535</v>
      </c>
      <c r="H721" s="95" t="s">
        <v>238</v>
      </c>
      <c r="I721" s="95" t="s">
        <v>239</v>
      </c>
      <c r="J721" s="854"/>
      <c r="K721" s="855"/>
      <c r="L721" s="101" t="s">
        <v>1957</v>
      </c>
      <c r="M721" s="101" t="s">
        <v>272</v>
      </c>
      <c r="N721" s="442" t="s">
        <v>580</v>
      </c>
      <c r="O721" s="933">
        <v>30.21</v>
      </c>
      <c r="P721" s="933">
        <v>30.21</v>
      </c>
      <c r="Q721" s="157">
        <v>56</v>
      </c>
      <c r="R721" s="109" t="s">
        <v>548</v>
      </c>
      <c r="S721" s="110">
        <v>230587.76</v>
      </c>
      <c r="T721" s="93"/>
      <c r="U721" s="857"/>
      <c r="V721" s="158" t="e">
        <f t="shared" si="430"/>
        <v>#DIV/0!</v>
      </c>
      <c r="W721" s="159">
        <v>45822.038240740738</v>
      </c>
      <c r="X721" s="159">
        <v>45831.369444444441</v>
      </c>
      <c r="Y721" s="160" t="s">
        <v>308</v>
      </c>
      <c r="Z721" s="470"/>
      <c r="AA721" s="470">
        <v>45846</v>
      </c>
      <c r="AB721" s="942"/>
      <c r="AC721" s="161">
        <f t="shared" si="445"/>
        <v>23.96175925926218</v>
      </c>
      <c r="AD721" s="161">
        <f t="shared" si="446"/>
        <v>14.630555555559113</v>
      </c>
      <c r="AE721" s="446">
        <f t="shared" si="447"/>
        <v>-45846</v>
      </c>
      <c r="AF721" s="160">
        <f t="shared" si="448"/>
        <v>45840.112620906024</v>
      </c>
      <c r="AG721" s="160">
        <f t="shared" si="449"/>
        <v>45848.732455616773</v>
      </c>
      <c r="AH721" s="159">
        <f t="shared" si="450"/>
        <v>45872.038240740738</v>
      </c>
      <c r="AI721" s="162">
        <f t="shared" si="451"/>
        <v>0.85275672657962454</v>
      </c>
      <c r="AJ721" s="224">
        <f t="shared" si="452"/>
        <v>-764.1</v>
      </c>
      <c r="AK721" s="225">
        <f t="shared" si="453"/>
        <v>20</v>
      </c>
      <c r="AL721" s="170">
        <f t="shared" si="454"/>
        <v>34</v>
      </c>
      <c r="AM721" s="170">
        <f t="shared" si="455"/>
        <v>21.074380165289259</v>
      </c>
      <c r="AN721" s="170">
        <f t="shared" si="456"/>
        <v>26.694214876033058</v>
      </c>
      <c r="AO721" s="226">
        <f t="shared" si="457"/>
        <v>18.074380165289259</v>
      </c>
      <c r="AP721" s="227">
        <v>60</v>
      </c>
      <c r="AQ721" s="228">
        <f t="shared" si="458"/>
        <v>57</v>
      </c>
      <c r="AR721" s="228">
        <f t="shared" si="459"/>
        <v>52</v>
      </c>
      <c r="AS721" s="229">
        <f t="shared" si="460"/>
        <v>45906</v>
      </c>
      <c r="AT721" s="982">
        <f t="shared" ca="1" si="440"/>
        <v>49</v>
      </c>
      <c r="AU721" s="50"/>
      <c r="AV721" s="51"/>
      <c r="AW721" s="49"/>
      <c r="AX721" s="49"/>
      <c r="AY721" s="49"/>
      <c r="AZ721" s="300"/>
      <c r="BA721" s="52"/>
      <c r="BB721" s="304"/>
      <c r="BC721" s="231" t="s">
        <v>13</v>
      </c>
      <c r="BD721" s="232"/>
      <c r="BE721" s="222">
        <f t="shared" si="461"/>
        <v>45861</v>
      </c>
      <c r="BF721" s="233" t="e">
        <f t="shared" si="462"/>
        <v>#VALUE!</v>
      </c>
      <c r="BG721" s="234"/>
      <c r="BH721" s="235"/>
      <c r="BI721" s="234"/>
      <c r="BJ721" s="236"/>
      <c r="BK721" s="222"/>
      <c r="BL721" s="222"/>
      <c r="BM721" s="238"/>
      <c r="BN721" s="222"/>
      <c r="BO721" s="222"/>
      <c r="BP721" s="243"/>
      <c r="BQ721" s="244"/>
      <c r="BR721" s="238"/>
      <c r="BS721" s="68"/>
      <c r="BT721" s="69"/>
      <c r="BU721" s="69"/>
      <c r="BV721" s="69"/>
      <c r="BW721" s="75"/>
      <c r="BX721" s="81"/>
      <c r="BY721" s="66"/>
      <c r="BZ721" s="944"/>
      <c r="CA721" s="42" t="str">
        <f t="shared" si="426"/>
        <v>0</v>
      </c>
      <c r="CB721" s="62">
        <f t="shared" si="427"/>
        <v>23.96175925926218</v>
      </c>
      <c r="CC721" s="42">
        <f t="shared" si="428"/>
        <v>0</v>
      </c>
      <c r="CD721" s="62">
        <f t="shared" si="441"/>
        <v>23.96175925926218</v>
      </c>
      <c r="CE721" s="62">
        <f t="shared" si="442"/>
        <v>0.85275672657962454</v>
      </c>
      <c r="CF721" s="145">
        <f t="shared" si="443"/>
        <v>23</v>
      </c>
      <c r="CG721" s="145"/>
      <c r="CH721" s="443">
        <f t="shared" si="421"/>
        <v>1.6712861383443305</v>
      </c>
      <c r="CI721" s="996">
        <f t="shared" si="444"/>
        <v>1.6712861383443305</v>
      </c>
      <c r="CJ721" s="261">
        <f t="shared" si="422"/>
        <v>0.38333333333333336</v>
      </c>
      <c r="CK721" s="458" t="str">
        <f t="shared" si="423"/>
        <v/>
      </c>
      <c r="CL721" t="str">
        <f t="shared" si="424"/>
        <v>NON-REV</v>
      </c>
      <c r="CM721" t="str">
        <f t="shared" si="425"/>
        <v/>
      </c>
      <c r="CN721" s="635"/>
      <c r="CO721" s="631"/>
      <c r="CP721" s="629"/>
      <c r="CQ721" s="635"/>
      <c r="CR721" s="697"/>
      <c r="CS721" s="633"/>
      <c r="CT721" s="635"/>
      <c r="CU721" s="631"/>
      <c r="CV721" s="638"/>
      <c r="CW721" s="853"/>
      <c r="CX721" s="856"/>
      <c r="CY721" s="856"/>
    </row>
    <row r="722" spans="1:103" s="359" customFormat="1" ht="15" customHeight="1" x14ac:dyDescent="0.25">
      <c r="A722" s="222" t="s">
        <v>308</v>
      </c>
      <c r="B722" s="222" t="s">
        <v>308</v>
      </c>
      <c r="C722" s="852"/>
      <c r="D722" s="66" t="s">
        <v>234</v>
      </c>
      <c r="E722" s="404" t="s">
        <v>3536</v>
      </c>
      <c r="F722" s="95" t="s">
        <v>614</v>
      </c>
      <c r="G722" s="95" t="s">
        <v>3537</v>
      </c>
      <c r="H722" s="95" t="s">
        <v>269</v>
      </c>
      <c r="I722" s="95" t="s">
        <v>239</v>
      </c>
      <c r="J722" s="854"/>
      <c r="K722" s="855"/>
      <c r="L722" s="101" t="s">
        <v>1945</v>
      </c>
      <c r="M722" s="101" t="s">
        <v>256</v>
      </c>
      <c r="N722" s="442" t="s">
        <v>1946</v>
      </c>
      <c r="O722" s="165">
        <v>12.43</v>
      </c>
      <c r="P722" s="165">
        <v>12.43</v>
      </c>
      <c r="Q722" s="157">
        <v>23</v>
      </c>
      <c r="R722" s="109" t="s">
        <v>548</v>
      </c>
      <c r="S722" s="110">
        <v>146585.70000000001</v>
      </c>
      <c r="T722" s="93"/>
      <c r="U722" s="857"/>
      <c r="V722" s="158" t="e">
        <f t="shared" si="430"/>
        <v>#DIV/0!</v>
      </c>
      <c r="W722" s="159">
        <v>45825.416180555556</v>
      </c>
      <c r="X722" s="159">
        <v>45831.363194444442</v>
      </c>
      <c r="Y722" s="160" t="s">
        <v>308</v>
      </c>
      <c r="Z722" s="470"/>
      <c r="AA722" s="470">
        <v>45848</v>
      </c>
      <c r="AB722" s="942">
        <v>45874.405555555553</v>
      </c>
      <c r="AC722" s="161">
        <f t="shared" si="445"/>
        <v>22.583819444444089</v>
      </c>
      <c r="AD722" s="161">
        <f t="shared" si="446"/>
        <v>16.636805555557657</v>
      </c>
      <c r="AE722" s="446">
        <f t="shared" si="447"/>
        <v>26.405555555553292</v>
      </c>
      <c r="AF722" s="160">
        <f t="shared" si="448"/>
        <v>45844.190374103942</v>
      </c>
      <c r="AG722" s="160">
        <f t="shared" si="449"/>
        <v>45852.996825716844</v>
      </c>
      <c r="AH722" s="159">
        <f t="shared" si="450"/>
        <v>45875.416180555556</v>
      </c>
      <c r="AI722" s="162">
        <f t="shared" si="451"/>
        <v>0.77788711419751855</v>
      </c>
      <c r="AJ722" s="224">
        <f t="shared" si="452"/>
        <v>0.44009259259255484</v>
      </c>
      <c r="AK722" s="225">
        <f t="shared" si="453"/>
        <v>20</v>
      </c>
      <c r="AL722" s="170">
        <f t="shared" si="454"/>
        <v>36</v>
      </c>
      <c r="AM722" s="170">
        <f t="shared" si="455"/>
        <v>21.774193548387096</v>
      </c>
      <c r="AN722" s="170">
        <f t="shared" si="456"/>
        <v>27.58064516129032</v>
      </c>
      <c r="AO722" s="226">
        <f t="shared" si="457"/>
        <v>18.774193548387096</v>
      </c>
      <c r="AP722" s="227">
        <v>60</v>
      </c>
      <c r="AQ722" s="228">
        <f t="shared" si="458"/>
        <v>57</v>
      </c>
      <c r="AR722" s="228">
        <f t="shared" si="459"/>
        <v>52</v>
      </c>
      <c r="AS722" s="229">
        <f t="shared" si="460"/>
        <v>45908</v>
      </c>
      <c r="AT722" s="982">
        <f t="shared" ca="1" si="440"/>
        <v>47</v>
      </c>
      <c r="AU722" s="50"/>
      <c r="AV722" s="51"/>
      <c r="AW722" s="49"/>
      <c r="AX722" s="49"/>
      <c r="AY722" s="49"/>
      <c r="AZ722" s="300"/>
      <c r="BA722" s="52"/>
      <c r="BB722" s="304"/>
      <c r="BC722" s="231" t="s">
        <v>14</v>
      </c>
      <c r="BD722" s="232"/>
      <c r="BE722" s="222">
        <f t="shared" si="461"/>
        <v>45863</v>
      </c>
      <c r="BF722" s="233" t="e">
        <f t="shared" si="462"/>
        <v>#VALUE!</v>
      </c>
      <c r="BG722" s="234"/>
      <c r="BH722" s="235"/>
      <c r="BI722" s="234"/>
      <c r="BJ722" s="236"/>
      <c r="BK722" s="222"/>
      <c r="BL722" s="222"/>
      <c r="BM722" s="238"/>
      <c r="BN722" s="222"/>
      <c r="BO722" s="222"/>
      <c r="BP722" s="243"/>
      <c r="BQ722" s="244"/>
      <c r="BR722" s="238"/>
      <c r="BS722" s="68"/>
      <c r="BT722" s="69"/>
      <c r="BU722" s="69"/>
      <c r="BV722" s="69"/>
      <c r="BW722" s="75"/>
      <c r="BX722" s="81"/>
      <c r="BY722" s="66"/>
      <c r="BZ722" s="944"/>
      <c r="CA722" s="42" t="str">
        <f t="shared" si="426"/>
        <v>0</v>
      </c>
      <c r="CB722" s="62">
        <f t="shared" si="427"/>
        <v>22.583819444444089</v>
      </c>
      <c r="CC722" s="42">
        <f t="shared" si="428"/>
        <v>0</v>
      </c>
      <c r="CD722" s="62">
        <f t="shared" si="441"/>
        <v>22.583819444444089</v>
      </c>
      <c r="CE722" s="62">
        <f t="shared" si="442"/>
        <v>0.77788711419751855</v>
      </c>
      <c r="CF722" s="145">
        <f t="shared" si="443"/>
        <v>21</v>
      </c>
      <c r="CG722" s="145"/>
      <c r="CH722" s="443">
        <f t="shared" ref="CH722:CH743" si="463" xml:space="preserve"> (0.3)*(($CF$1-W722)/AK722)+(0.7)*(($CF$1-W722)/AL722)</f>
        <v>1.5012204475308519</v>
      </c>
      <c r="CI722" s="996">
        <f t="shared" si="444"/>
        <v>1.5012204475308519</v>
      </c>
      <c r="CJ722" s="261">
        <f t="shared" ref="CJ722:CJ743" si="464">CF722/AP722</f>
        <v>0.35</v>
      </c>
      <c r="CK722" s="458" t="str">
        <f t="shared" ref="CK722:CK744" si="465">IF(AA722&gt;0,"",$CK$1-W722)</f>
        <v/>
      </c>
      <c r="CL722" t="str">
        <f t="shared" ref="CL722:CL743" si="466">IF(R722="NEW","REV","NON-REV")</f>
        <v>NON-REV</v>
      </c>
      <c r="CM722" t="str">
        <f t="shared" ref="CM722:CM743" si="467">IF(CK722="","",IF(CK722&lt;91,"0-3 MONTHS",(IF(CK722&lt;181,"4-6 MONTHS",(IF(CK722&lt;271,"7-9 MONTHS",IF(CK722&gt;270,"10 MONTHS AND ABOVE",)))))))</f>
        <v/>
      </c>
      <c r="CN722" s="635"/>
      <c r="CO722" s="631"/>
      <c r="CP722" s="629"/>
      <c r="CQ722" s="635"/>
      <c r="CR722" s="697"/>
      <c r="CS722" s="633"/>
      <c r="CT722" s="635"/>
      <c r="CU722" s="631"/>
      <c r="CV722" s="638"/>
      <c r="CW722" s="853"/>
      <c r="CX722" s="856"/>
      <c r="CY722" s="856"/>
    </row>
    <row r="723" spans="1:103" s="359" customFormat="1" ht="15" customHeight="1" x14ac:dyDescent="0.25">
      <c r="A723" s="222" t="s">
        <v>308</v>
      </c>
      <c r="B723" s="222" t="s">
        <v>308</v>
      </c>
      <c r="C723" s="852"/>
      <c r="D723" s="66" t="s">
        <v>234</v>
      </c>
      <c r="E723" s="404" t="s">
        <v>3538</v>
      </c>
      <c r="F723" s="95" t="s">
        <v>1739</v>
      </c>
      <c r="G723" s="95" t="s">
        <v>859</v>
      </c>
      <c r="H723" s="95" t="s">
        <v>318</v>
      </c>
      <c r="I723" s="95" t="s">
        <v>239</v>
      </c>
      <c r="J723" s="854"/>
      <c r="K723" s="855"/>
      <c r="L723" s="101" t="s">
        <v>1945</v>
      </c>
      <c r="M723" s="101" t="s">
        <v>256</v>
      </c>
      <c r="N723" s="442" t="s">
        <v>1946</v>
      </c>
      <c r="O723" s="165">
        <v>5.54</v>
      </c>
      <c r="P723" s="165">
        <v>5.54</v>
      </c>
      <c r="Q723" s="157">
        <v>11</v>
      </c>
      <c r="R723" s="109" t="s">
        <v>244</v>
      </c>
      <c r="S723" s="110">
        <v>20820.62</v>
      </c>
      <c r="T723" s="93"/>
      <c r="U723" s="857"/>
      <c r="V723" s="158" t="e">
        <f t="shared" si="430"/>
        <v>#DIV/0!</v>
      </c>
      <c r="W723" s="159">
        <v>45824.586747685185</v>
      </c>
      <c r="X723" s="159">
        <v>45831.364583333336</v>
      </c>
      <c r="Y723" s="160" t="s">
        <v>308</v>
      </c>
      <c r="Z723" s="470"/>
      <c r="AA723" s="470">
        <v>45842</v>
      </c>
      <c r="AB723" s="942">
        <v>45874.402083333334</v>
      </c>
      <c r="AC723" s="161">
        <f t="shared" si="445"/>
        <v>17.413252314814599</v>
      </c>
      <c r="AD723" s="161">
        <f t="shared" si="446"/>
        <v>10.635416666664241</v>
      </c>
      <c r="AE723" s="446">
        <f t="shared" si="447"/>
        <v>32.402083333334303</v>
      </c>
      <c r="AF723" s="160">
        <f t="shared" si="448"/>
        <v>45843.360941233572</v>
      </c>
      <c r="AG723" s="160">
        <f t="shared" si="449"/>
        <v>45852.167392846473</v>
      </c>
      <c r="AH723" s="159">
        <f t="shared" si="450"/>
        <v>45874.586747685185</v>
      </c>
      <c r="AI723" s="162">
        <f t="shared" si="451"/>
        <v>0.59978980195472498</v>
      </c>
      <c r="AJ723" s="224">
        <f t="shared" si="452"/>
        <v>0.54003472222223836</v>
      </c>
      <c r="AK723" s="225">
        <f t="shared" si="453"/>
        <v>20</v>
      </c>
      <c r="AL723" s="170">
        <f t="shared" si="454"/>
        <v>36</v>
      </c>
      <c r="AM723" s="170">
        <f t="shared" si="455"/>
        <v>21.774193548387096</v>
      </c>
      <c r="AN723" s="170">
        <f t="shared" si="456"/>
        <v>27.58064516129032</v>
      </c>
      <c r="AO723" s="226">
        <f t="shared" si="457"/>
        <v>18.774193548387096</v>
      </c>
      <c r="AP723" s="227">
        <v>60</v>
      </c>
      <c r="AQ723" s="228">
        <f t="shared" si="458"/>
        <v>57</v>
      </c>
      <c r="AR723" s="228">
        <f t="shared" si="459"/>
        <v>52</v>
      </c>
      <c r="AS723" s="229">
        <f t="shared" si="460"/>
        <v>45902</v>
      </c>
      <c r="AT723" s="982">
        <f t="shared" ca="1" si="440"/>
        <v>53</v>
      </c>
      <c r="AU723" s="50"/>
      <c r="AV723" s="51"/>
      <c r="AW723" s="49"/>
      <c r="AX723" s="49"/>
      <c r="AY723" s="49"/>
      <c r="AZ723" s="300"/>
      <c r="BA723" s="52"/>
      <c r="BB723" s="304"/>
      <c r="BC723" s="231" t="s">
        <v>14</v>
      </c>
      <c r="BD723" s="232"/>
      <c r="BE723" s="222">
        <f t="shared" si="461"/>
        <v>45857</v>
      </c>
      <c r="BF723" s="233" t="e">
        <f t="shared" si="462"/>
        <v>#VALUE!</v>
      </c>
      <c r="BG723" s="234"/>
      <c r="BH723" s="235"/>
      <c r="BI723" s="234"/>
      <c r="BJ723" s="236"/>
      <c r="BK723" s="222"/>
      <c r="BL723" s="222"/>
      <c r="BM723" s="238"/>
      <c r="BN723" s="222"/>
      <c r="BO723" s="222"/>
      <c r="BP723" s="243"/>
      <c r="BQ723" s="244"/>
      <c r="BR723" s="238"/>
      <c r="BS723" s="68"/>
      <c r="BT723" s="69"/>
      <c r="BU723" s="69"/>
      <c r="BV723" s="69"/>
      <c r="BW723" s="75"/>
      <c r="BX723" s="81"/>
      <c r="BY723" s="66"/>
      <c r="BZ723" s="944"/>
      <c r="CA723" s="42" t="str">
        <f t="shared" ref="CA723:CA743" si="468">IF(AY723="Y",BA723,"0")</f>
        <v>0</v>
      </c>
      <c r="CB723" s="62">
        <f t="shared" ref="CB723:CB743" si="469">AC723-CA723</f>
        <v>17.413252314814599</v>
      </c>
      <c r="CC723" s="42">
        <f t="shared" ref="CC723:CC743" si="470">BA723</f>
        <v>0</v>
      </c>
      <c r="CD723" s="62">
        <f t="shared" si="441"/>
        <v>17.413252314814599</v>
      </c>
      <c r="CE723" s="62">
        <f t="shared" si="442"/>
        <v>0.59978980195472498</v>
      </c>
      <c r="CF723" s="145">
        <f t="shared" si="443"/>
        <v>27</v>
      </c>
      <c r="CG723" s="145"/>
      <c r="CH723" s="443">
        <f t="shared" si="463"/>
        <v>1.5297898019547249</v>
      </c>
      <c r="CI723" s="996">
        <f t="shared" si="444"/>
        <v>1.5297898019547249</v>
      </c>
      <c r="CJ723" s="261">
        <f t="shared" si="464"/>
        <v>0.45</v>
      </c>
      <c r="CK723" s="458" t="str">
        <f t="shared" si="465"/>
        <v/>
      </c>
      <c r="CL723" t="str">
        <f t="shared" si="466"/>
        <v>REV</v>
      </c>
      <c r="CM723" t="str">
        <f t="shared" si="467"/>
        <v/>
      </c>
      <c r="CN723" s="635"/>
      <c r="CO723" s="631"/>
      <c r="CP723" s="629"/>
      <c r="CQ723" s="635"/>
      <c r="CR723" s="697"/>
      <c r="CS723" s="633"/>
      <c r="CT723" s="635"/>
      <c r="CU723" s="631"/>
      <c r="CV723" s="638"/>
      <c r="CW723" s="853"/>
      <c r="CX723" s="856"/>
      <c r="CY723" s="856"/>
    </row>
    <row r="724" spans="1:103" s="359" customFormat="1" ht="15" customHeight="1" x14ac:dyDescent="0.25">
      <c r="A724" s="242">
        <v>45831</v>
      </c>
      <c r="B724" s="222">
        <v>45832</v>
      </c>
      <c r="C724" s="852"/>
      <c r="D724" s="66" t="s">
        <v>284</v>
      </c>
      <c r="E724" s="404" t="s">
        <v>3539</v>
      </c>
      <c r="F724" s="95" t="s">
        <v>3540</v>
      </c>
      <c r="G724" s="95" t="s">
        <v>3120</v>
      </c>
      <c r="H724" s="95" t="s">
        <v>238</v>
      </c>
      <c r="I724" s="95" t="s">
        <v>239</v>
      </c>
      <c r="J724" s="854"/>
      <c r="K724" s="855"/>
      <c r="L724" s="101" t="s">
        <v>288</v>
      </c>
      <c r="M724" s="101" t="s">
        <v>272</v>
      </c>
      <c r="N724" s="442" t="s">
        <v>381</v>
      </c>
      <c r="O724" s="165">
        <v>7.6099999999999994</v>
      </c>
      <c r="P724" s="933">
        <v>19.61</v>
      </c>
      <c r="Q724" s="157">
        <v>0</v>
      </c>
      <c r="R724" s="109" t="s">
        <v>319</v>
      </c>
      <c r="S724" s="110">
        <v>1005983.91</v>
      </c>
      <c r="T724" s="93">
        <v>16849.41</v>
      </c>
      <c r="U724" s="857"/>
      <c r="V724" s="158">
        <f t="shared" ref="V724:V744" si="471">U724/T724</f>
        <v>0</v>
      </c>
      <c r="W724" s="159">
        <v>45827.322916666664</v>
      </c>
      <c r="X724" s="159">
        <v>45828.570833333331</v>
      </c>
      <c r="Y724" s="160">
        <v>45832</v>
      </c>
      <c r="Z724" s="470">
        <v>45838</v>
      </c>
      <c r="AA724" s="470">
        <v>45838</v>
      </c>
      <c r="AB724" s="942"/>
      <c r="AC724" s="161">
        <f t="shared" si="445"/>
        <v>10.677083333335759</v>
      </c>
      <c r="AD724" s="161">
        <f t="shared" si="446"/>
        <v>9.4291666666686069</v>
      </c>
      <c r="AE724" s="446">
        <f t="shared" si="447"/>
        <v>-45838</v>
      </c>
      <c r="AF724" s="160">
        <f t="shared" si="448"/>
        <v>45846.097110215051</v>
      </c>
      <c r="AG724" s="160">
        <f t="shared" si="449"/>
        <v>45854.903561827952</v>
      </c>
      <c r="AH724" s="159">
        <f t="shared" si="450"/>
        <v>45877.322916666664</v>
      </c>
      <c r="AI724" s="162">
        <f t="shared" si="451"/>
        <v>0.36776620370378721</v>
      </c>
      <c r="AJ724" s="224">
        <f t="shared" si="452"/>
        <v>-763.9666666666667</v>
      </c>
      <c r="AK724" s="225">
        <f t="shared" si="453"/>
        <v>20</v>
      </c>
      <c r="AL724" s="170">
        <f t="shared" si="454"/>
        <v>36</v>
      </c>
      <c r="AM724" s="170">
        <f t="shared" si="455"/>
        <v>21.774193548387096</v>
      </c>
      <c r="AN724" s="170">
        <f t="shared" si="456"/>
        <v>27.58064516129032</v>
      </c>
      <c r="AO724" s="226">
        <f t="shared" si="457"/>
        <v>18.774193548387096</v>
      </c>
      <c r="AP724" s="227">
        <v>60</v>
      </c>
      <c r="AQ724" s="228">
        <f t="shared" si="458"/>
        <v>57</v>
      </c>
      <c r="AR724" s="228">
        <f t="shared" si="459"/>
        <v>52</v>
      </c>
      <c r="AS724" s="229">
        <f t="shared" si="460"/>
        <v>45898</v>
      </c>
      <c r="AT724" s="982">
        <f t="shared" ca="1" si="440"/>
        <v>57</v>
      </c>
      <c r="AU724" s="50"/>
      <c r="AV724" s="51"/>
      <c r="AW724" s="49"/>
      <c r="AX724" s="49"/>
      <c r="AY724" s="49"/>
      <c r="AZ724" s="300"/>
      <c r="BA724" s="52"/>
      <c r="BB724" s="304"/>
      <c r="BC724" s="231" t="s">
        <v>12</v>
      </c>
      <c r="BD724" s="232"/>
      <c r="BE724" s="222">
        <f t="shared" si="461"/>
        <v>45853</v>
      </c>
      <c r="BF724" s="233">
        <f t="shared" si="462"/>
        <v>31</v>
      </c>
      <c r="BG724" s="234">
        <v>45838</v>
      </c>
      <c r="BH724" s="235">
        <v>45884</v>
      </c>
      <c r="BI724" s="234"/>
      <c r="BJ724" s="236"/>
      <c r="BK724" s="222"/>
      <c r="BL724" s="222"/>
      <c r="BM724" s="238"/>
      <c r="BN724" s="222"/>
      <c r="BO724" s="222"/>
      <c r="BP724" s="243"/>
      <c r="BQ724" s="244" t="s">
        <v>247</v>
      </c>
      <c r="BR724" s="238"/>
      <c r="BS724" s="68"/>
      <c r="BT724" s="69"/>
      <c r="BU724" s="69"/>
      <c r="BV724" s="69"/>
      <c r="BW724" s="75"/>
      <c r="BX724" s="81"/>
      <c r="BY724" s="66" t="s">
        <v>308</v>
      </c>
      <c r="BZ724" s="944">
        <v>514473</v>
      </c>
      <c r="CA724" s="42" t="str">
        <f t="shared" si="468"/>
        <v>0</v>
      </c>
      <c r="CB724" s="62">
        <f t="shared" si="469"/>
        <v>10.677083333335759</v>
      </c>
      <c r="CC724" s="42">
        <f t="shared" si="470"/>
        <v>0</v>
      </c>
      <c r="CD724" s="62">
        <f t="shared" si="441"/>
        <v>10.677083333335759</v>
      </c>
      <c r="CE724" s="62">
        <f t="shared" si="442"/>
        <v>0.36776620370378721</v>
      </c>
      <c r="CF724" s="145">
        <f t="shared" si="443"/>
        <v>31</v>
      </c>
      <c r="CG724" s="145"/>
      <c r="CH724" s="443">
        <f t="shared" si="463"/>
        <v>1.4355439814815649</v>
      </c>
      <c r="CI724" s="996">
        <f t="shared" si="444"/>
        <v>1.4355439814815649</v>
      </c>
      <c r="CJ724" s="261">
        <f t="shared" si="464"/>
        <v>0.51666666666666672</v>
      </c>
      <c r="CK724" s="458" t="str">
        <f t="shared" si="465"/>
        <v/>
      </c>
      <c r="CL724" t="str">
        <f t="shared" si="466"/>
        <v>NON-REV</v>
      </c>
      <c r="CM724" t="str">
        <f t="shared" si="467"/>
        <v/>
      </c>
      <c r="CN724" s="635"/>
      <c r="CO724" s="631"/>
      <c r="CP724" s="629"/>
      <c r="CQ724" s="635"/>
      <c r="CR724" s="697"/>
      <c r="CS724" s="633"/>
      <c r="CT724" s="635"/>
      <c r="CU724" s="631"/>
      <c r="CV724" s="638"/>
      <c r="CW724" s="853"/>
      <c r="CX724" s="856"/>
      <c r="CY724" s="856"/>
    </row>
    <row r="725" spans="1:103" s="359" customFormat="1" ht="15" customHeight="1" x14ac:dyDescent="0.25">
      <c r="A725" s="242">
        <v>45833</v>
      </c>
      <c r="B725" s="222">
        <v>45834</v>
      </c>
      <c r="C725" s="852"/>
      <c r="D725" s="66" t="s">
        <v>320</v>
      </c>
      <c r="E725" s="404" t="s">
        <v>3541</v>
      </c>
      <c r="F725" s="95" t="s">
        <v>3542</v>
      </c>
      <c r="G725" s="95" t="s">
        <v>3543</v>
      </c>
      <c r="H725" s="95" t="s">
        <v>378</v>
      </c>
      <c r="I725" s="95" t="s">
        <v>239</v>
      </c>
      <c r="J725" s="163" t="s">
        <v>3544</v>
      </c>
      <c r="K725" s="855"/>
      <c r="L725" s="101" t="s">
        <v>288</v>
      </c>
      <c r="M725" s="101" t="s">
        <v>331</v>
      </c>
      <c r="N725" s="442" t="s">
        <v>381</v>
      </c>
      <c r="O725" s="165">
        <v>110.24</v>
      </c>
      <c r="P725" s="165">
        <v>110.24</v>
      </c>
      <c r="Q725" s="157">
        <v>4.5</v>
      </c>
      <c r="R725" s="109" t="s">
        <v>244</v>
      </c>
      <c r="S725" s="110">
        <v>113100.57</v>
      </c>
      <c r="T725" s="93"/>
      <c r="U725" s="857"/>
      <c r="V725" s="158" t="e">
        <f t="shared" si="471"/>
        <v>#DIV/0!</v>
      </c>
      <c r="W725" s="159">
        <v>45827.537499999999</v>
      </c>
      <c r="X725" s="159">
        <v>45833.424305555556</v>
      </c>
      <c r="Y725" s="160">
        <v>45834</v>
      </c>
      <c r="Z725" s="470"/>
      <c r="AA725" s="470"/>
      <c r="AB725" s="942"/>
      <c r="AC725" s="161">
        <f t="shared" si="445"/>
        <v>-45827.537499999999</v>
      </c>
      <c r="AD725" s="161">
        <f t="shared" si="446"/>
        <v>-45833.424305555556</v>
      </c>
      <c r="AE725" s="446">
        <f t="shared" si="447"/>
        <v>0</v>
      </c>
      <c r="AF725" s="160">
        <f t="shared" si="448"/>
        <v>45848.744396551723</v>
      </c>
      <c r="AG725" s="160">
        <f t="shared" si="449"/>
        <v>45858.199568965516</v>
      </c>
      <c r="AH725" s="159">
        <f t="shared" si="450"/>
        <v>45877.537499999999</v>
      </c>
      <c r="AI725" s="162">
        <f t="shared" si="451"/>
        <v>-1419.8702857905982</v>
      </c>
      <c r="AJ725" s="224">
        <f t="shared" si="452"/>
        <v>0</v>
      </c>
      <c r="AK725" s="225">
        <f t="shared" si="453"/>
        <v>26</v>
      </c>
      <c r="AL725" s="170">
        <f t="shared" si="454"/>
        <v>36</v>
      </c>
      <c r="AM725" s="170">
        <f t="shared" si="455"/>
        <v>24.206896551724139</v>
      </c>
      <c r="AN725" s="170">
        <f t="shared" si="456"/>
        <v>30.662068965517239</v>
      </c>
      <c r="AO725" s="226">
        <f t="shared" si="457"/>
        <v>21.206896551724139</v>
      </c>
      <c r="AP725" s="227">
        <v>60</v>
      </c>
      <c r="AQ725" s="228">
        <f t="shared" si="458"/>
        <v>57</v>
      </c>
      <c r="AR725" s="228">
        <f t="shared" si="459"/>
        <v>52</v>
      </c>
      <c r="AS725" s="229">
        <f t="shared" si="460"/>
        <v>60</v>
      </c>
      <c r="AT725" s="982">
        <f t="shared" ca="1" si="440"/>
        <v>45895</v>
      </c>
      <c r="AU725" s="50"/>
      <c r="AV725" s="51"/>
      <c r="AW725" s="49"/>
      <c r="AX725" s="49"/>
      <c r="AY725" s="49"/>
      <c r="AZ725" s="300"/>
      <c r="BA725" s="52"/>
      <c r="BB725" s="304"/>
      <c r="BC725" s="231"/>
      <c r="BD725" s="232"/>
      <c r="BE725" s="222">
        <f t="shared" si="461"/>
        <v>15</v>
      </c>
      <c r="BF725" s="233">
        <f t="shared" si="462"/>
        <v>0</v>
      </c>
      <c r="BG725" s="234"/>
      <c r="BH725" s="235"/>
      <c r="BI725" s="234"/>
      <c r="BJ725" s="236"/>
      <c r="BK725" s="222"/>
      <c r="BL725" s="222"/>
      <c r="BM725" s="238"/>
      <c r="BN725" s="222"/>
      <c r="BO725" s="222"/>
      <c r="BP725" s="243"/>
      <c r="BQ725" s="244" t="s">
        <v>246</v>
      </c>
      <c r="BR725" s="238"/>
      <c r="BS725" s="68"/>
      <c r="BT725" s="69"/>
      <c r="BU725" s="69"/>
      <c r="BV725" s="69"/>
      <c r="BW725" s="75"/>
      <c r="BX725" s="81"/>
      <c r="BY725" s="66">
        <v>45856</v>
      </c>
      <c r="BZ725" s="944" t="s">
        <v>3545</v>
      </c>
      <c r="CA725" s="42" t="str">
        <f t="shared" si="468"/>
        <v>0</v>
      </c>
      <c r="CB725" s="62">
        <f t="shared" si="469"/>
        <v>-45827.537499999999</v>
      </c>
      <c r="CC725" s="42">
        <f t="shared" si="470"/>
        <v>0</v>
      </c>
      <c r="CD725" s="62">
        <f t="shared" si="441"/>
        <v>-45827.537499999999</v>
      </c>
      <c r="CE725" s="62">
        <f t="shared" si="442"/>
        <v>-1419.8702857905982</v>
      </c>
      <c r="CF725" s="145" t="str">
        <f t="shared" si="443"/>
        <v>0</v>
      </c>
      <c r="CG725" s="145"/>
      <c r="CH725" s="443">
        <f t="shared" si="463"/>
        <v>1.2846287393162843</v>
      </c>
      <c r="CI725" s="996">
        <f t="shared" si="444"/>
        <v>1.2846287393162843</v>
      </c>
      <c r="CJ725" s="261">
        <f t="shared" si="464"/>
        <v>0</v>
      </c>
      <c r="CK725" s="458">
        <f t="shared" si="465"/>
        <v>28.462500000001455</v>
      </c>
      <c r="CL725" t="str">
        <f t="shared" si="466"/>
        <v>REV</v>
      </c>
      <c r="CM725" t="str">
        <f t="shared" si="467"/>
        <v>0-3 MONTHS</v>
      </c>
      <c r="CN725" s="635"/>
      <c r="CO725" s="631"/>
      <c r="CP725" s="629"/>
      <c r="CQ725" s="635"/>
      <c r="CR725" s="697"/>
      <c r="CS725" s="633"/>
      <c r="CT725" s="635"/>
      <c r="CU725" s="631"/>
      <c r="CV725" s="638"/>
      <c r="CW725" s="853"/>
      <c r="CX725" s="856"/>
      <c r="CY725" s="856"/>
    </row>
    <row r="726" spans="1:103" s="359" customFormat="1" ht="15" customHeight="1" x14ac:dyDescent="0.25">
      <c r="A726" s="242">
        <v>45838</v>
      </c>
      <c r="B726" s="222">
        <v>45834</v>
      </c>
      <c r="C726" s="852"/>
      <c r="D726" s="66" t="s">
        <v>284</v>
      </c>
      <c r="E726" s="404" t="s">
        <v>3546</v>
      </c>
      <c r="F726" s="95" t="s">
        <v>3547</v>
      </c>
      <c r="G726" s="95" t="s">
        <v>3548</v>
      </c>
      <c r="H726" s="95" t="s">
        <v>318</v>
      </c>
      <c r="I726" s="95" t="s">
        <v>239</v>
      </c>
      <c r="J726" s="854"/>
      <c r="K726" s="855"/>
      <c r="L726" s="101" t="s">
        <v>5</v>
      </c>
      <c r="M726" s="101" t="s">
        <v>272</v>
      </c>
      <c r="N726" s="442" t="s">
        <v>403</v>
      </c>
      <c r="O726" s="165">
        <v>114.2</v>
      </c>
      <c r="P726" s="165">
        <v>192.27</v>
      </c>
      <c r="Q726" s="157">
        <v>59</v>
      </c>
      <c r="R726" s="109" t="s">
        <v>244</v>
      </c>
      <c r="S726" s="110">
        <v>610937.01</v>
      </c>
      <c r="T726" s="93"/>
      <c r="U726" s="857"/>
      <c r="V726" s="158" t="e">
        <f t="shared" si="471"/>
        <v>#DIV/0!</v>
      </c>
      <c r="W726" s="159">
        <v>45827.536111111112</v>
      </c>
      <c r="X726" s="159">
        <v>45833.44027777778</v>
      </c>
      <c r="Y726" s="160">
        <v>45834</v>
      </c>
      <c r="Z726" s="470"/>
      <c r="AA726" s="470">
        <v>45854</v>
      </c>
      <c r="AB726" s="942"/>
      <c r="AC726" s="161">
        <f t="shared" si="445"/>
        <v>26.463888888887595</v>
      </c>
      <c r="AD726" s="161">
        <f t="shared" si="446"/>
        <v>20.559722222220444</v>
      </c>
      <c r="AE726" s="446">
        <f t="shared" si="447"/>
        <v>-45854</v>
      </c>
      <c r="AF726" s="160">
        <f t="shared" si="448"/>
        <v>45847.881181533645</v>
      </c>
      <c r="AG726" s="160">
        <f t="shared" si="449"/>
        <v>45857.106533646322</v>
      </c>
      <c r="AH726" s="159">
        <f t="shared" si="450"/>
        <v>45877.536111111112</v>
      </c>
      <c r="AI726" s="162">
        <f t="shared" si="451"/>
        <v>0.8501973353443526</v>
      </c>
      <c r="AJ726" s="224">
        <f t="shared" si="452"/>
        <v>-764.23333333333335</v>
      </c>
      <c r="AK726" s="225">
        <f t="shared" si="453"/>
        <v>26</v>
      </c>
      <c r="AL726" s="170">
        <f t="shared" si="454"/>
        <v>34</v>
      </c>
      <c r="AM726" s="170">
        <f t="shared" si="455"/>
        <v>23.345070422535212</v>
      </c>
      <c r="AN726" s="170">
        <f t="shared" si="456"/>
        <v>29.570422535211268</v>
      </c>
      <c r="AO726" s="226">
        <f t="shared" si="457"/>
        <v>20.345070422535212</v>
      </c>
      <c r="AP726" s="227">
        <v>60</v>
      </c>
      <c r="AQ726" s="228">
        <f t="shared" si="458"/>
        <v>57</v>
      </c>
      <c r="AR726" s="228">
        <f t="shared" si="459"/>
        <v>52</v>
      </c>
      <c r="AS726" s="229">
        <f t="shared" si="460"/>
        <v>45914</v>
      </c>
      <c r="AT726" s="982">
        <f t="shared" ca="1" si="440"/>
        <v>41</v>
      </c>
      <c r="AU726" s="50"/>
      <c r="AV726" s="51"/>
      <c r="AW726" s="49"/>
      <c r="AX726" s="49"/>
      <c r="AY726" s="49"/>
      <c r="AZ726" s="300"/>
      <c r="BA726" s="52"/>
      <c r="BB726" s="304"/>
      <c r="BC726" s="231" t="s">
        <v>13</v>
      </c>
      <c r="BD726" s="232"/>
      <c r="BE726" s="222">
        <f t="shared" si="461"/>
        <v>45869</v>
      </c>
      <c r="BF726" s="233" t="e">
        <f t="shared" si="462"/>
        <v>#VALUE!</v>
      </c>
      <c r="BG726" s="234"/>
      <c r="BH726" s="235"/>
      <c r="BI726" s="234"/>
      <c r="BJ726" s="236"/>
      <c r="BK726" s="222"/>
      <c r="BL726" s="222"/>
      <c r="BM726" s="238"/>
      <c r="BN726" s="222"/>
      <c r="BO726" s="222"/>
      <c r="BP726" s="243"/>
      <c r="BQ726" s="244"/>
      <c r="BR726" s="238"/>
      <c r="BS726" s="68"/>
      <c r="BT726" s="69"/>
      <c r="BU726" s="69"/>
      <c r="BV726" s="69"/>
      <c r="BW726" s="75"/>
      <c r="BX726" s="81"/>
      <c r="BY726" s="66">
        <v>45839</v>
      </c>
      <c r="BZ726" s="944" t="s">
        <v>3549</v>
      </c>
      <c r="CA726" s="42" t="str">
        <f t="shared" si="468"/>
        <v>0</v>
      </c>
      <c r="CB726" s="62">
        <f t="shared" si="469"/>
        <v>26.463888888887595</v>
      </c>
      <c r="CC726" s="42">
        <f t="shared" si="470"/>
        <v>0</v>
      </c>
      <c r="CD726" s="62">
        <f t="shared" si="441"/>
        <v>26.463888888887595</v>
      </c>
      <c r="CE726" s="62">
        <f t="shared" si="442"/>
        <v>0.8501973353443526</v>
      </c>
      <c r="CF726" s="145">
        <f t="shared" si="443"/>
        <v>15</v>
      </c>
      <c r="CG726" s="145"/>
      <c r="CH726" s="443">
        <f t="shared" si="463"/>
        <v>1.3320977878330402</v>
      </c>
      <c r="CI726" s="996">
        <f t="shared" si="444"/>
        <v>1.3320977878330402</v>
      </c>
      <c r="CJ726" s="261">
        <f t="shared" si="464"/>
        <v>0.25</v>
      </c>
      <c r="CK726" s="458" t="str">
        <f t="shared" si="465"/>
        <v/>
      </c>
      <c r="CL726" t="str">
        <f t="shared" si="466"/>
        <v>REV</v>
      </c>
      <c r="CM726" t="str">
        <f t="shared" si="467"/>
        <v/>
      </c>
      <c r="CN726" s="635"/>
      <c r="CO726" s="631"/>
      <c r="CP726" s="629"/>
      <c r="CQ726" s="635"/>
      <c r="CR726" s="697"/>
      <c r="CS726" s="633"/>
      <c r="CT726" s="635"/>
      <c r="CU726" s="631"/>
      <c r="CV726" s="638"/>
      <c r="CW726" s="853"/>
      <c r="CX726" s="856"/>
      <c r="CY726" s="856"/>
    </row>
    <row r="727" spans="1:103" s="359" customFormat="1" ht="15" customHeight="1" x14ac:dyDescent="0.25">
      <c r="A727" s="242">
        <v>45833</v>
      </c>
      <c r="B727" s="222">
        <v>45834</v>
      </c>
      <c r="C727" s="852" t="s">
        <v>247</v>
      </c>
      <c r="D727" s="66" t="s">
        <v>284</v>
      </c>
      <c r="E727" s="404" t="s">
        <v>3550</v>
      </c>
      <c r="F727" s="95" t="s">
        <v>3551</v>
      </c>
      <c r="G727" s="95" t="s">
        <v>1046</v>
      </c>
      <c r="H727" s="95" t="s">
        <v>269</v>
      </c>
      <c r="I727" s="95" t="s">
        <v>239</v>
      </c>
      <c r="J727" s="854"/>
      <c r="K727" s="855"/>
      <c r="L727" s="101" t="s">
        <v>5</v>
      </c>
      <c r="M727" s="101" t="s">
        <v>272</v>
      </c>
      <c r="N727" s="442" t="s">
        <v>403</v>
      </c>
      <c r="O727" s="933">
        <v>59.72</v>
      </c>
      <c r="P727" s="933">
        <v>138</v>
      </c>
      <c r="Q727" s="157">
        <v>18</v>
      </c>
      <c r="R727" s="109" t="s">
        <v>244</v>
      </c>
      <c r="S727" s="110">
        <v>326798.64</v>
      </c>
      <c r="T727" s="93"/>
      <c r="U727" s="857"/>
      <c r="V727" s="158" t="e">
        <f t="shared" si="471"/>
        <v>#DIV/0!</v>
      </c>
      <c r="W727" s="159">
        <v>45827.546527777777</v>
      </c>
      <c r="X727" s="159">
        <v>45833.421527777777</v>
      </c>
      <c r="Y727" s="160">
        <v>45840</v>
      </c>
      <c r="Z727" s="470"/>
      <c r="AA727" s="470">
        <v>45845</v>
      </c>
      <c r="AB727" s="942"/>
      <c r="AC727" s="161">
        <f t="shared" si="445"/>
        <v>17.453472222223354</v>
      </c>
      <c r="AD727" s="161">
        <f t="shared" si="446"/>
        <v>11.578472222223354</v>
      </c>
      <c r="AE727" s="446">
        <f t="shared" si="447"/>
        <v>-45845</v>
      </c>
      <c r="AF727" s="160">
        <f t="shared" si="448"/>
        <v>45848.753424329501</v>
      </c>
      <c r="AG727" s="160">
        <f t="shared" si="449"/>
        <v>45858.208596743294</v>
      </c>
      <c r="AH727" s="159">
        <f t="shared" si="450"/>
        <v>45877.546527777777</v>
      </c>
      <c r="AI727" s="162">
        <f t="shared" si="451"/>
        <v>0.54075928893640735</v>
      </c>
      <c r="AJ727" s="224">
        <f t="shared" si="452"/>
        <v>-764.08333333333337</v>
      </c>
      <c r="AK727" s="225">
        <f t="shared" si="453"/>
        <v>26</v>
      </c>
      <c r="AL727" s="170">
        <f t="shared" si="454"/>
        <v>36</v>
      </c>
      <c r="AM727" s="170">
        <f t="shared" si="455"/>
        <v>24.206896551724139</v>
      </c>
      <c r="AN727" s="170">
        <f t="shared" si="456"/>
        <v>30.662068965517239</v>
      </c>
      <c r="AO727" s="226">
        <f t="shared" si="457"/>
        <v>21.206896551724139</v>
      </c>
      <c r="AP727" s="227">
        <v>60</v>
      </c>
      <c r="AQ727" s="228">
        <f t="shared" si="458"/>
        <v>57</v>
      </c>
      <c r="AR727" s="228">
        <f t="shared" si="459"/>
        <v>52</v>
      </c>
      <c r="AS727" s="229">
        <f t="shared" si="460"/>
        <v>45905</v>
      </c>
      <c r="AT727" s="982">
        <f t="shared" ca="1" si="440"/>
        <v>50</v>
      </c>
      <c r="AU727" s="50"/>
      <c r="AV727" s="51"/>
      <c r="AW727" s="49"/>
      <c r="AX727" s="49"/>
      <c r="AY727" s="49"/>
      <c r="AZ727" s="300"/>
      <c r="BA727" s="52"/>
      <c r="BB727" s="304"/>
      <c r="BC727" s="231" t="s">
        <v>13</v>
      </c>
      <c r="BD727" s="232"/>
      <c r="BE727" s="222">
        <f t="shared" si="461"/>
        <v>45860</v>
      </c>
      <c r="BF727" s="233" t="e">
        <f t="shared" si="462"/>
        <v>#VALUE!</v>
      </c>
      <c r="BG727" s="234"/>
      <c r="BH727" s="235"/>
      <c r="BI727" s="234"/>
      <c r="BJ727" s="236"/>
      <c r="BK727" s="222"/>
      <c r="BL727" s="222"/>
      <c r="BM727" s="238"/>
      <c r="BN727" s="222"/>
      <c r="BO727" s="222"/>
      <c r="BP727" s="243"/>
      <c r="BQ727" s="244"/>
      <c r="BR727" s="238"/>
      <c r="BS727" s="68"/>
      <c r="BT727" s="69"/>
      <c r="BU727" s="69"/>
      <c r="BV727" s="69"/>
      <c r="BW727" s="75"/>
      <c r="BX727" s="81"/>
      <c r="BY727" s="66"/>
      <c r="BZ727" s="944"/>
      <c r="CA727" s="42" t="str">
        <f t="shared" si="468"/>
        <v>0</v>
      </c>
      <c r="CB727" s="62">
        <f t="shared" si="469"/>
        <v>17.453472222223354</v>
      </c>
      <c r="CC727" s="42">
        <f t="shared" si="470"/>
        <v>0</v>
      </c>
      <c r="CD727" s="62">
        <f t="shared" si="441"/>
        <v>17.453472222223354</v>
      </c>
      <c r="CE727" s="62">
        <f t="shared" si="442"/>
        <v>0.54075928893640735</v>
      </c>
      <c r="CF727" s="145">
        <f t="shared" si="443"/>
        <v>24</v>
      </c>
      <c r="CG727" s="145"/>
      <c r="CH727" s="443">
        <f t="shared" si="463"/>
        <v>1.2843490325261508</v>
      </c>
      <c r="CI727" s="996">
        <f t="shared" si="444"/>
        <v>1.2843490325261508</v>
      </c>
      <c r="CJ727" s="261">
        <f t="shared" si="464"/>
        <v>0.4</v>
      </c>
      <c r="CK727" s="458" t="str">
        <f t="shared" si="465"/>
        <v/>
      </c>
      <c r="CL727" t="str">
        <f t="shared" si="466"/>
        <v>REV</v>
      </c>
      <c r="CM727" t="str">
        <f t="shared" si="467"/>
        <v/>
      </c>
      <c r="CN727" s="635"/>
      <c r="CO727" s="631"/>
      <c r="CP727" s="629"/>
      <c r="CQ727" s="635"/>
      <c r="CR727" s="697"/>
      <c r="CS727" s="633"/>
      <c r="CT727" s="635"/>
      <c r="CU727" s="631"/>
      <c r="CV727" s="638"/>
      <c r="CW727" s="853"/>
      <c r="CX727" s="856"/>
      <c r="CY727" s="856"/>
    </row>
    <row r="728" spans="1:103" s="359" customFormat="1" ht="15" customHeight="1" x14ac:dyDescent="0.25">
      <c r="A728" s="242">
        <v>45831</v>
      </c>
      <c r="B728" s="222">
        <v>45833</v>
      </c>
      <c r="C728" s="852" t="s">
        <v>247</v>
      </c>
      <c r="D728" s="66" t="s">
        <v>320</v>
      </c>
      <c r="E728" s="404" t="s">
        <v>3552</v>
      </c>
      <c r="F728" s="95" t="s">
        <v>3553</v>
      </c>
      <c r="G728" s="95" t="s">
        <v>3554</v>
      </c>
      <c r="H728" s="95" t="s">
        <v>238</v>
      </c>
      <c r="I728" s="95" t="s">
        <v>239</v>
      </c>
      <c r="J728" s="854" t="s">
        <v>3555</v>
      </c>
      <c r="K728" s="855"/>
      <c r="L728" s="101" t="s">
        <v>242</v>
      </c>
      <c r="M728" s="1014" t="s">
        <v>272</v>
      </c>
      <c r="N728" s="442" t="s">
        <v>467</v>
      </c>
      <c r="O728" s="165">
        <v>118.40899999999999</v>
      </c>
      <c r="P728" s="933">
        <v>337.98</v>
      </c>
      <c r="Q728" s="157">
        <v>97</v>
      </c>
      <c r="R728" s="109" t="s">
        <v>548</v>
      </c>
      <c r="S728" s="110">
        <v>886605.55</v>
      </c>
      <c r="T728" s="93">
        <v>155081.69999999998</v>
      </c>
      <c r="U728" s="857"/>
      <c r="V728" s="158">
        <f t="shared" si="471"/>
        <v>0</v>
      </c>
      <c r="W728" s="159">
        <v>45827.683333333334</v>
      </c>
      <c r="X728" s="159">
        <v>45828.548611111109</v>
      </c>
      <c r="Y728" s="160">
        <v>45833</v>
      </c>
      <c r="Z728" s="470"/>
      <c r="AA728" s="470">
        <v>45834</v>
      </c>
      <c r="AB728" s="942"/>
      <c r="AC728" s="161">
        <f t="shared" si="445"/>
        <v>6.3166666666656965</v>
      </c>
      <c r="AD728" s="161">
        <f t="shared" si="446"/>
        <v>5.4513888888905058</v>
      </c>
      <c r="AE728" s="446">
        <f t="shared" si="447"/>
        <v>-45834</v>
      </c>
      <c r="AF728" s="160">
        <f t="shared" si="448"/>
        <v>45849.202564102568</v>
      </c>
      <c r="AG728" s="160">
        <f t="shared" si="449"/>
        <v>45858.741025641029</v>
      </c>
      <c r="AH728" s="159">
        <f t="shared" si="450"/>
        <v>45877.683333333334</v>
      </c>
      <c r="AI728" s="162">
        <f t="shared" si="451"/>
        <v>0.19321568627448013</v>
      </c>
      <c r="AJ728" s="224">
        <f t="shared" si="452"/>
        <v>-763.9</v>
      </c>
      <c r="AK728" s="225">
        <f t="shared" si="453"/>
        <v>30</v>
      </c>
      <c r="AL728" s="170">
        <f t="shared" si="454"/>
        <v>34</v>
      </c>
      <c r="AM728" s="170">
        <f t="shared" si="455"/>
        <v>24.51923076923077</v>
      </c>
      <c r="AN728" s="170">
        <f t="shared" si="456"/>
        <v>31.057692307692307</v>
      </c>
      <c r="AO728" s="226">
        <f t="shared" si="457"/>
        <v>21.51923076923077</v>
      </c>
      <c r="AP728" s="227">
        <v>60</v>
      </c>
      <c r="AQ728" s="228">
        <f t="shared" si="458"/>
        <v>57</v>
      </c>
      <c r="AR728" s="228">
        <f t="shared" si="459"/>
        <v>52</v>
      </c>
      <c r="AS728" s="229">
        <f t="shared" si="460"/>
        <v>45894</v>
      </c>
      <c r="AT728" s="982">
        <f t="shared" ca="1" si="440"/>
        <v>61</v>
      </c>
      <c r="AU728" s="50"/>
      <c r="AV728" s="51"/>
      <c r="AW728" s="49"/>
      <c r="AX728" s="49"/>
      <c r="AY728" s="49"/>
      <c r="AZ728" s="300"/>
      <c r="BA728" s="52"/>
      <c r="BB728" s="304"/>
      <c r="BC728" s="231" t="s">
        <v>12</v>
      </c>
      <c r="BD728" s="232"/>
      <c r="BE728" s="222">
        <f t="shared" si="461"/>
        <v>45849</v>
      </c>
      <c r="BF728" s="233">
        <f t="shared" si="462"/>
        <v>-8</v>
      </c>
      <c r="BG728" s="234">
        <v>45834</v>
      </c>
      <c r="BH728" s="235">
        <v>45841</v>
      </c>
      <c r="BI728" s="234"/>
      <c r="BJ728" s="236"/>
      <c r="BK728" s="222"/>
      <c r="BL728" s="222"/>
      <c r="BM728" s="238"/>
      <c r="BN728" s="222"/>
      <c r="BO728" s="222"/>
      <c r="BP728" s="243"/>
      <c r="BQ728" s="244" t="s">
        <v>247</v>
      </c>
      <c r="BR728" s="238">
        <v>45833</v>
      </c>
      <c r="BS728" s="68"/>
      <c r="BT728" s="69"/>
      <c r="BU728" s="69"/>
      <c r="BV728" s="69"/>
      <c r="BW728" s="75"/>
      <c r="BX728" s="81"/>
      <c r="BY728" s="66"/>
      <c r="BZ728" s="944"/>
      <c r="CA728" s="42" t="str">
        <f t="shared" si="468"/>
        <v>0</v>
      </c>
      <c r="CB728" s="62">
        <f t="shared" si="469"/>
        <v>6.3166666666656965</v>
      </c>
      <c r="CC728" s="42">
        <f t="shared" si="470"/>
        <v>0</v>
      </c>
      <c r="CD728" s="62">
        <f t="shared" si="441"/>
        <v>6.3166666666656965</v>
      </c>
      <c r="CE728" s="62">
        <f t="shared" si="442"/>
        <v>0.19321568627448013</v>
      </c>
      <c r="CF728" s="145">
        <f t="shared" si="443"/>
        <v>35</v>
      </c>
      <c r="CG728" s="145"/>
      <c r="CH728" s="443">
        <f t="shared" si="463"/>
        <v>1.2638039215685977</v>
      </c>
      <c r="CI728" s="996">
        <f t="shared" si="444"/>
        <v>1.2638039215685977</v>
      </c>
      <c r="CJ728" s="261">
        <f t="shared" si="464"/>
        <v>0.58333333333333337</v>
      </c>
      <c r="CK728" s="458" t="str">
        <f t="shared" si="465"/>
        <v/>
      </c>
      <c r="CL728" t="str">
        <f t="shared" si="466"/>
        <v>NON-REV</v>
      </c>
      <c r="CM728" t="str">
        <f t="shared" si="467"/>
        <v/>
      </c>
      <c r="CN728" s="635"/>
      <c r="CO728" s="631"/>
      <c r="CP728" s="629"/>
      <c r="CQ728" s="635"/>
      <c r="CR728" s="697"/>
      <c r="CS728" s="633"/>
      <c r="CT728" s="635"/>
      <c r="CU728" s="631"/>
      <c r="CV728" s="638"/>
      <c r="CW728" s="853"/>
      <c r="CX728" s="856"/>
      <c r="CY728" s="856"/>
    </row>
    <row r="729" spans="1:103" s="359" customFormat="1" ht="15" customHeight="1" x14ac:dyDescent="0.25">
      <c r="A729" s="242">
        <v>45834</v>
      </c>
      <c r="B729" s="222">
        <v>45834</v>
      </c>
      <c r="C729" s="852"/>
      <c r="D729" s="66" t="s">
        <v>320</v>
      </c>
      <c r="E729" s="404" t="s">
        <v>3556</v>
      </c>
      <c r="F729" s="95" t="s">
        <v>3557</v>
      </c>
      <c r="G729" s="95" t="s">
        <v>3558</v>
      </c>
      <c r="H729" s="95" t="s">
        <v>253</v>
      </c>
      <c r="I729" s="95" t="s">
        <v>254</v>
      </c>
      <c r="J729" s="854"/>
      <c r="K729" s="855"/>
      <c r="L729" s="101" t="s">
        <v>263</v>
      </c>
      <c r="M729" s="101" t="s">
        <v>331</v>
      </c>
      <c r="N729" s="442" t="s">
        <v>467</v>
      </c>
      <c r="O729" s="165">
        <v>43.32</v>
      </c>
      <c r="P729" s="165">
        <v>3.5</v>
      </c>
      <c r="Q729" s="157">
        <v>28.5</v>
      </c>
      <c r="R729" s="109" t="s">
        <v>244</v>
      </c>
      <c r="S729" s="110">
        <v>299225.3</v>
      </c>
      <c r="T729" s="93">
        <v>37219.110000000008</v>
      </c>
      <c r="U729" s="857"/>
      <c r="V729" s="158">
        <f t="shared" si="471"/>
        <v>0</v>
      </c>
      <c r="W729" s="159">
        <v>45827.688888888886</v>
      </c>
      <c r="X729" s="159">
        <v>45833.441666666666</v>
      </c>
      <c r="Y729" s="160">
        <v>45834</v>
      </c>
      <c r="Z729" s="470"/>
      <c r="AA729" s="470"/>
      <c r="AB729" s="942"/>
      <c r="AC729" s="161">
        <f t="shared" si="445"/>
        <v>-45827.688888888886</v>
      </c>
      <c r="AD729" s="161">
        <f t="shared" si="446"/>
        <v>-45833.441666666666</v>
      </c>
      <c r="AE729" s="446">
        <f t="shared" si="447"/>
        <v>0</v>
      </c>
      <c r="AF729" s="160">
        <f t="shared" si="448"/>
        <v>45846.463082437273</v>
      </c>
      <c r="AG729" s="160">
        <f t="shared" si="449"/>
        <v>45855.269534050174</v>
      </c>
      <c r="AH729" s="159">
        <f t="shared" si="450"/>
        <v>45877.688888888886</v>
      </c>
      <c r="AI729" s="162">
        <f t="shared" si="451"/>
        <v>-1578.5092839506169</v>
      </c>
      <c r="AJ729" s="224">
        <f t="shared" si="452"/>
        <v>0</v>
      </c>
      <c r="AK729" s="225">
        <f t="shared" si="453"/>
        <v>20</v>
      </c>
      <c r="AL729" s="170">
        <f t="shared" si="454"/>
        <v>36</v>
      </c>
      <c r="AM729" s="170">
        <f t="shared" si="455"/>
        <v>21.774193548387096</v>
      </c>
      <c r="AN729" s="170">
        <f t="shared" si="456"/>
        <v>27.58064516129032</v>
      </c>
      <c r="AO729" s="226">
        <f t="shared" si="457"/>
        <v>18.774193548387096</v>
      </c>
      <c r="AP729" s="227">
        <v>60</v>
      </c>
      <c r="AQ729" s="228">
        <f t="shared" si="458"/>
        <v>57</v>
      </c>
      <c r="AR729" s="228">
        <f t="shared" si="459"/>
        <v>52</v>
      </c>
      <c r="AS729" s="229">
        <f t="shared" si="460"/>
        <v>60</v>
      </c>
      <c r="AT729" s="982">
        <f t="shared" ca="1" si="440"/>
        <v>45895</v>
      </c>
      <c r="AU729" s="50"/>
      <c r="AV729" s="51"/>
      <c r="AW729" s="49"/>
      <c r="AX729" s="49"/>
      <c r="AY729" s="49"/>
      <c r="AZ729" s="300"/>
      <c r="BA729" s="52"/>
      <c r="BB729" s="304"/>
      <c r="BC729" s="231"/>
      <c r="BD729" s="232"/>
      <c r="BE729" s="222">
        <f t="shared" si="461"/>
        <v>15</v>
      </c>
      <c r="BF729" s="233">
        <f t="shared" si="462"/>
        <v>0</v>
      </c>
      <c r="BG729" s="234"/>
      <c r="BH729" s="235"/>
      <c r="BI729" s="234"/>
      <c r="BJ729" s="236"/>
      <c r="BK729" s="222"/>
      <c r="BL729" s="222"/>
      <c r="BM729" s="238"/>
      <c r="BN729" s="222"/>
      <c r="BO729" s="222"/>
      <c r="BP729" s="243"/>
      <c r="BQ729" s="244"/>
      <c r="BR729" s="238"/>
      <c r="BS729" s="68"/>
      <c r="BT729" s="69"/>
      <c r="BU729" s="69"/>
      <c r="BV729" s="69"/>
      <c r="BW729" s="75"/>
      <c r="BX729" s="81"/>
      <c r="BY729" s="66">
        <v>45856</v>
      </c>
      <c r="BZ729" s="944" t="s">
        <v>3559</v>
      </c>
      <c r="CA729" s="42" t="str">
        <f t="shared" si="468"/>
        <v>0</v>
      </c>
      <c r="CB729" s="62">
        <f t="shared" si="469"/>
        <v>-45827.688888888886</v>
      </c>
      <c r="CC729" s="42">
        <f t="shared" si="470"/>
        <v>0</v>
      </c>
      <c r="CD729" s="62">
        <f t="shared" si="441"/>
        <v>-45827.688888888886</v>
      </c>
      <c r="CE729" s="62">
        <f t="shared" si="442"/>
        <v>-1578.5092839506169</v>
      </c>
      <c r="CF729" s="145" t="str">
        <f t="shared" si="443"/>
        <v>0</v>
      </c>
      <c r="CG729" s="145"/>
      <c r="CH729" s="443">
        <f t="shared" si="463"/>
        <v>1.4229382716050327</v>
      </c>
      <c r="CI729" s="996">
        <f t="shared" si="444"/>
        <v>1.4229382716050327</v>
      </c>
      <c r="CJ729" s="261">
        <f t="shared" si="464"/>
        <v>0</v>
      </c>
      <c r="CK729" s="458">
        <f t="shared" si="465"/>
        <v>28.31111111111386</v>
      </c>
      <c r="CL729" t="str">
        <f t="shared" si="466"/>
        <v>REV</v>
      </c>
      <c r="CM729" t="str">
        <f t="shared" si="467"/>
        <v>0-3 MONTHS</v>
      </c>
      <c r="CN729" s="635"/>
      <c r="CO729" s="631"/>
      <c r="CP729" s="629"/>
      <c r="CQ729" s="635"/>
      <c r="CR729" s="697"/>
      <c r="CS729" s="633"/>
      <c r="CT729" s="635"/>
      <c r="CU729" s="631"/>
      <c r="CV729" s="638"/>
      <c r="CW729" s="853"/>
      <c r="CX729" s="856"/>
      <c r="CY729" s="856"/>
    </row>
    <row r="730" spans="1:103" s="359" customFormat="1" ht="15" customHeight="1" x14ac:dyDescent="0.25">
      <c r="A730" s="222" t="s">
        <v>308</v>
      </c>
      <c r="B730" s="222" t="s">
        <v>308</v>
      </c>
      <c r="C730" s="852"/>
      <c r="D730" s="66" t="s">
        <v>320</v>
      </c>
      <c r="E730" s="404" t="s">
        <v>3560</v>
      </c>
      <c r="F730" s="95" t="s">
        <v>3561</v>
      </c>
      <c r="G730" s="95" t="s">
        <v>3562</v>
      </c>
      <c r="H730" s="95" t="s">
        <v>318</v>
      </c>
      <c r="I730" s="95" t="s">
        <v>239</v>
      </c>
      <c r="J730" s="854"/>
      <c r="K730" s="855"/>
      <c r="L730" s="101" t="s">
        <v>1957</v>
      </c>
      <c r="M730" s="101" t="s">
        <v>272</v>
      </c>
      <c r="N730" s="442" t="s">
        <v>3375</v>
      </c>
      <c r="O730" s="165">
        <v>387.5</v>
      </c>
      <c r="P730" s="165">
        <v>387.5</v>
      </c>
      <c r="Q730" s="157">
        <v>231</v>
      </c>
      <c r="R730" s="109" t="s">
        <v>244</v>
      </c>
      <c r="S730" s="110">
        <v>1183971.1399999999</v>
      </c>
      <c r="T730" s="93"/>
      <c r="U730" s="857"/>
      <c r="V730" s="158" t="e">
        <f t="shared" si="471"/>
        <v>#DIV/0!</v>
      </c>
      <c r="W730" s="159">
        <v>45826.401388888888</v>
      </c>
      <c r="X730" s="159">
        <v>45831.36041666667</v>
      </c>
      <c r="Y730" s="160" t="s">
        <v>308</v>
      </c>
      <c r="Z730" s="470"/>
      <c r="AA730" s="470">
        <v>45855</v>
      </c>
      <c r="AB730" s="942"/>
      <c r="AC730" s="161">
        <f t="shared" si="445"/>
        <v>28.598611111112405</v>
      </c>
      <c r="AD730" s="161">
        <f t="shared" si="446"/>
        <v>23.639583333329938</v>
      </c>
      <c r="AE730" s="446">
        <f t="shared" si="447"/>
        <v>-45855</v>
      </c>
      <c r="AF730" s="160">
        <f t="shared" si="448"/>
        <v>45845.901388888888</v>
      </c>
      <c r="AG730" s="160">
        <f t="shared" si="449"/>
        <v>45854.901388888888</v>
      </c>
      <c r="AH730" s="159">
        <f t="shared" si="450"/>
        <v>45876.401388888888</v>
      </c>
      <c r="AI730" s="162">
        <f t="shared" si="451"/>
        <v>0.95328703703708018</v>
      </c>
      <c r="AJ730" s="224">
        <f t="shared" si="452"/>
        <v>-764.25</v>
      </c>
      <c r="AK730" s="225">
        <f t="shared" si="453"/>
        <v>30</v>
      </c>
      <c r="AL730" s="170">
        <f t="shared" si="454"/>
        <v>30</v>
      </c>
      <c r="AM730" s="170">
        <f t="shared" si="455"/>
        <v>22.5</v>
      </c>
      <c r="AN730" s="170">
        <f t="shared" si="456"/>
        <v>28.5</v>
      </c>
      <c r="AO730" s="226">
        <f t="shared" si="457"/>
        <v>19.5</v>
      </c>
      <c r="AP730" s="227">
        <v>60</v>
      </c>
      <c r="AQ730" s="228">
        <f t="shared" si="458"/>
        <v>57</v>
      </c>
      <c r="AR730" s="228">
        <f t="shared" si="459"/>
        <v>52</v>
      </c>
      <c r="AS730" s="229">
        <f t="shared" si="460"/>
        <v>45915</v>
      </c>
      <c r="AT730" s="982">
        <f t="shared" ca="1" si="440"/>
        <v>40</v>
      </c>
      <c r="AU730" s="50"/>
      <c r="AV730" s="51"/>
      <c r="AW730" s="49"/>
      <c r="AX730" s="49"/>
      <c r="AY730" s="49"/>
      <c r="AZ730" s="300"/>
      <c r="BA730" s="52"/>
      <c r="BB730" s="304"/>
      <c r="BC730" s="231" t="s">
        <v>13</v>
      </c>
      <c r="BD730" s="232"/>
      <c r="BE730" s="222">
        <f t="shared" si="461"/>
        <v>45870</v>
      </c>
      <c r="BF730" s="233" t="e">
        <f t="shared" si="462"/>
        <v>#VALUE!</v>
      </c>
      <c r="BG730" s="234"/>
      <c r="BH730" s="235"/>
      <c r="BI730" s="234"/>
      <c r="BJ730" s="236"/>
      <c r="BK730" s="222"/>
      <c r="BL730" s="222"/>
      <c r="BM730" s="238"/>
      <c r="BN730" s="222"/>
      <c r="BO730" s="222"/>
      <c r="BP730" s="243"/>
      <c r="BQ730" s="244"/>
      <c r="BR730" s="238"/>
      <c r="BS730" s="68"/>
      <c r="BT730" s="69"/>
      <c r="BU730" s="69"/>
      <c r="BV730" s="69"/>
      <c r="BW730" s="75"/>
      <c r="BX730" s="81"/>
      <c r="BY730" s="66"/>
      <c r="BZ730" s="944"/>
      <c r="CA730" s="42" t="str">
        <f t="shared" si="468"/>
        <v>0</v>
      </c>
      <c r="CB730" s="62">
        <f t="shared" si="469"/>
        <v>28.598611111112405</v>
      </c>
      <c r="CC730" s="42">
        <f t="shared" si="470"/>
        <v>0</v>
      </c>
      <c r="CD730" s="62">
        <f t="shared" si="441"/>
        <v>28.598611111112405</v>
      </c>
      <c r="CE730" s="62">
        <f t="shared" si="442"/>
        <v>0.95328703703708018</v>
      </c>
      <c r="CF730" s="145">
        <f t="shared" si="443"/>
        <v>14</v>
      </c>
      <c r="CG730" s="145"/>
      <c r="CH730" s="443">
        <f t="shared" si="463"/>
        <v>1.4199537037037469</v>
      </c>
      <c r="CI730" s="996">
        <f t="shared" si="444"/>
        <v>1.4199537037037469</v>
      </c>
      <c r="CJ730" s="261">
        <f t="shared" si="464"/>
        <v>0.23333333333333334</v>
      </c>
      <c r="CK730" s="458" t="str">
        <f t="shared" si="465"/>
        <v/>
      </c>
      <c r="CL730" t="str">
        <f t="shared" si="466"/>
        <v>REV</v>
      </c>
      <c r="CM730" t="str">
        <f t="shared" si="467"/>
        <v/>
      </c>
      <c r="CN730" s="635"/>
      <c r="CO730" s="631"/>
      <c r="CP730" s="629"/>
      <c r="CQ730" s="635"/>
      <c r="CR730" s="697"/>
      <c r="CS730" s="633"/>
      <c r="CT730" s="635"/>
      <c r="CU730" s="631"/>
      <c r="CV730" s="638"/>
      <c r="CW730" s="853"/>
      <c r="CX730" s="856"/>
      <c r="CY730" s="856"/>
    </row>
    <row r="731" spans="1:103" s="359" customFormat="1" ht="15" customHeight="1" x14ac:dyDescent="0.25">
      <c r="A731" s="222" t="s">
        <v>308</v>
      </c>
      <c r="B731" s="222" t="s">
        <v>308</v>
      </c>
      <c r="C731" s="852"/>
      <c r="D731" s="66" t="s">
        <v>284</v>
      </c>
      <c r="E731" s="404" t="s">
        <v>3563</v>
      </c>
      <c r="F731" s="95" t="s">
        <v>3402</v>
      </c>
      <c r="G731" s="95" t="s">
        <v>3564</v>
      </c>
      <c r="H731" s="95" t="s">
        <v>318</v>
      </c>
      <c r="I731" s="95" t="s">
        <v>239</v>
      </c>
      <c r="J731" s="854"/>
      <c r="K731" s="855"/>
      <c r="L731" s="101" t="s">
        <v>1957</v>
      </c>
      <c r="M731" s="101" t="s">
        <v>272</v>
      </c>
      <c r="N731" s="442" t="s">
        <v>580</v>
      </c>
      <c r="O731" s="933">
        <v>47.7</v>
      </c>
      <c r="P731" s="933">
        <v>47.7</v>
      </c>
      <c r="Q731" s="157">
        <v>99</v>
      </c>
      <c r="R731" s="109" t="s">
        <v>244</v>
      </c>
      <c r="S731" s="110"/>
      <c r="T731" s="93"/>
      <c r="U731" s="857"/>
      <c r="V731" s="158" t="e">
        <f t="shared" si="471"/>
        <v>#DIV/0!</v>
      </c>
      <c r="W731" s="159">
        <v>45825.565972222219</v>
      </c>
      <c r="X731" s="159">
        <v>45831.370833333334</v>
      </c>
      <c r="Y731" s="160" t="s">
        <v>308</v>
      </c>
      <c r="Z731" s="470"/>
      <c r="AA731" s="470">
        <v>45835</v>
      </c>
      <c r="AB731" s="942"/>
      <c r="AC731" s="161">
        <f t="shared" si="445"/>
        <v>9.4340277777810115</v>
      </c>
      <c r="AD731" s="161">
        <f t="shared" si="446"/>
        <v>3.6291666666656965</v>
      </c>
      <c r="AE731" s="446">
        <f t="shared" si="447"/>
        <v>-45835</v>
      </c>
      <c r="AF731" s="160">
        <f t="shared" si="448"/>
        <v>45843.640352387505</v>
      </c>
      <c r="AG731" s="160">
        <f t="shared" si="449"/>
        <v>45852.260187098254</v>
      </c>
      <c r="AH731" s="159">
        <f t="shared" si="450"/>
        <v>45875.565972222219</v>
      </c>
      <c r="AI731" s="162">
        <f t="shared" si="451"/>
        <v>0.33574040032691244</v>
      </c>
      <c r="AJ731" s="224">
        <f t="shared" si="452"/>
        <v>-763.91666666666663</v>
      </c>
      <c r="AK731" s="225">
        <f t="shared" si="453"/>
        <v>20</v>
      </c>
      <c r="AL731" s="170">
        <f t="shared" si="454"/>
        <v>34</v>
      </c>
      <c r="AM731" s="170">
        <f t="shared" si="455"/>
        <v>21.074380165289259</v>
      </c>
      <c r="AN731" s="170">
        <f t="shared" si="456"/>
        <v>26.694214876033058</v>
      </c>
      <c r="AO731" s="226">
        <f t="shared" si="457"/>
        <v>18.074380165289259</v>
      </c>
      <c r="AP731" s="227">
        <v>60</v>
      </c>
      <c r="AQ731" s="228">
        <f t="shared" si="458"/>
        <v>57</v>
      </c>
      <c r="AR731" s="228">
        <f t="shared" si="459"/>
        <v>52</v>
      </c>
      <c r="AS731" s="229">
        <f t="shared" si="460"/>
        <v>45895</v>
      </c>
      <c r="AT731" s="982">
        <f t="shared" ca="1" si="440"/>
        <v>60</v>
      </c>
      <c r="AU731" s="50"/>
      <c r="AV731" s="51"/>
      <c r="AW731" s="49"/>
      <c r="AX731" s="49"/>
      <c r="AY731" s="49"/>
      <c r="AZ731" s="300"/>
      <c r="BA731" s="52"/>
      <c r="BB731" s="304"/>
      <c r="BC731" s="231" t="s">
        <v>13</v>
      </c>
      <c r="BD731" s="232"/>
      <c r="BE731" s="222">
        <f t="shared" si="461"/>
        <v>45850</v>
      </c>
      <c r="BF731" s="233" t="e">
        <f t="shared" si="462"/>
        <v>#VALUE!</v>
      </c>
      <c r="BG731" s="234"/>
      <c r="BH731" s="235"/>
      <c r="BI731" s="234"/>
      <c r="BJ731" s="236"/>
      <c r="BK731" s="222"/>
      <c r="BL731" s="222"/>
      <c r="BM731" s="238"/>
      <c r="BN731" s="222"/>
      <c r="BO731" s="222"/>
      <c r="BP731" s="243"/>
      <c r="BQ731" s="244"/>
      <c r="BR731" s="238"/>
      <c r="BS731" s="68"/>
      <c r="BT731" s="69"/>
      <c r="BU731" s="69"/>
      <c r="BV731" s="69"/>
      <c r="BW731" s="75"/>
      <c r="BX731" s="81"/>
      <c r="BY731" s="66"/>
      <c r="BZ731" s="944"/>
      <c r="CA731" s="42" t="str">
        <f t="shared" si="468"/>
        <v>0</v>
      </c>
      <c r="CB731" s="62">
        <f t="shared" si="469"/>
        <v>9.4340277777810115</v>
      </c>
      <c r="CC731" s="42">
        <f t="shared" si="470"/>
        <v>0</v>
      </c>
      <c r="CD731" s="62">
        <f t="shared" si="441"/>
        <v>9.4340277777810115</v>
      </c>
      <c r="CE731" s="62">
        <f t="shared" si="442"/>
        <v>0.33574040032691244</v>
      </c>
      <c r="CF731" s="145">
        <f t="shared" si="443"/>
        <v>34</v>
      </c>
      <c r="CG731" s="145"/>
      <c r="CH731" s="443">
        <f t="shared" si="463"/>
        <v>1.5457404003269124</v>
      </c>
      <c r="CI731" s="996">
        <f t="shared" si="444"/>
        <v>1.5457404003269124</v>
      </c>
      <c r="CJ731" s="261">
        <f t="shared" si="464"/>
        <v>0.56666666666666665</v>
      </c>
      <c r="CK731" s="458" t="str">
        <f t="shared" si="465"/>
        <v/>
      </c>
      <c r="CL731" t="str">
        <f t="shared" si="466"/>
        <v>REV</v>
      </c>
      <c r="CM731" t="str">
        <f t="shared" si="467"/>
        <v/>
      </c>
      <c r="CN731" s="635"/>
      <c r="CO731" s="631"/>
      <c r="CP731" s="629"/>
      <c r="CQ731" s="635"/>
      <c r="CR731" s="697"/>
      <c r="CS731" s="633"/>
      <c r="CT731" s="635"/>
      <c r="CU731" s="631"/>
      <c r="CV731" s="638"/>
      <c r="CW731" s="853"/>
      <c r="CX731" s="856"/>
      <c r="CY731" s="856"/>
    </row>
    <row r="732" spans="1:103" s="359" customFormat="1" ht="15" customHeight="1" x14ac:dyDescent="0.25">
      <c r="A732" s="222" t="s">
        <v>308</v>
      </c>
      <c r="B732" s="222" t="s">
        <v>308</v>
      </c>
      <c r="C732" s="852"/>
      <c r="D732" s="66" t="s">
        <v>320</v>
      </c>
      <c r="E732" s="404" t="s">
        <v>3565</v>
      </c>
      <c r="F732" s="95" t="s">
        <v>949</v>
      </c>
      <c r="G732" s="95" t="s">
        <v>3566</v>
      </c>
      <c r="H732" s="95" t="s">
        <v>378</v>
      </c>
      <c r="I732" s="95" t="s">
        <v>239</v>
      </c>
      <c r="J732" s="854"/>
      <c r="K732" s="855"/>
      <c r="L732" s="101" t="s">
        <v>1945</v>
      </c>
      <c r="M732" s="101" t="s">
        <v>256</v>
      </c>
      <c r="N732" s="442" t="s">
        <v>1946</v>
      </c>
      <c r="O732" s="933">
        <v>18.64</v>
      </c>
      <c r="P732" s="933">
        <v>18.64</v>
      </c>
      <c r="Q732" s="157">
        <v>28</v>
      </c>
      <c r="R732" s="109" t="s">
        <v>244</v>
      </c>
      <c r="S732" s="110"/>
      <c r="T732" s="93"/>
      <c r="U732" s="857"/>
      <c r="V732" s="158" t="e">
        <f t="shared" si="471"/>
        <v>#DIV/0!</v>
      </c>
      <c r="W732" s="159">
        <v>45825.570138888892</v>
      </c>
      <c r="X732" s="159">
        <v>45831.356944444444</v>
      </c>
      <c r="Y732" s="160" t="s">
        <v>308</v>
      </c>
      <c r="Z732" s="470"/>
      <c r="AA732" s="470">
        <v>45833</v>
      </c>
      <c r="AB732" s="942">
        <v>45848.336111111108</v>
      </c>
      <c r="AC732" s="161">
        <f t="shared" si="445"/>
        <v>7.429861111108039</v>
      </c>
      <c r="AD732" s="161">
        <f t="shared" si="446"/>
        <v>1.6430555555562023</v>
      </c>
      <c r="AE732" s="446">
        <f t="shared" si="447"/>
        <v>15.336111111108039</v>
      </c>
      <c r="AF732" s="160">
        <f t="shared" si="448"/>
        <v>45844.344332437278</v>
      </c>
      <c r="AG732" s="160">
        <f t="shared" si="449"/>
        <v>45853.15078405018</v>
      </c>
      <c r="AH732" s="159">
        <f t="shared" si="450"/>
        <v>45875.570138888892</v>
      </c>
      <c r="AI732" s="162">
        <f t="shared" si="451"/>
        <v>0.2559174382714991</v>
      </c>
      <c r="AJ732" s="224">
        <f t="shared" si="452"/>
        <v>0.25560185185180068</v>
      </c>
      <c r="AK732" s="225">
        <f t="shared" si="453"/>
        <v>20</v>
      </c>
      <c r="AL732" s="170">
        <f t="shared" si="454"/>
        <v>36</v>
      </c>
      <c r="AM732" s="170">
        <f t="shared" si="455"/>
        <v>21.774193548387096</v>
      </c>
      <c r="AN732" s="170">
        <f t="shared" si="456"/>
        <v>27.58064516129032</v>
      </c>
      <c r="AO732" s="226">
        <f t="shared" si="457"/>
        <v>18.774193548387096</v>
      </c>
      <c r="AP732" s="227">
        <v>60</v>
      </c>
      <c r="AQ732" s="228">
        <f t="shared" si="458"/>
        <v>57</v>
      </c>
      <c r="AR732" s="228">
        <f t="shared" si="459"/>
        <v>52</v>
      </c>
      <c r="AS732" s="229">
        <f t="shared" si="460"/>
        <v>45893</v>
      </c>
      <c r="AT732" s="982">
        <f t="shared" ca="1" si="440"/>
        <v>62</v>
      </c>
      <c r="AU732" s="50"/>
      <c r="AV732" s="51"/>
      <c r="AW732" s="49"/>
      <c r="AX732" s="49"/>
      <c r="AY732" s="49"/>
      <c r="AZ732" s="300"/>
      <c r="BA732" s="52"/>
      <c r="BB732" s="304"/>
      <c r="BC732" s="231" t="s">
        <v>14</v>
      </c>
      <c r="BD732" s="232"/>
      <c r="BE732" s="222">
        <f t="shared" si="461"/>
        <v>45848</v>
      </c>
      <c r="BF732" s="233" t="e">
        <f t="shared" si="462"/>
        <v>#VALUE!</v>
      </c>
      <c r="BG732" s="234"/>
      <c r="BH732" s="235"/>
      <c r="BI732" s="234"/>
      <c r="BJ732" s="236"/>
      <c r="BK732" s="222"/>
      <c r="BL732" s="222"/>
      <c r="BM732" s="238"/>
      <c r="BN732" s="222"/>
      <c r="BO732" s="222"/>
      <c r="BP732" s="243"/>
      <c r="BQ732" s="244"/>
      <c r="BR732" s="238"/>
      <c r="BS732" s="68"/>
      <c r="BT732" s="69"/>
      <c r="BU732" s="69"/>
      <c r="BV732" s="69"/>
      <c r="BW732" s="75"/>
      <c r="BX732" s="81"/>
      <c r="BY732" s="66"/>
      <c r="BZ732" s="944"/>
      <c r="CA732" s="42" t="str">
        <f t="shared" si="468"/>
        <v>0</v>
      </c>
      <c r="CB732" s="62">
        <f t="shared" si="469"/>
        <v>7.429861111108039</v>
      </c>
      <c r="CC732" s="42">
        <f t="shared" si="470"/>
        <v>0</v>
      </c>
      <c r="CD732" s="62">
        <f t="shared" si="441"/>
        <v>7.429861111108039</v>
      </c>
      <c r="CE732" s="62">
        <f t="shared" si="442"/>
        <v>0.2559174382714991</v>
      </c>
      <c r="CF732" s="145">
        <f t="shared" si="443"/>
        <v>36</v>
      </c>
      <c r="CG732" s="145"/>
      <c r="CH732" s="443">
        <f t="shared" si="463"/>
        <v>1.495917438271499</v>
      </c>
      <c r="CI732" s="996">
        <f t="shared" si="444"/>
        <v>1.495917438271499</v>
      </c>
      <c r="CJ732" s="261">
        <f t="shared" si="464"/>
        <v>0.6</v>
      </c>
      <c r="CK732" s="458" t="str">
        <f t="shared" si="465"/>
        <v/>
      </c>
      <c r="CL732" t="str">
        <f t="shared" si="466"/>
        <v>REV</v>
      </c>
      <c r="CM732" t="str">
        <f t="shared" si="467"/>
        <v/>
      </c>
      <c r="CN732" s="635"/>
      <c r="CO732" s="631"/>
      <c r="CP732" s="629"/>
      <c r="CQ732" s="635"/>
      <c r="CR732" s="697"/>
      <c r="CS732" s="633"/>
      <c r="CT732" s="635"/>
      <c r="CU732" s="631"/>
      <c r="CV732" s="638"/>
      <c r="CW732" s="853"/>
      <c r="CX732" s="856"/>
      <c r="CY732" s="856"/>
    </row>
    <row r="733" spans="1:103" s="359" customFormat="1" ht="15" customHeight="1" x14ac:dyDescent="0.25">
      <c r="A733" s="242">
        <v>45838</v>
      </c>
      <c r="B733" s="222">
        <v>45834</v>
      </c>
      <c r="C733" s="852"/>
      <c r="D733" s="66" t="s">
        <v>234</v>
      </c>
      <c r="E733" s="404" t="s">
        <v>3567</v>
      </c>
      <c r="F733" s="95" t="s">
        <v>325</v>
      </c>
      <c r="G733" s="95" t="s">
        <v>1772</v>
      </c>
      <c r="H733" s="95" t="s">
        <v>238</v>
      </c>
      <c r="I733" s="95" t="s">
        <v>239</v>
      </c>
      <c r="J733" s="854"/>
      <c r="K733" s="855"/>
      <c r="L733" s="101" t="s">
        <v>242</v>
      </c>
      <c r="M733" s="101" t="s">
        <v>272</v>
      </c>
      <c r="N733" s="442" t="s">
        <v>467</v>
      </c>
      <c r="O733" s="933">
        <v>599.01</v>
      </c>
      <c r="P733" s="933">
        <v>599.01</v>
      </c>
      <c r="Q733" s="157">
        <v>0</v>
      </c>
      <c r="R733" s="109" t="s">
        <v>327</v>
      </c>
      <c r="S733" s="110">
        <v>829081.67</v>
      </c>
      <c r="T733" s="93"/>
      <c r="U733" s="857"/>
      <c r="V733" s="158" t="e">
        <f t="shared" si="471"/>
        <v>#DIV/0!</v>
      </c>
      <c r="W733" s="159">
        <v>45828.406944444447</v>
      </c>
      <c r="X733" s="159">
        <v>45833.449305555558</v>
      </c>
      <c r="Y733" s="160">
        <v>45834</v>
      </c>
      <c r="Z733" s="470"/>
      <c r="AA733" s="470">
        <v>45835</v>
      </c>
      <c r="AB733" s="942"/>
      <c r="AC733" s="161">
        <f t="shared" si="445"/>
        <v>6.5930555555532919</v>
      </c>
      <c r="AD733" s="161">
        <f t="shared" si="446"/>
        <v>1.5506944444423425</v>
      </c>
      <c r="AE733" s="446">
        <f t="shared" si="447"/>
        <v>-45835</v>
      </c>
      <c r="AF733" s="160">
        <f t="shared" si="448"/>
        <v>45853.241995990837</v>
      </c>
      <c r="AG733" s="160">
        <f t="shared" si="449"/>
        <v>45863.664676403212</v>
      </c>
      <c r="AH733" s="159">
        <f t="shared" si="450"/>
        <v>45878.406944444447</v>
      </c>
      <c r="AI733" s="162">
        <f t="shared" si="451"/>
        <v>0.17764621913574147</v>
      </c>
      <c r="AJ733" s="224">
        <f t="shared" si="452"/>
        <v>-763.91666666666663</v>
      </c>
      <c r="AK733" s="225">
        <f t="shared" si="453"/>
        <v>40</v>
      </c>
      <c r="AL733" s="170">
        <f t="shared" si="454"/>
        <v>36</v>
      </c>
      <c r="AM733" s="170">
        <f t="shared" si="455"/>
        <v>27.835051546391753</v>
      </c>
      <c r="AN733" s="170">
        <f t="shared" si="456"/>
        <v>35.257731958762882</v>
      </c>
      <c r="AO733" s="226">
        <f t="shared" si="457"/>
        <v>24.835051546391753</v>
      </c>
      <c r="AP733" s="227">
        <v>60</v>
      </c>
      <c r="AQ733" s="228">
        <f t="shared" si="458"/>
        <v>57</v>
      </c>
      <c r="AR733" s="228">
        <f t="shared" si="459"/>
        <v>52</v>
      </c>
      <c r="AS733" s="229">
        <f t="shared" si="460"/>
        <v>45895</v>
      </c>
      <c r="AT733" s="982">
        <f t="shared" ca="1" si="440"/>
        <v>60</v>
      </c>
      <c r="AU733" s="50"/>
      <c r="AV733" s="51"/>
      <c r="AW733" s="49"/>
      <c r="AX733" s="49"/>
      <c r="AY733" s="49"/>
      <c r="AZ733" s="300"/>
      <c r="BA733" s="52"/>
      <c r="BB733" s="304"/>
      <c r="BC733" s="231" t="s">
        <v>13</v>
      </c>
      <c r="BD733" s="232"/>
      <c r="BE733" s="222">
        <f t="shared" si="461"/>
        <v>45850</v>
      </c>
      <c r="BF733" s="233" t="e">
        <f t="shared" si="462"/>
        <v>#VALUE!</v>
      </c>
      <c r="BG733" s="234"/>
      <c r="BH733" s="235"/>
      <c r="BI733" s="234"/>
      <c r="BJ733" s="236"/>
      <c r="BK733" s="222"/>
      <c r="BL733" s="222"/>
      <c r="BM733" s="238"/>
      <c r="BN733" s="222"/>
      <c r="BO733" s="222"/>
      <c r="BP733" s="243"/>
      <c r="BQ733" s="244"/>
      <c r="BR733" s="238"/>
      <c r="BS733" s="68"/>
      <c r="BT733" s="69"/>
      <c r="BU733" s="69"/>
      <c r="BV733" s="69"/>
      <c r="BW733" s="75"/>
      <c r="BX733" s="81"/>
      <c r="BY733" s="66">
        <v>45839</v>
      </c>
      <c r="BZ733" s="944" t="s">
        <v>3568</v>
      </c>
      <c r="CA733" s="42" t="str">
        <f t="shared" si="468"/>
        <v>0</v>
      </c>
      <c r="CB733" s="62">
        <f t="shared" si="469"/>
        <v>6.5930555555532919</v>
      </c>
      <c r="CC733" s="42">
        <f t="shared" si="470"/>
        <v>0</v>
      </c>
      <c r="CD733" s="62">
        <f t="shared" si="441"/>
        <v>6.5930555555532919</v>
      </c>
      <c r="CE733" s="62">
        <f t="shared" si="442"/>
        <v>0.17764621913574147</v>
      </c>
      <c r="CF733" s="145">
        <f t="shared" si="443"/>
        <v>34</v>
      </c>
      <c r="CG733" s="145"/>
      <c r="CH733" s="443">
        <f t="shared" si="463"/>
        <v>1.0937573302468526</v>
      </c>
      <c r="CI733" s="996">
        <f t="shared" si="444"/>
        <v>1.0937573302468526</v>
      </c>
      <c r="CJ733" s="261">
        <f t="shared" si="464"/>
        <v>0.56666666666666665</v>
      </c>
      <c r="CK733" s="458" t="str">
        <f t="shared" si="465"/>
        <v/>
      </c>
      <c r="CL733" t="str">
        <f t="shared" si="466"/>
        <v>NON-REV</v>
      </c>
      <c r="CM733" t="str">
        <f t="shared" si="467"/>
        <v/>
      </c>
      <c r="CN733" s="635"/>
      <c r="CO733" s="631"/>
      <c r="CP733" s="629"/>
      <c r="CQ733" s="635"/>
      <c r="CR733" s="697"/>
      <c r="CS733" s="633"/>
      <c r="CT733" s="635"/>
      <c r="CU733" s="631"/>
      <c r="CV733" s="638"/>
      <c r="CW733" s="853"/>
      <c r="CX733" s="856"/>
      <c r="CY733" s="856"/>
    </row>
    <row r="734" spans="1:103" s="359" customFormat="1" ht="15" customHeight="1" x14ac:dyDescent="0.25">
      <c r="A734" s="242">
        <v>45854</v>
      </c>
      <c r="B734" s="222">
        <v>45834</v>
      </c>
      <c r="C734" s="852"/>
      <c r="D734" s="66" t="s">
        <v>234</v>
      </c>
      <c r="E734" s="404" t="s">
        <v>3569</v>
      </c>
      <c r="F734" s="95" t="s">
        <v>325</v>
      </c>
      <c r="G734" s="95" t="s">
        <v>3570</v>
      </c>
      <c r="H734" s="95" t="s">
        <v>238</v>
      </c>
      <c r="I734" s="95" t="s">
        <v>239</v>
      </c>
      <c r="J734" s="854"/>
      <c r="K734" s="855"/>
      <c r="L734" s="101" t="s">
        <v>242</v>
      </c>
      <c r="M734" s="101" t="s">
        <v>331</v>
      </c>
      <c r="N734" s="442" t="s">
        <v>467</v>
      </c>
      <c r="O734" s="165">
        <v>252.19</v>
      </c>
      <c r="P734" s="165">
        <v>401.23</v>
      </c>
      <c r="Q734" s="157">
        <v>0</v>
      </c>
      <c r="R734" s="109" t="s">
        <v>327</v>
      </c>
      <c r="S734" s="110">
        <v>788084.57</v>
      </c>
      <c r="T734" s="1132">
        <v>215879.29</v>
      </c>
      <c r="U734" s="857"/>
      <c r="V734" s="158">
        <f t="shared" si="471"/>
        <v>0</v>
      </c>
      <c r="W734" s="159">
        <v>45828.40347222222</v>
      </c>
      <c r="X734" s="159">
        <v>45833.45</v>
      </c>
      <c r="Y734" s="160">
        <v>45834</v>
      </c>
      <c r="Z734" s="470"/>
      <c r="AA734" s="470"/>
      <c r="AB734" s="942"/>
      <c r="AC734" s="161">
        <f t="shared" si="445"/>
        <v>-45828.40347222222</v>
      </c>
      <c r="AD734" s="161">
        <f t="shared" si="446"/>
        <v>-45833.45</v>
      </c>
      <c r="AE734" s="446">
        <f t="shared" si="447"/>
        <v>0</v>
      </c>
      <c r="AF734" s="160">
        <f t="shared" si="448"/>
        <v>45851.42756860776</v>
      </c>
      <c r="AG734" s="160">
        <f t="shared" si="449"/>
        <v>45861.367327643908</v>
      </c>
      <c r="AH734" s="159">
        <f t="shared" si="450"/>
        <v>45878.40347222222</v>
      </c>
      <c r="AI734" s="162">
        <f t="shared" si="451"/>
        <v>-1320.7491278452931</v>
      </c>
      <c r="AJ734" s="224">
        <f t="shared" si="452"/>
        <v>0</v>
      </c>
      <c r="AK734" s="225">
        <f t="shared" si="453"/>
        <v>32</v>
      </c>
      <c r="AL734" s="170">
        <f t="shared" si="454"/>
        <v>36</v>
      </c>
      <c r="AM734" s="170">
        <f t="shared" si="455"/>
        <v>26.024096385542165</v>
      </c>
      <c r="AN734" s="170">
        <f t="shared" si="456"/>
        <v>32.963855421686745</v>
      </c>
      <c r="AO734" s="226">
        <f t="shared" si="457"/>
        <v>23.024096385542165</v>
      </c>
      <c r="AP734" s="227">
        <v>60</v>
      </c>
      <c r="AQ734" s="228">
        <f t="shared" si="458"/>
        <v>57</v>
      </c>
      <c r="AR734" s="228">
        <f t="shared" si="459"/>
        <v>52</v>
      </c>
      <c r="AS734" s="229">
        <f t="shared" si="460"/>
        <v>60</v>
      </c>
      <c r="AT734" s="982">
        <f t="shared" ca="1" si="440"/>
        <v>45895</v>
      </c>
      <c r="AU734" s="50"/>
      <c r="AV734" s="51"/>
      <c r="AW734" s="49"/>
      <c r="AX734" s="49"/>
      <c r="AY734" s="49"/>
      <c r="AZ734" s="300"/>
      <c r="BA734" s="52"/>
      <c r="BB734" s="304"/>
      <c r="BC734" s="231"/>
      <c r="BD734" s="232"/>
      <c r="BE734" s="222">
        <f t="shared" si="461"/>
        <v>15</v>
      </c>
      <c r="BF734" s="233">
        <f t="shared" si="462"/>
        <v>0</v>
      </c>
      <c r="BG734" s="234"/>
      <c r="BH734" s="235"/>
      <c r="BI734" s="234"/>
      <c r="BJ734" s="236"/>
      <c r="BK734" s="222"/>
      <c r="BL734" s="222"/>
      <c r="BM734" s="238"/>
      <c r="BN734" s="222"/>
      <c r="BO734" s="222"/>
      <c r="BP734" s="243"/>
      <c r="BQ734" s="244"/>
      <c r="BR734" s="238"/>
      <c r="BS734" s="68"/>
      <c r="BT734" s="69"/>
      <c r="BU734" s="69"/>
      <c r="BV734" s="69"/>
      <c r="BW734" s="75"/>
      <c r="BX734" s="81"/>
      <c r="BY734" s="66">
        <v>45855</v>
      </c>
      <c r="BZ734" s="944" t="s">
        <v>3571</v>
      </c>
      <c r="CA734" s="42" t="str">
        <f t="shared" si="468"/>
        <v>0</v>
      </c>
      <c r="CB734" s="62">
        <f t="shared" si="469"/>
        <v>-45828.40347222222</v>
      </c>
      <c r="CC734" s="42">
        <f t="shared" si="470"/>
        <v>0</v>
      </c>
      <c r="CD734" s="62">
        <f t="shared" si="441"/>
        <v>-45828.40347222222</v>
      </c>
      <c r="CE734" s="62">
        <f t="shared" si="442"/>
        <v>-1320.7491278452931</v>
      </c>
      <c r="CF734" s="145" t="str">
        <f t="shared" si="443"/>
        <v>0</v>
      </c>
      <c r="CG734" s="145"/>
      <c r="CH734" s="443">
        <f t="shared" si="463"/>
        <v>1.1699693769290636</v>
      </c>
      <c r="CI734" s="996">
        <f t="shared" si="444"/>
        <v>1.1699693769290636</v>
      </c>
      <c r="CJ734" s="261">
        <f t="shared" si="464"/>
        <v>0</v>
      </c>
      <c r="CK734" s="458">
        <f t="shared" si="465"/>
        <v>27.596527777779556</v>
      </c>
      <c r="CL734" t="str">
        <f t="shared" si="466"/>
        <v>NON-REV</v>
      </c>
      <c r="CM734" t="str">
        <f t="shared" si="467"/>
        <v>0-3 MONTHS</v>
      </c>
      <c r="CN734" s="635"/>
      <c r="CO734" s="631"/>
      <c r="CP734" s="629"/>
      <c r="CQ734" s="635"/>
      <c r="CR734" s="697"/>
      <c r="CS734" s="633"/>
      <c r="CT734" s="635"/>
      <c r="CU734" s="631"/>
      <c r="CV734" s="638"/>
      <c r="CW734" s="853"/>
      <c r="CX734" s="856"/>
      <c r="CY734" s="856"/>
    </row>
    <row r="735" spans="1:103" s="359" customFormat="1" ht="15" customHeight="1" x14ac:dyDescent="0.25">
      <c r="A735" s="242">
        <v>45839</v>
      </c>
      <c r="B735" s="222">
        <v>45839</v>
      </c>
      <c r="C735" s="852"/>
      <c r="D735" s="66" t="s">
        <v>320</v>
      </c>
      <c r="E735" s="404" t="s">
        <v>3572</v>
      </c>
      <c r="F735" s="95" t="s">
        <v>3573</v>
      </c>
      <c r="G735" s="95" t="s">
        <v>3574</v>
      </c>
      <c r="H735" s="95" t="s">
        <v>253</v>
      </c>
      <c r="I735" s="95" t="s">
        <v>254</v>
      </c>
      <c r="J735" s="854"/>
      <c r="K735" s="855"/>
      <c r="L735" s="101" t="s">
        <v>263</v>
      </c>
      <c r="M735" s="101" t="s">
        <v>331</v>
      </c>
      <c r="N735" s="442" t="s">
        <v>467</v>
      </c>
      <c r="O735" s="165">
        <v>92.78</v>
      </c>
      <c r="P735" s="165">
        <v>171.06</v>
      </c>
      <c r="Q735" s="157">
        <v>21</v>
      </c>
      <c r="R735" s="109" t="s">
        <v>244</v>
      </c>
      <c r="S735" s="110">
        <v>362747.6</v>
      </c>
      <c r="T735" s="93">
        <v>64987.869999999995</v>
      </c>
      <c r="U735" s="857"/>
      <c r="V735" s="158">
        <f t="shared" si="471"/>
        <v>0</v>
      </c>
      <c r="W735" s="159">
        <v>45831.650729166664</v>
      </c>
      <c r="X735" s="159">
        <v>45838.334027777775</v>
      </c>
      <c r="Y735" s="160">
        <v>45839</v>
      </c>
      <c r="Z735" s="470"/>
      <c r="AA735" s="470"/>
      <c r="AB735" s="942"/>
      <c r="AC735" s="161">
        <f t="shared" si="445"/>
        <v>-45831.650729166664</v>
      </c>
      <c r="AD735" s="161">
        <f t="shared" si="446"/>
        <v>-45838.334027777775</v>
      </c>
      <c r="AE735" s="446">
        <f t="shared" si="447"/>
        <v>0</v>
      </c>
      <c r="AF735" s="160">
        <f t="shared" si="448"/>
        <v>45852.857625718389</v>
      </c>
      <c r="AG735" s="160">
        <f t="shared" si="449"/>
        <v>45862.312798132181</v>
      </c>
      <c r="AH735" s="159">
        <f t="shared" si="450"/>
        <v>45881.650729166664</v>
      </c>
      <c r="AI735" s="162">
        <f t="shared" si="451"/>
        <v>-1419.997725583155</v>
      </c>
      <c r="AJ735" s="224">
        <f t="shared" si="452"/>
        <v>0</v>
      </c>
      <c r="AK735" s="225">
        <f t="shared" si="453"/>
        <v>26</v>
      </c>
      <c r="AL735" s="170">
        <f t="shared" si="454"/>
        <v>36</v>
      </c>
      <c r="AM735" s="170">
        <f t="shared" si="455"/>
        <v>24.206896551724139</v>
      </c>
      <c r="AN735" s="170">
        <f t="shared" si="456"/>
        <v>30.662068965517239</v>
      </c>
      <c r="AO735" s="226">
        <f t="shared" si="457"/>
        <v>21.206896551724139</v>
      </c>
      <c r="AP735" s="227">
        <v>60</v>
      </c>
      <c r="AQ735" s="228">
        <f t="shared" si="458"/>
        <v>57</v>
      </c>
      <c r="AR735" s="228">
        <f t="shared" si="459"/>
        <v>52</v>
      </c>
      <c r="AS735" s="229">
        <f t="shared" si="460"/>
        <v>60</v>
      </c>
      <c r="AT735" s="982">
        <f t="shared" ca="1" si="440"/>
        <v>45895</v>
      </c>
      <c r="AU735" s="50"/>
      <c r="AV735" s="51"/>
      <c r="AW735" s="49"/>
      <c r="AX735" s="49"/>
      <c r="AY735" s="49"/>
      <c r="AZ735" s="300"/>
      <c r="BA735" s="52"/>
      <c r="BB735" s="304"/>
      <c r="BC735" s="231"/>
      <c r="BD735" s="232"/>
      <c r="BE735" s="222">
        <f t="shared" si="461"/>
        <v>15</v>
      </c>
      <c r="BF735" s="233">
        <f t="shared" si="462"/>
        <v>0</v>
      </c>
      <c r="BG735" s="234"/>
      <c r="BH735" s="235"/>
      <c r="BI735" s="234"/>
      <c r="BJ735" s="236"/>
      <c r="BK735" s="222"/>
      <c r="BL735" s="222"/>
      <c r="BM735" s="238"/>
      <c r="BN735" s="222"/>
      <c r="BO735" s="222"/>
      <c r="BP735" s="243"/>
      <c r="BQ735" s="244"/>
      <c r="BR735" s="238"/>
      <c r="BS735" s="68"/>
      <c r="BT735" s="69"/>
      <c r="BU735" s="69"/>
      <c r="BV735" s="69"/>
      <c r="BW735" s="75"/>
      <c r="BX735" s="81"/>
      <c r="BY735" s="66">
        <v>45839</v>
      </c>
      <c r="BZ735" s="944" t="s">
        <v>3575</v>
      </c>
      <c r="CA735" s="42" t="str">
        <f t="shared" si="468"/>
        <v>0</v>
      </c>
      <c r="CB735" s="62">
        <f t="shared" si="469"/>
        <v>-45831.650729166664</v>
      </c>
      <c r="CC735" s="42">
        <f t="shared" si="470"/>
        <v>0</v>
      </c>
      <c r="CD735" s="62">
        <f t="shared" si="441"/>
        <v>-45831.650729166664</v>
      </c>
      <c r="CE735" s="62">
        <f t="shared" si="442"/>
        <v>-1419.997725583155</v>
      </c>
      <c r="CF735" s="145" t="str">
        <f t="shared" si="443"/>
        <v>0</v>
      </c>
      <c r="CG735" s="145"/>
      <c r="CH735" s="443">
        <f t="shared" si="463"/>
        <v>1.1571889467593433</v>
      </c>
      <c r="CI735" s="996">
        <f t="shared" si="444"/>
        <v>1.1571889467593433</v>
      </c>
      <c r="CJ735" s="261">
        <f t="shared" si="464"/>
        <v>0</v>
      </c>
      <c r="CK735" s="458">
        <f t="shared" si="465"/>
        <v>24.34927083333605</v>
      </c>
      <c r="CL735" t="str">
        <f t="shared" si="466"/>
        <v>REV</v>
      </c>
      <c r="CM735" t="str">
        <f t="shared" si="467"/>
        <v>0-3 MONTHS</v>
      </c>
      <c r="CN735" s="635"/>
      <c r="CO735" s="631"/>
      <c r="CP735" s="629"/>
      <c r="CQ735" s="635"/>
      <c r="CR735" s="697"/>
      <c r="CS735" s="633"/>
      <c r="CT735" s="635"/>
      <c r="CU735" s="631"/>
      <c r="CV735" s="638"/>
      <c r="CW735" s="853"/>
      <c r="CX735" s="856"/>
      <c r="CY735" s="856"/>
    </row>
    <row r="736" spans="1:103" s="359" customFormat="1" ht="15" customHeight="1" x14ac:dyDescent="0.25">
      <c r="A736" s="242">
        <v>45849</v>
      </c>
      <c r="B736" s="222">
        <v>45839</v>
      </c>
      <c r="C736" s="852"/>
      <c r="D736" s="66" t="s">
        <v>320</v>
      </c>
      <c r="E736" s="404" t="s">
        <v>3576</v>
      </c>
      <c r="F736" s="95" t="s">
        <v>3577</v>
      </c>
      <c r="G736" s="95" t="s">
        <v>3578</v>
      </c>
      <c r="H736" s="95" t="s">
        <v>238</v>
      </c>
      <c r="I736" s="95" t="s">
        <v>239</v>
      </c>
      <c r="J736" s="854"/>
      <c r="K736" s="855"/>
      <c r="L736" s="101" t="s">
        <v>263</v>
      </c>
      <c r="M736" s="101" t="s">
        <v>331</v>
      </c>
      <c r="N736" s="442" t="s">
        <v>467</v>
      </c>
      <c r="O736" s="165">
        <v>147.72999999999999</v>
      </c>
      <c r="P736" s="165">
        <v>304.29000000000002</v>
      </c>
      <c r="Q736" s="157">
        <v>63</v>
      </c>
      <c r="R736" s="109" t="s">
        <v>244</v>
      </c>
      <c r="S736" s="110">
        <v>640721.14</v>
      </c>
      <c r="T736" s="93">
        <v>126928.96000000002</v>
      </c>
      <c r="U736" s="857"/>
      <c r="V736" s="158">
        <f t="shared" si="471"/>
        <v>0</v>
      </c>
      <c r="W736" s="159">
        <v>45828.983865740738</v>
      </c>
      <c r="X736" s="159">
        <v>45838.540277777778</v>
      </c>
      <c r="Y736" s="160">
        <v>45839</v>
      </c>
      <c r="Z736" s="470"/>
      <c r="AA736" s="470"/>
      <c r="AB736" s="942"/>
      <c r="AC736" s="161">
        <f t="shared" si="445"/>
        <v>-45828.983865740738</v>
      </c>
      <c r="AD736" s="161">
        <f t="shared" si="446"/>
        <v>-45838.540277777778</v>
      </c>
      <c r="AE736" s="446">
        <f t="shared" si="447"/>
        <v>0</v>
      </c>
      <c r="AF736" s="160">
        <f t="shared" si="448"/>
        <v>45850.503096509972</v>
      </c>
      <c r="AG736" s="160">
        <f t="shared" si="449"/>
        <v>45860.041558048433</v>
      </c>
      <c r="AH736" s="159">
        <f t="shared" si="450"/>
        <v>45878.983865740738</v>
      </c>
      <c r="AI736" s="162">
        <f t="shared" si="451"/>
        <v>-1401.827741775599</v>
      </c>
      <c r="AJ736" s="224">
        <f t="shared" si="452"/>
        <v>0</v>
      </c>
      <c r="AK736" s="225">
        <f t="shared" si="453"/>
        <v>30</v>
      </c>
      <c r="AL736" s="170">
        <f t="shared" si="454"/>
        <v>34</v>
      </c>
      <c r="AM736" s="170">
        <f t="shared" si="455"/>
        <v>24.51923076923077</v>
      </c>
      <c r="AN736" s="170">
        <f t="shared" si="456"/>
        <v>31.057692307692307</v>
      </c>
      <c r="AO736" s="226">
        <f t="shared" si="457"/>
        <v>21.51923076923077</v>
      </c>
      <c r="AP736" s="227">
        <v>60</v>
      </c>
      <c r="AQ736" s="228">
        <f t="shared" si="458"/>
        <v>57</v>
      </c>
      <c r="AR736" s="228">
        <f t="shared" si="459"/>
        <v>52</v>
      </c>
      <c r="AS736" s="229">
        <f t="shared" si="460"/>
        <v>60</v>
      </c>
      <c r="AT736" s="982">
        <f t="shared" ca="1" si="440"/>
        <v>45895</v>
      </c>
      <c r="AU736" s="50"/>
      <c r="AV736" s="51"/>
      <c r="AW736" s="49"/>
      <c r="AX736" s="49"/>
      <c r="AY736" s="49"/>
      <c r="AZ736" s="300"/>
      <c r="BA736" s="52"/>
      <c r="BB736" s="304"/>
      <c r="BC736" s="231"/>
      <c r="BD736" s="232"/>
      <c r="BE736" s="222">
        <f t="shared" si="461"/>
        <v>15</v>
      </c>
      <c r="BF736" s="233">
        <f t="shared" si="462"/>
        <v>0</v>
      </c>
      <c r="BG736" s="234"/>
      <c r="BH736" s="235"/>
      <c r="BI736" s="234"/>
      <c r="BJ736" s="236"/>
      <c r="BK736" s="222"/>
      <c r="BL736" s="222"/>
      <c r="BM736" s="238"/>
      <c r="BN736" s="222"/>
      <c r="BO736" s="222"/>
      <c r="BP736" s="243"/>
      <c r="BQ736" s="244"/>
      <c r="BR736" s="238"/>
      <c r="BS736" s="68"/>
      <c r="BT736" s="69"/>
      <c r="BU736" s="69"/>
      <c r="BV736" s="69"/>
      <c r="BW736" s="75"/>
      <c r="BX736" s="81"/>
      <c r="BY736" s="66">
        <v>45839</v>
      </c>
      <c r="BZ736" s="944" t="s">
        <v>3579</v>
      </c>
      <c r="CA736" s="42" t="str">
        <f t="shared" si="468"/>
        <v>0</v>
      </c>
      <c r="CB736" s="62">
        <f t="shared" si="469"/>
        <v>-45828.983865740738</v>
      </c>
      <c r="CC736" s="42">
        <f t="shared" si="470"/>
        <v>0</v>
      </c>
      <c r="CD736" s="62">
        <f t="shared" si="441"/>
        <v>-45828.983865740738</v>
      </c>
      <c r="CE736" s="62">
        <f t="shared" si="442"/>
        <v>-1401.827741775599</v>
      </c>
      <c r="CF736" s="145" t="str">
        <f t="shared" si="443"/>
        <v>0</v>
      </c>
      <c r="CG736" s="145"/>
      <c r="CH736" s="443">
        <f t="shared" si="463"/>
        <v>1.2240229302833048</v>
      </c>
      <c r="CI736" s="996">
        <f t="shared" si="444"/>
        <v>1.2240229302833048</v>
      </c>
      <c r="CJ736" s="261">
        <f t="shared" si="464"/>
        <v>0</v>
      </c>
      <c r="CK736" s="458">
        <f t="shared" si="465"/>
        <v>27.016134259261889</v>
      </c>
      <c r="CL736" t="str">
        <f t="shared" si="466"/>
        <v>REV</v>
      </c>
      <c r="CM736" t="str">
        <f t="shared" si="467"/>
        <v>0-3 MONTHS</v>
      </c>
      <c r="CN736" s="635"/>
      <c r="CO736" s="631"/>
      <c r="CP736" s="629"/>
      <c r="CQ736" s="635"/>
      <c r="CR736" s="697"/>
      <c r="CS736" s="633"/>
      <c r="CT736" s="635"/>
      <c r="CU736" s="631"/>
      <c r="CV736" s="638"/>
      <c r="CW736" s="853"/>
      <c r="CX736" s="856"/>
      <c r="CY736" s="856"/>
    </row>
    <row r="737" spans="1:103" s="359" customFormat="1" ht="15" customHeight="1" x14ac:dyDescent="0.25">
      <c r="A737" s="242">
        <v>45839</v>
      </c>
      <c r="B737" s="222">
        <v>45839</v>
      </c>
      <c r="C737" s="852"/>
      <c r="D737" s="66" t="s">
        <v>320</v>
      </c>
      <c r="E737" s="404" t="s">
        <v>3580</v>
      </c>
      <c r="F737" s="95" t="s">
        <v>2354</v>
      </c>
      <c r="G737" s="95" t="s">
        <v>2234</v>
      </c>
      <c r="H737" s="95" t="s">
        <v>318</v>
      </c>
      <c r="I737" s="95" t="s">
        <v>239</v>
      </c>
      <c r="J737" s="854"/>
      <c r="K737" s="855"/>
      <c r="L737" s="101" t="s">
        <v>5</v>
      </c>
      <c r="M737" s="101" t="s">
        <v>272</v>
      </c>
      <c r="N737" s="442" t="s">
        <v>403</v>
      </c>
      <c r="O737" s="165">
        <v>120.26</v>
      </c>
      <c r="P737" s="165">
        <v>276.82</v>
      </c>
      <c r="Q737" s="157">
        <v>10</v>
      </c>
      <c r="R737" s="109" t="s">
        <v>244</v>
      </c>
      <c r="S737" s="110">
        <v>543525.18999999994</v>
      </c>
      <c r="T737" s="93"/>
      <c r="U737" s="857"/>
      <c r="V737" s="158" t="e">
        <f t="shared" si="471"/>
        <v>#DIV/0!</v>
      </c>
      <c r="W737" s="159">
        <v>45832.517777777779</v>
      </c>
      <c r="X737" s="159">
        <v>45838.630555555559</v>
      </c>
      <c r="Y737" s="160">
        <v>45839</v>
      </c>
      <c r="Z737" s="470"/>
      <c r="AA737" s="470">
        <v>45862</v>
      </c>
      <c r="AB737" s="942"/>
      <c r="AC737" s="161">
        <f t="shared" si="445"/>
        <v>29.482222222221026</v>
      </c>
      <c r="AD737" s="161">
        <f t="shared" si="446"/>
        <v>23.369444444440887</v>
      </c>
      <c r="AE737" s="446">
        <f t="shared" si="447"/>
        <v>-45862</v>
      </c>
      <c r="AF737" s="160">
        <f t="shared" si="448"/>
        <v>45854.386198830412</v>
      </c>
      <c r="AG737" s="160">
        <f t="shared" si="449"/>
        <v>45864.017777777779</v>
      </c>
      <c r="AH737" s="159">
        <f t="shared" si="450"/>
        <v>45882.517777777779</v>
      </c>
      <c r="AI737" s="162">
        <f t="shared" si="451"/>
        <v>0.88914638447968164</v>
      </c>
      <c r="AJ737" s="224">
        <f t="shared" si="452"/>
        <v>-764.36666666666667</v>
      </c>
      <c r="AK737" s="225">
        <f t="shared" si="453"/>
        <v>28</v>
      </c>
      <c r="AL737" s="170">
        <f t="shared" si="454"/>
        <v>36</v>
      </c>
      <c r="AM737" s="170">
        <f t="shared" si="455"/>
        <v>24.868421052631579</v>
      </c>
      <c r="AN737" s="170">
        <f t="shared" si="456"/>
        <v>31.499999999999996</v>
      </c>
      <c r="AO737" s="226">
        <f t="shared" si="457"/>
        <v>21.868421052631579</v>
      </c>
      <c r="AP737" s="227">
        <v>60</v>
      </c>
      <c r="AQ737" s="228">
        <f t="shared" si="458"/>
        <v>57</v>
      </c>
      <c r="AR737" s="228">
        <f t="shared" si="459"/>
        <v>52</v>
      </c>
      <c r="AS737" s="229">
        <f t="shared" si="460"/>
        <v>45922</v>
      </c>
      <c r="AT737" s="982">
        <f t="shared" ca="1" si="440"/>
        <v>33</v>
      </c>
      <c r="AU737" s="50"/>
      <c r="AV737" s="51"/>
      <c r="AW737" s="49"/>
      <c r="AX737" s="49"/>
      <c r="AY737" s="49"/>
      <c r="AZ737" s="300"/>
      <c r="BA737" s="52"/>
      <c r="BB737" s="304"/>
      <c r="BC737" s="231" t="s">
        <v>13</v>
      </c>
      <c r="BD737" s="232"/>
      <c r="BE737" s="222">
        <f t="shared" si="461"/>
        <v>45877</v>
      </c>
      <c r="BF737" s="233" t="e">
        <f t="shared" si="462"/>
        <v>#VALUE!</v>
      </c>
      <c r="BG737" s="234"/>
      <c r="BH737" s="235"/>
      <c r="BI737" s="234"/>
      <c r="BJ737" s="236"/>
      <c r="BK737" s="222"/>
      <c r="BL737" s="222"/>
      <c r="BM737" s="238"/>
      <c r="BN737" s="222"/>
      <c r="BO737" s="222"/>
      <c r="BP737" s="243"/>
      <c r="BQ737" s="244"/>
      <c r="BR737" s="238"/>
      <c r="BS737" s="68"/>
      <c r="BT737" s="69"/>
      <c r="BU737" s="69"/>
      <c r="BV737" s="69"/>
      <c r="BW737" s="75"/>
      <c r="BX737" s="81"/>
      <c r="BY737" s="66">
        <v>45839</v>
      </c>
      <c r="BZ737" s="944" t="s">
        <v>3581</v>
      </c>
      <c r="CA737" s="42" t="str">
        <f t="shared" si="468"/>
        <v>0</v>
      </c>
      <c r="CB737" s="62">
        <f t="shared" si="469"/>
        <v>29.482222222221026</v>
      </c>
      <c r="CC737" s="42">
        <f t="shared" si="470"/>
        <v>0</v>
      </c>
      <c r="CD737" s="62">
        <f t="shared" si="441"/>
        <v>29.482222222221026</v>
      </c>
      <c r="CE737" s="62">
        <f t="shared" si="442"/>
        <v>0.88914638447968164</v>
      </c>
      <c r="CF737" s="145">
        <f t="shared" si="443"/>
        <v>7</v>
      </c>
      <c r="CG737" s="145"/>
      <c r="CH737" s="443">
        <f t="shared" si="463"/>
        <v>1.1002574955907929</v>
      </c>
      <c r="CI737" s="996">
        <f t="shared" si="444"/>
        <v>1.1002574955907929</v>
      </c>
      <c r="CJ737" s="261">
        <f t="shared" si="464"/>
        <v>0.11666666666666667</v>
      </c>
      <c r="CK737" s="458" t="str">
        <f t="shared" si="465"/>
        <v/>
      </c>
      <c r="CL737" t="str">
        <f t="shared" si="466"/>
        <v>REV</v>
      </c>
      <c r="CM737" t="str">
        <f t="shared" si="467"/>
        <v/>
      </c>
      <c r="CN737" s="635"/>
      <c r="CO737" s="631"/>
      <c r="CP737" s="629"/>
      <c r="CQ737" s="635"/>
      <c r="CR737" s="697"/>
      <c r="CS737" s="633"/>
      <c r="CT737" s="635"/>
      <c r="CU737" s="631"/>
      <c r="CV737" s="638"/>
      <c r="CW737" s="853"/>
      <c r="CX737" s="856"/>
      <c r="CY737" s="856"/>
    </row>
    <row r="738" spans="1:103" s="359" customFormat="1" ht="15" customHeight="1" x14ac:dyDescent="0.25">
      <c r="A738" s="242">
        <v>45839</v>
      </c>
      <c r="B738" s="222">
        <v>45839</v>
      </c>
      <c r="C738" s="852"/>
      <c r="D738" s="66" t="s">
        <v>320</v>
      </c>
      <c r="E738" s="404" t="s">
        <v>3582</v>
      </c>
      <c r="F738" s="95" t="s">
        <v>3583</v>
      </c>
      <c r="G738" s="95" t="s">
        <v>3584</v>
      </c>
      <c r="H738" s="95" t="s">
        <v>318</v>
      </c>
      <c r="I738" s="95" t="s">
        <v>239</v>
      </c>
      <c r="J738" s="854"/>
      <c r="K738" s="855"/>
      <c r="L738" s="101" t="s">
        <v>5</v>
      </c>
      <c r="M738" s="101" t="s">
        <v>331</v>
      </c>
      <c r="N738" s="442" t="s">
        <v>403</v>
      </c>
      <c r="O738" s="165">
        <v>13</v>
      </c>
      <c r="P738" s="165">
        <v>13</v>
      </c>
      <c r="Q738" s="157">
        <v>78</v>
      </c>
      <c r="R738" s="109" t="s">
        <v>548</v>
      </c>
      <c r="S738" s="110">
        <v>36321.46</v>
      </c>
      <c r="T738" s="93">
        <v>11195.76</v>
      </c>
      <c r="U738" s="857"/>
      <c r="V738" s="158">
        <f t="shared" si="471"/>
        <v>0</v>
      </c>
      <c r="W738" s="159">
        <v>45828.608124999999</v>
      </c>
      <c r="X738" s="159">
        <v>45838.537499999999</v>
      </c>
      <c r="Y738" s="160">
        <v>45839</v>
      </c>
      <c r="Z738" s="470"/>
      <c r="AA738" s="470"/>
      <c r="AB738" s="942"/>
      <c r="AC738" s="161">
        <f t="shared" si="445"/>
        <v>-45828.608124999999</v>
      </c>
      <c r="AD738" s="161">
        <f t="shared" si="446"/>
        <v>-45838.537499999999</v>
      </c>
      <c r="AE738" s="446">
        <f t="shared" si="447"/>
        <v>0</v>
      </c>
      <c r="AF738" s="160">
        <f t="shared" si="448"/>
        <v>45846.682505165285</v>
      </c>
      <c r="AG738" s="160">
        <f t="shared" si="449"/>
        <v>45855.302339876034</v>
      </c>
      <c r="AH738" s="159">
        <f t="shared" si="450"/>
        <v>45878.608124999999</v>
      </c>
      <c r="AI738" s="162">
        <f t="shared" si="451"/>
        <v>-1630.9592891544116</v>
      </c>
      <c r="AJ738" s="224">
        <f t="shared" si="452"/>
        <v>0</v>
      </c>
      <c r="AK738" s="225">
        <f t="shared" si="453"/>
        <v>20</v>
      </c>
      <c r="AL738" s="170">
        <f t="shared" si="454"/>
        <v>34</v>
      </c>
      <c r="AM738" s="170">
        <f t="shared" si="455"/>
        <v>21.074380165289259</v>
      </c>
      <c r="AN738" s="170">
        <f t="shared" si="456"/>
        <v>26.694214876033058</v>
      </c>
      <c r="AO738" s="226">
        <f t="shared" si="457"/>
        <v>18.074380165289259</v>
      </c>
      <c r="AP738" s="227">
        <v>60</v>
      </c>
      <c r="AQ738" s="228">
        <f t="shared" si="458"/>
        <v>57</v>
      </c>
      <c r="AR738" s="228">
        <f t="shared" si="459"/>
        <v>52</v>
      </c>
      <c r="AS738" s="229">
        <f t="shared" si="460"/>
        <v>60</v>
      </c>
      <c r="AT738" s="982">
        <f t="shared" ca="1" si="440"/>
        <v>45895</v>
      </c>
      <c r="AU738" s="50"/>
      <c r="AV738" s="51"/>
      <c r="AW738" s="49"/>
      <c r="AX738" s="49"/>
      <c r="AY738" s="49"/>
      <c r="AZ738" s="300"/>
      <c r="BA738" s="52"/>
      <c r="BB738" s="304"/>
      <c r="BC738" s="231"/>
      <c r="BD738" s="232"/>
      <c r="BE738" s="222">
        <f t="shared" si="461"/>
        <v>15</v>
      </c>
      <c r="BF738" s="233">
        <f t="shared" si="462"/>
        <v>0</v>
      </c>
      <c r="BG738" s="234"/>
      <c r="BH738" s="235"/>
      <c r="BI738" s="234"/>
      <c r="BJ738" s="236"/>
      <c r="BK738" s="222"/>
      <c r="BL738" s="222"/>
      <c r="BM738" s="238"/>
      <c r="BN738" s="222"/>
      <c r="BO738" s="222"/>
      <c r="BP738" s="243"/>
      <c r="BQ738" s="244"/>
      <c r="BR738" s="238"/>
      <c r="BS738" s="68"/>
      <c r="BT738" s="69"/>
      <c r="BU738" s="69"/>
      <c r="BV738" s="69"/>
      <c r="BW738" s="75"/>
      <c r="BX738" s="81"/>
      <c r="BY738" s="66" t="s">
        <v>308</v>
      </c>
      <c r="BZ738" s="944">
        <v>171685</v>
      </c>
      <c r="CA738" s="42" t="str">
        <f t="shared" si="468"/>
        <v>0</v>
      </c>
      <c r="CB738" s="62">
        <f t="shared" si="469"/>
        <v>-45828.608124999999</v>
      </c>
      <c r="CC738" s="42">
        <f t="shared" si="470"/>
        <v>0</v>
      </c>
      <c r="CD738" s="62">
        <f t="shared" si="441"/>
        <v>-45828.608124999999</v>
      </c>
      <c r="CE738" s="62">
        <f t="shared" si="442"/>
        <v>-1630.9592891544116</v>
      </c>
      <c r="CF738" s="145" t="str">
        <f t="shared" si="443"/>
        <v>0</v>
      </c>
      <c r="CG738" s="145"/>
      <c r="CH738" s="443">
        <f t="shared" si="463"/>
        <v>1.4374755514706294</v>
      </c>
      <c r="CI738" s="996">
        <f t="shared" si="444"/>
        <v>1.4374755514706294</v>
      </c>
      <c r="CJ738" s="261">
        <f t="shared" si="464"/>
        <v>0</v>
      </c>
      <c r="CK738" s="458">
        <f t="shared" si="465"/>
        <v>27.391875000001164</v>
      </c>
      <c r="CL738" t="str">
        <f t="shared" si="466"/>
        <v>NON-REV</v>
      </c>
      <c r="CM738" t="str">
        <f t="shared" si="467"/>
        <v>0-3 MONTHS</v>
      </c>
      <c r="CN738" s="635"/>
      <c r="CO738" s="631"/>
      <c r="CP738" s="629"/>
      <c r="CQ738" s="635"/>
      <c r="CR738" s="697"/>
      <c r="CS738" s="633"/>
      <c r="CT738" s="635"/>
      <c r="CU738" s="631"/>
      <c r="CV738" s="638"/>
      <c r="CW738" s="853"/>
      <c r="CX738" s="856"/>
      <c r="CY738" s="856"/>
    </row>
    <row r="739" spans="1:103" s="1103" customFormat="1" ht="15" customHeight="1" x14ac:dyDescent="0.2">
      <c r="A739" s="242">
        <v>45839</v>
      </c>
      <c r="B739" s="222">
        <v>45839</v>
      </c>
      <c r="C739" s="852"/>
      <c r="D739" s="66" t="s">
        <v>320</v>
      </c>
      <c r="E739" s="404" t="s">
        <v>3585</v>
      </c>
      <c r="F739" s="95" t="s">
        <v>3586</v>
      </c>
      <c r="G739" s="95" t="s">
        <v>3587</v>
      </c>
      <c r="H739" s="95" t="s">
        <v>238</v>
      </c>
      <c r="I739" s="95" t="s">
        <v>239</v>
      </c>
      <c r="J739" s="854"/>
      <c r="K739" s="855"/>
      <c r="L739" s="101" t="s">
        <v>255</v>
      </c>
      <c r="M739" s="101" t="s">
        <v>272</v>
      </c>
      <c r="N739" s="442" t="s">
        <v>403</v>
      </c>
      <c r="O739" s="165">
        <v>8.73</v>
      </c>
      <c r="P739" s="165">
        <v>6.39</v>
      </c>
      <c r="Q739" s="157">
        <v>28</v>
      </c>
      <c r="R739" s="109" t="s">
        <v>548</v>
      </c>
      <c r="S739" s="110">
        <v>24261.23</v>
      </c>
      <c r="T739" s="93"/>
      <c r="U739" s="857"/>
      <c r="V739" s="158" t="e">
        <f t="shared" si="471"/>
        <v>#DIV/0!</v>
      </c>
      <c r="W739" s="159">
        <v>45828.672546296293</v>
      </c>
      <c r="X739" s="159">
        <v>45838.538194444445</v>
      </c>
      <c r="Y739" s="160">
        <v>45839</v>
      </c>
      <c r="Z739" s="470"/>
      <c r="AA739" s="470">
        <v>45854</v>
      </c>
      <c r="AB739" s="942"/>
      <c r="AC739" s="161">
        <f t="shared" si="445"/>
        <v>25.327453703706851</v>
      </c>
      <c r="AD739" s="161">
        <f t="shared" si="446"/>
        <v>15.461805555554747</v>
      </c>
      <c r="AE739" s="446">
        <f t="shared" si="447"/>
        <v>-45854</v>
      </c>
      <c r="AF739" s="160">
        <f t="shared" si="448"/>
        <v>45847.44673984468</v>
      </c>
      <c r="AG739" s="160">
        <f t="shared" si="449"/>
        <v>45856.253191457581</v>
      </c>
      <c r="AH739" s="159">
        <f t="shared" si="450"/>
        <v>45878.672546296293</v>
      </c>
      <c r="AI739" s="162">
        <f t="shared" si="451"/>
        <v>0.87239007201656926</v>
      </c>
      <c r="AJ739" s="224">
        <f t="shared" si="452"/>
        <v>-764.23333333333335</v>
      </c>
      <c r="AK739" s="225">
        <f t="shared" si="453"/>
        <v>20</v>
      </c>
      <c r="AL739" s="170">
        <f t="shared" si="454"/>
        <v>36</v>
      </c>
      <c r="AM739" s="170">
        <f t="shared" si="455"/>
        <v>21.774193548387096</v>
      </c>
      <c r="AN739" s="170">
        <f t="shared" si="456"/>
        <v>27.58064516129032</v>
      </c>
      <c r="AO739" s="226">
        <f t="shared" si="457"/>
        <v>18.774193548387096</v>
      </c>
      <c r="AP739" s="227">
        <v>60</v>
      </c>
      <c r="AQ739" s="228">
        <f t="shared" si="458"/>
        <v>57</v>
      </c>
      <c r="AR739" s="228">
        <f t="shared" si="459"/>
        <v>52</v>
      </c>
      <c r="AS739" s="229">
        <f t="shared" si="460"/>
        <v>45914</v>
      </c>
      <c r="AT739" s="982">
        <f t="shared" ca="1" si="440"/>
        <v>41</v>
      </c>
      <c r="AU739" s="1077"/>
      <c r="AV739" s="1092"/>
      <c r="AW739" s="1079"/>
      <c r="AX739" s="1079"/>
      <c r="AY739" s="1079"/>
      <c r="AZ739" s="1080"/>
      <c r="BA739" s="1101"/>
      <c r="BB739" s="1091"/>
      <c r="BC739" s="231" t="s">
        <v>13</v>
      </c>
      <c r="BD739" s="232"/>
      <c r="BE739" s="222">
        <f t="shared" si="461"/>
        <v>45869</v>
      </c>
      <c r="BF739" s="233" t="e">
        <f t="shared" si="462"/>
        <v>#VALUE!</v>
      </c>
      <c r="BG739" s="234"/>
      <c r="BH739" s="235"/>
      <c r="BI739" s="234"/>
      <c r="BJ739" s="236"/>
      <c r="BK739" s="222"/>
      <c r="BL739" s="222"/>
      <c r="BM739" s="238"/>
      <c r="BN739" s="222"/>
      <c r="BO739" s="222"/>
      <c r="BP739" s="243"/>
      <c r="BQ739" s="244"/>
      <c r="BR739" s="238"/>
      <c r="BS739" s="68"/>
      <c r="BT739" s="69"/>
      <c r="BU739" s="69"/>
      <c r="BV739" s="69"/>
      <c r="BW739" s="75"/>
      <c r="BX739" s="81"/>
      <c r="BY739" s="66" t="s">
        <v>308</v>
      </c>
      <c r="BZ739" s="944" t="s">
        <v>3588</v>
      </c>
      <c r="CA739" s="42" t="str">
        <f t="shared" si="468"/>
        <v>0</v>
      </c>
      <c r="CB739" s="62">
        <f t="shared" si="469"/>
        <v>25.327453703706851</v>
      </c>
      <c r="CC739" s="42">
        <f t="shared" si="470"/>
        <v>0</v>
      </c>
      <c r="CD739" s="62">
        <f t="shared" si="441"/>
        <v>25.327453703706851</v>
      </c>
      <c r="CE739" s="62">
        <f t="shared" si="442"/>
        <v>0.87239007201656926</v>
      </c>
      <c r="CF739" s="1059">
        <f t="shared" si="443"/>
        <v>15</v>
      </c>
      <c r="CG739" s="1059"/>
      <c r="CH739" s="1082">
        <f t="shared" si="463"/>
        <v>1.389056738683236</v>
      </c>
      <c r="CI739" s="1083">
        <f t="shared" si="444"/>
        <v>1.389056738683236</v>
      </c>
      <c r="CJ739" s="1084">
        <f t="shared" si="464"/>
        <v>0.25</v>
      </c>
      <c r="CK739" s="1085" t="str">
        <f t="shared" si="465"/>
        <v/>
      </c>
      <c r="CL739" s="1057" t="str">
        <f t="shared" si="466"/>
        <v>NON-REV</v>
      </c>
      <c r="CM739" s="1057" t="str">
        <f t="shared" si="467"/>
        <v/>
      </c>
      <c r="CN739" s="1086"/>
      <c r="CO739" s="1087"/>
      <c r="CP739" s="629"/>
      <c r="CQ739" s="1086"/>
      <c r="CR739" s="1088"/>
      <c r="CS739" s="1089"/>
      <c r="CT739" s="1086"/>
      <c r="CU739" s="1087"/>
      <c r="CV739" s="1090"/>
      <c r="CW739" s="853"/>
      <c r="CX739" s="856"/>
      <c r="CY739" s="856"/>
    </row>
    <row r="740" spans="1:103" s="1103" customFormat="1" ht="15" customHeight="1" x14ac:dyDescent="0.2">
      <c r="A740" s="242">
        <v>45845</v>
      </c>
      <c r="B740" s="222">
        <v>45839</v>
      </c>
      <c r="C740" s="852"/>
      <c r="D740" s="66" t="s">
        <v>320</v>
      </c>
      <c r="E740" s="404" t="s">
        <v>3589</v>
      </c>
      <c r="F740" s="95" t="s">
        <v>3590</v>
      </c>
      <c r="G740" s="95" t="s">
        <v>3591</v>
      </c>
      <c r="H740" s="95" t="s">
        <v>238</v>
      </c>
      <c r="I740" s="95" t="s">
        <v>239</v>
      </c>
      <c r="J740" s="854"/>
      <c r="K740" s="855"/>
      <c r="L740" s="101" t="s">
        <v>255</v>
      </c>
      <c r="M740" s="101" t="s">
        <v>272</v>
      </c>
      <c r="N740" s="442" t="s">
        <v>403</v>
      </c>
      <c r="O740" s="165">
        <v>8.3800000000000008</v>
      </c>
      <c r="P740" s="165">
        <v>8.39</v>
      </c>
      <c r="Q740" s="157">
        <v>15</v>
      </c>
      <c r="R740" s="109" t="s">
        <v>244</v>
      </c>
      <c r="S740" s="110">
        <v>38678.94</v>
      </c>
      <c r="T740" s="93"/>
      <c r="U740" s="857"/>
      <c r="V740" s="158" t="e">
        <f t="shared" si="471"/>
        <v>#DIV/0!</v>
      </c>
      <c r="W740" s="159">
        <v>45828.670115740744</v>
      </c>
      <c r="X740" s="159">
        <v>45838.538888888892</v>
      </c>
      <c r="Y740" s="160">
        <v>45839</v>
      </c>
      <c r="Z740" s="470"/>
      <c r="AA740" s="470">
        <v>45866</v>
      </c>
      <c r="AB740" s="942"/>
      <c r="AC740" s="161">
        <f t="shared" si="445"/>
        <v>37.329884259255778</v>
      </c>
      <c r="AD740" s="161">
        <f t="shared" si="446"/>
        <v>27.461111111108039</v>
      </c>
      <c r="AE740" s="446">
        <f t="shared" si="447"/>
        <v>-45866</v>
      </c>
      <c r="AF740" s="160">
        <f t="shared" si="448"/>
        <v>45847.444309289131</v>
      </c>
      <c r="AG740" s="160">
        <f t="shared" si="449"/>
        <v>45856.250760902032</v>
      </c>
      <c r="AH740" s="159">
        <f t="shared" si="450"/>
        <v>45878.670115740744</v>
      </c>
      <c r="AI740" s="162">
        <f t="shared" si="451"/>
        <v>1.2858071244854767</v>
      </c>
      <c r="AJ740" s="224">
        <f t="shared" si="452"/>
        <v>-764.43333333333328</v>
      </c>
      <c r="AK740" s="225">
        <f t="shared" si="453"/>
        <v>20</v>
      </c>
      <c r="AL740" s="170">
        <f t="shared" si="454"/>
        <v>36</v>
      </c>
      <c r="AM740" s="170">
        <f t="shared" si="455"/>
        <v>21.774193548387096</v>
      </c>
      <c r="AN740" s="170">
        <f t="shared" si="456"/>
        <v>27.58064516129032</v>
      </c>
      <c r="AO740" s="226">
        <f t="shared" si="457"/>
        <v>18.774193548387096</v>
      </c>
      <c r="AP740" s="227">
        <v>60</v>
      </c>
      <c r="AQ740" s="228">
        <f t="shared" si="458"/>
        <v>57</v>
      </c>
      <c r="AR740" s="228">
        <f t="shared" si="459"/>
        <v>52</v>
      </c>
      <c r="AS740" s="229">
        <f t="shared" si="460"/>
        <v>45926</v>
      </c>
      <c r="AT740" s="982">
        <f t="shared" ca="1" si="440"/>
        <v>29</v>
      </c>
      <c r="AU740" s="1077"/>
      <c r="AV740" s="1092"/>
      <c r="AW740" s="1079"/>
      <c r="AX740" s="1079"/>
      <c r="AY740" s="1079"/>
      <c r="AZ740" s="1080"/>
      <c r="BA740" s="1101"/>
      <c r="BB740" s="1091"/>
      <c r="BC740" s="231" t="s">
        <v>13</v>
      </c>
      <c r="BD740" s="232"/>
      <c r="BE740" s="222">
        <f t="shared" si="461"/>
        <v>45881</v>
      </c>
      <c r="BF740" s="233" t="e">
        <f t="shared" si="462"/>
        <v>#VALUE!</v>
      </c>
      <c r="BG740" s="234"/>
      <c r="BH740" s="235"/>
      <c r="BI740" s="234"/>
      <c r="BJ740" s="236"/>
      <c r="BK740" s="222"/>
      <c r="BL740" s="222"/>
      <c r="BM740" s="238"/>
      <c r="BN740" s="222"/>
      <c r="BO740" s="222"/>
      <c r="BP740" s="243"/>
      <c r="BQ740" s="244"/>
      <c r="BR740" s="238"/>
      <c r="BS740" s="68"/>
      <c r="BT740" s="69"/>
      <c r="BU740" s="69"/>
      <c r="BV740" s="69"/>
      <c r="BW740" s="75"/>
      <c r="BX740" s="81"/>
      <c r="BY740" s="66" t="s">
        <v>308</v>
      </c>
      <c r="BZ740" s="944" t="s">
        <v>3592</v>
      </c>
      <c r="CA740" s="42" t="str">
        <f t="shared" si="468"/>
        <v>0</v>
      </c>
      <c r="CB740" s="62">
        <f t="shared" si="469"/>
        <v>37.329884259255778</v>
      </c>
      <c r="CC740" s="42">
        <f t="shared" si="470"/>
        <v>0</v>
      </c>
      <c r="CD740" s="62">
        <f t="shared" si="441"/>
        <v>37.329884259255778</v>
      </c>
      <c r="CE740" s="62">
        <f t="shared" si="442"/>
        <v>1.2858071244854767</v>
      </c>
      <c r="CF740" s="1059">
        <f t="shared" si="443"/>
        <v>3</v>
      </c>
      <c r="CG740" s="1059"/>
      <c r="CH740" s="1082">
        <f t="shared" si="463"/>
        <v>1.3891404578188102</v>
      </c>
      <c r="CI740" s="1083">
        <f t="shared" si="444"/>
        <v>1.3891404578188102</v>
      </c>
      <c r="CJ740" s="1084">
        <f t="shared" si="464"/>
        <v>0.05</v>
      </c>
      <c r="CK740" s="1085" t="str">
        <f t="shared" si="465"/>
        <v/>
      </c>
      <c r="CL740" s="1057" t="str">
        <f t="shared" si="466"/>
        <v>REV</v>
      </c>
      <c r="CM740" s="1057" t="str">
        <f t="shared" si="467"/>
        <v/>
      </c>
      <c r="CN740" s="1086"/>
      <c r="CO740" s="1087"/>
      <c r="CP740" s="629"/>
      <c r="CQ740" s="1086"/>
      <c r="CR740" s="1088"/>
      <c r="CS740" s="1089"/>
      <c r="CT740" s="1086"/>
      <c r="CU740" s="1087"/>
      <c r="CV740" s="1090"/>
      <c r="CW740" s="853"/>
      <c r="CX740" s="856"/>
      <c r="CY740" s="856"/>
    </row>
    <row r="741" spans="1:103" s="359" customFormat="1" ht="15" customHeight="1" x14ac:dyDescent="0.25">
      <c r="A741" s="242">
        <v>45852</v>
      </c>
      <c r="B741" s="222">
        <v>45839</v>
      </c>
      <c r="C741" s="852"/>
      <c r="D741" s="66" t="s">
        <v>284</v>
      </c>
      <c r="E741" s="404" t="s">
        <v>3593</v>
      </c>
      <c r="F741" s="95" t="s">
        <v>1134</v>
      </c>
      <c r="G741" s="95" t="s">
        <v>3594</v>
      </c>
      <c r="H741" s="95" t="s">
        <v>378</v>
      </c>
      <c r="I741" s="95" t="s">
        <v>239</v>
      </c>
      <c r="J741" s="163" t="s">
        <v>3334</v>
      </c>
      <c r="K741" s="855"/>
      <c r="L741" s="101" t="s">
        <v>288</v>
      </c>
      <c r="M741" s="101" t="s">
        <v>331</v>
      </c>
      <c r="N741" s="442" t="s">
        <v>381</v>
      </c>
      <c r="O741" s="165">
        <v>37.049999999999997</v>
      </c>
      <c r="P741" s="165">
        <v>115.33</v>
      </c>
      <c r="Q741" s="157">
        <v>19</v>
      </c>
      <c r="R741" s="109" t="s">
        <v>244</v>
      </c>
      <c r="S741" s="110">
        <v>283928.98</v>
      </c>
      <c r="T741" s="93"/>
      <c r="U741" s="857"/>
      <c r="V741" s="158" t="e">
        <f t="shared" si="471"/>
        <v>#DIV/0!</v>
      </c>
      <c r="W741" s="159">
        <v>45831.694965277777</v>
      </c>
      <c r="X741" s="159">
        <v>45838.541666666664</v>
      </c>
      <c r="Y741" s="160">
        <v>45839</v>
      </c>
      <c r="Z741" s="470"/>
      <c r="AA741" s="470"/>
      <c r="AB741" s="942"/>
      <c r="AC741" s="161">
        <f t="shared" si="445"/>
        <v>-45831.694965277777</v>
      </c>
      <c r="AD741" s="161">
        <f t="shared" si="446"/>
        <v>-45838.541666666664</v>
      </c>
      <c r="AE741" s="446">
        <f t="shared" si="447"/>
        <v>0</v>
      </c>
      <c r="AF741" s="160">
        <f t="shared" si="448"/>
        <v>45852.901861829501</v>
      </c>
      <c r="AG741" s="160">
        <f t="shared" si="449"/>
        <v>45862.357034243294</v>
      </c>
      <c r="AH741" s="159">
        <f t="shared" si="450"/>
        <v>45881.694965277777</v>
      </c>
      <c r="AI741" s="162">
        <f t="shared" si="451"/>
        <v>-1419.9990961464268</v>
      </c>
      <c r="AJ741" s="224">
        <f t="shared" si="452"/>
        <v>0</v>
      </c>
      <c r="AK741" s="225">
        <f t="shared" si="453"/>
        <v>26</v>
      </c>
      <c r="AL741" s="170">
        <f t="shared" si="454"/>
        <v>36</v>
      </c>
      <c r="AM741" s="170">
        <f t="shared" si="455"/>
        <v>24.206896551724139</v>
      </c>
      <c r="AN741" s="170">
        <f t="shared" si="456"/>
        <v>30.662068965517239</v>
      </c>
      <c r="AO741" s="226">
        <f t="shared" si="457"/>
        <v>21.206896551724139</v>
      </c>
      <c r="AP741" s="227">
        <v>60</v>
      </c>
      <c r="AQ741" s="228">
        <f t="shared" si="458"/>
        <v>57</v>
      </c>
      <c r="AR741" s="228">
        <f t="shared" si="459"/>
        <v>52</v>
      </c>
      <c r="AS741" s="229">
        <f t="shared" si="460"/>
        <v>60</v>
      </c>
      <c r="AT741" s="982">
        <f t="shared" ca="1" si="440"/>
        <v>45895</v>
      </c>
      <c r="AU741" s="50"/>
      <c r="AV741" s="51"/>
      <c r="AW741" s="49"/>
      <c r="AX741" s="49"/>
      <c r="AY741" s="49"/>
      <c r="AZ741" s="300"/>
      <c r="BA741" s="52"/>
      <c r="BB741" s="304"/>
      <c r="BC741" s="231"/>
      <c r="BD741" s="232"/>
      <c r="BE741" s="222">
        <f t="shared" si="461"/>
        <v>15</v>
      </c>
      <c r="BF741" s="233">
        <f t="shared" si="462"/>
        <v>0</v>
      </c>
      <c r="BG741" s="234"/>
      <c r="BH741" s="235"/>
      <c r="BI741" s="234"/>
      <c r="BJ741" s="236"/>
      <c r="BK741" s="222"/>
      <c r="BL741" s="222"/>
      <c r="BM741" s="238"/>
      <c r="BN741" s="222"/>
      <c r="BO741" s="222"/>
      <c r="BP741" s="243"/>
      <c r="BQ741" s="244"/>
      <c r="BR741" s="238"/>
      <c r="BS741" s="68"/>
      <c r="BT741" s="69"/>
      <c r="BU741" s="69"/>
      <c r="BV741" s="69"/>
      <c r="BW741" s="75"/>
      <c r="BX741" s="81"/>
      <c r="BY741" s="66">
        <v>45839</v>
      </c>
      <c r="BZ741" s="944" t="s">
        <v>3595</v>
      </c>
      <c r="CA741" s="42" t="str">
        <f t="shared" si="468"/>
        <v>0</v>
      </c>
      <c r="CB741" s="62">
        <f t="shared" si="469"/>
        <v>-45831.694965277777</v>
      </c>
      <c r="CC741" s="42">
        <f t="shared" si="470"/>
        <v>0</v>
      </c>
      <c r="CD741" s="62">
        <f t="shared" si="441"/>
        <v>-45831.694965277777</v>
      </c>
      <c r="CE741" s="62">
        <f t="shared" si="442"/>
        <v>-1419.9990961464268</v>
      </c>
      <c r="CF741" s="145" t="str">
        <f t="shared" si="443"/>
        <v>0</v>
      </c>
      <c r="CG741" s="145"/>
      <c r="CH741" s="443">
        <f t="shared" si="463"/>
        <v>1.1558183834876894</v>
      </c>
      <c r="CI741" s="996">
        <f t="shared" si="444"/>
        <v>1.1558183834876894</v>
      </c>
      <c r="CJ741" s="261">
        <f t="shared" si="464"/>
        <v>0</v>
      </c>
      <c r="CK741" s="458">
        <f t="shared" si="465"/>
        <v>24.305034722223354</v>
      </c>
      <c r="CL741" t="str">
        <f t="shared" si="466"/>
        <v>REV</v>
      </c>
      <c r="CM741" t="str">
        <f t="shared" si="467"/>
        <v>0-3 MONTHS</v>
      </c>
      <c r="CN741" s="635"/>
      <c r="CO741" s="631"/>
      <c r="CP741" s="629"/>
      <c r="CQ741" s="635"/>
      <c r="CR741" s="697"/>
      <c r="CS741" s="633"/>
      <c r="CT741" s="635"/>
      <c r="CU741" s="631"/>
      <c r="CV741" s="638"/>
      <c r="CW741" s="853"/>
      <c r="CX741" s="856"/>
      <c r="CY741" s="856"/>
    </row>
    <row r="742" spans="1:103" s="359" customFormat="1" ht="15" customHeight="1" x14ac:dyDescent="0.25">
      <c r="A742" s="242">
        <v>45839</v>
      </c>
      <c r="B742" s="222">
        <v>45839</v>
      </c>
      <c r="C742" s="852"/>
      <c r="D742" s="66" t="s">
        <v>234</v>
      </c>
      <c r="E742" s="404" t="s">
        <v>3596</v>
      </c>
      <c r="F742" s="95" t="s">
        <v>1359</v>
      </c>
      <c r="G742" s="95" t="s">
        <v>1375</v>
      </c>
      <c r="H742" s="95" t="s">
        <v>238</v>
      </c>
      <c r="I742" s="95" t="s">
        <v>239</v>
      </c>
      <c r="J742" s="854"/>
      <c r="K742" s="855"/>
      <c r="L742" s="101" t="s">
        <v>288</v>
      </c>
      <c r="M742" s="101" t="s">
        <v>272</v>
      </c>
      <c r="N742" s="442" t="s">
        <v>381</v>
      </c>
      <c r="O742" s="165">
        <v>19.27</v>
      </c>
      <c r="P742" s="165">
        <v>19.27</v>
      </c>
      <c r="Q742" s="157">
        <v>13</v>
      </c>
      <c r="R742" s="109" t="s">
        <v>244</v>
      </c>
      <c r="S742" s="110">
        <v>148300.68</v>
      </c>
      <c r="T742" s="93"/>
      <c r="U742" s="857"/>
      <c r="V742" s="158" t="e">
        <f t="shared" si="471"/>
        <v>#DIV/0!</v>
      </c>
      <c r="W742" s="159">
        <v>45831.657442129632</v>
      </c>
      <c r="X742" s="159">
        <v>45838.543055555558</v>
      </c>
      <c r="Y742" s="160">
        <v>45839</v>
      </c>
      <c r="Z742" s="470"/>
      <c r="AA742" s="470">
        <v>45856</v>
      </c>
      <c r="AB742" s="942"/>
      <c r="AC742" s="161">
        <f t="shared" si="445"/>
        <v>24.342557870368182</v>
      </c>
      <c r="AD742" s="161">
        <f t="shared" si="446"/>
        <v>17.456944444442343</v>
      </c>
      <c r="AE742" s="446">
        <f t="shared" si="447"/>
        <v>-45856</v>
      </c>
      <c r="AF742" s="160">
        <f t="shared" si="448"/>
        <v>45850.431635678018</v>
      </c>
      <c r="AG742" s="160">
        <f t="shared" si="449"/>
        <v>45859.23808729092</v>
      </c>
      <c r="AH742" s="159">
        <f t="shared" si="450"/>
        <v>45881.657442129632</v>
      </c>
      <c r="AI742" s="162">
        <f t="shared" si="451"/>
        <v>0.8384658822015707</v>
      </c>
      <c r="AJ742" s="224">
        <f t="shared" si="452"/>
        <v>-764.26666666666665</v>
      </c>
      <c r="AK742" s="225">
        <f t="shared" si="453"/>
        <v>20</v>
      </c>
      <c r="AL742" s="170">
        <f t="shared" si="454"/>
        <v>36</v>
      </c>
      <c r="AM742" s="170">
        <f t="shared" si="455"/>
        <v>21.774193548387096</v>
      </c>
      <c r="AN742" s="170">
        <f t="shared" si="456"/>
        <v>27.58064516129032</v>
      </c>
      <c r="AO742" s="226">
        <f t="shared" si="457"/>
        <v>18.774193548387096</v>
      </c>
      <c r="AP742" s="227">
        <v>60</v>
      </c>
      <c r="AQ742" s="228">
        <f t="shared" si="458"/>
        <v>57</v>
      </c>
      <c r="AR742" s="228">
        <f t="shared" si="459"/>
        <v>52</v>
      </c>
      <c r="AS742" s="229">
        <f t="shared" si="460"/>
        <v>45916</v>
      </c>
      <c r="AT742" s="982">
        <f t="shared" ca="1" si="440"/>
        <v>39</v>
      </c>
      <c r="AU742" s="50"/>
      <c r="AV742" s="51"/>
      <c r="AW742" s="49"/>
      <c r="AX742" s="49"/>
      <c r="AY742" s="49"/>
      <c r="AZ742" s="300"/>
      <c r="BA742" s="52"/>
      <c r="BB742" s="304"/>
      <c r="BC742" s="231" t="s">
        <v>13</v>
      </c>
      <c r="BD742" s="232"/>
      <c r="BE742" s="222">
        <f t="shared" si="461"/>
        <v>45871</v>
      </c>
      <c r="BF742" s="233" t="e">
        <f t="shared" si="462"/>
        <v>#VALUE!</v>
      </c>
      <c r="BG742" s="234"/>
      <c r="BH742" s="235"/>
      <c r="BI742" s="234"/>
      <c r="BJ742" s="236"/>
      <c r="BK742" s="222"/>
      <c r="BL742" s="222"/>
      <c r="BM742" s="238"/>
      <c r="BN742" s="222"/>
      <c r="BO742" s="222"/>
      <c r="BP742" s="243"/>
      <c r="BQ742" s="244"/>
      <c r="BR742" s="238"/>
      <c r="BS742" s="68"/>
      <c r="BT742" s="69"/>
      <c r="BU742" s="69"/>
      <c r="BV742" s="69"/>
      <c r="BW742" s="75"/>
      <c r="BX742" s="81"/>
      <c r="BY742" s="66">
        <v>45839</v>
      </c>
      <c r="BZ742" s="944" t="s">
        <v>3597</v>
      </c>
      <c r="CA742" s="42" t="str">
        <f t="shared" si="468"/>
        <v>0</v>
      </c>
      <c r="CB742" s="62">
        <f t="shared" si="469"/>
        <v>24.342557870368182</v>
      </c>
      <c r="CC742" s="42">
        <f t="shared" si="470"/>
        <v>0</v>
      </c>
      <c r="CD742" s="62">
        <f t="shared" si="441"/>
        <v>24.342557870368182</v>
      </c>
      <c r="CE742" s="62">
        <f t="shared" si="442"/>
        <v>0.8384658822015707</v>
      </c>
      <c r="CF742" s="145">
        <f t="shared" si="443"/>
        <v>13</v>
      </c>
      <c r="CG742" s="145"/>
      <c r="CH742" s="443">
        <f t="shared" si="463"/>
        <v>1.2862436599793483</v>
      </c>
      <c r="CI742" s="996">
        <f t="shared" si="444"/>
        <v>1.2862436599793483</v>
      </c>
      <c r="CJ742" s="261">
        <f t="shared" si="464"/>
        <v>0.21666666666666667</v>
      </c>
      <c r="CK742" s="458" t="str">
        <f t="shared" si="465"/>
        <v/>
      </c>
      <c r="CL742" t="str">
        <f t="shared" si="466"/>
        <v>REV</v>
      </c>
      <c r="CM742" t="str">
        <f t="shared" si="467"/>
        <v/>
      </c>
      <c r="CN742" s="635"/>
      <c r="CO742" s="631"/>
      <c r="CP742" s="629"/>
      <c r="CQ742" s="635"/>
      <c r="CR742" s="697"/>
      <c r="CS742" s="633"/>
      <c r="CT742" s="635"/>
      <c r="CU742" s="631"/>
      <c r="CV742" s="638"/>
      <c r="CW742" s="853"/>
      <c r="CX742" s="856"/>
      <c r="CY742" s="856"/>
    </row>
    <row r="743" spans="1:103" s="359" customFormat="1" ht="15" customHeight="1" x14ac:dyDescent="0.25">
      <c r="A743" s="222" t="s">
        <v>308</v>
      </c>
      <c r="B743" s="222" t="s">
        <v>308</v>
      </c>
      <c r="C743" s="852"/>
      <c r="D743" s="66" t="s">
        <v>320</v>
      </c>
      <c r="E743" s="404" t="s">
        <v>3598</v>
      </c>
      <c r="F743" s="95" t="s">
        <v>3599</v>
      </c>
      <c r="G743" s="95" t="s">
        <v>3600</v>
      </c>
      <c r="H743" s="95" t="s">
        <v>238</v>
      </c>
      <c r="I743" s="95" t="s">
        <v>239</v>
      </c>
      <c r="J743" s="854"/>
      <c r="K743" s="855"/>
      <c r="L743" s="101" t="s">
        <v>1945</v>
      </c>
      <c r="M743" s="101" t="s">
        <v>256</v>
      </c>
      <c r="N743" s="442" t="s">
        <v>1946</v>
      </c>
      <c r="O743" s="933">
        <v>34.76</v>
      </c>
      <c r="P743" s="933">
        <v>34.76</v>
      </c>
      <c r="Q743" s="157">
        <v>42</v>
      </c>
      <c r="R743" s="109" t="s">
        <v>244</v>
      </c>
      <c r="S743" s="110">
        <v>269279.90999999997</v>
      </c>
      <c r="T743" s="93"/>
      <c r="U743" s="857"/>
      <c r="V743" s="158" t="e">
        <f t="shared" si="471"/>
        <v>#DIV/0!</v>
      </c>
      <c r="W743" s="159">
        <v>45828.669108796297</v>
      </c>
      <c r="X743" s="159">
        <v>45838.533333333333</v>
      </c>
      <c r="Y743" s="160" t="s">
        <v>308</v>
      </c>
      <c r="Z743" s="470"/>
      <c r="AA743" s="470">
        <v>45848</v>
      </c>
      <c r="AB743" s="942">
        <v>45874.406944444447</v>
      </c>
      <c r="AC743" s="161">
        <f t="shared" si="445"/>
        <v>19.330891203702777</v>
      </c>
      <c r="AD743" s="161">
        <f t="shared" si="446"/>
        <v>9.4666666666671517</v>
      </c>
      <c r="AE743" s="446">
        <f t="shared" si="447"/>
        <v>26.406944444446708</v>
      </c>
      <c r="AF743" s="160">
        <f t="shared" si="448"/>
        <v>45847.443302344684</v>
      </c>
      <c r="AG743" s="160">
        <f t="shared" si="449"/>
        <v>45856.249753957585</v>
      </c>
      <c r="AH743" s="159">
        <f t="shared" si="450"/>
        <v>45878.669108796297</v>
      </c>
      <c r="AI743" s="162">
        <f t="shared" si="451"/>
        <v>0.66584180812754001</v>
      </c>
      <c r="AJ743" s="224">
        <f t="shared" si="452"/>
        <v>0.44011574074077847</v>
      </c>
      <c r="AK743" s="225">
        <f t="shared" si="453"/>
        <v>20</v>
      </c>
      <c r="AL743" s="170">
        <f t="shared" si="454"/>
        <v>36</v>
      </c>
      <c r="AM743" s="170">
        <f t="shared" si="455"/>
        <v>21.774193548387096</v>
      </c>
      <c r="AN743" s="170">
        <f t="shared" si="456"/>
        <v>27.58064516129032</v>
      </c>
      <c r="AO743" s="226">
        <f t="shared" si="457"/>
        <v>18.774193548387096</v>
      </c>
      <c r="AP743" s="227">
        <v>60</v>
      </c>
      <c r="AQ743" s="228">
        <f t="shared" si="458"/>
        <v>57</v>
      </c>
      <c r="AR743" s="228">
        <f t="shared" si="459"/>
        <v>52</v>
      </c>
      <c r="AS743" s="229">
        <f t="shared" si="460"/>
        <v>45908</v>
      </c>
      <c r="AT743" s="982">
        <f t="shared" ca="1" si="440"/>
        <v>47</v>
      </c>
      <c r="AU743" s="50"/>
      <c r="AV743" s="51"/>
      <c r="AW743" s="49"/>
      <c r="AX743" s="49"/>
      <c r="AY743" s="49"/>
      <c r="AZ743" s="300"/>
      <c r="BA743" s="52"/>
      <c r="BB743" s="304"/>
      <c r="BC743" s="231" t="s">
        <v>14</v>
      </c>
      <c r="BD743" s="232"/>
      <c r="BE743" s="222">
        <f t="shared" si="461"/>
        <v>45863</v>
      </c>
      <c r="BF743" s="233" t="e">
        <f t="shared" si="462"/>
        <v>#VALUE!</v>
      </c>
      <c r="BG743" s="234"/>
      <c r="BH743" s="235"/>
      <c r="BI743" s="234"/>
      <c r="BJ743" s="236"/>
      <c r="BK743" s="222"/>
      <c r="BL743" s="222"/>
      <c r="BM743" s="238"/>
      <c r="BN743" s="222"/>
      <c r="BO743" s="222"/>
      <c r="BP743" s="243"/>
      <c r="BQ743" s="244"/>
      <c r="BR743" s="238"/>
      <c r="BS743" s="68"/>
      <c r="BT743" s="69"/>
      <c r="BU743" s="69"/>
      <c r="BV743" s="69"/>
      <c r="BW743" s="75"/>
      <c r="BX743" s="81"/>
      <c r="BY743" s="66"/>
      <c r="BZ743" s="944"/>
      <c r="CA743" s="42" t="str">
        <f t="shared" si="468"/>
        <v>0</v>
      </c>
      <c r="CB743" s="62">
        <f t="shared" si="469"/>
        <v>19.330891203702777</v>
      </c>
      <c r="CC743" s="42">
        <f t="shared" si="470"/>
        <v>0</v>
      </c>
      <c r="CD743" s="62">
        <f t="shared" si="441"/>
        <v>19.330891203702777</v>
      </c>
      <c r="CE743" s="62">
        <f t="shared" si="442"/>
        <v>0.66584180812754001</v>
      </c>
      <c r="CF743" s="145">
        <f t="shared" si="443"/>
        <v>21</v>
      </c>
      <c r="CG743" s="145"/>
      <c r="CH743" s="443">
        <f t="shared" si="463"/>
        <v>1.3891751414608735</v>
      </c>
      <c r="CI743" s="996">
        <f t="shared" si="444"/>
        <v>1.3891751414608735</v>
      </c>
      <c r="CJ743" s="261">
        <f t="shared" si="464"/>
        <v>0.35</v>
      </c>
      <c r="CK743" s="458" t="str">
        <f t="shared" si="465"/>
        <v/>
      </c>
      <c r="CL743" t="str">
        <f t="shared" si="466"/>
        <v>REV</v>
      </c>
      <c r="CM743" t="str">
        <f t="shared" si="467"/>
        <v/>
      </c>
      <c r="CN743" s="635"/>
      <c r="CO743" s="631"/>
      <c r="CP743" s="629"/>
      <c r="CQ743" s="635"/>
      <c r="CR743" s="697"/>
      <c r="CS743" s="633"/>
      <c r="CT743" s="635"/>
      <c r="CU743" s="631"/>
      <c r="CV743" s="638"/>
      <c r="CW743" s="853"/>
      <c r="CX743" s="856"/>
      <c r="CY743" s="856"/>
    </row>
    <row r="744" spans="1:103" s="359" customFormat="1" ht="15" customHeight="1" x14ac:dyDescent="0.25">
      <c r="A744" s="242">
        <v>45834</v>
      </c>
      <c r="B744" s="222">
        <v>45834</v>
      </c>
      <c r="C744" s="852"/>
      <c r="D744" s="66" t="s">
        <v>361</v>
      </c>
      <c r="E744" s="404" t="s">
        <v>3601</v>
      </c>
      <c r="F744" s="95" t="s">
        <v>3602</v>
      </c>
      <c r="G744" s="95" t="s">
        <v>3603</v>
      </c>
      <c r="H744" s="95" t="s">
        <v>253</v>
      </c>
      <c r="I744" s="95" t="s">
        <v>254</v>
      </c>
      <c r="J744" s="854"/>
      <c r="K744" s="855"/>
      <c r="L744" s="101" t="s">
        <v>263</v>
      </c>
      <c r="M744" s="101" t="s">
        <v>331</v>
      </c>
      <c r="N744" s="442" t="s">
        <v>467</v>
      </c>
      <c r="O744" s="165">
        <v>56.19</v>
      </c>
      <c r="P744" s="165">
        <v>745.63</v>
      </c>
      <c r="Q744" s="157">
        <v>0</v>
      </c>
      <c r="R744" s="109" t="s">
        <v>327</v>
      </c>
      <c r="S744" s="110">
        <v>630424.09</v>
      </c>
      <c r="T744" s="93">
        <v>48281.78</v>
      </c>
      <c r="U744" s="857"/>
      <c r="V744" s="158">
        <f t="shared" si="471"/>
        <v>0</v>
      </c>
      <c r="W744" s="159">
        <v>45805.76458333333</v>
      </c>
      <c r="X744" s="159">
        <v>45833.539583333331</v>
      </c>
      <c r="Y744" s="160">
        <v>45834</v>
      </c>
      <c r="Z744" s="470"/>
      <c r="AA744" s="942"/>
      <c r="AB744" s="942"/>
      <c r="AC744" s="161">
        <f t="shared" ref="AC744:AC757" si="472">AA744-W744</f>
        <v>-45805.76458333333</v>
      </c>
      <c r="AD744" s="161">
        <f t="shared" ref="AD744:AD757" si="473">AA744-X744</f>
        <v>-45833.539583333331</v>
      </c>
      <c r="AE744" s="446">
        <f t="shared" ref="AE744:AE757" si="474">AB744-AA744</f>
        <v>0</v>
      </c>
      <c r="AF744" s="160">
        <f t="shared" ref="AF744:AF757" si="475">W744+AO744</f>
        <v>45830.59963487972</v>
      </c>
      <c r="AG744" s="160">
        <f t="shared" ref="AG744:AG757" si="476">W744+AN744</f>
        <v>45841.022315292095</v>
      </c>
      <c r="AH744" s="159">
        <f t="shared" ref="AH744:AH757" si="477">W744+50</f>
        <v>45855.76458333333</v>
      </c>
      <c r="AI744" s="162">
        <f t="shared" ref="AI744:AI757" si="478" xml:space="preserve"> (0.3)*(AC744/AK744)+(0.7)*(AC744/AL744)</f>
        <v>-1234.2108790509258</v>
      </c>
      <c r="AJ744" s="224">
        <f t="shared" ref="AJ744:AJ757" si="479">AE744/AP744</f>
        <v>0</v>
      </c>
      <c r="AK744" s="225">
        <f t="shared" ref="AK744:AK757" si="480">IF(P744&lt;51,20,(IF(P744&lt;101,23,(IF(P744&lt;201,26,IF(P744&lt;301,28,IF(P744&lt;401,30,(IF(P744&lt;501,32,(IF(P744&lt;1001,40,50)))))))))))</f>
        <v>40</v>
      </c>
      <c r="AL744" s="170">
        <f t="shared" ref="AL744:AL757" si="481">IF(Q744&lt;51,36,(IF(Q744&lt;101,34,(IF(Q744&lt;201,32,IF(Q744&lt;301,30,IF(Q744&lt;401,28,(IF(Q744&lt;501,26,(IF(Q744&lt;1001,23,20)))))))))))</f>
        <v>36</v>
      </c>
      <c r="AM744" s="170">
        <f t="shared" ref="AM744:AM757" si="482">(0.75)/((0.3/AK744)+(0.7/AL744))</f>
        <v>27.835051546391753</v>
      </c>
      <c r="AN744" s="170">
        <f t="shared" ref="AN744:AN757" si="483">(0.95)/((0.3/AK744)+(0.7/AL744))</f>
        <v>35.257731958762882</v>
      </c>
      <c r="AO744" s="226">
        <f t="shared" ref="AO744:AO757" si="484">AM744-3</f>
        <v>24.835051546391753</v>
      </c>
      <c r="AP744" s="227">
        <v>60</v>
      </c>
      <c r="AQ744" s="228">
        <f t="shared" ref="AQ744:AQ757" si="485">0.95*AP744</f>
        <v>57</v>
      </c>
      <c r="AR744" s="228">
        <f t="shared" ref="AR744:AR757" si="486">AQ744-5</f>
        <v>52</v>
      </c>
      <c r="AS744" s="229">
        <f t="shared" ref="AS744:AS757" si="487">AA744+AP744</f>
        <v>60</v>
      </c>
      <c r="AT744" s="982">
        <f t="shared" ca="1" si="440"/>
        <v>45895</v>
      </c>
      <c r="AU744" s="50"/>
      <c r="AV744" s="51"/>
      <c r="AW744" s="49"/>
      <c r="AX744" s="49"/>
      <c r="AY744" s="49"/>
      <c r="AZ744" s="300"/>
      <c r="BA744" s="52"/>
      <c r="BB744" s="304"/>
      <c r="BC744" s="231"/>
      <c r="BD744" s="232"/>
      <c r="BE744" s="222">
        <f t="shared" ref="BE744:BE757" si="488">AA744+15</f>
        <v>15</v>
      </c>
      <c r="BF744" s="233">
        <f t="shared" ref="BF744:BF757" si="489">IF(ISBLANK(AA744),0,IF(ISBLANK(BH744),(BE744-$L$1),(BH744-BE744)))</f>
        <v>0</v>
      </c>
      <c r="BG744" s="234"/>
      <c r="BH744" s="235"/>
      <c r="BI744" s="234"/>
      <c r="BJ744" s="236"/>
      <c r="BK744" s="222"/>
      <c r="BL744" s="222"/>
      <c r="BM744" s="238"/>
      <c r="BN744" s="222"/>
      <c r="BO744" s="222"/>
      <c r="BP744" s="243"/>
      <c r="BQ744" s="244"/>
      <c r="BR744" s="238"/>
      <c r="BS744" s="68"/>
      <c r="BT744" s="69"/>
      <c r="BU744" s="69"/>
      <c r="BV744" s="69"/>
      <c r="BW744" s="75"/>
      <c r="BX744" s="81"/>
      <c r="BY744" s="66">
        <v>45856</v>
      </c>
      <c r="BZ744" s="944" t="s">
        <v>3604</v>
      </c>
      <c r="CA744" s="42"/>
      <c r="CB744" s="62"/>
      <c r="CC744" s="62"/>
      <c r="CD744" s="62">
        <f t="shared" si="441"/>
        <v>-45805.76458333333</v>
      </c>
      <c r="CE744" s="62">
        <f t="shared" si="442"/>
        <v>-1234.2108790509258</v>
      </c>
      <c r="CF744" s="145" t="str">
        <f t="shared" si="443"/>
        <v>0</v>
      </c>
      <c r="CG744" s="145"/>
      <c r="CH744" s="443">
        <f t="shared" ref="CH744:CH757" si="490" xml:space="preserve"> (0.3)*(($CF$1-W744)/AK744)+(0.7)*(($CF$1-W744)/AL744)</f>
        <v>1.7038431712963877</v>
      </c>
      <c r="CI744" s="996">
        <f t="shared" si="444"/>
        <v>1.7038431712963877</v>
      </c>
      <c r="CJ744" s="261">
        <f t="shared" ref="CJ744:CJ757" si="491">CF744/AP744</f>
        <v>0</v>
      </c>
      <c r="CK744" s="458">
        <f t="shared" si="465"/>
        <v>50.235416666670062</v>
      </c>
      <c r="CL744" t="str">
        <f t="shared" ref="CL744:CL757" si="492">IF(R744="NEW","REV","NON-REV")</f>
        <v>NON-REV</v>
      </c>
      <c r="CM744" t="str">
        <f t="shared" ref="CM744:CM757" si="493">IF(CK744="","",IF(CK744&lt;91,"0-3 MONTHS",(IF(CK744&lt;181,"4-6 MONTHS",(IF(CK744&lt;271,"7-9 MONTHS",IF(CK744&gt;270,"10 MONTHS AND ABOVE",)))))))</f>
        <v>0-3 MONTHS</v>
      </c>
      <c r="CN744" s="635"/>
      <c r="CO744" s="631"/>
      <c r="CP744" s="629"/>
      <c r="CQ744" s="635"/>
      <c r="CR744" s="697"/>
      <c r="CS744" s="633"/>
      <c r="CT744" s="635"/>
      <c r="CU744" s="631"/>
      <c r="CV744" s="638"/>
      <c r="CW744" s="853"/>
      <c r="CX744" s="856"/>
      <c r="CY744" s="856"/>
    </row>
    <row r="745" spans="1:103" s="359" customFormat="1" ht="15" customHeight="1" x14ac:dyDescent="0.25">
      <c r="A745" s="242">
        <v>45845</v>
      </c>
      <c r="B745" s="222">
        <v>45846</v>
      </c>
      <c r="C745" s="852"/>
      <c r="D745" s="66" t="s">
        <v>320</v>
      </c>
      <c r="E745" s="404" t="s">
        <v>3605</v>
      </c>
      <c r="F745" s="95" t="s">
        <v>3606</v>
      </c>
      <c r="G745" s="95" t="s">
        <v>3607</v>
      </c>
      <c r="H745" s="95" t="s">
        <v>253</v>
      </c>
      <c r="I745" s="95" t="s">
        <v>254</v>
      </c>
      <c r="J745" s="854"/>
      <c r="K745" s="855"/>
      <c r="L745" s="101" t="s">
        <v>263</v>
      </c>
      <c r="M745" s="101" t="s">
        <v>331</v>
      </c>
      <c r="N745" s="442" t="s">
        <v>467</v>
      </c>
      <c r="O745" s="165">
        <v>76</v>
      </c>
      <c r="P745" s="165">
        <v>232.56</v>
      </c>
      <c r="Q745" s="157">
        <v>0</v>
      </c>
      <c r="R745" s="109" t="s">
        <v>327</v>
      </c>
      <c r="S745" s="110">
        <v>349645.46</v>
      </c>
      <c r="T745" s="93">
        <v>65297.700000000004</v>
      </c>
      <c r="U745" s="857"/>
      <c r="V745" s="158">
        <f t="shared" ref="V745:V772" si="494">U745/T745</f>
        <v>0</v>
      </c>
      <c r="W745" s="159">
        <v>45832</v>
      </c>
      <c r="X745" s="159">
        <v>45842.595138888886</v>
      </c>
      <c r="Y745" s="160">
        <v>45846</v>
      </c>
      <c r="Z745" s="470"/>
      <c r="AA745" s="942"/>
      <c r="AB745" s="942"/>
      <c r="AC745" s="161">
        <f t="shared" si="472"/>
        <v>-45832</v>
      </c>
      <c r="AD745" s="161">
        <f t="shared" si="473"/>
        <v>-45842.595138888886</v>
      </c>
      <c r="AE745" s="446">
        <f t="shared" si="474"/>
        <v>0</v>
      </c>
      <c r="AF745" s="160">
        <f t="shared" si="475"/>
        <v>45853.868421052633</v>
      </c>
      <c r="AG745" s="160">
        <f t="shared" si="476"/>
        <v>45863.5</v>
      </c>
      <c r="AH745" s="159">
        <f t="shared" si="477"/>
        <v>45882</v>
      </c>
      <c r="AI745" s="162">
        <f t="shared" si="478"/>
        <v>-1382.2349206349204</v>
      </c>
      <c r="AJ745" s="224">
        <f t="shared" si="479"/>
        <v>0</v>
      </c>
      <c r="AK745" s="225">
        <f t="shared" si="480"/>
        <v>28</v>
      </c>
      <c r="AL745" s="170">
        <f t="shared" si="481"/>
        <v>36</v>
      </c>
      <c r="AM745" s="170">
        <f t="shared" si="482"/>
        <v>24.868421052631579</v>
      </c>
      <c r="AN745" s="170">
        <f t="shared" si="483"/>
        <v>31.499999999999996</v>
      </c>
      <c r="AO745" s="226">
        <f t="shared" si="484"/>
        <v>21.868421052631579</v>
      </c>
      <c r="AP745" s="227">
        <v>60</v>
      </c>
      <c r="AQ745" s="228">
        <f t="shared" si="485"/>
        <v>57</v>
      </c>
      <c r="AR745" s="228">
        <f t="shared" si="486"/>
        <v>52</v>
      </c>
      <c r="AS745" s="229">
        <f t="shared" si="487"/>
        <v>60</v>
      </c>
      <c r="AT745" s="982">
        <f t="shared" ca="1" si="440"/>
        <v>45895</v>
      </c>
      <c r="AU745" s="50"/>
      <c r="AV745" s="51"/>
      <c r="AW745" s="49"/>
      <c r="AX745" s="49"/>
      <c r="AY745" s="49"/>
      <c r="AZ745" s="300"/>
      <c r="BA745" s="52"/>
      <c r="BB745" s="304"/>
      <c r="BC745" s="231"/>
      <c r="BD745" s="232"/>
      <c r="BE745" s="222">
        <f t="shared" si="488"/>
        <v>15</v>
      </c>
      <c r="BF745" s="233">
        <f t="shared" si="489"/>
        <v>0</v>
      </c>
      <c r="BG745" s="234"/>
      <c r="BH745" s="235"/>
      <c r="BI745" s="234"/>
      <c r="BJ745" s="236"/>
      <c r="BK745" s="222"/>
      <c r="BL745" s="222"/>
      <c r="BM745" s="238"/>
      <c r="BN745" s="222"/>
      <c r="BO745" s="222"/>
      <c r="BP745" s="243"/>
      <c r="BQ745" s="244"/>
      <c r="BR745" s="238"/>
      <c r="BS745" s="68"/>
      <c r="BT745" s="69"/>
      <c r="BU745" s="69"/>
      <c r="BV745" s="69"/>
      <c r="BW745" s="75"/>
      <c r="BX745" s="81"/>
      <c r="BY745" s="66">
        <v>45846</v>
      </c>
      <c r="BZ745" s="944" t="s">
        <v>3608</v>
      </c>
      <c r="CA745" s="42"/>
      <c r="CB745" s="62"/>
      <c r="CC745" s="62"/>
      <c r="CD745" s="62">
        <f t="shared" si="441"/>
        <v>-45832</v>
      </c>
      <c r="CE745" s="62">
        <f t="shared" si="442"/>
        <v>-1382.2349206349204</v>
      </c>
      <c r="CF745" s="145" t="str">
        <f t="shared" si="443"/>
        <v>0</v>
      </c>
      <c r="CG745" s="145"/>
      <c r="CH745" s="443">
        <f t="shared" si="490"/>
        <v>1.1158730158730157</v>
      </c>
      <c r="CI745" s="996">
        <f t="shared" si="444"/>
        <v>1.1158730158730157</v>
      </c>
      <c r="CJ745" s="261">
        <f t="shared" si="491"/>
        <v>0</v>
      </c>
      <c r="CK745" s="458">
        <f t="shared" ref="CK745:CK757" si="495">IF(AA745&gt;0,"",$CK$1-W745)</f>
        <v>24</v>
      </c>
      <c r="CL745" t="str">
        <f t="shared" si="492"/>
        <v>NON-REV</v>
      </c>
      <c r="CM745" t="str">
        <f t="shared" si="493"/>
        <v>0-3 MONTHS</v>
      </c>
      <c r="CN745" s="635"/>
      <c r="CO745" s="631"/>
      <c r="CP745" s="629"/>
      <c r="CQ745" s="635"/>
      <c r="CR745" s="697"/>
      <c r="CS745" s="633"/>
      <c r="CT745" s="635"/>
      <c r="CU745" s="631"/>
      <c r="CV745" s="638"/>
      <c r="CW745" s="853"/>
      <c r="CX745" s="856"/>
      <c r="CY745" s="856"/>
    </row>
    <row r="746" spans="1:103" s="359" customFormat="1" ht="15" customHeight="1" x14ac:dyDescent="0.25">
      <c r="A746" s="242">
        <v>45841</v>
      </c>
      <c r="B746" s="222">
        <v>45841</v>
      </c>
      <c r="C746" s="852"/>
      <c r="D746" s="66" t="s">
        <v>284</v>
      </c>
      <c r="E746" s="404" t="s">
        <v>3609</v>
      </c>
      <c r="F746" s="95" t="s">
        <v>296</v>
      </c>
      <c r="G746" s="95" t="s">
        <v>297</v>
      </c>
      <c r="H746" s="95" t="s">
        <v>238</v>
      </c>
      <c r="I746" s="95" t="s">
        <v>239</v>
      </c>
      <c r="J746" s="854"/>
      <c r="K746" s="855"/>
      <c r="L746" s="101" t="s">
        <v>288</v>
      </c>
      <c r="M746" s="101" t="s">
        <v>331</v>
      </c>
      <c r="N746" s="442" t="s">
        <v>467</v>
      </c>
      <c r="O746" s="165">
        <v>7.91</v>
      </c>
      <c r="P746" s="165">
        <v>7.91</v>
      </c>
      <c r="Q746" s="157">
        <v>0</v>
      </c>
      <c r="R746" s="109" t="s">
        <v>319</v>
      </c>
      <c r="S746" s="110">
        <v>18658.419999999998</v>
      </c>
      <c r="T746" s="93">
        <v>6796.4600000000009</v>
      </c>
      <c r="U746" s="857"/>
      <c r="V746" s="158">
        <f t="shared" si="494"/>
        <v>0</v>
      </c>
      <c r="W746" s="159">
        <v>45833</v>
      </c>
      <c r="X746" s="159">
        <v>45840.63958333333</v>
      </c>
      <c r="Y746" s="160">
        <v>45841</v>
      </c>
      <c r="Z746" s="470"/>
      <c r="AA746" s="942"/>
      <c r="AB746" s="942"/>
      <c r="AC746" s="161">
        <f t="shared" si="472"/>
        <v>-45833</v>
      </c>
      <c r="AD746" s="161">
        <f t="shared" si="473"/>
        <v>-45840.63958333333</v>
      </c>
      <c r="AE746" s="446">
        <f t="shared" si="474"/>
        <v>0</v>
      </c>
      <c r="AF746" s="160">
        <f t="shared" si="475"/>
        <v>45851.774193548386</v>
      </c>
      <c r="AG746" s="160">
        <f t="shared" si="476"/>
        <v>45860.580645161288</v>
      </c>
      <c r="AH746" s="159">
        <f t="shared" si="477"/>
        <v>45883</v>
      </c>
      <c r="AI746" s="162">
        <f t="shared" si="478"/>
        <v>-1578.6922222222222</v>
      </c>
      <c r="AJ746" s="224">
        <f t="shared" si="479"/>
        <v>0</v>
      </c>
      <c r="AK746" s="225">
        <f t="shared" si="480"/>
        <v>20</v>
      </c>
      <c r="AL746" s="170">
        <f t="shared" si="481"/>
        <v>36</v>
      </c>
      <c r="AM746" s="170">
        <f t="shared" si="482"/>
        <v>21.774193548387096</v>
      </c>
      <c r="AN746" s="170">
        <f t="shared" si="483"/>
        <v>27.58064516129032</v>
      </c>
      <c r="AO746" s="226">
        <f t="shared" si="484"/>
        <v>18.774193548387096</v>
      </c>
      <c r="AP746" s="227">
        <v>60</v>
      </c>
      <c r="AQ746" s="228">
        <f t="shared" si="485"/>
        <v>57</v>
      </c>
      <c r="AR746" s="228">
        <f t="shared" si="486"/>
        <v>52</v>
      </c>
      <c r="AS746" s="229">
        <f t="shared" si="487"/>
        <v>60</v>
      </c>
      <c r="AT746" s="982">
        <f t="shared" ca="1" si="440"/>
        <v>45895</v>
      </c>
      <c r="AU746" s="50"/>
      <c r="AV746" s="51"/>
      <c r="AW746" s="49"/>
      <c r="AX746" s="49"/>
      <c r="AY746" s="49"/>
      <c r="AZ746" s="300"/>
      <c r="BA746" s="52"/>
      <c r="BB746" s="304"/>
      <c r="BC746" s="231"/>
      <c r="BD746" s="232"/>
      <c r="BE746" s="222">
        <f t="shared" si="488"/>
        <v>15</v>
      </c>
      <c r="BF746" s="233">
        <f t="shared" si="489"/>
        <v>0</v>
      </c>
      <c r="BG746" s="234"/>
      <c r="BH746" s="235"/>
      <c r="BI746" s="234"/>
      <c r="BJ746" s="236"/>
      <c r="BK746" s="222"/>
      <c r="BL746" s="222"/>
      <c r="BM746" s="238"/>
      <c r="BN746" s="222"/>
      <c r="BO746" s="222"/>
      <c r="BP746" s="243"/>
      <c r="BQ746" s="244"/>
      <c r="BR746" s="238"/>
      <c r="BS746" s="68"/>
      <c r="BT746" s="69"/>
      <c r="BU746" s="69"/>
      <c r="BV746" s="69"/>
      <c r="BW746" s="75"/>
      <c r="BX746" s="81"/>
      <c r="BY746" s="66" t="s">
        <v>308</v>
      </c>
      <c r="BZ746" s="944">
        <v>519608</v>
      </c>
      <c r="CA746" s="42"/>
      <c r="CB746" s="62"/>
      <c r="CC746" s="62"/>
      <c r="CD746" s="62">
        <f t="shared" si="441"/>
        <v>-45833</v>
      </c>
      <c r="CE746" s="62">
        <f t="shared" si="442"/>
        <v>-1578.6922222222222</v>
      </c>
      <c r="CF746" s="145" t="str">
        <f t="shared" si="443"/>
        <v>0</v>
      </c>
      <c r="CG746" s="145"/>
      <c r="CH746" s="443">
        <f t="shared" si="490"/>
        <v>1.24</v>
      </c>
      <c r="CI746" s="996">
        <f t="shared" si="444"/>
        <v>1.24</v>
      </c>
      <c r="CJ746" s="261">
        <f t="shared" si="491"/>
        <v>0</v>
      </c>
      <c r="CK746" s="458">
        <f t="shared" si="495"/>
        <v>23</v>
      </c>
      <c r="CL746" t="str">
        <f t="shared" si="492"/>
        <v>NON-REV</v>
      </c>
      <c r="CM746" t="str">
        <f t="shared" si="493"/>
        <v>0-3 MONTHS</v>
      </c>
      <c r="CN746" s="635"/>
      <c r="CO746" s="631"/>
      <c r="CP746" s="629"/>
      <c r="CQ746" s="635"/>
      <c r="CR746" s="697"/>
      <c r="CS746" s="633"/>
      <c r="CT746" s="635"/>
      <c r="CU746" s="631"/>
      <c r="CV746" s="638"/>
      <c r="CW746" s="853"/>
      <c r="CX746" s="856"/>
      <c r="CY746" s="856"/>
    </row>
    <row r="747" spans="1:103" s="359" customFormat="1" ht="15" customHeight="1" x14ac:dyDescent="0.25">
      <c r="A747" s="242">
        <v>45856</v>
      </c>
      <c r="B747" s="222">
        <v>45841</v>
      </c>
      <c r="C747" s="852"/>
      <c r="D747" s="66" t="s">
        <v>234</v>
      </c>
      <c r="E747" s="404" t="s">
        <v>3610</v>
      </c>
      <c r="F747" s="95" t="s">
        <v>3611</v>
      </c>
      <c r="G747" s="95" t="s">
        <v>3612</v>
      </c>
      <c r="H747" s="95" t="s">
        <v>378</v>
      </c>
      <c r="I747" s="95" t="s">
        <v>239</v>
      </c>
      <c r="J747" s="854"/>
      <c r="K747" s="855"/>
      <c r="L747" s="101" t="s">
        <v>242</v>
      </c>
      <c r="M747" s="101" t="s">
        <v>3613</v>
      </c>
      <c r="N747" s="442" t="s">
        <v>467</v>
      </c>
      <c r="O747" s="165">
        <v>14.85</v>
      </c>
      <c r="P747" s="165">
        <v>14.85</v>
      </c>
      <c r="Q747" s="157">
        <v>0</v>
      </c>
      <c r="R747" s="109" t="s">
        <v>319</v>
      </c>
      <c r="S747" s="110">
        <v>25841.11</v>
      </c>
      <c r="T747" s="93"/>
      <c r="U747" s="857"/>
      <c r="V747" s="158" t="e">
        <f t="shared" si="494"/>
        <v>#DIV/0!</v>
      </c>
      <c r="W747" s="159">
        <v>45833</v>
      </c>
      <c r="X747" s="159">
        <v>45840.640277777777</v>
      </c>
      <c r="Y747" s="160">
        <v>45841</v>
      </c>
      <c r="Z747" s="470"/>
      <c r="AA747" s="942"/>
      <c r="AB747" s="942"/>
      <c r="AC747" s="161">
        <f t="shared" si="472"/>
        <v>-45833</v>
      </c>
      <c r="AD747" s="161">
        <f t="shared" si="473"/>
        <v>-45840.640277777777</v>
      </c>
      <c r="AE747" s="446">
        <f t="shared" si="474"/>
        <v>0</v>
      </c>
      <c r="AF747" s="160">
        <f t="shared" si="475"/>
        <v>45851.774193548386</v>
      </c>
      <c r="AG747" s="160">
        <f t="shared" si="476"/>
        <v>45860.580645161288</v>
      </c>
      <c r="AH747" s="159">
        <f t="shared" si="477"/>
        <v>45883</v>
      </c>
      <c r="AI747" s="162">
        <f t="shared" si="478"/>
        <v>-1578.6922222222222</v>
      </c>
      <c r="AJ747" s="224">
        <f t="shared" si="479"/>
        <v>0</v>
      </c>
      <c r="AK747" s="225">
        <f t="shared" si="480"/>
        <v>20</v>
      </c>
      <c r="AL747" s="170">
        <f t="shared" si="481"/>
        <v>36</v>
      </c>
      <c r="AM747" s="170">
        <f t="shared" si="482"/>
        <v>21.774193548387096</v>
      </c>
      <c r="AN747" s="170">
        <f t="shared" si="483"/>
        <v>27.58064516129032</v>
      </c>
      <c r="AO747" s="226">
        <f t="shared" si="484"/>
        <v>18.774193548387096</v>
      </c>
      <c r="AP747" s="227">
        <v>60</v>
      </c>
      <c r="AQ747" s="228">
        <f t="shared" si="485"/>
        <v>57</v>
      </c>
      <c r="AR747" s="228">
        <f t="shared" si="486"/>
        <v>52</v>
      </c>
      <c r="AS747" s="229">
        <f t="shared" si="487"/>
        <v>60</v>
      </c>
      <c r="AT747" s="982">
        <f t="shared" ca="1" si="440"/>
        <v>45895</v>
      </c>
      <c r="AU747" s="50"/>
      <c r="AV747" s="51"/>
      <c r="AW747" s="49"/>
      <c r="AX747" s="49"/>
      <c r="AY747" s="49"/>
      <c r="AZ747" s="300"/>
      <c r="BA747" s="52"/>
      <c r="BB747" s="304"/>
      <c r="BC747" s="231"/>
      <c r="BD747" s="232"/>
      <c r="BE747" s="222">
        <f t="shared" si="488"/>
        <v>15</v>
      </c>
      <c r="BF747" s="233">
        <f t="shared" si="489"/>
        <v>0</v>
      </c>
      <c r="BG747" s="234"/>
      <c r="BH747" s="235"/>
      <c r="BI747" s="234"/>
      <c r="BJ747" s="236"/>
      <c r="BK747" s="222"/>
      <c r="BL747" s="222"/>
      <c r="BM747" s="238"/>
      <c r="BN747" s="222"/>
      <c r="BO747" s="222"/>
      <c r="BP747" s="243"/>
      <c r="BQ747" s="244"/>
      <c r="BR747" s="238"/>
      <c r="BS747" s="68"/>
      <c r="BT747" s="69"/>
      <c r="BU747" s="69"/>
      <c r="BV747" s="69"/>
      <c r="BW747" s="75"/>
      <c r="BX747" s="81"/>
      <c r="BY747" s="66" t="s">
        <v>308</v>
      </c>
      <c r="BZ747" s="944" t="s">
        <v>3614</v>
      </c>
      <c r="CA747" s="42"/>
      <c r="CB747" s="62"/>
      <c r="CC747" s="62"/>
      <c r="CD747" s="62">
        <f t="shared" si="441"/>
        <v>-45833</v>
      </c>
      <c r="CE747" s="62">
        <f t="shared" si="442"/>
        <v>-1578.6922222222222</v>
      </c>
      <c r="CF747" s="145" t="str">
        <f t="shared" si="443"/>
        <v>0</v>
      </c>
      <c r="CG747" s="145"/>
      <c r="CH747" s="443">
        <f t="shared" si="490"/>
        <v>1.24</v>
      </c>
      <c r="CI747" s="996">
        <f t="shared" si="444"/>
        <v>1.24</v>
      </c>
      <c r="CJ747" s="261">
        <f t="shared" si="491"/>
        <v>0</v>
      </c>
      <c r="CK747" s="458">
        <f t="shared" si="495"/>
        <v>23</v>
      </c>
      <c r="CL747" t="str">
        <f t="shared" si="492"/>
        <v>NON-REV</v>
      </c>
      <c r="CM747" t="str">
        <f t="shared" si="493"/>
        <v>0-3 MONTHS</v>
      </c>
      <c r="CN747" s="635"/>
      <c r="CO747" s="631"/>
      <c r="CP747" s="629"/>
      <c r="CQ747" s="635"/>
      <c r="CR747" s="697"/>
      <c r="CS747" s="633"/>
      <c r="CT747" s="635"/>
      <c r="CU747" s="631"/>
      <c r="CV747" s="638"/>
      <c r="CW747" s="853"/>
      <c r="CX747" s="856"/>
      <c r="CY747" s="856"/>
    </row>
    <row r="748" spans="1:103" s="359" customFormat="1" ht="15" customHeight="1" x14ac:dyDescent="0.25">
      <c r="A748" s="242">
        <v>45852</v>
      </c>
      <c r="B748" s="222">
        <v>45841</v>
      </c>
      <c r="C748" s="852"/>
      <c r="D748" s="66" t="s">
        <v>320</v>
      </c>
      <c r="E748" s="404" t="s">
        <v>3615</v>
      </c>
      <c r="F748" s="95" t="s">
        <v>959</v>
      </c>
      <c r="G748" s="95" t="s">
        <v>960</v>
      </c>
      <c r="H748" s="95" t="s">
        <v>378</v>
      </c>
      <c r="I748" s="95" t="s">
        <v>239</v>
      </c>
      <c r="J748" s="854"/>
      <c r="K748" s="855"/>
      <c r="L748" s="101" t="s">
        <v>242</v>
      </c>
      <c r="M748" s="101" t="s">
        <v>331</v>
      </c>
      <c r="N748" s="442" t="s">
        <v>467</v>
      </c>
      <c r="O748" s="165">
        <v>260.14999999999998</v>
      </c>
      <c r="P748" s="165">
        <v>1124.83</v>
      </c>
      <c r="Q748" s="157">
        <v>24</v>
      </c>
      <c r="R748" s="109" t="s">
        <v>244</v>
      </c>
      <c r="S748" s="110">
        <v>1331234.01</v>
      </c>
      <c r="T748" s="1132">
        <v>223529.04</v>
      </c>
      <c r="U748" s="857"/>
      <c r="V748" s="158">
        <f t="shared" si="494"/>
        <v>0</v>
      </c>
      <c r="W748" s="159">
        <v>45833</v>
      </c>
      <c r="X748" s="159">
        <v>45840.553472222222</v>
      </c>
      <c r="Y748" s="160">
        <v>45841</v>
      </c>
      <c r="Z748" s="470"/>
      <c r="AA748" s="942"/>
      <c r="AB748" s="942"/>
      <c r="AC748" s="161">
        <f t="shared" si="472"/>
        <v>-45833</v>
      </c>
      <c r="AD748" s="161">
        <f t="shared" si="473"/>
        <v>-45840.553472222222</v>
      </c>
      <c r="AE748" s="446">
        <f t="shared" si="474"/>
        <v>0</v>
      </c>
      <c r="AF748" s="160">
        <f t="shared" si="475"/>
        <v>45859.475982532749</v>
      </c>
      <c r="AG748" s="160">
        <f t="shared" si="476"/>
        <v>45870.336244541482</v>
      </c>
      <c r="AH748" s="159">
        <f t="shared" si="477"/>
        <v>45883</v>
      </c>
      <c r="AI748" s="162">
        <f t="shared" si="478"/>
        <v>-1166.1952222222221</v>
      </c>
      <c r="AJ748" s="224">
        <f t="shared" si="479"/>
        <v>0</v>
      </c>
      <c r="AK748" s="225">
        <f t="shared" si="480"/>
        <v>50</v>
      </c>
      <c r="AL748" s="170">
        <f t="shared" si="481"/>
        <v>36</v>
      </c>
      <c r="AM748" s="170">
        <f t="shared" si="482"/>
        <v>29.475982532751093</v>
      </c>
      <c r="AN748" s="170">
        <f t="shared" si="483"/>
        <v>37.336244541484717</v>
      </c>
      <c r="AO748" s="226">
        <f t="shared" si="484"/>
        <v>26.475982532751093</v>
      </c>
      <c r="AP748" s="227">
        <v>60</v>
      </c>
      <c r="AQ748" s="228">
        <f t="shared" si="485"/>
        <v>57</v>
      </c>
      <c r="AR748" s="228">
        <f t="shared" si="486"/>
        <v>52</v>
      </c>
      <c r="AS748" s="229">
        <f t="shared" si="487"/>
        <v>60</v>
      </c>
      <c r="AT748" s="982">
        <f t="shared" ca="1" si="440"/>
        <v>45895</v>
      </c>
      <c r="AU748" s="50"/>
      <c r="AV748" s="51"/>
      <c r="AW748" s="49"/>
      <c r="AX748" s="49"/>
      <c r="AY748" s="49"/>
      <c r="AZ748" s="300"/>
      <c r="BA748" s="52"/>
      <c r="BB748" s="304"/>
      <c r="BC748" s="231"/>
      <c r="BD748" s="232"/>
      <c r="BE748" s="222">
        <f t="shared" si="488"/>
        <v>15</v>
      </c>
      <c r="BF748" s="233">
        <f t="shared" si="489"/>
        <v>0</v>
      </c>
      <c r="BG748" s="234"/>
      <c r="BH748" s="235"/>
      <c r="BI748" s="234"/>
      <c r="BJ748" s="236"/>
      <c r="BK748" s="222"/>
      <c r="BL748" s="222"/>
      <c r="BM748" s="238"/>
      <c r="BN748" s="222"/>
      <c r="BO748" s="222"/>
      <c r="BP748" s="243"/>
      <c r="BQ748" s="244"/>
      <c r="BR748" s="238"/>
      <c r="BS748" s="68"/>
      <c r="BT748" s="69"/>
      <c r="BU748" s="69"/>
      <c r="BV748" s="69"/>
      <c r="BW748" s="75"/>
      <c r="BX748" s="81"/>
      <c r="BY748" s="66">
        <v>45841</v>
      </c>
      <c r="BZ748" s="944" t="s">
        <v>3616</v>
      </c>
      <c r="CA748" s="42"/>
      <c r="CB748" s="62"/>
      <c r="CC748" s="62"/>
      <c r="CD748" s="62">
        <f t="shared" si="441"/>
        <v>-45833</v>
      </c>
      <c r="CE748" s="62">
        <f t="shared" si="442"/>
        <v>-1166.1952222222221</v>
      </c>
      <c r="CF748" s="145" t="str">
        <f t="shared" si="443"/>
        <v>0</v>
      </c>
      <c r="CG748" s="145"/>
      <c r="CH748" s="443">
        <f t="shared" si="490"/>
        <v>0.91599999999999993</v>
      </c>
      <c r="CI748" s="996">
        <f t="shared" si="444"/>
        <v>0.91599999999999993</v>
      </c>
      <c r="CJ748" s="261">
        <f t="shared" si="491"/>
        <v>0</v>
      </c>
      <c r="CK748" s="458">
        <f t="shared" si="495"/>
        <v>23</v>
      </c>
      <c r="CL748" t="str">
        <f t="shared" si="492"/>
        <v>REV</v>
      </c>
      <c r="CM748" t="str">
        <f t="shared" si="493"/>
        <v>0-3 MONTHS</v>
      </c>
      <c r="CN748" s="635"/>
      <c r="CO748" s="631"/>
      <c r="CP748" s="629"/>
      <c r="CQ748" s="635"/>
      <c r="CR748" s="697"/>
      <c r="CS748" s="633"/>
      <c r="CT748" s="635"/>
      <c r="CU748" s="631"/>
      <c r="CV748" s="638"/>
      <c r="CW748" s="853"/>
      <c r="CX748" s="856"/>
      <c r="CY748" s="856"/>
    </row>
    <row r="749" spans="1:103" s="359" customFormat="1" ht="15" customHeight="1" x14ac:dyDescent="0.25">
      <c r="A749" s="242">
        <v>45852</v>
      </c>
      <c r="B749" s="222">
        <v>45841</v>
      </c>
      <c r="C749" s="852"/>
      <c r="D749" s="66" t="s">
        <v>320</v>
      </c>
      <c r="E749" s="404" t="s">
        <v>3617</v>
      </c>
      <c r="F749" s="95" t="s">
        <v>959</v>
      </c>
      <c r="G749" s="95" t="s">
        <v>960</v>
      </c>
      <c r="H749" s="95" t="s">
        <v>378</v>
      </c>
      <c r="I749" s="95" t="s">
        <v>239</v>
      </c>
      <c r="J749" s="854"/>
      <c r="K749" s="855"/>
      <c r="L749" s="101" t="s">
        <v>242</v>
      </c>
      <c r="M749" s="101" t="s">
        <v>331</v>
      </c>
      <c r="N749" s="442" t="s">
        <v>467</v>
      </c>
      <c r="O749" s="165">
        <v>172.15</v>
      </c>
      <c r="P749" s="165">
        <v>818.06</v>
      </c>
      <c r="Q749" s="157">
        <v>24</v>
      </c>
      <c r="R749" s="109" t="s">
        <v>244</v>
      </c>
      <c r="S749" s="110">
        <v>1069143.1499999999</v>
      </c>
      <c r="T749" s="1132">
        <v>147916.01</v>
      </c>
      <c r="U749" s="857"/>
      <c r="V749" s="158">
        <f t="shared" si="494"/>
        <v>0</v>
      </c>
      <c r="W749" s="159">
        <v>45833</v>
      </c>
      <c r="X749" s="159">
        <v>45840.552777777775</v>
      </c>
      <c r="Y749" s="160">
        <v>45841</v>
      </c>
      <c r="Z749" s="470"/>
      <c r="AA749" s="942"/>
      <c r="AB749" s="942"/>
      <c r="AC749" s="161">
        <f t="shared" si="472"/>
        <v>-45833</v>
      </c>
      <c r="AD749" s="161">
        <f t="shared" si="473"/>
        <v>-45840.552777777775</v>
      </c>
      <c r="AE749" s="446">
        <f t="shared" si="474"/>
        <v>0</v>
      </c>
      <c r="AF749" s="160">
        <f t="shared" si="475"/>
        <v>45857.83505154639</v>
      </c>
      <c r="AG749" s="160">
        <f t="shared" si="476"/>
        <v>45868.257731958765</v>
      </c>
      <c r="AH749" s="159">
        <f t="shared" si="477"/>
        <v>45883</v>
      </c>
      <c r="AI749" s="162">
        <f t="shared" si="478"/>
        <v>-1234.9447222222223</v>
      </c>
      <c r="AJ749" s="224">
        <f t="shared" si="479"/>
        <v>0</v>
      </c>
      <c r="AK749" s="225">
        <f t="shared" si="480"/>
        <v>40</v>
      </c>
      <c r="AL749" s="170">
        <f t="shared" si="481"/>
        <v>36</v>
      </c>
      <c r="AM749" s="170">
        <f t="shared" si="482"/>
        <v>27.835051546391753</v>
      </c>
      <c r="AN749" s="170">
        <f t="shared" si="483"/>
        <v>35.257731958762882</v>
      </c>
      <c r="AO749" s="226">
        <f t="shared" si="484"/>
        <v>24.835051546391753</v>
      </c>
      <c r="AP749" s="227">
        <v>60</v>
      </c>
      <c r="AQ749" s="228">
        <f t="shared" si="485"/>
        <v>57</v>
      </c>
      <c r="AR749" s="228">
        <f t="shared" si="486"/>
        <v>52</v>
      </c>
      <c r="AS749" s="229">
        <f t="shared" si="487"/>
        <v>60</v>
      </c>
      <c r="AT749" s="982">
        <f t="shared" ca="1" si="440"/>
        <v>45895</v>
      </c>
      <c r="AU749" s="50"/>
      <c r="AV749" s="51"/>
      <c r="AW749" s="49"/>
      <c r="AX749" s="49"/>
      <c r="AY749" s="49"/>
      <c r="AZ749" s="300"/>
      <c r="BA749" s="52"/>
      <c r="BB749" s="304"/>
      <c r="BC749" s="231"/>
      <c r="BD749" s="232"/>
      <c r="BE749" s="222">
        <f t="shared" si="488"/>
        <v>15</v>
      </c>
      <c r="BF749" s="233">
        <f t="shared" si="489"/>
        <v>0</v>
      </c>
      <c r="BG749" s="234"/>
      <c r="BH749" s="235"/>
      <c r="BI749" s="234"/>
      <c r="BJ749" s="236"/>
      <c r="BK749" s="222"/>
      <c r="BL749" s="222"/>
      <c r="BM749" s="238"/>
      <c r="BN749" s="222"/>
      <c r="BO749" s="222"/>
      <c r="BP749" s="243"/>
      <c r="BQ749" s="244"/>
      <c r="BR749" s="238"/>
      <c r="BS749" s="68"/>
      <c r="BT749" s="69"/>
      <c r="BU749" s="69"/>
      <c r="BV749" s="69"/>
      <c r="BW749" s="75"/>
      <c r="BX749" s="81"/>
      <c r="BY749" s="66">
        <v>45841</v>
      </c>
      <c r="BZ749" s="944" t="s">
        <v>3618</v>
      </c>
      <c r="CA749" s="42"/>
      <c r="CB749" s="62"/>
      <c r="CC749" s="62"/>
      <c r="CD749" s="62">
        <f t="shared" si="441"/>
        <v>-45833</v>
      </c>
      <c r="CE749" s="62">
        <f t="shared" si="442"/>
        <v>-1234.9447222222223</v>
      </c>
      <c r="CF749" s="145" t="str">
        <f t="shared" si="443"/>
        <v>0</v>
      </c>
      <c r="CG749" s="145"/>
      <c r="CH749" s="443">
        <f t="shared" si="490"/>
        <v>0.97</v>
      </c>
      <c r="CI749" s="996">
        <f t="shared" si="444"/>
        <v>0.97</v>
      </c>
      <c r="CJ749" s="261">
        <f t="shared" si="491"/>
        <v>0</v>
      </c>
      <c r="CK749" s="458">
        <f t="shared" si="495"/>
        <v>23</v>
      </c>
      <c r="CL749" t="str">
        <f t="shared" si="492"/>
        <v>REV</v>
      </c>
      <c r="CM749" t="str">
        <f t="shared" si="493"/>
        <v>0-3 MONTHS</v>
      </c>
      <c r="CN749" s="635"/>
      <c r="CO749" s="631"/>
      <c r="CP749" s="629"/>
      <c r="CQ749" s="635"/>
      <c r="CR749" s="697"/>
      <c r="CS749" s="633"/>
      <c r="CT749" s="635"/>
      <c r="CU749" s="631"/>
      <c r="CV749" s="638"/>
      <c r="CW749" s="853"/>
      <c r="CX749" s="856"/>
      <c r="CY749" s="856"/>
    </row>
    <row r="750" spans="1:103" s="359" customFormat="1" ht="15" customHeight="1" x14ac:dyDescent="0.25">
      <c r="A750" s="242">
        <v>45839</v>
      </c>
      <c r="B750" s="222">
        <v>45839</v>
      </c>
      <c r="C750" s="852"/>
      <c r="D750" s="66" t="s">
        <v>284</v>
      </c>
      <c r="E750" s="404" t="s">
        <v>3619</v>
      </c>
      <c r="F750" s="95" t="s">
        <v>1134</v>
      </c>
      <c r="G750" s="95" t="s">
        <v>3085</v>
      </c>
      <c r="H750" s="95" t="s">
        <v>378</v>
      </c>
      <c r="I750" s="95" t="s">
        <v>239</v>
      </c>
      <c r="J750" s="854"/>
      <c r="K750" s="855"/>
      <c r="L750" s="101" t="s">
        <v>288</v>
      </c>
      <c r="M750" s="101" t="s">
        <v>243</v>
      </c>
      <c r="N750" s="442" t="s">
        <v>381</v>
      </c>
      <c r="O750" s="165">
        <v>3.4</v>
      </c>
      <c r="P750" s="165">
        <v>3.4</v>
      </c>
      <c r="Q750" s="157">
        <v>19</v>
      </c>
      <c r="R750" s="109" t="s">
        <v>244</v>
      </c>
      <c r="S750" s="110">
        <v>20541.45</v>
      </c>
      <c r="T750" s="93"/>
      <c r="U750" s="857"/>
      <c r="V750" s="158" t="e">
        <f t="shared" si="494"/>
        <v>#DIV/0!</v>
      </c>
      <c r="W750" s="159">
        <v>45832</v>
      </c>
      <c r="X750" s="159">
        <v>45838.340277777781</v>
      </c>
      <c r="Y750" s="160">
        <v>45839</v>
      </c>
      <c r="Z750" s="470">
        <v>45847</v>
      </c>
      <c r="AA750" s="942">
        <v>45847</v>
      </c>
      <c r="AB750" s="942">
        <v>45890</v>
      </c>
      <c r="AC750" s="161">
        <f t="shared" si="472"/>
        <v>15</v>
      </c>
      <c r="AD750" s="161">
        <f t="shared" si="473"/>
        <v>8.6597222222189885</v>
      </c>
      <c r="AE750" s="446">
        <f t="shared" si="474"/>
        <v>43</v>
      </c>
      <c r="AF750" s="160">
        <f t="shared" si="475"/>
        <v>45850.774193548386</v>
      </c>
      <c r="AG750" s="160">
        <f t="shared" si="476"/>
        <v>45859.580645161288</v>
      </c>
      <c r="AH750" s="159">
        <f t="shared" si="477"/>
        <v>45882</v>
      </c>
      <c r="AI750" s="162">
        <f t="shared" si="478"/>
        <v>0.51666666666666661</v>
      </c>
      <c r="AJ750" s="224">
        <f t="shared" si="479"/>
        <v>0.71666666666666667</v>
      </c>
      <c r="AK750" s="225">
        <f t="shared" si="480"/>
        <v>20</v>
      </c>
      <c r="AL750" s="170">
        <f t="shared" si="481"/>
        <v>36</v>
      </c>
      <c r="AM750" s="170">
        <f t="shared" si="482"/>
        <v>21.774193548387096</v>
      </c>
      <c r="AN750" s="170">
        <f t="shared" si="483"/>
        <v>27.58064516129032</v>
      </c>
      <c r="AO750" s="226">
        <f t="shared" si="484"/>
        <v>18.774193548387096</v>
      </c>
      <c r="AP750" s="227">
        <v>60</v>
      </c>
      <c r="AQ750" s="228">
        <f t="shared" si="485"/>
        <v>57</v>
      </c>
      <c r="AR750" s="228">
        <f t="shared" si="486"/>
        <v>52</v>
      </c>
      <c r="AS750" s="229">
        <f t="shared" si="487"/>
        <v>45907</v>
      </c>
      <c r="AT750" s="982">
        <f t="shared" ca="1" si="440"/>
        <v>48</v>
      </c>
      <c r="AU750" s="50"/>
      <c r="AV750" s="51"/>
      <c r="AW750" s="49"/>
      <c r="AX750" s="49"/>
      <c r="AY750" s="49"/>
      <c r="AZ750" s="300"/>
      <c r="BA750" s="52"/>
      <c r="BB750" s="304"/>
      <c r="BC750" s="231" t="s">
        <v>14</v>
      </c>
      <c r="BD750" s="232"/>
      <c r="BE750" s="222">
        <f t="shared" si="488"/>
        <v>45862</v>
      </c>
      <c r="BF750" s="233">
        <f t="shared" si="489"/>
        <v>14</v>
      </c>
      <c r="BG750" s="234">
        <v>45847</v>
      </c>
      <c r="BH750" s="235">
        <v>45876</v>
      </c>
      <c r="BI750" s="234"/>
      <c r="BJ750" s="236"/>
      <c r="BK750" s="222"/>
      <c r="BL750" s="222"/>
      <c r="BM750" s="238"/>
      <c r="BN750" s="222"/>
      <c r="BO750" s="222"/>
      <c r="BP750" s="243"/>
      <c r="BQ750" s="244"/>
      <c r="BR750" s="238"/>
      <c r="BS750" s="68"/>
      <c r="BT750" s="69"/>
      <c r="BU750" s="69"/>
      <c r="BV750" s="69"/>
      <c r="BW750" s="75"/>
      <c r="BX750" s="81"/>
      <c r="BY750" s="66" t="s">
        <v>308</v>
      </c>
      <c r="BZ750" s="944" t="s">
        <v>3620</v>
      </c>
      <c r="CA750" s="42"/>
      <c r="CB750" s="62"/>
      <c r="CC750" s="62"/>
      <c r="CD750" s="62">
        <f t="shared" si="441"/>
        <v>15</v>
      </c>
      <c r="CE750" s="62">
        <f t="shared" si="442"/>
        <v>0.51666666666666661</v>
      </c>
      <c r="CF750" s="145">
        <f t="shared" si="443"/>
        <v>22</v>
      </c>
      <c r="CG750" s="145"/>
      <c r="CH750" s="443">
        <f t="shared" si="490"/>
        <v>1.2744444444444443</v>
      </c>
      <c r="CI750" s="996">
        <f t="shared" si="444"/>
        <v>1.2744444444444443</v>
      </c>
      <c r="CJ750" s="261">
        <f t="shared" si="491"/>
        <v>0.36666666666666664</v>
      </c>
      <c r="CK750" s="458" t="str">
        <f t="shared" si="495"/>
        <v/>
      </c>
      <c r="CL750" t="str">
        <f t="shared" si="492"/>
        <v>REV</v>
      </c>
      <c r="CM750" t="str">
        <f t="shared" si="493"/>
        <v/>
      </c>
      <c r="CN750" s="635"/>
      <c r="CO750" s="631"/>
      <c r="CP750" s="629"/>
      <c r="CQ750" s="635"/>
      <c r="CR750" s="697"/>
      <c r="CS750" s="633"/>
      <c r="CT750" s="635"/>
      <c r="CU750" s="631"/>
      <c r="CV750" s="638"/>
      <c r="CW750" s="853"/>
      <c r="CX750" s="856"/>
      <c r="CY750" s="856"/>
    </row>
    <row r="751" spans="1:103" s="359" customFormat="1" ht="15" customHeight="1" x14ac:dyDescent="0.25">
      <c r="A751" s="242">
        <v>45856</v>
      </c>
      <c r="B751" s="222">
        <v>45842</v>
      </c>
      <c r="C751" s="852"/>
      <c r="D751" s="66" t="s">
        <v>320</v>
      </c>
      <c r="E751" s="404" t="s">
        <v>3621</v>
      </c>
      <c r="F751" s="95" t="s">
        <v>3622</v>
      </c>
      <c r="G751" s="95" t="s">
        <v>3623</v>
      </c>
      <c r="H751" s="95" t="s">
        <v>378</v>
      </c>
      <c r="I751" s="95" t="s">
        <v>239</v>
      </c>
      <c r="J751" s="854"/>
      <c r="K751" s="855"/>
      <c r="L751" s="101" t="s">
        <v>288</v>
      </c>
      <c r="M751" s="101" t="s">
        <v>272</v>
      </c>
      <c r="N751" s="442" t="s">
        <v>381</v>
      </c>
      <c r="O751" s="165">
        <v>18.91</v>
      </c>
      <c r="P751" s="165">
        <v>18.91</v>
      </c>
      <c r="Q751" s="157">
        <v>12</v>
      </c>
      <c r="R751" s="109" t="s">
        <v>244</v>
      </c>
      <c r="S751" s="110"/>
      <c r="T751" s="93"/>
      <c r="U751" s="857"/>
      <c r="V751" s="158" t="e">
        <f t="shared" si="494"/>
        <v>#DIV/0!</v>
      </c>
      <c r="W751" s="159">
        <v>45833</v>
      </c>
      <c r="X751" s="159">
        <v>45840.550694444442</v>
      </c>
      <c r="Y751" s="160">
        <v>45842</v>
      </c>
      <c r="Z751" s="470"/>
      <c r="AA751" s="942">
        <v>45853</v>
      </c>
      <c r="AB751" s="942"/>
      <c r="AC751" s="161">
        <f t="shared" si="472"/>
        <v>20</v>
      </c>
      <c r="AD751" s="161">
        <f t="shared" si="473"/>
        <v>12.449305555557657</v>
      </c>
      <c r="AE751" s="446">
        <f t="shared" si="474"/>
        <v>-45853</v>
      </c>
      <c r="AF751" s="160">
        <f t="shared" si="475"/>
        <v>45851.774193548386</v>
      </c>
      <c r="AG751" s="160">
        <f t="shared" si="476"/>
        <v>45860.580645161288</v>
      </c>
      <c r="AH751" s="159">
        <f t="shared" si="477"/>
        <v>45883</v>
      </c>
      <c r="AI751" s="162">
        <f t="shared" si="478"/>
        <v>0.68888888888888888</v>
      </c>
      <c r="AJ751" s="224">
        <f t="shared" si="479"/>
        <v>-764.2166666666667</v>
      </c>
      <c r="AK751" s="225">
        <f t="shared" si="480"/>
        <v>20</v>
      </c>
      <c r="AL751" s="170">
        <f t="shared" si="481"/>
        <v>36</v>
      </c>
      <c r="AM751" s="170">
        <f t="shared" si="482"/>
        <v>21.774193548387096</v>
      </c>
      <c r="AN751" s="170">
        <f t="shared" si="483"/>
        <v>27.58064516129032</v>
      </c>
      <c r="AO751" s="226">
        <f t="shared" si="484"/>
        <v>18.774193548387096</v>
      </c>
      <c r="AP751" s="227">
        <v>60</v>
      </c>
      <c r="AQ751" s="228">
        <f t="shared" si="485"/>
        <v>57</v>
      </c>
      <c r="AR751" s="228">
        <f t="shared" si="486"/>
        <v>52</v>
      </c>
      <c r="AS751" s="229">
        <f t="shared" si="487"/>
        <v>45913</v>
      </c>
      <c r="AT751" s="982">
        <f t="shared" ca="1" si="440"/>
        <v>42</v>
      </c>
      <c r="AU751" s="50"/>
      <c r="AV751" s="51"/>
      <c r="AW751" s="49"/>
      <c r="AX751" s="49"/>
      <c r="AY751" s="49"/>
      <c r="AZ751" s="300"/>
      <c r="BA751" s="52"/>
      <c r="BB751" s="304"/>
      <c r="BC751" s="231" t="s">
        <v>13</v>
      </c>
      <c r="BD751" s="232"/>
      <c r="BE751" s="222">
        <f t="shared" si="488"/>
        <v>45868</v>
      </c>
      <c r="BF751" s="233" t="e">
        <f t="shared" si="489"/>
        <v>#VALUE!</v>
      </c>
      <c r="BG751" s="234"/>
      <c r="BH751" s="235"/>
      <c r="BI751" s="234"/>
      <c r="BJ751" s="236"/>
      <c r="BK751" s="222"/>
      <c r="BL751" s="222"/>
      <c r="BM751" s="238"/>
      <c r="BN751" s="222"/>
      <c r="BO751" s="222"/>
      <c r="BP751" s="243"/>
      <c r="BQ751" s="244"/>
      <c r="BR751" s="238"/>
      <c r="BS751" s="68"/>
      <c r="BT751" s="69"/>
      <c r="BU751" s="69"/>
      <c r="BV751" s="69"/>
      <c r="BW751" s="75"/>
      <c r="BX751" s="81"/>
      <c r="BY751" s="66">
        <v>45841</v>
      </c>
      <c r="BZ751" s="944" t="s">
        <v>3624</v>
      </c>
      <c r="CA751" s="42"/>
      <c r="CB751" s="62"/>
      <c r="CC751" s="62"/>
      <c r="CD751" s="62">
        <f t="shared" si="441"/>
        <v>20</v>
      </c>
      <c r="CE751" s="62">
        <f t="shared" si="442"/>
        <v>0.68888888888888888</v>
      </c>
      <c r="CF751" s="145">
        <f t="shared" si="443"/>
        <v>16</v>
      </c>
      <c r="CG751" s="145"/>
      <c r="CH751" s="443">
        <f t="shared" si="490"/>
        <v>1.24</v>
      </c>
      <c r="CI751" s="996">
        <f t="shared" si="444"/>
        <v>1.24</v>
      </c>
      <c r="CJ751" s="261">
        <f t="shared" si="491"/>
        <v>0.26666666666666666</v>
      </c>
      <c r="CK751" s="458" t="str">
        <f t="shared" si="495"/>
        <v/>
      </c>
      <c r="CL751" t="str">
        <f t="shared" si="492"/>
        <v>REV</v>
      </c>
      <c r="CM751" t="str">
        <f t="shared" si="493"/>
        <v/>
      </c>
      <c r="CN751" s="635"/>
      <c r="CO751" s="631"/>
      <c r="CP751" s="629"/>
      <c r="CQ751" s="635"/>
      <c r="CR751" s="697"/>
      <c r="CS751" s="633"/>
      <c r="CT751" s="635"/>
      <c r="CU751" s="631"/>
      <c r="CV751" s="638"/>
      <c r="CW751" s="853"/>
      <c r="CX751" s="856"/>
      <c r="CY751" s="856"/>
    </row>
    <row r="752" spans="1:103" s="359" customFormat="1" ht="15" customHeight="1" x14ac:dyDescent="0.25">
      <c r="A752" s="242">
        <v>45852</v>
      </c>
      <c r="B752" s="222">
        <v>45846</v>
      </c>
      <c r="C752" s="852"/>
      <c r="D752" s="66" t="s">
        <v>320</v>
      </c>
      <c r="E752" s="404" t="s">
        <v>3625</v>
      </c>
      <c r="F752" s="95" t="s">
        <v>3626</v>
      </c>
      <c r="G752" s="95" t="s">
        <v>3627</v>
      </c>
      <c r="H752" s="95" t="s">
        <v>378</v>
      </c>
      <c r="I752" s="95" t="s">
        <v>239</v>
      </c>
      <c r="J752" s="854"/>
      <c r="K752" s="855"/>
      <c r="L752" s="101" t="s">
        <v>288</v>
      </c>
      <c r="M752" s="101" t="s">
        <v>272</v>
      </c>
      <c r="N752" s="442" t="s">
        <v>381</v>
      </c>
      <c r="O752" s="165">
        <v>12.23</v>
      </c>
      <c r="P752" s="165">
        <v>12.23</v>
      </c>
      <c r="Q752" s="157">
        <v>7.5</v>
      </c>
      <c r="R752" s="109" t="s">
        <v>244</v>
      </c>
      <c r="S752" s="110">
        <v>148408.34</v>
      </c>
      <c r="T752" s="93"/>
      <c r="U752" s="857"/>
      <c r="V752" s="158" t="e">
        <f t="shared" si="494"/>
        <v>#DIV/0!</v>
      </c>
      <c r="W752" s="159">
        <v>45834</v>
      </c>
      <c r="X752" s="159">
        <v>45841.625694444447</v>
      </c>
      <c r="Y752" s="160">
        <v>45846</v>
      </c>
      <c r="Z752" s="470"/>
      <c r="AA752" s="942">
        <v>45862</v>
      </c>
      <c r="AB752" s="942"/>
      <c r="AC752" s="161">
        <f t="shared" si="472"/>
        <v>28</v>
      </c>
      <c r="AD752" s="161">
        <f t="shared" si="473"/>
        <v>20.374305555553292</v>
      </c>
      <c r="AE752" s="446">
        <f t="shared" si="474"/>
        <v>-45862</v>
      </c>
      <c r="AF752" s="160">
        <f t="shared" si="475"/>
        <v>45852.774193548386</v>
      </c>
      <c r="AG752" s="160">
        <f t="shared" si="476"/>
        <v>45861.580645161288</v>
      </c>
      <c r="AH752" s="159">
        <f t="shared" si="477"/>
        <v>45884</v>
      </c>
      <c r="AI752" s="162">
        <f t="shared" si="478"/>
        <v>0.96444444444444444</v>
      </c>
      <c r="AJ752" s="224">
        <f t="shared" si="479"/>
        <v>-764.36666666666667</v>
      </c>
      <c r="AK752" s="225">
        <f t="shared" si="480"/>
        <v>20</v>
      </c>
      <c r="AL752" s="170">
        <f t="shared" si="481"/>
        <v>36</v>
      </c>
      <c r="AM752" s="170">
        <f t="shared" si="482"/>
        <v>21.774193548387096</v>
      </c>
      <c r="AN752" s="170">
        <f t="shared" si="483"/>
        <v>27.58064516129032</v>
      </c>
      <c r="AO752" s="226">
        <f t="shared" si="484"/>
        <v>18.774193548387096</v>
      </c>
      <c r="AP752" s="227">
        <v>60</v>
      </c>
      <c r="AQ752" s="228">
        <f t="shared" si="485"/>
        <v>57</v>
      </c>
      <c r="AR752" s="228">
        <f t="shared" si="486"/>
        <v>52</v>
      </c>
      <c r="AS752" s="229">
        <f t="shared" si="487"/>
        <v>45922</v>
      </c>
      <c r="AT752" s="982">
        <f t="shared" ca="1" si="440"/>
        <v>33</v>
      </c>
      <c r="AU752" s="50"/>
      <c r="AV752" s="51"/>
      <c r="AW752" s="49"/>
      <c r="AX752" s="49"/>
      <c r="AY752" s="49"/>
      <c r="AZ752" s="300"/>
      <c r="BA752" s="52"/>
      <c r="BB752" s="304"/>
      <c r="BC752" s="231" t="s">
        <v>13</v>
      </c>
      <c r="BD752" s="232"/>
      <c r="BE752" s="222">
        <f t="shared" si="488"/>
        <v>45877</v>
      </c>
      <c r="BF752" s="233" t="e">
        <f t="shared" si="489"/>
        <v>#VALUE!</v>
      </c>
      <c r="BG752" s="234"/>
      <c r="BH752" s="235"/>
      <c r="BI752" s="234"/>
      <c r="BJ752" s="236"/>
      <c r="BK752" s="222"/>
      <c r="BL752" s="222"/>
      <c r="BM752" s="238"/>
      <c r="BN752" s="222"/>
      <c r="BO752" s="222"/>
      <c r="BP752" s="243"/>
      <c r="BQ752" s="244"/>
      <c r="BR752" s="238"/>
      <c r="BS752" s="68"/>
      <c r="BT752" s="69"/>
      <c r="BU752" s="69"/>
      <c r="BV752" s="69"/>
      <c r="BW752" s="75"/>
      <c r="BX752" s="81"/>
      <c r="BY752" s="66">
        <v>45846</v>
      </c>
      <c r="BZ752" s="944" t="s">
        <v>3628</v>
      </c>
      <c r="CA752" s="42"/>
      <c r="CB752" s="62"/>
      <c r="CC752" s="62"/>
      <c r="CD752" s="62">
        <f t="shared" si="441"/>
        <v>28</v>
      </c>
      <c r="CE752" s="62">
        <f t="shared" si="442"/>
        <v>0.96444444444444444</v>
      </c>
      <c r="CF752" s="145">
        <f t="shared" si="443"/>
        <v>7</v>
      </c>
      <c r="CG752" s="145"/>
      <c r="CH752" s="443">
        <f t="shared" si="490"/>
        <v>1.2055555555555555</v>
      </c>
      <c r="CI752" s="996">
        <f t="shared" si="444"/>
        <v>1.2055555555555555</v>
      </c>
      <c r="CJ752" s="261">
        <f t="shared" si="491"/>
        <v>0.11666666666666667</v>
      </c>
      <c r="CK752" s="458" t="str">
        <f t="shared" si="495"/>
        <v/>
      </c>
      <c r="CL752" t="str">
        <f t="shared" si="492"/>
        <v>REV</v>
      </c>
      <c r="CM752" t="str">
        <f t="shared" si="493"/>
        <v/>
      </c>
      <c r="CN752" s="635"/>
      <c r="CO752" s="631"/>
      <c r="CP752" s="629"/>
      <c r="CQ752" s="635"/>
      <c r="CR752" s="697"/>
      <c r="CS752" s="633"/>
      <c r="CT752" s="635"/>
      <c r="CU752" s="631"/>
      <c r="CV752" s="638"/>
      <c r="CW752" s="853"/>
      <c r="CX752" s="856"/>
      <c r="CY752" s="856"/>
    </row>
    <row r="753" spans="1:103" s="359" customFormat="1" ht="15" customHeight="1" x14ac:dyDescent="0.25">
      <c r="A753" s="242">
        <v>45840</v>
      </c>
      <c r="B753" s="222">
        <v>45839</v>
      </c>
      <c r="C753" s="852"/>
      <c r="D753" s="66" t="s">
        <v>284</v>
      </c>
      <c r="E753" s="404" t="s">
        <v>3629</v>
      </c>
      <c r="F753" s="95" t="s">
        <v>3174</v>
      </c>
      <c r="G753" s="95" t="s">
        <v>3175</v>
      </c>
      <c r="H753" s="95" t="s">
        <v>1513</v>
      </c>
      <c r="I753" s="95" t="s">
        <v>239</v>
      </c>
      <c r="J753" s="854"/>
      <c r="K753" s="855"/>
      <c r="L753" s="101" t="s">
        <v>288</v>
      </c>
      <c r="M753" s="101" t="s">
        <v>272</v>
      </c>
      <c r="N753" s="442" t="s">
        <v>381</v>
      </c>
      <c r="O753" s="165">
        <v>111.02</v>
      </c>
      <c r="P753" s="165">
        <v>114.68</v>
      </c>
      <c r="Q753" s="157">
        <v>0</v>
      </c>
      <c r="R753" s="109" t="s">
        <v>548</v>
      </c>
      <c r="S753" s="110"/>
      <c r="T753" s="93"/>
      <c r="U753" s="857"/>
      <c r="V753" s="158" t="e">
        <f t="shared" si="494"/>
        <v>#DIV/0!</v>
      </c>
      <c r="W753" s="159">
        <v>45834</v>
      </c>
      <c r="X753" s="159">
        <v>45839.286805555559</v>
      </c>
      <c r="Y753" s="160">
        <v>45839</v>
      </c>
      <c r="Z753" s="470"/>
      <c r="AA753" s="942">
        <v>45845</v>
      </c>
      <c r="AB753" s="942"/>
      <c r="AC753" s="161">
        <f t="shared" si="472"/>
        <v>11</v>
      </c>
      <c r="AD753" s="161">
        <f t="shared" si="473"/>
        <v>5.7131944444408873</v>
      </c>
      <c r="AE753" s="446">
        <f t="shared" si="474"/>
        <v>-45845</v>
      </c>
      <c r="AF753" s="160">
        <f t="shared" si="475"/>
        <v>45855.206896551725</v>
      </c>
      <c r="AG753" s="160">
        <f t="shared" si="476"/>
        <v>45864.662068965517</v>
      </c>
      <c r="AH753" s="159">
        <f t="shared" si="477"/>
        <v>45884</v>
      </c>
      <c r="AI753" s="162">
        <f t="shared" si="478"/>
        <v>0.34081196581196582</v>
      </c>
      <c r="AJ753" s="224">
        <f t="shared" si="479"/>
        <v>-764.08333333333337</v>
      </c>
      <c r="AK753" s="225">
        <f t="shared" si="480"/>
        <v>26</v>
      </c>
      <c r="AL753" s="170">
        <f t="shared" si="481"/>
        <v>36</v>
      </c>
      <c r="AM753" s="170">
        <f t="shared" si="482"/>
        <v>24.206896551724139</v>
      </c>
      <c r="AN753" s="170">
        <f t="shared" si="483"/>
        <v>30.662068965517239</v>
      </c>
      <c r="AO753" s="226">
        <f t="shared" si="484"/>
        <v>21.206896551724139</v>
      </c>
      <c r="AP753" s="227">
        <v>60</v>
      </c>
      <c r="AQ753" s="228">
        <f t="shared" si="485"/>
        <v>57</v>
      </c>
      <c r="AR753" s="228">
        <f t="shared" si="486"/>
        <v>52</v>
      </c>
      <c r="AS753" s="229">
        <f t="shared" si="487"/>
        <v>45905</v>
      </c>
      <c r="AT753" s="982">
        <f t="shared" ca="1" si="440"/>
        <v>50</v>
      </c>
      <c r="AU753" s="50"/>
      <c r="AV753" s="51"/>
      <c r="AW753" s="49"/>
      <c r="AX753" s="49"/>
      <c r="AY753" s="49"/>
      <c r="AZ753" s="300"/>
      <c r="BA753" s="52"/>
      <c r="BB753" s="304"/>
      <c r="BC753" s="231" t="s">
        <v>13</v>
      </c>
      <c r="BD753" s="232"/>
      <c r="BE753" s="222">
        <f t="shared" si="488"/>
        <v>45860</v>
      </c>
      <c r="BF753" s="233" t="e">
        <f t="shared" si="489"/>
        <v>#VALUE!</v>
      </c>
      <c r="BG753" s="234"/>
      <c r="BH753" s="235"/>
      <c r="BI753" s="234"/>
      <c r="BJ753" s="236"/>
      <c r="BK753" s="222"/>
      <c r="BL753" s="222"/>
      <c r="BM753" s="238"/>
      <c r="BN753" s="222"/>
      <c r="BO753" s="222"/>
      <c r="BP753" s="243"/>
      <c r="BQ753" s="244"/>
      <c r="BR753" s="238"/>
      <c r="BS753" s="68"/>
      <c r="BT753" s="69"/>
      <c r="BU753" s="69"/>
      <c r="BV753" s="69"/>
      <c r="BW753" s="75"/>
      <c r="BX753" s="81"/>
      <c r="BY753" s="66" t="s">
        <v>308</v>
      </c>
      <c r="BZ753" s="944" t="s">
        <v>3630</v>
      </c>
      <c r="CA753" s="42"/>
      <c r="CB753" s="62"/>
      <c r="CC753" s="62"/>
      <c r="CD753" s="62">
        <f t="shared" si="441"/>
        <v>11</v>
      </c>
      <c r="CE753" s="62">
        <f t="shared" si="442"/>
        <v>0.34081196581196582</v>
      </c>
      <c r="CF753" s="145">
        <f t="shared" si="443"/>
        <v>24</v>
      </c>
      <c r="CG753" s="145"/>
      <c r="CH753" s="443">
        <f t="shared" si="490"/>
        <v>1.0844017094017093</v>
      </c>
      <c r="CI753" s="996">
        <f t="shared" si="444"/>
        <v>1.0844017094017093</v>
      </c>
      <c r="CJ753" s="261">
        <f t="shared" si="491"/>
        <v>0.4</v>
      </c>
      <c r="CK753" s="458" t="str">
        <f t="shared" si="495"/>
        <v/>
      </c>
      <c r="CL753" t="str">
        <f t="shared" si="492"/>
        <v>NON-REV</v>
      </c>
      <c r="CM753" t="str">
        <f t="shared" si="493"/>
        <v/>
      </c>
      <c r="CN753" s="635"/>
      <c r="CO753" s="631"/>
      <c r="CP753" s="629"/>
      <c r="CQ753" s="635"/>
      <c r="CR753" s="697"/>
      <c r="CS753" s="633"/>
      <c r="CT753" s="635"/>
      <c r="CU753" s="631"/>
      <c r="CV753" s="638"/>
      <c r="CW753" s="853"/>
      <c r="CX753" s="856"/>
      <c r="CY753" s="856"/>
    </row>
    <row r="754" spans="1:103" s="1103" customFormat="1" ht="15" customHeight="1" x14ac:dyDescent="0.2">
      <c r="A754" s="242">
        <v>45852</v>
      </c>
      <c r="B754" s="222">
        <v>45839</v>
      </c>
      <c r="C754" s="852"/>
      <c r="D754" s="66" t="s">
        <v>284</v>
      </c>
      <c r="E754" s="404" t="s">
        <v>3631</v>
      </c>
      <c r="F754" s="95" t="s">
        <v>1134</v>
      </c>
      <c r="G754" s="95" t="s">
        <v>3632</v>
      </c>
      <c r="H754" s="95" t="s">
        <v>378</v>
      </c>
      <c r="I754" s="95" t="s">
        <v>239</v>
      </c>
      <c r="J754" s="1134" t="s">
        <v>3633</v>
      </c>
      <c r="K754" s="855"/>
      <c r="L754" s="101" t="s">
        <v>255</v>
      </c>
      <c r="M754" s="101" t="s">
        <v>331</v>
      </c>
      <c r="N754" s="442" t="s">
        <v>403</v>
      </c>
      <c r="O754" s="165">
        <v>12.13</v>
      </c>
      <c r="P754" s="165">
        <v>12.13</v>
      </c>
      <c r="Q754" s="157">
        <v>19</v>
      </c>
      <c r="R754" s="109" t="s">
        <v>244</v>
      </c>
      <c r="S754" s="110"/>
      <c r="T754" s="93">
        <v>10422.709999999999</v>
      </c>
      <c r="U754" s="857"/>
      <c r="V754" s="158">
        <f t="shared" si="494"/>
        <v>0</v>
      </c>
      <c r="W754" s="159">
        <v>45832</v>
      </c>
      <c r="X754" s="159">
        <v>45838.631944444445</v>
      </c>
      <c r="Y754" s="160">
        <v>45839</v>
      </c>
      <c r="Z754" s="470"/>
      <c r="AA754" s="942"/>
      <c r="AB754" s="942"/>
      <c r="AC754" s="161">
        <f t="shared" si="472"/>
        <v>-45832</v>
      </c>
      <c r="AD754" s="161">
        <f t="shared" si="473"/>
        <v>-45838.631944444445</v>
      </c>
      <c r="AE754" s="446">
        <f t="shared" si="474"/>
        <v>0</v>
      </c>
      <c r="AF754" s="160">
        <f t="shared" si="475"/>
        <v>45850.774193548386</v>
      </c>
      <c r="AG754" s="160">
        <f t="shared" si="476"/>
        <v>45859.580645161288</v>
      </c>
      <c r="AH754" s="159">
        <f t="shared" si="477"/>
        <v>45882</v>
      </c>
      <c r="AI754" s="162">
        <f t="shared" si="478"/>
        <v>-1578.6577777777775</v>
      </c>
      <c r="AJ754" s="224">
        <f t="shared" si="479"/>
        <v>0</v>
      </c>
      <c r="AK754" s="225">
        <f t="shared" si="480"/>
        <v>20</v>
      </c>
      <c r="AL754" s="170">
        <f t="shared" si="481"/>
        <v>36</v>
      </c>
      <c r="AM754" s="170">
        <f t="shared" si="482"/>
        <v>21.774193548387096</v>
      </c>
      <c r="AN754" s="170">
        <f t="shared" si="483"/>
        <v>27.58064516129032</v>
      </c>
      <c r="AO754" s="226">
        <f t="shared" si="484"/>
        <v>18.774193548387096</v>
      </c>
      <c r="AP754" s="227">
        <v>60</v>
      </c>
      <c r="AQ754" s="228">
        <f t="shared" si="485"/>
        <v>57</v>
      </c>
      <c r="AR754" s="228">
        <f t="shared" si="486"/>
        <v>52</v>
      </c>
      <c r="AS754" s="229">
        <f t="shared" si="487"/>
        <v>60</v>
      </c>
      <c r="AT754" s="982">
        <f t="shared" ca="1" si="440"/>
        <v>45895</v>
      </c>
      <c r="AU754" s="1077"/>
      <c r="AV754" s="1092"/>
      <c r="AW754" s="1079"/>
      <c r="AX754" s="1079"/>
      <c r="AY754" s="1079"/>
      <c r="AZ754" s="1080"/>
      <c r="BA754" s="1101"/>
      <c r="BB754" s="1091"/>
      <c r="BC754" s="231"/>
      <c r="BD754" s="232"/>
      <c r="BE754" s="222">
        <f t="shared" si="488"/>
        <v>15</v>
      </c>
      <c r="BF754" s="233">
        <f t="shared" si="489"/>
        <v>0</v>
      </c>
      <c r="BG754" s="234"/>
      <c r="BH754" s="235"/>
      <c r="BI754" s="234"/>
      <c r="BJ754" s="236"/>
      <c r="BK754" s="222"/>
      <c r="BL754" s="222"/>
      <c r="BM754" s="238"/>
      <c r="BN754" s="222"/>
      <c r="BO754" s="222"/>
      <c r="BP754" s="243"/>
      <c r="BQ754" s="244"/>
      <c r="BR754" s="238"/>
      <c r="BS754" s="68"/>
      <c r="BT754" s="69"/>
      <c r="BU754" s="69"/>
      <c r="BV754" s="69"/>
      <c r="BW754" s="75"/>
      <c r="BX754" s="81"/>
      <c r="BY754" s="66">
        <v>45839</v>
      </c>
      <c r="BZ754" s="944" t="s">
        <v>3634</v>
      </c>
      <c r="CA754" s="42"/>
      <c r="CB754" s="62"/>
      <c r="CC754" s="62"/>
      <c r="CD754" s="62">
        <f t="shared" si="441"/>
        <v>-45832</v>
      </c>
      <c r="CE754" s="62">
        <f t="shared" si="442"/>
        <v>-1578.6577777777775</v>
      </c>
      <c r="CF754" s="1059" t="str">
        <f t="shared" si="443"/>
        <v>0</v>
      </c>
      <c r="CG754" s="1059"/>
      <c r="CH754" s="1082">
        <f t="shared" si="490"/>
        <v>1.2744444444444443</v>
      </c>
      <c r="CI754" s="1083">
        <f t="shared" si="444"/>
        <v>1.2744444444444443</v>
      </c>
      <c r="CJ754" s="1084">
        <f t="shared" si="491"/>
        <v>0</v>
      </c>
      <c r="CK754" s="1085">
        <f t="shared" si="495"/>
        <v>24</v>
      </c>
      <c r="CL754" s="1057" t="str">
        <f t="shared" si="492"/>
        <v>REV</v>
      </c>
      <c r="CM754" s="1057" t="str">
        <f t="shared" si="493"/>
        <v>0-3 MONTHS</v>
      </c>
      <c r="CN754" s="1086"/>
      <c r="CO754" s="1087"/>
      <c r="CP754" s="629"/>
      <c r="CQ754" s="1086"/>
      <c r="CR754" s="1088"/>
      <c r="CS754" s="1089"/>
      <c r="CT754" s="1086"/>
      <c r="CU754" s="1087"/>
      <c r="CV754" s="1090"/>
      <c r="CW754" s="853"/>
      <c r="CX754" s="856"/>
      <c r="CY754" s="856"/>
    </row>
    <row r="755" spans="1:103" s="1103" customFormat="1" ht="15" customHeight="1" x14ac:dyDescent="0.2">
      <c r="A755" s="242">
        <v>45856</v>
      </c>
      <c r="B755" s="222">
        <v>45846</v>
      </c>
      <c r="C755" s="852"/>
      <c r="D755" s="66" t="s">
        <v>284</v>
      </c>
      <c r="E755" s="404" t="s">
        <v>3635</v>
      </c>
      <c r="F755" s="95" t="s">
        <v>3636</v>
      </c>
      <c r="G755" s="95" t="s">
        <v>3637</v>
      </c>
      <c r="H755" s="95" t="s">
        <v>378</v>
      </c>
      <c r="I755" s="95" t="s">
        <v>239</v>
      </c>
      <c r="J755" s="1134" t="s">
        <v>3638</v>
      </c>
      <c r="K755" s="855"/>
      <c r="L755" s="101" t="s">
        <v>255</v>
      </c>
      <c r="M755" s="101" t="s">
        <v>331</v>
      </c>
      <c r="N755" s="442" t="s">
        <v>403</v>
      </c>
      <c r="O755" s="165">
        <v>60.22</v>
      </c>
      <c r="P755" s="165">
        <v>60.22</v>
      </c>
      <c r="Q755" s="157">
        <v>0</v>
      </c>
      <c r="R755" s="109" t="s">
        <v>319</v>
      </c>
      <c r="S755" s="110">
        <v>67441.89</v>
      </c>
      <c r="T755" s="93">
        <v>51751.199999999997</v>
      </c>
      <c r="U755" s="857"/>
      <c r="V755" s="158">
        <f t="shared" si="494"/>
        <v>0</v>
      </c>
      <c r="W755" s="159">
        <v>45834</v>
      </c>
      <c r="X755" s="159">
        <v>45841.627083333333</v>
      </c>
      <c r="Y755" s="160">
        <v>45846</v>
      </c>
      <c r="Z755" s="470"/>
      <c r="AA755" s="942"/>
      <c r="AB755" s="942"/>
      <c r="AC755" s="161">
        <f t="shared" si="472"/>
        <v>-45834</v>
      </c>
      <c r="AD755" s="161">
        <f t="shared" si="473"/>
        <v>-45841.627083333333</v>
      </c>
      <c r="AE755" s="446">
        <f t="shared" si="474"/>
        <v>0</v>
      </c>
      <c r="AF755" s="160">
        <f t="shared" si="475"/>
        <v>45854.085501858739</v>
      </c>
      <c r="AG755" s="160">
        <f t="shared" si="476"/>
        <v>45863.241635687729</v>
      </c>
      <c r="AH755" s="159">
        <f t="shared" si="477"/>
        <v>45884</v>
      </c>
      <c r="AI755" s="162">
        <f t="shared" si="478"/>
        <v>-1489.0514492753623</v>
      </c>
      <c r="AJ755" s="224">
        <f t="shared" si="479"/>
        <v>0</v>
      </c>
      <c r="AK755" s="225">
        <f t="shared" si="480"/>
        <v>23</v>
      </c>
      <c r="AL755" s="170">
        <f t="shared" si="481"/>
        <v>36</v>
      </c>
      <c r="AM755" s="170">
        <f t="shared" si="482"/>
        <v>23.085501858736059</v>
      </c>
      <c r="AN755" s="170">
        <f t="shared" si="483"/>
        <v>29.241635687732341</v>
      </c>
      <c r="AO755" s="226">
        <f t="shared" si="484"/>
        <v>20.085501858736059</v>
      </c>
      <c r="AP755" s="227">
        <v>60</v>
      </c>
      <c r="AQ755" s="228">
        <f t="shared" si="485"/>
        <v>57</v>
      </c>
      <c r="AR755" s="228">
        <f t="shared" si="486"/>
        <v>52</v>
      </c>
      <c r="AS755" s="229">
        <f t="shared" si="487"/>
        <v>60</v>
      </c>
      <c r="AT755" s="982">
        <f t="shared" ca="1" si="440"/>
        <v>45895</v>
      </c>
      <c r="AU755" s="1077"/>
      <c r="AV755" s="1092"/>
      <c r="AW755" s="1079"/>
      <c r="AX755" s="1079"/>
      <c r="AY755" s="1079"/>
      <c r="AZ755" s="1080"/>
      <c r="BA755" s="1101"/>
      <c r="BB755" s="1091"/>
      <c r="BC755" s="231"/>
      <c r="BD755" s="232"/>
      <c r="BE755" s="222">
        <f t="shared" si="488"/>
        <v>15</v>
      </c>
      <c r="BF755" s="233">
        <f t="shared" si="489"/>
        <v>0</v>
      </c>
      <c r="BG755" s="234"/>
      <c r="BH755" s="235"/>
      <c r="BI755" s="234"/>
      <c r="BJ755" s="236"/>
      <c r="BK755" s="222"/>
      <c r="BL755" s="222"/>
      <c r="BM755" s="238"/>
      <c r="BN755" s="222"/>
      <c r="BO755" s="222"/>
      <c r="BP755" s="243"/>
      <c r="BQ755" s="244"/>
      <c r="BR755" s="238"/>
      <c r="BS755" s="68"/>
      <c r="BT755" s="69"/>
      <c r="BU755" s="69"/>
      <c r="BV755" s="69"/>
      <c r="BW755" s="75"/>
      <c r="BX755" s="81"/>
      <c r="BY755" s="66" t="s">
        <v>308</v>
      </c>
      <c r="BZ755" s="944" t="s">
        <v>3639</v>
      </c>
      <c r="CA755" s="42"/>
      <c r="CB755" s="62"/>
      <c r="CC755" s="62"/>
      <c r="CD755" s="62">
        <f t="shared" si="441"/>
        <v>-45834</v>
      </c>
      <c r="CE755" s="62">
        <f t="shared" si="442"/>
        <v>-1489.0514492753623</v>
      </c>
      <c r="CF755" s="1059" t="str">
        <f t="shared" si="443"/>
        <v>0</v>
      </c>
      <c r="CG755" s="1059"/>
      <c r="CH755" s="1082">
        <f t="shared" si="490"/>
        <v>1.1370772946859904</v>
      </c>
      <c r="CI755" s="1083">
        <f t="shared" si="444"/>
        <v>1.1370772946859904</v>
      </c>
      <c r="CJ755" s="1084">
        <f t="shared" si="491"/>
        <v>0</v>
      </c>
      <c r="CK755" s="1085">
        <f t="shared" si="495"/>
        <v>22</v>
      </c>
      <c r="CL755" s="1057" t="str">
        <f t="shared" si="492"/>
        <v>NON-REV</v>
      </c>
      <c r="CM755" s="1057" t="str">
        <f t="shared" si="493"/>
        <v>0-3 MONTHS</v>
      </c>
      <c r="CN755" s="1086"/>
      <c r="CO755" s="1087"/>
      <c r="CP755" s="629"/>
      <c r="CQ755" s="1086"/>
      <c r="CR755" s="1088"/>
      <c r="CS755" s="1089"/>
      <c r="CT755" s="1086"/>
      <c r="CU755" s="1087"/>
      <c r="CV755" s="1090"/>
      <c r="CW755" s="853"/>
      <c r="CX755" s="856"/>
      <c r="CY755" s="856"/>
    </row>
    <row r="756" spans="1:103" s="1103" customFormat="1" ht="15" customHeight="1" x14ac:dyDescent="0.2">
      <c r="A756" s="242">
        <v>45856</v>
      </c>
      <c r="B756" s="222">
        <v>45846</v>
      </c>
      <c r="C756" s="852"/>
      <c r="D756" s="66" t="s">
        <v>320</v>
      </c>
      <c r="E756" s="404" t="s">
        <v>3640</v>
      </c>
      <c r="F756" s="95" t="s">
        <v>3641</v>
      </c>
      <c r="G756" s="95" t="s">
        <v>3642</v>
      </c>
      <c r="H756" s="95" t="s">
        <v>378</v>
      </c>
      <c r="I756" s="95" t="s">
        <v>239</v>
      </c>
      <c r="J756" s="1134" t="s">
        <v>3638</v>
      </c>
      <c r="K756" s="855"/>
      <c r="L756" s="101" t="s">
        <v>255</v>
      </c>
      <c r="M756" s="101" t="s">
        <v>331</v>
      </c>
      <c r="N756" s="442" t="s">
        <v>403</v>
      </c>
      <c r="O756" s="165">
        <v>89.73</v>
      </c>
      <c r="P756" s="165">
        <v>168.01</v>
      </c>
      <c r="Q756" s="157">
        <v>23</v>
      </c>
      <c r="R756" s="109" t="s">
        <v>244</v>
      </c>
      <c r="S756" s="110">
        <v>372200.79</v>
      </c>
      <c r="T756" s="93">
        <v>76696.67</v>
      </c>
      <c r="U756" s="857"/>
      <c r="V756" s="158">
        <f t="shared" si="494"/>
        <v>0</v>
      </c>
      <c r="W756" s="159">
        <v>45834</v>
      </c>
      <c r="X756" s="159">
        <v>45841.629166666666</v>
      </c>
      <c r="Y756" s="160">
        <v>45846</v>
      </c>
      <c r="Z756" s="470"/>
      <c r="AA756" s="942"/>
      <c r="AB756" s="942"/>
      <c r="AC756" s="161">
        <f t="shared" si="472"/>
        <v>-45834</v>
      </c>
      <c r="AD756" s="161">
        <f t="shared" si="473"/>
        <v>-45841.629166666666</v>
      </c>
      <c r="AE756" s="446">
        <f t="shared" si="474"/>
        <v>0</v>
      </c>
      <c r="AF756" s="160">
        <f t="shared" si="475"/>
        <v>45855.206896551725</v>
      </c>
      <c r="AG756" s="160">
        <f t="shared" si="476"/>
        <v>45864.662068965517</v>
      </c>
      <c r="AH756" s="159">
        <f t="shared" si="477"/>
        <v>45884</v>
      </c>
      <c r="AI756" s="162">
        <f t="shared" si="478"/>
        <v>-1420.0705128205127</v>
      </c>
      <c r="AJ756" s="224">
        <f t="shared" si="479"/>
        <v>0</v>
      </c>
      <c r="AK756" s="225">
        <f t="shared" si="480"/>
        <v>26</v>
      </c>
      <c r="AL756" s="170">
        <f t="shared" si="481"/>
        <v>36</v>
      </c>
      <c r="AM756" s="170">
        <f t="shared" si="482"/>
        <v>24.206896551724139</v>
      </c>
      <c r="AN756" s="170">
        <f t="shared" si="483"/>
        <v>30.662068965517239</v>
      </c>
      <c r="AO756" s="226">
        <f t="shared" si="484"/>
        <v>21.206896551724139</v>
      </c>
      <c r="AP756" s="227">
        <v>60</v>
      </c>
      <c r="AQ756" s="228">
        <f t="shared" si="485"/>
        <v>57</v>
      </c>
      <c r="AR756" s="228">
        <f t="shared" si="486"/>
        <v>52</v>
      </c>
      <c r="AS756" s="229">
        <f t="shared" si="487"/>
        <v>60</v>
      </c>
      <c r="AT756" s="982">
        <f t="shared" ca="1" si="440"/>
        <v>45895</v>
      </c>
      <c r="AU756" s="1077"/>
      <c r="AV756" s="1092"/>
      <c r="AW756" s="1079"/>
      <c r="AX756" s="1079"/>
      <c r="AY756" s="1079"/>
      <c r="AZ756" s="1080"/>
      <c r="BA756" s="1101"/>
      <c r="BB756" s="1091"/>
      <c r="BC756" s="231"/>
      <c r="BD756" s="232"/>
      <c r="BE756" s="222">
        <f t="shared" si="488"/>
        <v>15</v>
      </c>
      <c r="BF756" s="233">
        <f t="shared" si="489"/>
        <v>0</v>
      </c>
      <c r="BG756" s="234"/>
      <c r="BH756" s="235"/>
      <c r="BI756" s="234"/>
      <c r="BJ756" s="236"/>
      <c r="BK756" s="222"/>
      <c r="BL756" s="222"/>
      <c r="BM756" s="238"/>
      <c r="BN756" s="222"/>
      <c r="BO756" s="222"/>
      <c r="BP756" s="243"/>
      <c r="BQ756" s="244"/>
      <c r="BR756" s="238"/>
      <c r="BS756" s="68"/>
      <c r="BT756" s="69"/>
      <c r="BU756" s="69"/>
      <c r="BV756" s="69"/>
      <c r="BW756" s="75"/>
      <c r="BX756" s="81"/>
      <c r="BY756" s="66">
        <v>45846</v>
      </c>
      <c r="BZ756" s="944" t="s">
        <v>3643</v>
      </c>
      <c r="CA756" s="42"/>
      <c r="CB756" s="62"/>
      <c r="CC756" s="62"/>
      <c r="CD756" s="62">
        <f t="shared" si="441"/>
        <v>-45834</v>
      </c>
      <c r="CE756" s="62">
        <f t="shared" si="442"/>
        <v>-1420.0705128205127</v>
      </c>
      <c r="CF756" s="1059" t="str">
        <f t="shared" si="443"/>
        <v>0</v>
      </c>
      <c r="CG756" s="1059"/>
      <c r="CH756" s="1082">
        <f t="shared" si="490"/>
        <v>1.0844017094017093</v>
      </c>
      <c r="CI756" s="1083">
        <f t="shared" si="444"/>
        <v>1.0844017094017093</v>
      </c>
      <c r="CJ756" s="1084">
        <f t="shared" si="491"/>
        <v>0</v>
      </c>
      <c r="CK756" s="1085">
        <f t="shared" si="495"/>
        <v>22</v>
      </c>
      <c r="CL756" s="1057" t="str">
        <f t="shared" si="492"/>
        <v>REV</v>
      </c>
      <c r="CM756" s="1057" t="str">
        <f t="shared" si="493"/>
        <v>0-3 MONTHS</v>
      </c>
      <c r="CN756" s="1086"/>
      <c r="CO756" s="1087"/>
      <c r="CP756" s="629"/>
      <c r="CQ756" s="1086"/>
      <c r="CR756" s="1088"/>
      <c r="CS756" s="1089"/>
      <c r="CT756" s="1086"/>
      <c r="CU756" s="1087"/>
      <c r="CV756" s="1090"/>
      <c r="CW756" s="853"/>
      <c r="CX756" s="856"/>
      <c r="CY756" s="856"/>
    </row>
    <row r="757" spans="1:103" s="359" customFormat="1" ht="15" customHeight="1" x14ac:dyDescent="0.25">
      <c r="A757" s="222" t="s">
        <v>308</v>
      </c>
      <c r="B757" s="222" t="s">
        <v>308</v>
      </c>
      <c r="C757" s="852"/>
      <c r="D757" s="66" t="s">
        <v>234</v>
      </c>
      <c r="E757" s="404" t="s">
        <v>3644</v>
      </c>
      <c r="F757" s="95" t="s">
        <v>926</v>
      </c>
      <c r="G757" s="95" t="s">
        <v>2866</v>
      </c>
      <c r="H757" s="95" t="s">
        <v>269</v>
      </c>
      <c r="I757" s="95" t="s">
        <v>239</v>
      </c>
      <c r="J757" s="1134" t="s">
        <v>3095</v>
      </c>
      <c r="K757" s="855"/>
      <c r="L757" s="101" t="s">
        <v>1957</v>
      </c>
      <c r="M757" s="101" t="s">
        <v>272</v>
      </c>
      <c r="N757" s="442" t="s">
        <v>3375</v>
      </c>
      <c r="O757" s="165">
        <v>27.7</v>
      </c>
      <c r="P757" s="165">
        <v>27.7</v>
      </c>
      <c r="Q757" s="157">
        <v>31</v>
      </c>
      <c r="R757" s="109" t="s">
        <v>244</v>
      </c>
      <c r="S757" s="110">
        <v>254114.66</v>
      </c>
      <c r="T757" s="93"/>
      <c r="U757" s="857"/>
      <c r="V757" s="158" t="e">
        <f t="shared" si="494"/>
        <v>#DIV/0!</v>
      </c>
      <c r="W757" s="159">
        <v>45833</v>
      </c>
      <c r="X757" s="159">
        <v>45838.531944444447</v>
      </c>
      <c r="Y757" s="160" t="s">
        <v>308</v>
      </c>
      <c r="Z757" s="470"/>
      <c r="AA757" s="942">
        <v>45855.535416666666</v>
      </c>
      <c r="AB757" s="942"/>
      <c r="AC757" s="161">
        <f t="shared" si="472"/>
        <v>22.535416666665697</v>
      </c>
      <c r="AD757" s="161">
        <f t="shared" si="473"/>
        <v>17.003472222218988</v>
      </c>
      <c r="AE757" s="446">
        <f t="shared" si="474"/>
        <v>-45855.535416666666</v>
      </c>
      <c r="AF757" s="160">
        <f t="shared" si="475"/>
        <v>45851.774193548386</v>
      </c>
      <c r="AG757" s="160">
        <f t="shared" si="476"/>
        <v>45860.580645161288</v>
      </c>
      <c r="AH757" s="159">
        <f t="shared" si="477"/>
        <v>45883</v>
      </c>
      <c r="AI757" s="162">
        <f t="shared" si="478"/>
        <v>0.7762199074073739</v>
      </c>
      <c r="AJ757" s="224">
        <f t="shared" si="479"/>
        <v>-764.25892361111107</v>
      </c>
      <c r="AK757" s="225">
        <f t="shared" si="480"/>
        <v>20</v>
      </c>
      <c r="AL757" s="170">
        <f t="shared" si="481"/>
        <v>36</v>
      </c>
      <c r="AM757" s="170">
        <f t="shared" si="482"/>
        <v>21.774193548387096</v>
      </c>
      <c r="AN757" s="170">
        <f t="shared" si="483"/>
        <v>27.58064516129032</v>
      </c>
      <c r="AO757" s="226">
        <f t="shared" si="484"/>
        <v>18.774193548387096</v>
      </c>
      <c r="AP757" s="227">
        <v>60</v>
      </c>
      <c r="AQ757" s="228">
        <f t="shared" si="485"/>
        <v>57</v>
      </c>
      <c r="AR757" s="228">
        <f t="shared" si="486"/>
        <v>52</v>
      </c>
      <c r="AS757" s="229">
        <f t="shared" si="487"/>
        <v>45915.535416666666</v>
      </c>
      <c r="AT757" s="982">
        <f t="shared" ca="1" si="440"/>
        <v>39.464583333334303</v>
      </c>
      <c r="AU757" s="50"/>
      <c r="AV757" s="51"/>
      <c r="AW757" s="49"/>
      <c r="AX757" s="49"/>
      <c r="AY757" s="49"/>
      <c r="AZ757" s="300"/>
      <c r="BA757" s="52"/>
      <c r="BB757" s="304"/>
      <c r="BC757" s="231" t="s">
        <v>13</v>
      </c>
      <c r="BD757" s="232"/>
      <c r="BE757" s="222">
        <f t="shared" si="488"/>
        <v>45870.535416666666</v>
      </c>
      <c r="BF757" s="233" t="e">
        <f t="shared" si="489"/>
        <v>#VALUE!</v>
      </c>
      <c r="BG757" s="234"/>
      <c r="BH757" s="235"/>
      <c r="BI757" s="234"/>
      <c r="BJ757" s="236"/>
      <c r="BK757" s="222"/>
      <c r="BL757" s="222"/>
      <c r="BM757" s="238"/>
      <c r="BN757" s="222"/>
      <c r="BO757" s="222"/>
      <c r="BP757" s="243"/>
      <c r="BQ757" s="244"/>
      <c r="BR757" s="238"/>
      <c r="BS757" s="68"/>
      <c r="BT757" s="69"/>
      <c r="BU757" s="69"/>
      <c r="BV757" s="69"/>
      <c r="BW757" s="75"/>
      <c r="BX757" s="81"/>
      <c r="BY757" s="66"/>
      <c r="BZ757" s="944"/>
      <c r="CA757" s="42"/>
      <c r="CB757" s="62"/>
      <c r="CC757" s="62"/>
      <c r="CD757" s="62">
        <f t="shared" si="441"/>
        <v>22.535416666665697</v>
      </c>
      <c r="CE757" s="62">
        <f t="shared" si="442"/>
        <v>0.7762199074073739</v>
      </c>
      <c r="CF757" s="145">
        <f t="shared" si="443"/>
        <v>13.464583333334303</v>
      </c>
      <c r="CG757" s="145"/>
      <c r="CH757" s="443">
        <f t="shared" si="490"/>
        <v>1.24</v>
      </c>
      <c r="CI757" s="996">
        <f t="shared" si="444"/>
        <v>1.24</v>
      </c>
      <c r="CJ757" s="261">
        <f t="shared" si="491"/>
        <v>0.2244097222222384</v>
      </c>
      <c r="CK757" s="458" t="str">
        <f t="shared" si="495"/>
        <v/>
      </c>
      <c r="CL757" t="str">
        <f t="shared" si="492"/>
        <v>REV</v>
      </c>
      <c r="CM757" t="str">
        <f t="shared" si="493"/>
        <v/>
      </c>
      <c r="CN757" s="635"/>
      <c r="CO757" s="631"/>
      <c r="CP757" s="629"/>
      <c r="CQ757" s="635"/>
      <c r="CR757" s="697"/>
      <c r="CS757" s="633"/>
      <c r="CT757" s="635"/>
      <c r="CU757" s="631"/>
      <c r="CV757" s="638"/>
      <c r="CW757" s="853"/>
      <c r="CX757" s="856"/>
      <c r="CY757" s="856"/>
    </row>
    <row r="758" spans="1:103" s="359" customFormat="1" ht="15" customHeight="1" x14ac:dyDescent="0.25">
      <c r="A758" s="222" t="s">
        <v>308</v>
      </c>
      <c r="B758" s="222" t="s">
        <v>308</v>
      </c>
      <c r="C758" s="852"/>
      <c r="D758" s="66" t="s">
        <v>284</v>
      </c>
      <c r="E758" s="404" t="s">
        <v>3645</v>
      </c>
      <c r="F758" s="95" t="s">
        <v>1134</v>
      </c>
      <c r="G758" s="95" t="s">
        <v>3646</v>
      </c>
      <c r="H758" s="95" t="s">
        <v>253</v>
      </c>
      <c r="I758" s="95" t="s">
        <v>254</v>
      </c>
      <c r="J758" s="854"/>
      <c r="K758" s="855"/>
      <c r="L758" s="101" t="s">
        <v>1945</v>
      </c>
      <c r="M758" s="101" t="s">
        <v>256</v>
      </c>
      <c r="N758" s="442" t="s">
        <v>1946</v>
      </c>
      <c r="O758" s="933">
        <v>11.67</v>
      </c>
      <c r="P758" s="933">
        <v>11.67</v>
      </c>
      <c r="Q758" s="157">
        <v>20</v>
      </c>
      <c r="R758" s="109" t="s">
        <v>244</v>
      </c>
      <c r="S758" s="110">
        <v>140189.34</v>
      </c>
      <c r="T758" s="93"/>
      <c r="U758" s="857"/>
      <c r="V758" s="158" t="e">
        <f t="shared" si="494"/>
        <v>#DIV/0!</v>
      </c>
      <c r="W758" s="159">
        <v>45832</v>
      </c>
      <c r="X758" s="159">
        <v>45838.324999999997</v>
      </c>
      <c r="Y758" s="160" t="s">
        <v>308</v>
      </c>
      <c r="Z758" s="470"/>
      <c r="AA758" s="942">
        <v>45840.354166666664</v>
      </c>
      <c r="AB758" s="942">
        <v>45861.532638888886</v>
      </c>
      <c r="AC758" s="161">
        <f t="shared" ref="AC758:AC769" si="496">AA758-W758</f>
        <v>8.3541666666642413</v>
      </c>
      <c r="AD758" s="161">
        <f t="shared" ref="AD758:AD769" si="497">AA758-X758</f>
        <v>2.0291666666671517</v>
      </c>
      <c r="AE758" s="446">
        <f t="shared" ref="AE758:AE769" si="498">AB758-AA758</f>
        <v>21.178472222221899</v>
      </c>
      <c r="AF758" s="160">
        <f t="shared" ref="AF758:AF769" si="499">W758+AO758</f>
        <v>45850.774193548386</v>
      </c>
      <c r="AG758" s="160">
        <f t="shared" ref="AG758:AG769" si="500">W758+AN758</f>
        <v>45859.580645161288</v>
      </c>
      <c r="AH758" s="159">
        <f t="shared" ref="AH758:AH769" si="501">W758+50</f>
        <v>45882</v>
      </c>
      <c r="AI758" s="162">
        <f t="shared" ref="AI758:AI769" si="502" xml:space="preserve"> (0.3)*(AC758/AK758)+(0.7)*(AC758/AL758)</f>
        <v>0.28775462962954607</v>
      </c>
      <c r="AJ758" s="224">
        <f t="shared" ref="AJ758:AJ769" si="503">AE758/AP758</f>
        <v>0.35297453703703163</v>
      </c>
      <c r="AK758" s="225">
        <f t="shared" ref="AK758:AK769" si="504">IF(P758&lt;51,20,(IF(P758&lt;101,23,(IF(P758&lt;201,26,IF(P758&lt;301,28,IF(P758&lt;401,30,(IF(P758&lt;501,32,(IF(P758&lt;1001,40,50)))))))))))</f>
        <v>20</v>
      </c>
      <c r="AL758" s="170">
        <f t="shared" ref="AL758:AL769" si="505">IF(Q758&lt;51,36,(IF(Q758&lt;101,34,(IF(Q758&lt;201,32,IF(Q758&lt;301,30,IF(Q758&lt;401,28,(IF(Q758&lt;501,26,(IF(Q758&lt;1001,23,20)))))))))))</f>
        <v>36</v>
      </c>
      <c r="AM758" s="170">
        <f t="shared" ref="AM758:AM769" si="506">(0.75)/((0.3/AK758)+(0.7/AL758))</f>
        <v>21.774193548387096</v>
      </c>
      <c r="AN758" s="170">
        <f t="shared" ref="AN758:AN769" si="507">(0.95)/((0.3/AK758)+(0.7/AL758))</f>
        <v>27.58064516129032</v>
      </c>
      <c r="AO758" s="226">
        <f t="shared" ref="AO758:AO769" si="508">AM758-3</f>
        <v>18.774193548387096</v>
      </c>
      <c r="AP758" s="227">
        <v>60</v>
      </c>
      <c r="AQ758" s="228">
        <f t="shared" ref="AQ758:AQ769" si="509">0.95*AP758</f>
        <v>57</v>
      </c>
      <c r="AR758" s="228">
        <f t="shared" ref="AR758:AR769" si="510">AQ758-5</f>
        <v>52</v>
      </c>
      <c r="AS758" s="229">
        <f t="shared" ref="AS758:AS769" si="511">AA758+AP758</f>
        <v>45900.354166666664</v>
      </c>
      <c r="AT758" s="982">
        <f t="shared" ref="AT758:AT769" ca="1" si="512">IFERROR(TODAY()-AA758,"")</f>
        <v>54.645833333335759</v>
      </c>
      <c r="AU758" s="50"/>
      <c r="AV758" s="51"/>
      <c r="AW758" s="49"/>
      <c r="AX758" s="49"/>
      <c r="AY758" s="49"/>
      <c r="AZ758" s="300"/>
      <c r="BA758" s="52"/>
      <c r="BB758" s="304"/>
      <c r="BC758" s="231" t="s">
        <v>14</v>
      </c>
      <c r="BD758" s="232"/>
      <c r="BE758" s="222">
        <f t="shared" ref="BE758:BE769" si="513">AA758+15</f>
        <v>45855.354166666664</v>
      </c>
      <c r="BF758" s="233" t="e">
        <f t="shared" ref="BF758:BF769" si="514">IF(ISBLANK(AA758),0,IF(ISBLANK(BH758),(BE758-$L$1),(BH758-BE758)))</f>
        <v>#VALUE!</v>
      </c>
      <c r="BG758" s="234"/>
      <c r="BH758" s="235"/>
      <c r="BI758" s="234"/>
      <c r="BJ758" s="236"/>
      <c r="BK758" s="222"/>
      <c r="BL758" s="222"/>
      <c r="BM758" s="238"/>
      <c r="BN758" s="222"/>
      <c r="BO758" s="222"/>
      <c r="BP758" s="243"/>
      <c r="BQ758" s="244"/>
      <c r="BR758" s="238"/>
      <c r="BS758" s="68"/>
      <c r="BT758" s="69"/>
      <c r="BU758" s="69"/>
      <c r="BV758" s="69"/>
      <c r="BW758" s="75"/>
      <c r="BX758" s="81"/>
      <c r="BY758" s="66"/>
      <c r="BZ758" s="944"/>
      <c r="CA758" s="42"/>
      <c r="CB758" s="62"/>
      <c r="CC758" s="62"/>
      <c r="CD758" s="62">
        <f t="shared" si="441"/>
        <v>8.3541666666642413</v>
      </c>
      <c r="CE758" s="62">
        <f t="shared" ref="CE758:CE789" si="515" xml:space="preserve"> (0.3)*(CD758/AK758)+(0.7)*(CD758/AL758)</f>
        <v>0.28775462962954607</v>
      </c>
      <c r="CF758" s="145">
        <f t="shared" si="443"/>
        <v>28.645833333335759</v>
      </c>
      <c r="CG758" s="145"/>
      <c r="CH758" s="443">
        <f t="shared" ref="CH758:CH789" si="516" xml:space="preserve"> (0.3)*(($CF$1-W758)/AK758)+(0.7)*(($CF$1-W758)/AL758)</f>
        <v>1.2744444444444443</v>
      </c>
      <c r="CI758" s="996">
        <f t="shared" si="444"/>
        <v>1.2744444444444443</v>
      </c>
      <c r="CJ758" s="261">
        <f t="shared" ref="CJ758:CJ789" si="517">CF758/AP758</f>
        <v>0.47743055555559599</v>
      </c>
      <c r="CK758" s="458" t="str">
        <f t="shared" ref="CK758:CK789" si="518">IF(AA758&gt;0,"",$CK$1-W758)</f>
        <v/>
      </c>
      <c r="CL758" t="str">
        <f t="shared" ref="CL758:CL789" si="519">IF(R758="NEW","REV","NON-REV")</f>
        <v>REV</v>
      </c>
      <c r="CM758" t="str">
        <f t="shared" ref="CM758:CM789" si="520">IF(CK758="","",IF(CK758&lt;91,"0-3 MONTHS",(IF(CK758&lt;181,"4-6 MONTHS",(IF(CK758&lt;271,"7-9 MONTHS",IF(CK758&gt;270,"10 MONTHS AND ABOVE",)))))))</f>
        <v/>
      </c>
      <c r="CN758" s="635"/>
      <c r="CO758" s="631"/>
      <c r="CP758" s="629"/>
      <c r="CQ758" s="635"/>
      <c r="CR758" s="697"/>
      <c r="CS758" s="633"/>
      <c r="CT758" s="635"/>
      <c r="CU758" s="631"/>
      <c r="CV758" s="638"/>
      <c r="CW758" s="853"/>
      <c r="CX758" s="856"/>
      <c r="CY758" s="856"/>
    </row>
    <row r="759" spans="1:103" s="359" customFormat="1" ht="15" customHeight="1" x14ac:dyDescent="0.25">
      <c r="A759" s="242">
        <v>45861</v>
      </c>
      <c r="B759" s="222">
        <v>45846</v>
      </c>
      <c r="C759" s="852"/>
      <c r="D759" s="66" t="s">
        <v>284</v>
      </c>
      <c r="E759" s="404" t="s">
        <v>3647</v>
      </c>
      <c r="F759" s="95" t="s">
        <v>296</v>
      </c>
      <c r="G759" s="95" t="s">
        <v>297</v>
      </c>
      <c r="H759" s="95" t="s">
        <v>238</v>
      </c>
      <c r="I759" s="95" t="s">
        <v>239</v>
      </c>
      <c r="J759" s="854"/>
      <c r="K759" s="855"/>
      <c r="L759" s="101" t="s">
        <v>3648</v>
      </c>
      <c r="M759" s="101" t="s">
        <v>331</v>
      </c>
      <c r="N759" s="442" t="s">
        <v>381</v>
      </c>
      <c r="O759" s="165">
        <v>13.27</v>
      </c>
      <c r="P759" s="165">
        <v>128.08000000000001</v>
      </c>
      <c r="Q759" s="157">
        <v>86</v>
      </c>
      <c r="R759" s="109" t="s">
        <v>244</v>
      </c>
      <c r="S759" s="110">
        <v>711679.97</v>
      </c>
      <c r="T759" s="93"/>
      <c r="U759" s="857"/>
      <c r="V759" s="158" t="e">
        <f t="shared" si="494"/>
        <v>#DIV/0!</v>
      </c>
      <c r="W759" s="159">
        <v>45831.654166666667</v>
      </c>
      <c r="X759" s="159">
        <v>45841.631249999999</v>
      </c>
      <c r="Y759" s="160">
        <v>45846</v>
      </c>
      <c r="Z759" s="470"/>
      <c r="AA759" s="942"/>
      <c r="AB759" s="942"/>
      <c r="AC759" s="161">
        <f t="shared" si="496"/>
        <v>-45831.654166666667</v>
      </c>
      <c r="AD759" s="161">
        <f t="shared" si="497"/>
        <v>-45841.631249999999</v>
      </c>
      <c r="AE759" s="446">
        <f t="shared" si="498"/>
        <v>0</v>
      </c>
      <c r="AF759" s="160">
        <f t="shared" si="499"/>
        <v>45851.9992370892</v>
      </c>
      <c r="AG759" s="160">
        <f t="shared" si="500"/>
        <v>45861.224589201876</v>
      </c>
      <c r="AH759" s="159">
        <f t="shared" si="501"/>
        <v>45881.654166666667</v>
      </c>
      <c r="AI759" s="162">
        <f t="shared" si="502"/>
        <v>-1472.4196587481147</v>
      </c>
      <c r="AJ759" s="224">
        <f t="shared" si="503"/>
        <v>0</v>
      </c>
      <c r="AK759" s="225">
        <f t="shared" si="504"/>
        <v>26</v>
      </c>
      <c r="AL759" s="170">
        <f t="shared" si="505"/>
        <v>34</v>
      </c>
      <c r="AM759" s="170">
        <f t="shared" si="506"/>
        <v>23.345070422535212</v>
      </c>
      <c r="AN759" s="170">
        <f t="shared" si="507"/>
        <v>29.570422535211268</v>
      </c>
      <c r="AO759" s="226">
        <f t="shared" si="508"/>
        <v>20.345070422535212</v>
      </c>
      <c r="AP759" s="227">
        <v>60</v>
      </c>
      <c r="AQ759" s="228">
        <f t="shared" si="509"/>
        <v>57</v>
      </c>
      <c r="AR759" s="228">
        <f t="shared" si="510"/>
        <v>52</v>
      </c>
      <c r="AS759" s="229">
        <f t="shared" si="511"/>
        <v>60</v>
      </c>
      <c r="AT759" s="982">
        <f t="shared" ca="1" si="512"/>
        <v>45895</v>
      </c>
      <c r="AU759" s="50"/>
      <c r="AV759" s="51"/>
      <c r="AW759" s="49"/>
      <c r="AX759" s="49"/>
      <c r="AY759" s="49"/>
      <c r="AZ759" s="300"/>
      <c r="BA759" s="52"/>
      <c r="BB759" s="304"/>
      <c r="BC759" s="231"/>
      <c r="BD759" s="232"/>
      <c r="BE759" s="222">
        <f t="shared" si="513"/>
        <v>15</v>
      </c>
      <c r="BF759" s="233">
        <f t="shared" si="514"/>
        <v>0</v>
      </c>
      <c r="BG759" s="234"/>
      <c r="BH759" s="235"/>
      <c r="BI759" s="234"/>
      <c r="BJ759" s="236"/>
      <c r="BK759" s="222"/>
      <c r="BL759" s="222"/>
      <c r="BM759" s="238"/>
      <c r="BN759" s="222"/>
      <c r="BO759" s="222"/>
      <c r="BP759" s="243"/>
      <c r="BQ759" s="244"/>
      <c r="BR759" s="238"/>
      <c r="BS759" s="68"/>
      <c r="BT759" s="69"/>
      <c r="BU759" s="69"/>
      <c r="BV759" s="69"/>
      <c r="BW759" s="75"/>
      <c r="BX759" s="81"/>
      <c r="BY759" s="66">
        <v>45846</v>
      </c>
      <c r="BZ759" s="944" t="s">
        <v>3649</v>
      </c>
      <c r="CA759" s="42"/>
      <c r="CB759" s="62"/>
      <c r="CC759" s="62"/>
      <c r="CD759" s="62">
        <f t="shared" si="441"/>
        <v>-45831.654166666667</v>
      </c>
      <c r="CE759" s="62">
        <f t="shared" si="515"/>
        <v>-1472.4196587481147</v>
      </c>
      <c r="CF759" s="145" t="str">
        <f t="shared" si="443"/>
        <v>0</v>
      </c>
      <c r="CG759" s="145"/>
      <c r="CH759" s="443">
        <f t="shared" si="516"/>
        <v>1.1997982654600146</v>
      </c>
      <c r="CI759" s="996">
        <f t="shared" si="444"/>
        <v>1.1997982654600146</v>
      </c>
      <c r="CJ759" s="261">
        <f t="shared" si="517"/>
        <v>0</v>
      </c>
      <c r="CK759" s="458">
        <f t="shared" si="518"/>
        <v>24.345833333332848</v>
      </c>
      <c r="CL759" t="str">
        <f t="shared" si="519"/>
        <v>REV</v>
      </c>
      <c r="CM759" t="str">
        <f t="shared" si="520"/>
        <v>0-3 MONTHS</v>
      </c>
      <c r="CN759" s="635"/>
      <c r="CO759" s="631"/>
      <c r="CP759" s="629"/>
      <c r="CQ759" s="635"/>
      <c r="CR759" s="697"/>
      <c r="CS759" s="633"/>
      <c r="CT759" s="635"/>
      <c r="CU759" s="631"/>
      <c r="CV759" s="638"/>
      <c r="CW759" s="853"/>
      <c r="CX759" s="856"/>
      <c r="CY759" s="856"/>
    </row>
    <row r="760" spans="1:103" s="359" customFormat="1" ht="15" customHeight="1" x14ac:dyDescent="0.25">
      <c r="A760" s="242">
        <v>45856</v>
      </c>
      <c r="B760" s="222">
        <v>45846</v>
      </c>
      <c r="C760" s="852"/>
      <c r="D760" s="66" t="s">
        <v>320</v>
      </c>
      <c r="E760" s="404" t="s">
        <v>3650</v>
      </c>
      <c r="F760" s="95" t="s">
        <v>559</v>
      </c>
      <c r="G760" s="95" t="s">
        <v>3651</v>
      </c>
      <c r="H760" s="95" t="s">
        <v>253</v>
      </c>
      <c r="I760" s="95" t="s">
        <v>254</v>
      </c>
      <c r="J760" s="854"/>
      <c r="K760" s="855"/>
      <c r="L760" s="101" t="s">
        <v>263</v>
      </c>
      <c r="M760" s="101" t="s">
        <v>331</v>
      </c>
      <c r="N760" s="442" t="s">
        <v>467</v>
      </c>
      <c r="O760" s="165">
        <v>335.49</v>
      </c>
      <c r="P760" s="165">
        <v>726.9</v>
      </c>
      <c r="Q760" s="157">
        <v>0</v>
      </c>
      <c r="R760" s="109" t="s">
        <v>244</v>
      </c>
      <c r="S760" s="110">
        <v>1134646.8600000001</v>
      </c>
      <c r="T760" s="93">
        <v>288258.72999999992</v>
      </c>
      <c r="U760" s="857"/>
      <c r="V760" s="158">
        <f t="shared" si="494"/>
        <v>0</v>
      </c>
      <c r="W760" s="159">
        <v>45835.691666666666</v>
      </c>
      <c r="X760" s="159">
        <v>45842.631944444445</v>
      </c>
      <c r="Y760" s="160">
        <v>45846</v>
      </c>
      <c r="Z760" s="470"/>
      <c r="AA760" s="942"/>
      <c r="AB760" s="942"/>
      <c r="AC760" s="161">
        <f t="shared" si="496"/>
        <v>-45835.691666666666</v>
      </c>
      <c r="AD760" s="161">
        <f t="shared" si="497"/>
        <v>-45842.631944444445</v>
      </c>
      <c r="AE760" s="446">
        <f t="shared" si="498"/>
        <v>0</v>
      </c>
      <c r="AF760" s="160">
        <f t="shared" si="499"/>
        <v>45860.526718213056</v>
      </c>
      <c r="AG760" s="160">
        <f t="shared" si="500"/>
        <v>45870.949398625431</v>
      </c>
      <c r="AH760" s="159">
        <f t="shared" si="501"/>
        <v>45885.691666666666</v>
      </c>
      <c r="AI760" s="162">
        <f t="shared" si="502"/>
        <v>-1235.0172476851851</v>
      </c>
      <c r="AJ760" s="224">
        <f t="shared" si="503"/>
        <v>0</v>
      </c>
      <c r="AK760" s="225">
        <f t="shared" si="504"/>
        <v>40</v>
      </c>
      <c r="AL760" s="170">
        <f t="shared" si="505"/>
        <v>36</v>
      </c>
      <c r="AM760" s="170">
        <f t="shared" si="506"/>
        <v>27.835051546391753</v>
      </c>
      <c r="AN760" s="170">
        <f t="shared" si="507"/>
        <v>35.257731958762882</v>
      </c>
      <c r="AO760" s="226">
        <f t="shared" si="508"/>
        <v>24.835051546391753</v>
      </c>
      <c r="AP760" s="227">
        <v>60</v>
      </c>
      <c r="AQ760" s="228">
        <f t="shared" si="509"/>
        <v>57</v>
      </c>
      <c r="AR760" s="228">
        <f t="shared" si="510"/>
        <v>52</v>
      </c>
      <c r="AS760" s="229">
        <f t="shared" si="511"/>
        <v>60</v>
      </c>
      <c r="AT760" s="982">
        <f t="shared" ca="1" si="512"/>
        <v>45895</v>
      </c>
      <c r="AU760" s="50"/>
      <c r="AV760" s="51"/>
      <c r="AW760" s="49"/>
      <c r="AX760" s="49"/>
      <c r="AY760" s="49"/>
      <c r="AZ760" s="300"/>
      <c r="BA760" s="52"/>
      <c r="BB760" s="304"/>
      <c r="BC760" s="231"/>
      <c r="BD760" s="232"/>
      <c r="BE760" s="222">
        <f t="shared" si="513"/>
        <v>15</v>
      </c>
      <c r="BF760" s="233">
        <f t="shared" si="514"/>
        <v>0</v>
      </c>
      <c r="BG760" s="234"/>
      <c r="BH760" s="235"/>
      <c r="BI760" s="234"/>
      <c r="BJ760" s="236"/>
      <c r="BK760" s="222"/>
      <c r="BL760" s="222"/>
      <c r="BM760" s="238"/>
      <c r="BN760" s="222"/>
      <c r="BO760" s="222"/>
      <c r="BP760" s="243"/>
      <c r="BQ760" s="244"/>
      <c r="BR760" s="238"/>
      <c r="BS760" s="68"/>
      <c r="BT760" s="69"/>
      <c r="BU760" s="69"/>
      <c r="BV760" s="69"/>
      <c r="BW760" s="75"/>
      <c r="BX760" s="81"/>
      <c r="BY760" s="66">
        <v>45846</v>
      </c>
      <c r="BZ760" s="944" t="s">
        <v>3652</v>
      </c>
      <c r="CA760" s="42"/>
      <c r="CB760" s="62"/>
      <c r="CC760" s="62"/>
      <c r="CD760" s="62">
        <f t="shared" si="441"/>
        <v>-45835.691666666666</v>
      </c>
      <c r="CE760" s="62">
        <f t="shared" si="515"/>
        <v>-1235.0172476851851</v>
      </c>
      <c r="CF760" s="145" t="str">
        <f t="shared" si="443"/>
        <v>0</v>
      </c>
      <c r="CG760" s="145"/>
      <c r="CH760" s="443">
        <f t="shared" si="516"/>
        <v>0.89747453703706315</v>
      </c>
      <c r="CI760" s="996">
        <f t="shared" si="444"/>
        <v>0.89747453703706315</v>
      </c>
      <c r="CJ760" s="261">
        <f t="shared" si="517"/>
        <v>0</v>
      </c>
      <c r="CK760" s="458">
        <f t="shared" si="518"/>
        <v>20.308333333334303</v>
      </c>
      <c r="CL760" t="str">
        <f t="shared" si="519"/>
        <v>REV</v>
      </c>
      <c r="CM760" t="str">
        <f t="shared" si="520"/>
        <v>0-3 MONTHS</v>
      </c>
      <c r="CN760" s="635"/>
      <c r="CO760" s="631"/>
      <c r="CP760" s="629"/>
      <c r="CQ760" s="635"/>
      <c r="CR760" s="697"/>
      <c r="CS760" s="633"/>
      <c r="CT760" s="635"/>
      <c r="CU760" s="631"/>
      <c r="CV760" s="638"/>
      <c r="CW760" s="853"/>
      <c r="CX760" s="856"/>
      <c r="CY760" s="856"/>
    </row>
    <row r="761" spans="1:103" s="359" customFormat="1" ht="15" customHeight="1" x14ac:dyDescent="0.25">
      <c r="A761" s="242">
        <v>45856</v>
      </c>
      <c r="B761" s="222">
        <v>45846</v>
      </c>
      <c r="C761" s="852"/>
      <c r="D761" s="66" t="s">
        <v>320</v>
      </c>
      <c r="E761" s="404" t="s">
        <v>3653</v>
      </c>
      <c r="F761" s="95" t="s">
        <v>559</v>
      </c>
      <c r="G761" s="95" t="s">
        <v>3651</v>
      </c>
      <c r="H761" s="95" t="s">
        <v>253</v>
      </c>
      <c r="I761" s="95" t="s">
        <v>254</v>
      </c>
      <c r="J761" s="854"/>
      <c r="K761" s="855"/>
      <c r="L761" s="101" t="s">
        <v>263</v>
      </c>
      <c r="M761" s="101" t="s">
        <v>331</v>
      </c>
      <c r="N761" s="442" t="s">
        <v>467</v>
      </c>
      <c r="O761" s="165">
        <v>481.05</v>
      </c>
      <c r="P761" s="165">
        <v>949.34</v>
      </c>
      <c r="Q761" s="157">
        <v>153</v>
      </c>
      <c r="R761" s="109" t="s">
        <v>244</v>
      </c>
      <c r="S761" s="110">
        <v>1916746.11</v>
      </c>
      <c r="T761" s="93">
        <v>413354.05999999959</v>
      </c>
      <c r="U761" s="857"/>
      <c r="V761" s="158">
        <f t="shared" si="494"/>
        <v>0</v>
      </c>
      <c r="W761" s="159">
        <v>45835.695833333331</v>
      </c>
      <c r="X761" s="159">
        <v>45842.633333333331</v>
      </c>
      <c r="Y761" s="160">
        <v>45846</v>
      </c>
      <c r="Z761" s="470" t="s">
        <v>3654</v>
      </c>
      <c r="AA761" s="942"/>
      <c r="AB761" s="942"/>
      <c r="AC761" s="161">
        <f t="shared" si="496"/>
        <v>-45835.695833333331</v>
      </c>
      <c r="AD761" s="161">
        <f t="shared" si="497"/>
        <v>-45842.633333333331</v>
      </c>
      <c r="AE761" s="446">
        <f t="shared" si="498"/>
        <v>0</v>
      </c>
      <c r="AF761" s="160">
        <f t="shared" si="499"/>
        <v>45858.227748226949</v>
      </c>
      <c r="AG761" s="160">
        <f t="shared" si="500"/>
        <v>45868.03625886525</v>
      </c>
      <c r="AH761" s="159">
        <f t="shared" si="501"/>
        <v>45885.695833333331</v>
      </c>
      <c r="AI761" s="162">
        <f t="shared" si="502"/>
        <v>-1346.4235651041665</v>
      </c>
      <c r="AJ761" s="224">
        <f t="shared" si="503"/>
        <v>0</v>
      </c>
      <c r="AK761" s="225">
        <f t="shared" si="504"/>
        <v>40</v>
      </c>
      <c r="AL761" s="170">
        <f t="shared" si="505"/>
        <v>32</v>
      </c>
      <c r="AM761" s="170">
        <f t="shared" si="506"/>
        <v>25.531914893617024</v>
      </c>
      <c r="AN761" s="170">
        <f t="shared" si="507"/>
        <v>32.340425531914896</v>
      </c>
      <c r="AO761" s="226">
        <f t="shared" si="508"/>
        <v>22.531914893617024</v>
      </c>
      <c r="AP761" s="227">
        <v>60</v>
      </c>
      <c r="AQ761" s="228">
        <f t="shared" si="509"/>
        <v>57</v>
      </c>
      <c r="AR761" s="228">
        <f t="shared" si="510"/>
        <v>52</v>
      </c>
      <c r="AS761" s="229">
        <f t="shared" si="511"/>
        <v>60</v>
      </c>
      <c r="AT761" s="982">
        <f t="shared" ca="1" si="512"/>
        <v>45895</v>
      </c>
      <c r="AU761" s="50"/>
      <c r="AV761" s="51"/>
      <c r="AW761" s="49"/>
      <c r="AX761" s="49"/>
      <c r="AY761" s="49"/>
      <c r="AZ761" s="300"/>
      <c r="BA761" s="52"/>
      <c r="BB761" s="304"/>
      <c r="BC761" s="231"/>
      <c r="BD761" s="232"/>
      <c r="BE761" s="222">
        <f t="shared" si="513"/>
        <v>15</v>
      </c>
      <c r="BF761" s="233">
        <f t="shared" si="514"/>
        <v>0</v>
      </c>
      <c r="BG761" s="234"/>
      <c r="BH761" s="235"/>
      <c r="BI761" s="234"/>
      <c r="BJ761" s="236"/>
      <c r="BK761" s="222"/>
      <c r="BL761" s="222"/>
      <c r="BM761" s="238"/>
      <c r="BN761" s="222"/>
      <c r="BO761" s="222"/>
      <c r="BP761" s="243"/>
      <c r="BQ761" s="244"/>
      <c r="BR761" s="238"/>
      <c r="BS761" s="68"/>
      <c r="BT761" s="69"/>
      <c r="BU761" s="69"/>
      <c r="BV761" s="69"/>
      <c r="BW761" s="75"/>
      <c r="BX761" s="81"/>
      <c r="BY761" s="66">
        <v>45846</v>
      </c>
      <c r="BZ761" s="944" t="s">
        <v>3655</v>
      </c>
      <c r="CA761" s="42"/>
      <c r="CB761" s="62"/>
      <c r="CC761" s="62"/>
      <c r="CD761" s="62">
        <f t="shared" si="441"/>
        <v>-45835.695833333331</v>
      </c>
      <c r="CE761" s="62">
        <f t="shared" si="515"/>
        <v>-1346.4235651041665</v>
      </c>
      <c r="CF761" s="145" t="str">
        <f t="shared" si="443"/>
        <v>0</v>
      </c>
      <c r="CG761" s="145"/>
      <c r="CH761" s="443">
        <f t="shared" si="516"/>
        <v>0.97830989583339023</v>
      </c>
      <c r="CI761" s="996">
        <f t="shared" si="444"/>
        <v>0.97830989583339023</v>
      </c>
      <c r="CJ761" s="261">
        <f t="shared" si="517"/>
        <v>0</v>
      </c>
      <c r="CK761" s="458">
        <f t="shared" si="518"/>
        <v>20.304166666668607</v>
      </c>
      <c r="CL761" t="str">
        <f t="shared" si="519"/>
        <v>REV</v>
      </c>
      <c r="CM761" t="str">
        <f t="shared" si="520"/>
        <v>0-3 MONTHS</v>
      </c>
      <c r="CN761" s="635"/>
      <c r="CO761" s="631"/>
      <c r="CP761" s="629"/>
      <c r="CQ761" s="635"/>
      <c r="CR761" s="697"/>
      <c r="CS761" s="633"/>
      <c r="CT761" s="635"/>
      <c r="CU761" s="631"/>
      <c r="CV761" s="638"/>
      <c r="CW761" s="853"/>
      <c r="CX761" s="856"/>
      <c r="CY761" s="856"/>
    </row>
    <row r="762" spans="1:103" s="359" customFormat="1" ht="15" customHeight="1" x14ac:dyDescent="0.25">
      <c r="A762" s="242">
        <v>45853</v>
      </c>
      <c r="B762" s="222">
        <v>45849</v>
      </c>
      <c r="C762" s="852"/>
      <c r="D762" s="66" t="s">
        <v>320</v>
      </c>
      <c r="E762" s="404" t="s">
        <v>3656</v>
      </c>
      <c r="F762" s="95" t="s">
        <v>3657</v>
      </c>
      <c r="G762" s="95" t="s">
        <v>1675</v>
      </c>
      <c r="H762" s="95" t="s">
        <v>269</v>
      </c>
      <c r="I762" s="95" t="s">
        <v>239</v>
      </c>
      <c r="J762" s="854"/>
      <c r="K762" s="855"/>
      <c r="L762" s="101" t="s">
        <v>242</v>
      </c>
      <c r="M762" s="101" t="s">
        <v>331</v>
      </c>
      <c r="N762" s="442" t="s">
        <v>467</v>
      </c>
      <c r="O762" s="165">
        <v>105.07</v>
      </c>
      <c r="P762" s="165">
        <v>261.64</v>
      </c>
      <c r="Q762" s="157">
        <v>30.8</v>
      </c>
      <c r="R762" s="109" t="s">
        <v>548</v>
      </c>
      <c r="S762" s="110">
        <v>399691.08</v>
      </c>
      <c r="T762" s="1132">
        <v>90279.44</v>
      </c>
      <c r="U762" s="857"/>
      <c r="V762" s="158">
        <f t="shared" si="494"/>
        <v>0</v>
      </c>
      <c r="W762" s="159">
        <v>45838.588194444441</v>
      </c>
      <c r="X762" s="330">
        <v>45846</v>
      </c>
      <c r="Y762" s="160">
        <v>45849</v>
      </c>
      <c r="Z762" s="470"/>
      <c r="AA762" s="942"/>
      <c r="AB762" s="942"/>
      <c r="AC762" s="161">
        <f t="shared" si="496"/>
        <v>-45838.588194444441</v>
      </c>
      <c r="AD762" s="161">
        <f t="shared" si="497"/>
        <v>-45846</v>
      </c>
      <c r="AE762" s="446">
        <f t="shared" si="498"/>
        <v>0</v>
      </c>
      <c r="AF762" s="160">
        <f t="shared" si="499"/>
        <v>45860.456615497074</v>
      </c>
      <c r="AG762" s="160">
        <f t="shared" si="500"/>
        <v>45870.088194444441</v>
      </c>
      <c r="AH762" s="159">
        <f t="shared" si="501"/>
        <v>45888.588194444441</v>
      </c>
      <c r="AI762" s="162">
        <f t="shared" si="502"/>
        <v>-1382.4336122134036</v>
      </c>
      <c r="AJ762" s="224">
        <f t="shared" si="503"/>
        <v>0</v>
      </c>
      <c r="AK762" s="225">
        <f t="shared" si="504"/>
        <v>28</v>
      </c>
      <c r="AL762" s="170">
        <f t="shared" si="505"/>
        <v>36</v>
      </c>
      <c r="AM762" s="170">
        <f t="shared" si="506"/>
        <v>24.868421052631579</v>
      </c>
      <c r="AN762" s="170">
        <f t="shared" si="507"/>
        <v>31.499999999999996</v>
      </c>
      <c r="AO762" s="226">
        <f t="shared" si="508"/>
        <v>21.868421052631579</v>
      </c>
      <c r="AP762" s="227">
        <v>60</v>
      </c>
      <c r="AQ762" s="228">
        <f t="shared" si="509"/>
        <v>57</v>
      </c>
      <c r="AR762" s="228">
        <f t="shared" si="510"/>
        <v>52</v>
      </c>
      <c r="AS762" s="229">
        <f t="shared" si="511"/>
        <v>60</v>
      </c>
      <c r="AT762" s="982">
        <f t="shared" ca="1" si="512"/>
        <v>45895</v>
      </c>
      <c r="AU762" s="50"/>
      <c r="AV762" s="51"/>
      <c r="AW762" s="49"/>
      <c r="AX762" s="49"/>
      <c r="AY762" s="49"/>
      <c r="AZ762" s="300"/>
      <c r="BA762" s="52"/>
      <c r="BB762" s="304"/>
      <c r="BC762" s="231"/>
      <c r="BD762" s="232"/>
      <c r="BE762" s="222">
        <f t="shared" si="513"/>
        <v>15</v>
      </c>
      <c r="BF762" s="233">
        <f t="shared" si="514"/>
        <v>0</v>
      </c>
      <c r="BG762" s="234"/>
      <c r="BH762" s="235"/>
      <c r="BI762" s="234"/>
      <c r="BJ762" s="236"/>
      <c r="BK762" s="222"/>
      <c r="BL762" s="222"/>
      <c r="BM762" s="238"/>
      <c r="BN762" s="222"/>
      <c r="BO762" s="222"/>
      <c r="BP762" s="243"/>
      <c r="BQ762" s="244"/>
      <c r="BR762" s="238"/>
      <c r="BS762" s="68"/>
      <c r="BT762" s="69"/>
      <c r="BU762" s="69"/>
      <c r="BV762" s="69"/>
      <c r="BW762" s="75"/>
      <c r="BX762" s="81"/>
      <c r="BY762" s="66">
        <v>45849</v>
      </c>
      <c r="BZ762" s="944" t="s">
        <v>3658</v>
      </c>
      <c r="CA762" s="42"/>
      <c r="CB762" s="62"/>
      <c r="CC762" s="62"/>
      <c r="CD762" s="62">
        <f t="shared" si="441"/>
        <v>-45838.588194444441</v>
      </c>
      <c r="CE762" s="62">
        <f t="shared" si="515"/>
        <v>-1382.4336122134036</v>
      </c>
      <c r="CF762" s="145" t="str">
        <f t="shared" si="443"/>
        <v>0</v>
      </c>
      <c r="CG762" s="145"/>
      <c r="CH762" s="443">
        <f t="shared" si="516"/>
        <v>0.91718143738987801</v>
      </c>
      <c r="CI762" s="996">
        <f t="shared" si="444"/>
        <v>0.91718143738987801</v>
      </c>
      <c r="CJ762" s="261">
        <f t="shared" si="517"/>
        <v>0</v>
      </c>
      <c r="CK762" s="458">
        <f t="shared" si="518"/>
        <v>17.411805555559113</v>
      </c>
      <c r="CL762" t="str">
        <f t="shared" si="519"/>
        <v>NON-REV</v>
      </c>
      <c r="CM762" t="str">
        <f t="shared" si="520"/>
        <v>0-3 MONTHS</v>
      </c>
      <c r="CN762" s="635"/>
      <c r="CO762" s="631"/>
      <c r="CP762" s="629"/>
      <c r="CQ762" s="635"/>
      <c r="CR762" s="697"/>
      <c r="CS762" s="633"/>
      <c r="CT762" s="635"/>
      <c r="CU762" s="631"/>
      <c r="CV762" s="638"/>
      <c r="CW762" s="853"/>
      <c r="CX762" s="856"/>
      <c r="CY762" s="856"/>
    </row>
    <row r="763" spans="1:103" s="359" customFormat="1" ht="15" customHeight="1" x14ac:dyDescent="0.25">
      <c r="A763" s="242">
        <v>45856</v>
      </c>
      <c r="B763" s="222">
        <v>45846</v>
      </c>
      <c r="C763" s="852"/>
      <c r="D763" s="66" t="s">
        <v>320</v>
      </c>
      <c r="E763" s="404" t="s">
        <v>3659</v>
      </c>
      <c r="F763" s="95" t="s">
        <v>3660</v>
      </c>
      <c r="G763" s="95" t="s">
        <v>3661</v>
      </c>
      <c r="H763" s="95" t="s">
        <v>318</v>
      </c>
      <c r="I763" s="95" t="s">
        <v>239</v>
      </c>
      <c r="J763" s="854"/>
      <c r="K763" s="855"/>
      <c r="L763" s="101" t="s">
        <v>5</v>
      </c>
      <c r="M763" s="101" t="s">
        <v>331</v>
      </c>
      <c r="N763" s="323" t="s">
        <v>403</v>
      </c>
      <c r="O763" s="165">
        <v>31.11</v>
      </c>
      <c r="P763" s="165">
        <v>31.11</v>
      </c>
      <c r="Q763" s="157">
        <v>0</v>
      </c>
      <c r="R763" s="109" t="s">
        <v>327</v>
      </c>
      <c r="S763" s="110">
        <v>52322.76</v>
      </c>
      <c r="T763" s="93">
        <v>26327.79</v>
      </c>
      <c r="U763" s="857"/>
      <c r="V763" s="158">
        <f t="shared" si="494"/>
        <v>0</v>
      </c>
      <c r="W763" s="159">
        <v>45835.667361111111</v>
      </c>
      <c r="X763" s="159">
        <v>45842.595833333333</v>
      </c>
      <c r="Y763" s="160">
        <v>45846</v>
      </c>
      <c r="Z763" s="470"/>
      <c r="AA763" s="942"/>
      <c r="AB763" s="942"/>
      <c r="AC763" s="161">
        <f t="shared" si="496"/>
        <v>-45835.667361111111</v>
      </c>
      <c r="AD763" s="161">
        <f t="shared" si="497"/>
        <v>-45842.595833333333</v>
      </c>
      <c r="AE763" s="446">
        <f t="shared" si="498"/>
        <v>0</v>
      </c>
      <c r="AF763" s="160">
        <f>W763+AO763</f>
        <v>45854.441554659497</v>
      </c>
      <c r="AG763" s="160">
        <f t="shared" si="500"/>
        <v>45863.248006272399</v>
      </c>
      <c r="AH763" s="159">
        <f t="shared" si="501"/>
        <v>45885.667361111111</v>
      </c>
      <c r="AI763" s="162">
        <f t="shared" si="502"/>
        <v>-1578.7840979938271</v>
      </c>
      <c r="AJ763" s="224">
        <f t="shared" si="503"/>
        <v>0</v>
      </c>
      <c r="AK763" s="225">
        <f t="shared" si="504"/>
        <v>20</v>
      </c>
      <c r="AL763" s="170">
        <f t="shared" si="505"/>
        <v>36</v>
      </c>
      <c r="AM763" s="170">
        <f t="shared" si="506"/>
        <v>21.774193548387096</v>
      </c>
      <c r="AN763" s="170">
        <f t="shared" si="507"/>
        <v>27.58064516129032</v>
      </c>
      <c r="AO763" s="226">
        <f t="shared" si="508"/>
        <v>18.774193548387096</v>
      </c>
      <c r="AP763" s="227">
        <v>60</v>
      </c>
      <c r="AQ763" s="228">
        <f t="shared" si="509"/>
        <v>57</v>
      </c>
      <c r="AR763" s="228">
        <f t="shared" si="510"/>
        <v>52</v>
      </c>
      <c r="AS763" s="229">
        <f t="shared" si="511"/>
        <v>60</v>
      </c>
      <c r="AT763" s="982">
        <f t="shared" ca="1" si="512"/>
        <v>45895</v>
      </c>
      <c r="AU763" s="50"/>
      <c r="AV763" s="51"/>
      <c r="AW763" s="49"/>
      <c r="AX763" s="49"/>
      <c r="AY763" s="49"/>
      <c r="AZ763" s="300"/>
      <c r="BA763" s="52"/>
      <c r="BB763" s="304"/>
      <c r="BC763" s="231"/>
      <c r="BD763" s="232"/>
      <c r="BE763" s="222">
        <f t="shared" si="513"/>
        <v>15</v>
      </c>
      <c r="BF763" s="233">
        <f t="shared" si="514"/>
        <v>0</v>
      </c>
      <c r="BG763" s="234"/>
      <c r="BH763" s="235"/>
      <c r="BI763" s="234"/>
      <c r="BJ763" s="236"/>
      <c r="BK763" s="222"/>
      <c r="BL763" s="222"/>
      <c r="BM763" s="238"/>
      <c r="BN763" s="222"/>
      <c r="BO763" s="222"/>
      <c r="BP763" s="243"/>
      <c r="BQ763" s="244"/>
      <c r="BR763" s="238"/>
      <c r="BS763" s="68"/>
      <c r="BT763" s="69"/>
      <c r="BU763" s="69"/>
      <c r="BV763" s="69"/>
      <c r="BW763" s="75"/>
      <c r="BX763" s="81"/>
      <c r="BY763" s="66" t="s">
        <v>308</v>
      </c>
      <c r="BZ763" s="944" t="s">
        <v>3662</v>
      </c>
      <c r="CA763" s="42"/>
      <c r="CB763" s="62"/>
      <c r="CC763" s="62"/>
      <c r="CD763" s="62">
        <f t="shared" si="441"/>
        <v>-45835.667361111111</v>
      </c>
      <c r="CE763" s="62">
        <f t="shared" si="515"/>
        <v>-1578.7840979938271</v>
      </c>
      <c r="CF763" s="145" t="str">
        <f t="shared" si="443"/>
        <v>0</v>
      </c>
      <c r="CG763" s="145"/>
      <c r="CH763" s="443">
        <f t="shared" si="516"/>
        <v>1.1481242283950674</v>
      </c>
      <c r="CI763" s="996">
        <f t="shared" si="444"/>
        <v>1.1481242283950674</v>
      </c>
      <c r="CJ763" s="261">
        <f t="shared" si="517"/>
        <v>0</v>
      </c>
      <c r="CK763" s="458">
        <f t="shared" si="518"/>
        <v>20.332638888889051</v>
      </c>
      <c r="CL763" t="str">
        <f t="shared" si="519"/>
        <v>NON-REV</v>
      </c>
      <c r="CM763" t="str">
        <f t="shared" si="520"/>
        <v>0-3 MONTHS</v>
      </c>
      <c r="CN763" s="635"/>
      <c r="CO763" s="631"/>
      <c r="CP763" s="629"/>
      <c r="CQ763" s="635"/>
      <c r="CR763" s="697"/>
      <c r="CS763" s="633"/>
      <c r="CT763" s="635"/>
      <c r="CU763" s="631"/>
      <c r="CV763" s="638"/>
      <c r="CW763" s="853"/>
      <c r="CX763" s="856"/>
      <c r="CY763" s="856"/>
    </row>
    <row r="764" spans="1:103" s="359" customFormat="1" ht="15" customHeight="1" x14ac:dyDescent="0.25">
      <c r="A764" s="242">
        <v>45856</v>
      </c>
      <c r="B764" s="222">
        <v>45849</v>
      </c>
      <c r="C764" s="852"/>
      <c r="D764" s="66" t="s">
        <v>320</v>
      </c>
      <c r="E764" s="404" t="s">
        <v>3663</v>
      </c>
      <c r="F764" s="95" t="s">
        <v>3664</v>
      </c>
      <c r="G764" s="95" t="s">
        <v>3665</v>
      </c>
      <c r="H764" s="95" t="s">
        <v>378</v>
      </c>
      <c r="I764" s="95" t="s">
        <v>239</v>
      </c>
      <c r="J764" s="854"/>
      <c r="K764" s="855"/>
      <c r="L764" s="101" t="s">
        <v>288</v>
      </c>
      <c r="M764" s="101" t="s">
        <v>272</v>
      </c>
      <c r="N764" s="323" t="s">
        <v>381</v>
      </c>
      <c r="O764" s="165"/>
      <c r="P764" s="165">
        <v>15</v>
      </c>
      <c r="Q764" s="157">
        <v>36</v>
      </c>
      <c r="R764" s="109" t="s">
        <v>548</v>
      </c>
      <c r="S764" s="110">
        <v>149190.66</v>
      </c>
      <c r="T764" s="93"/>
      <c r="U764" s="857"/>
      <c r="V764" s="158" t="e">
        <f t="shared" si="494"/>
        <v>#DIV/0!</v>
      </c>
      <c r="W764" s="159">
        <v>45838.584027777775</v>
      </c>
      <c r="X764" s="330">
        <v>45846</v>
      </c>
      <c r="Y764" s="160">
        <v>45849</v>
      </c>
      <c r="Z764" s="470"/>
      <c r="AA764" s="942">
        <v>45862</v>
      </c>
      <c r="AB764" s="942"/>
      <c r="AC764" s="161">
        <f t="shared" si="496"/>
        <v>23.415972222224809</v>
      </c>
      <c r="AD764" s="161">
        <f t="shared" si="497"/>
        <v>16</v>
      </c>
      <c r="AE764" s="446">
        <f t="shared" si="498"/>
        <v>-45862</v>
      </c>
      <c r="AF764" s="160">
        <f t="shared" si="499"/>
        <v>45857.358221326162</v>
      </c>
      <c r="AG764" s="160">
        <f>W764+AN764</f>
        <v>45866.164672939063</v>
      </c>
      <c r="AH764" s="159">
        <f t="shared" si="501"/>
        <v>45888.584027777775</v>
      </c>
      <c r="AI764" s="162">
        <f t="shared" si="502"/>
        <v>0.80655015432107668</v>
      </c>
      <c r="AJ764" s="224">
        <f t="shared" si="503"/>
        <v>-764.36666666666667</v>
      </c>
      <c r="AK764" s="225">
        <f t="shared" si="504"/>
        <v>20</v>
      </c>
      <c r="AL764" s="170">
        <f t="shared" si="505"/>
        <v>36</v>
      </c>
      <c r="AM764" s="170">
        <f t="shared" si="506"/>
        <v>21.774193548387096</v>
      </c>
      <c r="AN764" s="170">
        <f t="shared" si="507"/>
        <v>27.58064516129032</v>
      </c>
      <c r="AO764" s="226">
        <f t="shared" si="508"/>
        <v>18.774193548387096</v>
      </c>
      <c r="AP764" s="227">
        <v>60</v>
      </c>
      <c r="AQ764" s="228">
        <f t="shared" si="509"/>
        <v>57</v>
      </c>
      <c r="AR764" s="228">
        <f t="shared" si="510"/>
        <v>52</v>
      </c>
      <c r="AS764" s="229">
        <f t="shared" si="511"/>
        <v>45922</v>
      </c>
      <c r="AT764" s="982">
        <f t="shared" ca="1" si="512"/>
        <v>33</v>
      </c>
      <c r="AU764" s="50"/>
      <c r="AV764" s="51"/>
      <c r="AW764" s="49"/>
      <c r="AX764" s="49"/>
      <c r="AY764" s="49"/>
      <c r="AZ764" s="300"/>
      <c r="BA764" s="52"/>
      <c r="BB764" s="304"/>
      <c r="BC764" s="231" t="s">
        <v>13</v>
      </c>
      <c r="BD764" s="232"/>
      <c r="BE764" s="222">
        <f t="shared" si="513"/>
        <v>45877</v>
      </c>
      <c r="BF764" s="233" t="e">
        <f t="shared" si="514"/>
        <v>#VALUE!</v>
      </c>
      <c r="BG764" s="234"/>
      <c r="BH764" s="235"/>
      <c r="BI764" s="234"/>
      <c r="BJ764" s="236"/>
      <c r="BK764" s="222"/>
      <c r="BL764" s="222"/>
      <c r="BM764" s="238"/>
      <c r="BN764" s="222"/>
      <c r="BO764" s="222"/>
      <c r="BP764" s="243"/>
      <c r="BQ764" s="244"/>
      <c r="BR764" s="238"/>
      <c r="BS764" s="68"/>
      <c r="BT764" s="69"/>
      <c r="BU764" s="69"/>
      <c r="BV764" s="69"/>
      <c r="BW764" s="75"/>
      <c r="BX764" s="81"/>
      <c r="BY764" s="66">
        <v>45849</v>
      </c>
      <c r="BZ764" s="944" t="s">
        <v>3666</v>
      </c>
      <c r="CA764" s="42"/>
      <c r="CB764" s="62"/>
      <c r="CC764" s="62"/>
      <c r="CD764" s="62">
        <f t="shared" si="441"/>
        <v>23.415972222224809</v>
      </c>
      <c r="CE764" s="62">
        <f t="shared" si="515"/>
        <v>0.80655015432107668</v>
      </c>
      <c r="CF764" s="145">
        <f t="shared" si="443"/>
        <v>7</v>
      </c>
      <c r="CG764" s="145"/>
      <c r="CH764" s="443">
        <f t="shared" si="516"/>
        <v>1.047661265432188</v>
      </c>
      <c r="CI764" s="996">
        <f t="shared" si="444"/>
        <v>1.047661265432188</v>
      </c>
      <c r="CJ764" s="261">
        <f t="shared" si="517"/>
        <v>0.11666666666666667</v>
      </c>
      <c r="CK764" s="458" t="str">
        <f t="shared" si="518"/>
        <v/>
      </c>
      <c r="CL764" t="str">
        <f t="shared" si="519"/>
        <v>NON-REV</v>
      </c>
      <c r="CM764" t="str">
        <f t="shared" si="520"/>
        <v/>
      </c>
      <c r="CN764" s="635"/>
      <c r="CO764" s="631"/>
      <c r="CP764" s="629"/>
      <c r="CQ764" s="635"/>
      <c r="CR764" s="697"/>
      <c r="CS764" s="633"/>
      <c r="CT764" s="635"/>
      <c r="CU764" s="631"/>
      <c r="CV764" s="638"/>
      <c r="CW764" s="853"/>
      <c r="CX764" s="856"/>
      <c r="CY764" s="856"/>
    </row>
    <row r="765" spans="1:103" s="359" customFormat="1" ht="15" customHeight="1" x14ac:dyDescent="0.25">
      <c r="A765" s="242">
        <v>45861</v>
      </c>
      <c r="B765" s="222">
        <v>45846</v>
      </c>
      <c r="C765" s="852"/>
      <c r="D765" s="66" t="s">
        <v>284</v>
      </c>
      <c r="E765" s="404" t="s">
        <v>3667</v>
      </c>
      <c r="F765" s="95" t="s">
        <v>3668</v>
      </c>
      <c r="G765" s="95" t="s">
        <v>1327</v>
      </c>
      <c r="H765" s="95" t="s">
        <v>378</v>
      </c>
      <c r="I765" s="95" t="s">
        <v>239</v>
      </c>
      <c r="J765" s="163" t="s">
        <v>3669</v>
      </c>
      <c r="K765" s="855"/>
      <c r="L765" s="101" t="s">
        <v>288</v>
      </c>
      <c r="M765" s="101" t="s">
        <v>331</v>
      </c>
      <c r="N765" s="323" t="s">
        <v>381</v>
      </c>
      <c r="O765" s="165">
        <v>157.69999999999999</v>
      </c>
      <c r="P765" s="165">
        <v>235.99</v>
      </c>
      <c r="Q765" s="157">
        <v>120</v>
      </c>
      <c r="R765" s="109" t="s">
        <v>548</v>
      </c>
      <c r="S765" s="110">
        <v>699290.85</v>
      </c>
      <c r="T765" s="93"/>
      <c r="U765" s="857"/>
      <c r="V765" s="158" t="e">
        <f t="shared" si="494"/>
        <v>#DIV/0!</v>
      </c>
      <c r="W765" s="159">
        <v>45839.527777777781</v>
      </c>
      <c r="X765" s="159">
        <v>45845.397916666669</v>
      </c>
      <c r="Y765" s="160">
        <v>45846</v>
      </c>
      <c r="Z765" s="470"/>
      <c r="AA765" s="942"/>
      <c r="AB765" s="942"/>
      <c r="AC765" s="161">
        <f t="shared" si="496"/>
        <v>-45839.527777777781</v>
      </c>
      <c r="AD765" s="161">
        <f t="shared" si="497"/>
        <v>-45845.397916666669</v>
      </c>
      <c r="AE765" s="446">
        <f t="shared" si="498"/>
        <v>0</v>
      </c>
      <c r="AF765" s="160">
        <f t="shared" si="499"/>
        <v>45859.541476407918</v>
      </c>
      <c r="AG765" s="160">
        <f t="shared" si="500"/>
        <v>45868.678462709286</v>
      </c>
      <c r="AH765" s="159">
        <f t="shared" si="501"/>
        <v>45889.527777777781</v>
      </c>
      <c r="AI765" s="162">
        <f t="shared" si="502"/>
        <v>-1493.8774677579365</v>
      </c>
      <c r="AJ765" s="224">
        <f t="shared" si="503"/>
        <v>0</v>
      </c>
      <c r="AK765" s="225">
        <f t="shared" si="504"/>
        <v>28</v>
      </c>
      <c r="AL765" s="170">
        <f t="shared" si="505"/>
        <v>32</v>
      </c>
      <c r="AM765" s="170">
        <f t="shared" si="506"/>
        <v>23.013698630136989</v>
      </c>
      <c r="AN765" s="170">
        <f t="shared" si="507"/>
        <v>29.150684931506852</v>
      </c>
      <c r="AO765" s="226">
        <f t="shared" si="508"/>
        <v>20.013698630136989</v>
      </c>
      <c r="AP765" s="227">
        <v>60</v>
      </c>
      <c r="AQ765" s="228">
        <f t="shared" si="509"/>
        <v>57</v>
      </c>
      <c r="AR765" s="228">
        <f t="shared" si="510"/>
        <v>52</v>
      </c>
      <c r="AS765" s="229">
        <f t="shared" si="511"/>
        <v>60</v>
      </c>
      <c r="AT765" s="982">
        <f t="shared" ca="1" si="512"/>
        <v>45895</v>
      </c>
      <c r="AU765" s="50"/>
      <c r="AV765" s="51"/>
      <c r="AW765" s="49"/>
      <c r="AX765" s="49"/>
      <c r="AY765" s="49"/>
      <c r="AZ765" s="300"/>
      <c r="BA765" s="52"/>
      <c r="BB765" s="304"/>
      <c r="BC765" s="231"/>
      <c r="BD765" s="232"/>
      <c r="BE765" s="222">
        <f t="shared" si="513"/>
        <v>15</v>
      </c>
      <c r="BF765" s="233">
        <f t="shared" si="514"/>
        <v>0</v>
      </c>
      <c r="BG765" s="234"/>
      <c r="BH765" s="235"/>
      <c r="BI765" s="234"/>
      <c r="BJ765" s="236"/>
      <c r="BK765" s="222"/>
      <c r="BL765" s="222"/>
      <c r="BM765" s="238"/>
      <c r="BN765" s="222"/>
      <c r="BO765" s="222"/>
      <c r="BP765" s="243"/>
      <c r="BQ765" s="244"/>
      <c r="BR765" s="238"/>
      <c r="BS765" s="68"/>
      <c r="BT765" s="69"/>
      <c r="BU765" s="69"/>
      <c r="BV765" s="69"/>
      <c r="BW765" s="75"/>
      <c r="BX765" s="81"/>
      <c r="BY765" s="66">
        <v>45846</v>
      </c>
      <c r="BZ765" s="944" t="s">
        <v>3670</v>
      </c>
      <c r="CA765" s="42"/>
      <c r="CB765" s="62"/>
      <c r="CC765" s="62"/>
      <c r="CD765" s="62">
        <f t="shared" si="441"/>
        <v>-45839.527777777781</v>
      </c>
      <c r="CE765" s="62">
        <f t="shared" si="515"/>
        <v>-1493.8774677579365</v>
      </c>
      <c r="CF765" s="145" t="str">
        <f t="shared" si="443"/>
        <v>0</v>
      </c>
      <c r="CG765" s="145"/>
      <c r="CH765" s="443">
        <f t="shared" si="516"/>
        <v>0.96047867063481518</v>
      </c>
      <c r="CI765" s="996">
        <f t="shared" si="444"/>
        <v>0.96047867063481518</v>
      </c>
      <c r="CJ765" s="261">
        <f t="shared" si="517"/>
        <v>0</v>
      </c>
      <c r="CK765" s="458">
        <f t="shared" si="518"/>
        <v>16.472222222218988</v>
      </c>
      <c r="CL765" t="str">
        <f t="shared" si="519"/>
        <v>NON-REV</v>
      </c>
      <c r="CM765" t="str">
        <f t="shared" si="520"/>
        <v>0-3 MONTHS</v>
      </c>
      <c r="CN765" s="635"/>
      <c r="CO765" s="631"/>
      <c r="CP765" s="629"/>
      <c r="CQ765" s="635"/>
      <c r="CR765" s="697"/>
      <c r="CS765" s="633"/>
      <c r="CT765" s="635"/>
      <c r="CU765" s="631"/>
      <c r="CV765" s="638"/>
      <c r="CW765" s="853"/>
      <c r="CX765" s="856"/>
      <c r="CY765" s="856"/>
    </row>
    <row r="766" spans="1:103" s="359" customFormat="1" ht="15" customHeight="1" x14ac:dyDescent="0.25">
      <c r="A766" s="222" t="s">
        <v>308</v>
      </c>
      <c r="B766" s="222" t="s">
        <v>308</v>
      </c>
      <c r="C766" s="852"/>
      <c r="D766" s="66" t="s">
        <v>284</v>
      </c>
      <c r="E766" s="404" t="s">
        <v>3671</v>
      </c>
      <c r="F766" s="95" t="s">
        <v>3672</v>
      </c>
      <c r="G766" s="95" t="s">
        <v>3673</v>
      </c>
      <c r="H766" s="95" t="s">
        <v>238</v>
      </c>
      <c r="I766" s="95" t="s">
        <v>239</v>
      </c>
      <c r="J766" s="854"/>
      <c r="K766" s="855"/>
      <c r="L766" s="101" t="s">
        <v>1957</v>
      </c>
      <c r="M766" s="101" t="s">
        <v>272</v>
      </c>
      <c r="N766" s="442" t="s">
        <v>580</v>
      </c>
      <c r="O766" s="165">
        <v>58.26</v>
      </c>
      <c r="P766" s="165">
        <v>58.26</v>
      </c>
      <c r="Q766" s="157">
        <v>162</v>
      </c>
      <c r="R766" s="109" t="s">
        <v>244</v>
      </c>
      <c r="S766" s="110">
        <v>689380.51</v>
      </c>
      <c r="T766" s="93"/>
      <c r="U766" s="857"/>
      <c r="V766" s="158" t="e">
        <f t="shared" si="494"/>
        <v>#DIV/0!</v>
      </c>
      <c r="W766" s="159">
        <v>45835.660416666666</v>
      </c>
      <c r="X766" s="159">
        <v>45840.53402777778</v>
      </c>
      <c r="Y766" s="160" t="s">
        <v>308</v>
      </c>
      <c r="Z766" s="470"/>
      <c r="AA766" s="942">
        <v>45849</v>
      </c>
      <c r="AB766" s="942"/>
      <c r="AC766" s="161">
        <f t="shared" si="496"/>
        <v>13.339583333334303</v>
      </c>
      <c r="AD766" s="161">
        <f t="shared" si="497"/>
        <v>8.4659722222204437</v>
      </c>
      <c r="AE766" s="446">
        <f t="shared" si="498"/>
        <v>-45849</v>
      </c>
      <c r="AF766" s="160">
        <f t="shared" si="499"/>
        <v>45854.139015888453</v>
      </c>
      <c r="AG766" s="160">
        <f t="shared" si="500"/>
        <v>45862.866642347602</v>
      </c>
      <c r="AH766" s="159">
        <f t="shared" si="501"/>
        <v>45885.660416666666</v>
      </c>
      <c r="AI766" s="162">
        <f t="shared" si="502"/>
        <v>0.4657979506340918</v>
      </c>
      <c r="AJ766" s="224">
        <f t="shared" si="503"/>
        <v>-764.15</v>
      </c>
      <c r="AK766" s="225">
        <f t="shared" si="504"/>
        <v>23</v>
      </c>
      <c r="AL766" s="170">
        <f t="shared" si="505"/>
        <v>32</v>
      </c>
      <c r="AM766" s="170">
        <f t="shared" si="506"/>
        <v>21.478599221789885</v>
      </c>
      <c r="AN766" s="170">
        <f t="shared" si="507"/>
        <v>27.206225680933851</v>
      </c>
      <c r="AO766" s="226">
        <f t="shared" si="508"/>
        <v>18.478599221789885</v>
      </c>
      <c r="AP766" s="227">
        <v>60</v>
      </c>
      <c r="AQ766" s="228">
        <f t="shared" si="509"/>
        <v>57</v>
      </c>
      <c r="AR766" s="228">
        <f t="shared" si="510"/>
        <v>52</v>
      </c>
      <c r="AS766" s="229">
        <f t="shared" si="511"/>
        <v>45909</v>
      </c>
      <c r="AT766" s="982">
        <f t="shared" ca="1" si="512"/>
        <v>46</v>
      </c>
      <c r="AU766" s="50"/>
      <c r="AV766" s="51"/>
      <c r="AW766" s="49"/>
      <c r="AX766" s="49"/>
      <c r="AY766" s="49"/>
      <c r="AZ766" s="300"/>
      <c r="BA766" s="52"/>
      <c r="BB766" s="304"/>
      <c r="BC766" s="231" t="s">
        <v>13</v>
      </c>
      <c r="BD766" s="232"/>
      <c r="BE766" s="222">
        <f t="shared" si="513"/>
        <v>45864</v>
      </c>
      <c r="BF766" s="233" t="e">
        <f t="shared" si="514"/>
        <v>#VALUE!</v>
      </c>
      <c r="BG766" s="234"/>
      <c r="BH766" s="235"/>
      <c r="BI766" s="234"/>
      <c r="BJ766" s="236"/>
      <c r="BK766" s="222"/>
      <c r="BL766" s="222"/>
      <c r="BM766" s="238"/>
      <c r="BN766" s="222"/>
      <c r="BO766" s="222"/>
      <c r="BP766" s="243"/>
      <c r="BQ766" s="244"/>
      <c r="BR766" s="238"/>
      <c r="BS766" s="68"/>
      <c r="BT766" s="69"/>
      <c r="BU766" s="69"/>
      <c r="BV766" s="69"/>
      <c r="BW766" s="75"/>
      <c r="BX766" s="81"/>
      <c r="BY766" s="66"/>
      <c r="BZ766" s="944"/>
      <c r="CA766" s="42"/>
      <c r="CB766" s="62"/>
      <c r="CC766" s="62"/>
      <c r="CD766" s="62">
        <f t="shared" si="441"/>
        <v>13.339583333334303</v>
      </c>
      <c r="CE766" s="62">
        <f t="shared" si="515"/>
        <v>0.4657979506340918</v>
      </c>
      <c r="CF766" s="145">
        <f t="shared" si="443"/>
        <v>20</v>
      </c>
      <c r="CG766" s="145"/>
      <c r="CH766" s="443">
        <f t="shared" si="516"/>
        <v>1.164167515851483</v>
      </c>
      <c r="CI766" s="996">
        <f t="shared" si="444"/>
        <v>1.164167515851483</v>
      </c>
      <c r="CJ766" s="261">
        <f t="shared" si="517"/>
        <v>0.33333333333333331</v>
      </c>
      <c r="CK766" s="458" t="str">
        <f t="shared" si="518"/>
        <v/>
      </c>
      <c r="CL766" t="str">
        <f t="shared" si="519"/>
        <v>REV</v>
      </c>
      <c r="CM766" t="str">
        <f t="shared" si="520"/>
        <v/>
      </c>
      <c r="CN766" s="635"/>
      <c r="CO766" s="631"/>
      <c r="CP766" s="629"/>
      <c r="CQ766" s="635"/>
      <c r="CR766" s="697"/>
      <c r="CS766" s="633"/>
      <c r="CT766" s="635"/>
      <c r="CU766" s="631"/>
      <c r="CV766" s="638"/>
      <c r="CW766" s="853"/>
      <c r="CX766" s="856"/>
      <c r="CY766" s="856"/>
    </row>
    <row r="767" spans="1:103" s="359" customFormat="1" ht="15" customHeight="1" x14ac:dyDescent="0.25">
      <c r="A767" s="222" t="s">
        <v>308</v>
      </c>
      <c r="B767" s="222" t="s">
        <v>308</v>
      </c>
      <c r="C767" s="852"/>
      <c r="D767" s="66" t="s">
        <v>320</v>
      </c>
      <c r="E767" s="404" t="s">
        <v>3674</v>
      </c>
      <c r="F767" s="95" t="s">
        <v>3534</v>
      </c>
      <c r="G767" s="95" t="s">
        <v>3535</v>
      </c>
      <c r="H767" s="95" t="s">
        <v>238</v>
      </c>
      <c r="I767" s="95" t="s">
        <v>239</v>
      </c>
      <c r="J767" s="854"/>
      <c r="K767" s="855"/>
      <c r="L767" s="101" t="s">
        <v>1957</v>
      </c>
      <c r="M767" s="101" t="s">
        <v>272</v>
      </c>
      <c r="N767" s="442" t="s">
        <v>580</v>
      </c>
      <c r="O767" s="165">
        <v>30.51</v>
      </c>
      <c r="P767" s="165">
        <v>30.51</v>
      </c>
      <c r="Q767" s="157">
        <v>0</v>
      </c>
      <c r="R767" s="109" t="s">
        <v>319</v>
      </c>
      <c r="S767" s="110">
        <v>33158.879999999997</v>
      </c>
      <c r="T767" s="93"/>
      <c r="U767" s="857"/>
      <c r="V767" s="158" t="e">
        <f t="shared" si="494"/>
        <v>#DIV/0!</v>
      </c>
      <c r="W767" s="159">
        <v>45838.677777777775</v>
      </c>
      <c r="X767" s="159">
        <v>45840.525000000001</v>
      </c>
      <c r="Y767" s="160" t="s">
        <v>308</v>
      </c>
      <c r="Z767" s="470"/>
      <c r="AA767" s="942">
        <v>45846</v>
      </c>
      <c r="AB767" s="942"/>
      <c r="AC767" s="161">
        <f t="shared" si="496"/>
        <v>7.3222222222248092</v>
      </c>
      <c r="AD767" s="161">
        <f t="shared" si="497"/>
        <v>5.4749999999985448</v>
      </c>
      <c r="AE767" s="446">
        <f t="shared" si="498"/>
        <v>-45846</v>
      </c>
      <c r="AF767" s="160">
        <f t="shared" si="499"/>
        <v>45857.451971326162</v>
      </c>
      <c r="AG767" s="160">
        <f t="shared" si="500"/>
        <v>45866.258422939063</v>
      </c>
      <c r="AH767" s="159">
        <f t="shared" si="501"/>
        <v>45888.677777777775</v>
      </c>
      <c r="AI767" s="162">
        <f t="shared" si="502"/>
        <v>0.25220987654329896</v>
      </c>
      <c r="AJ767" s="224">
        <f t="shared" si="503"/>
        <v>-764.1</v>
      </c>
      <c r="AK767" s="225">
        <f t="shared" si="504"/>
        <v>20</v>
      </c>
      <c r="AL767" s="170">
        <f t="shared" si="505"/>
        <v>36</v>
      </c>
      <c r="AM767" s="170">
        <f t="shared" si="506"/>
        <v>21.774193548387096</v>
      </c>
      <c r="AN767" s="170">
        <f t="shared" si="507"/>
        <v>27.58064516129032</v>
      </c>
      <c r="AO767" s="226">
        <f t="shared" si="508"/>
        <v>18.774193548387096</v>
      </c>
      <c r="AP767" s="227">
        <v>60</v>
      </c>
      <c r="AQ767" s="228">
        <f t="shared" si="509"/>
        <v>57</v>
      </c>
      <c r="AR767" s="228">
        <f t="shared" si="510"/>
        <v>52</v>
      </c>
      <c r="AS767" s="229">
        <f t="shared" si="511"/>
        <v>45906</v>
      </c>
      <c r="AT767" s="982">
        <f t="shared" ca="1" si="512"/>
        <v>49</v>
      </c>
      <c r="AU767" s="50"/>
      <c r="AV767" s="51"/>
      <c r="AW767" s="49"/>
      <c r="AX767" s="49"/>
      <c r="AY767" s="49"/>
      <c r="AZ767" s="300"/>
      <c r="BA767" s="52"/>
      <c r="BB767" s="304"/>
      <c r="BC767" s="231" t="s">
        <v>13</v>
      </c>
      <c r="BD767" s="232"/>
      <c r="BE767" s="222">
        <f t="shared" si="513"/>
        <v>45861</v>
      </c>
      <c r="BF767" s="233" t="e">
        <f t="shared" si="514"/>
        <v>#VALUE!</v>
      </c>
      <c r="BG767" s="234"/>
      <c r="BH767" s="235"/>
      <c r="BI767" s="234"/>
      <c r="BJ767" s="236"/>
      <c r="BK767" s="222"/>
      <c r="BL767" s="222"/>
      <c r="BM767" s="238"/>
      <c r="BN767" s="222"/>
      <c r="BO767" s="222"/>
      <c r="BP767" s="243"/>
      <c r="BQ767" s="244"/>
      <c r="BR767" s="238"/>
      <c r="BS767" s="68"/>
      <c r="BT767" s="69"/>
      <c r="BU767" s="69"/>
      <c r="BV767" s="69"/>
      <c r="BW767" s="75"/>
      <c r="BX767" s="81"/>
      <c r="BY767" s="66"/>
      <c r="BZ767" s="944"/>
      <c r="CA767" s="42"/>
      <c r="CB767" s="62"/>
      <c r="CC767" s="62"/>
      <c r="CD767" s="62">
        <f t="shared" si="441"/>
        <v>7.3222222222248092</v>
      </c>
      <c r="CE767" s="62">
        <f t="shared" si="515"/>
        <v>0.25220987654329896</v>
      </c>
      <c r="CF767" s="145">
        <f t="shared" si="443"/>
        <v>23</v>
      </c>
      <c r="CG767" s="145"/>
      <c r="CH767" s="443">
        <f t="shared" si="516"/>
        <v>1.0444320987655211</v>
      </c>
      <c r="CI767" s="996">
        <f t="shared" si="444"/>
        <v>1.0444320987655211</v>
      </c>
      <c r="CJ767" s="261">
        <f t="shared" si="517"/>
        <v>0.38333333333333336</v>
      </c>
      <c r="CK767" s="458" t="str">
        <f t="shared" si="518"/>
        <v/>
      </c>
      <c r="CL767" t="str">
        <f t="shared" si="519"/>
        <v>NON-REV</v>
      </c>
      <c r="CM767" t="str">
        <f t="shared" si="520"/>
        <v/>
      </c>
      <c r="CN767" s="635"/>
      <c r="CO767" s="631"/>
      <c r="CP767" s="629"/>
      <c r="CQ767" s="635"/>
      <c r="CR767" s="697"/>
      <c r="CS767" s="633"/>
      <c r="CT767" s="635"/>
      <c r="CU767" s="631"/>
      <c r="CV767" s="638"/>
      <c r="CW767" s="853"/>
      <c r="CX767" s="856"/>
      <c r="CY767" s="856"/>
    </row>
    <row r="768" spans="1:103" s="359" customFormat="1" ht="15" customHeight="1" x14ac:dyDescent="0.25">
      <c r="A768" s="222" t="s">
        <v>308</v>
      </c>
      <c r="B768" s="222" t="s">
        <v>308</v>
      </c>
      <c r="C768" s="852"/>
      <c r="D768" s="66" t="s">
        <v>320</v>
      </c>
      <c r="E768" s="404" t="s">
        <v>3675</v>
      </c>
      <c r="F768" s="95" t="s">
        <v>3676</v>
      </c>
      <c r="G768" s="95" t="s">
        <v>3677</v>
      </c>
      <c r="H768" s="95" t="s">
        <v>238</v>
      </c>
      <c r="I768" s="95" t="s">
        <v>239</v>
      </c>
      <c r="J768" s="854"/>
      <c r="K768" s="855"/>
      <c r="L768" s="101" t="s">
        <v>1957</v>
      </c>
      <c r="M768" s="101" t="s">
        <v>272</v>
      </c>
      <c r="N768" s="442" t="s">
        <v>580</v>
      </c>
      <c r="O768" s="165">
        <v>12.47</v>
      </c>
      <c r="P768" s="165">
        <v>12.47</v>
      </c>
      <c r="Q768" s="157">
        <v>25</v>
      </c>
      <c r="R768" s="109" t="s">
        <v>548</v>
      </c>
      <c r="S768" s="110">
        <v>138781.79999999999</v>
      </c>
      <c r="T768" s="93"/>
      <c r="U768" s="857"/>
      <c r="V768" s="158" t="e">
        <f t="shared" si="494"/>
        <v>#DIV/0!</v>
      </c>
      <c r="W768" s="159">
        <v>45838</v>
      </c>
      <c r="X768" s="159">
        <v>45842.331250000003</v>
      </c>
      <c r="Y768" s="160" t="s">
        <v>308</v>
      </c>
      <c r="Z768" s="470"/>
      <c r="AA768" s="942">
        <v>45847</v>
      </c>
      <c r="AB768" s="942"/>
      <c r="AC768" s="161">
        <f t="shared" si="496"/>
        <v>9</v>
      </c>
      <c r="AD768" s="161">
        <f t="shared" si="497"/>
        <v>4.6687499999970896</v>
      </c>
      <c r="AE768" s="446">
        <f t="shared" si="498"/>
        <v>-45847</v>
      </c>
      <c r="AF768" s="160">
        <f t="shared" si="499"/>
        <v>45856.774193548386</v>
      </c>
      <c r="AG768" s="160">
        <f t="shared" si="500"/>
        <v>45865.580645161288</v>
      </c>
      <c r="AH768" s="159">
        <f t="shared" si="501"/>
        <v>45888</v>
      </c>
      <c r="AI768" s="162">
        <f t="shared" si="502"/>
        <v>0.31</v>
      </c>
      <c r="AJ768" s="224">
        <f t="shared" si="503"/>
        <v>-764.11666666666667</v>
      </c>
      <c r="AK768" s="225">
        <f t="shared" si="504"/>
        <v>20</v>
      </c>
      <c r="AL768" s="170">
        <f t="shared" si="505"/>
        <v>36</v>
      </c>
      <c r="AM768" s="170">
        <f t="shared" si="506"/>
        <v>21.774193548387096</v>
      </c>
      <c r="AN768" s="170">
        <f t="shared" si="507"/>
        <v>27.58064516129032</v>
      </c>
      <c r="AO768" s="226">
        <f t="shared" si="508"/>
        <v>18.774193548387096</v>
      </c>
      <c r="AP768" s="227">
        <v>60</v>
      </c>
      <c r="AQ768" s="228">
        <f t="shared" si="509"/>
        <v>57</v>
      </c>
      <c r="AR768" s="228">
        <f t="shared" si="510"/>
        <v>52</v>
      </c>
      <c r="AS768" s="229">
        <f t="shared" si="511"/>
        <v>45907</v>
      </c>
      <c r="AT768" s="982">
        <f t="shared" ca="1" si="512"/>
        <v>48</v>
      </c>
      <c r="AU768" s="50"/>
      <c r="AV768" s="51"/>
      <c r="AW768" s="49"/>
      <c r="AX768" s="49"/>
      <c r="AY768" s="49"/>
      <c r="AZ768" s="300"/>
      <c r="BA768" s="52"/>
      <c r="BB768" s="304"/>
      <c r="BC768" s="231" t="s">
        <v>13</v>
      </c>
      <c r="BD768" s="232"/>
      <c r="BE768" s="222">
        <f t="shared" si="513"/>
        <v>45862</v>
      </c>
      <c r="BF768" s="233" t="e">
        <f t="shared" si="514"/>
        <v>#VALUE!</v>
      </c>
      <c r="BG768" s="234"/>
      <c r="BH768" s="235"/>
      <c r="BI768" s="234"/>
      <c r="BJ768" s="236"/>
      <c r="BK768" s="222"/>
      <c r="BL768" s="222"/>
      <c r="BM768" s="238"/>
      <c r="BN768" s="222"/>
      <c r="BO768" s="222"/>
      <c r="BP768" s="243"/>
      <c r="BQ768" s="244"/>
      <c r="BR768" s="238"/>
      <c r="BS768" s="68"/>
      <c r="BT768" s="69"/>
      <c r="BU768" s="69"/>
      <c r="BV768" s="69"/>
      <c r="BW768" s="75"/>
      <c r="BX768" s="81"/>
      <c r="BY768" s="66"/>
      <c r="BZ768" s="944"/>
      <c r="CA768" s="42"/>
      <c r="CB768" s="62"/>
      <c r="CC768" s="62"/>
      <c r="CD768" s="62">
        <f t="shared" si="441"/>
        <v>9</v>
      </c>
      <c r="CE768" s="62">
        <f t="shared" si="515"/>
        <v>0.31</v>
      </c>
      <c r="CF768" s="145">
        <f t="shared" si="443"/>
        <v>22</v>
      </c>
      <c r="CG768" s="145"/>
      <c r="CH768" s="443">
        <f t="shared" si="516"/>
        <v>1.0677777777777777</v>
      </c>
      <c r="CI768" s="996">
        <f t="shared" si="444"/>
        <v>1.0677777777777777</v>
      </c>
      <c r="CJ768" s="261">
        <f t="shared" si="517"/>
        <v>0.36666666666666664</v>
      </c>
      <c r="CK768" s="458" t="str">
        <f t="shared" si="518"/>
        <v/>
      </c>
      <c r="CL768" t="str">
        <f t="shared" si="519"/>
        <v>NON-REV</v>
      </c>
      <c r="CM768" t="str">
        <f t="shared" si="520"/>
        <v/>
      </c>
      <c r="CN768" s="635"/>
      <c r="CO768" s="631"/>
      <c r="CP768" s="629"/>
      <c r="CQ768" s="635"/>
      <c r="CR768" s="697"/>
      <c r="CS768" s="633"/>
      <c r="CT768" s="635"/>
      <c r="CU768" s="631"/>
      <c r="CV768" s="638"/>
      <c r="CW768" s="853"/>
      <c r="CX768" s="856"/>
      <c r="CY768" s="856"/>
    </row>
    <row r="769" spans="1:103" s="359" customFormat="1" ht="15" customHeight="1" x14ac:dyDescent="0.25">
      <c r="A769" s="222" t="s">
        <v>308</v>
      </c>
      <c r="B769" s="222" t="s">
        <v>308</v>
      </c>
      <c r="C769" s="852"/>
      <c r="D769" s="66" t="s">
        <v>320</v>
      </c>
      <c r="E769" s="404" t="s">
        <v>3678</v>
      </c>
      <c r="F769" s="95" t="s">
        <v>3679</v>
      </c>
      <c r="G769" s="95" t="s">
        <v>3680</v>
      </c>
      <c r="H769" s="95" t="s">
        <v>318</v>
      </c>
      <c r="I769" s="95" t="s">
        <v>239</v>
      </c>
      <c r="J769" s="854"/>
      <c r="K769" s="855"/>
      <c r="L769" s="101" t="s">
        <v>1945</v>
      </c>
      <c r="M769" s="101" t="s">
        <v>272</v>
      </c>
      <c r="N769" s="323" t="s">
        <v>1946</v>
      </c>
      <c r="O769" s="165">
        <v>30.74</v>
      </c>
      <c r="P769" s="165">
        <v>30.74</v>
      </c>
      <c r="Q769" s="157">
        <v>85.5</v>
      </c>
      <c r="R769" s="109" t="s">
        <v>244</v>
      </c>
      <c r="S769" s="110">
        <v>265833.84999999998</v>
      </c>
      <c r="T769" s="93"/>
      <c r="U769" s="857"/>
      <c r="V769" s="158" t="e">
        <f t="shared" si="494"/>
        <v>#DIV/0!</v>
      </c>
      <c r="W769" s="159">
        <v>45838.744444444441</v>
      </c>
      <c r="X769" s="159">
        <v>45840.536805555559</v>
      </c>
      <c r="Y769" s="160" t="s">
        <v>308</v>
      </c>
      <c r="Z769" s="470"/>
      <c r="AA769" s="942">
        <v>45856</v>
      </c>
      <c r="AB769" s="942"/>
      <c r="AC769" s="161">
        <f t="shared" si="496"/>
        <v>17.255555555559113</v>
      </c>
      <c r="AD769" s="161">
        <f t="shared" si="497"/>
        <v>15.463194444440887</v>
      </c>
      <c r="AE769" s="446">
        <f t="shared" si="498"/>
        <v>-45856</v>
      </c>
      <c r="AF769" s="160">
        <f t="shared" si="499"/>
        <v>45856.818824609727</v>
      </c>
      <c r="AG769" s="160">
        <f t="shared" si="500"/>
        <v>45865.438659320476</v>
      </c>
      <c r="AH769" s="159">
        <f t="shared" si="501"/>
        <v>45888.744444444441</v>
      </c>
      <c r="AI769" s="162">
        <f t="shared" si="502"/>
        <v>0.61409477124195666</v>
      </c>
      <c r="AJ769" s="224">
        <f t="shared" si="503"/>
        <v>-764.26666666666665</v>
      </c>
      <c r="AK769" s="225">
        <f t="shared" si="504"/>
        <v>20</v>
      </c>
      <c r="AL769" s="170">
        <f t="shared" si="505"/>
        <v>34</v>
      </c>
      <c r="AM769" s="170">
        <f t="shared" si="506"/>
        <v>21.074380165289259</v>
      </c>
      <c r="AN769" s="170">
        <f t="shared" si="507"/>
        <v>26.694214876033058</v>
      </c>
      <c r="AO769" s="226">
        <f t="shared" si="508"/>
        <v>18.074380165289259</v>
      </c>
      <c r="AP769" s="227">
        <v>60</v>
      </c>
      <c r="AQ769" s="228">
        <f t="shared" si="509"/>
        <v>57</v>
      </c>
      <c r="AR769" s="228">
        <f t="shared" si="510"/>
        <v>52</v>
      </c>
      <c r="AS769" s="229">
        <f t="shared" si="511"/>
        <v>45916</v>
      </c>
      <c r="AT769" s="982">
        <f t="shared" ca="1" si="512"/>
        <v>39</v>
      </c>
      <c r="AU769" s="50"/>
      <c r="AV769" s="51"/>
      <c r="AW769" s="49"/>
      <c r="AX769" s="49"/>
      <c r="AY769" s="49"/>
      <c r="AZ769" s="300"/>
      <c r="BA769" s="52"/>
      <c r="BB769" s="304"/>
      <c r="BC769" s="231" t="s">
        <v>13</v>
      </c>
      <c r="BD769" s="232"/>
      <c r="BE769" s="222">
        <f t="shared" si="513"/>
        <v>45871</v>
      </c>
      <c r="BF769" s="233" t="e">
        <f t="shared" si="514"/>
        <v>#VALUE!</v>
      </c>
      <c r="BG769" s="234"/>
      <c r="BH769" s="235"/>
      <c r="BI769" s="234"/>
      <c r="BJ769" s="236"/>
      <c r="BK769" s="222"/>
      <c r="BL769" s="222"/>
      <c r="BM769" s="238"/>
      <c r="BN769" s="222"/>
      <c r="BO769" s="222"/>
      <c r="BP769" s="243"/>
      <c r="BQ769" s="244"/>
      <c r="BR769" s="238"/>
      <c r="BS769" s="68"/>
      <c r="BT769" s="69"/>
      <c r="BU769" s="69"/>
      <c r="BV769" s="69"/>
      <c r="BW769" s="75"/>
      <c r="BX769" s="81"/>
      <c r="BY769" s="66"/>
      <c r="BZ769" s="944"/>
      <c r="CA769" s="42"/>
      <c r="CB769" s="62"/>
      <c r="CC769" s="62"/>
      <c r="CD769" s="62">
        <f t="shared" si="441"/>
        <v>17.255555555559113</v>
      </c>
      <c r="CE769" s="62">
        <f t="shared" si="515"/>
        <v>0.61409477124195666</v>
      </c>
      <c r="CF769" s="145">
        <f t="shared" si="443"/>
        <v>13</v>
      </c>
      <c r="CG769" s="145"/>
      <c r="CH769" s="443">
        <f t="shared" si="516"/>
        <v>1.0767418300654861</v>
      </c>
      <c r="CI769" s="996">
        <f t="shared" si="444"/>
        <v>1.0767418300654861</v>
      </c>
      <c r="CJ769" s="261">
        <f t="shared" si="517"/>
        <v>0.21666666666666667</v>
      </c>
      <c r="CK769" s="458" t="str">
        <f t="shared" si="518"/>
        <v/>
      </c>
      <c r="CL769" t="str">
        <f t="shared" si="519"/>
        <v>REV</v>
      </c>
      <c r="CM769" t="str">
        <f t="shared" si="520"/>
        <v/>
      </c>
      <c r="CN769" s="635"/>
      <c r="CO769" s="631"/>
      <c r="CP769" s="629"/>
      <c r="CQ769" s="635"/>
      <c r="CR769" s="697"/>
      <c r="CS769" s="633"/>
      <c r="CT769" s="635"/>
      <c r="CU769" s="631"/>
      <c r="CV769" s="638"/>
      <c r="CW769" s="853"/>
      <c r="CX769" s="856"/>
      <c r="CY769" s="856"/>
    </row>
    <row r="770" spans="1:103" s="359" customFormat="1" ht="15" customHeight="1" x14ac:dyDescent="0.25">
      <c r="A770" s="222" t="s">
        <v>308</v>
      </c>
      <c r="B770" s="222" t="s">
        <v>308</v>
      </c>
      <c r="C770" s="852"/>
      <c r="D770" s="66" t="s">
        <v>320</v>
      </c>
      <c r="E770" s="404" t="s">
        <v>3681</v>
      </c>
      <c r="F770" s="95" t="s">
        <v>3682</v>
      </c>
      <c r="G770" s="95" t="s">
        <v>3683</v>
      </c>
      <c r="H770" s="95" t="s">
        <v>238</v>
      </c>
      <c r="I770" s="95" t="s">
        <v>239</v>
      </c>
      <c r="J770" s="854"/>
      <c r="K770" s="855"/>
      <c r="L770" s="101" t="s">
        <v>1945</v>
      </c>
      <c r="M770" s="101" t="s">
        <v>272</v>
      </c>
      <c r="N770" s="323" t="s">
        <v>1946</v>
      </c>
      <c r="O770" s="165">
        <v>22.83</v>
      </c>
      <c r="P770" s="165">
        <v>22.83</v>
      </c>
      <c r="Q770" s="157">
        <v>48</v>
      </c>
      <c r="R770" s="109" t="s">
        <v>244</v>
      </c>
      <c r="S770" s="110">
        <v>216813.62</v>
      </c>
      <c r="T770" s="93"/>
      <c r="U770" s="857"/>
      <c r="V770" s="158" t="e">
        <f t="shared" si="494"/>
        <v>#DIV/0!</v>
      </c>
      <c r="W770" s="159">
        <v>45838.680555555555</v>
      </c>
      <c r="X770" s="159">
        <v>45840.538194444445</v>
      </c>
      <c r="Y770" s="160" t="s">
        <v>308</v>
      </c>
      <c r="Z770" s="470"/>
      <c r="AA770" s="942">
        <v>45854.603472222225</v>
      </c>
      <c r="AB770" s="942"/>
      <c r="AC770" s="161">
        <f t="shared" ref="AC770:AC779" si="521">AA770-W770</f>
        <v>15.922916666670062</v>
      </c>
      <c r="AD770" s="161">
        <f t="shared" ref="AD770:AD779" si="522">AA770-X770</f>
        <v>14.065277777779556</v>
      </c>
      <c r="AE770" s="446">
        <f t="shared" ref="AE770:AE779" si="523">AB770-AA770</f>
        <v>-45854.603472222225</v>
      </c>
      <c r="AF770" s="160">
        <f t="shared" ref="AF770:AF779" si="524">W770+AO770</f>
        <v>45857.454749103941</v>
      </c>
      <c r="AG770" s="160">
        <f t="shared" ref="AG770:AG779" si="525">W770+AN770</f>
        <v>45866.261200716843</v>
      </c>
      <c r="AH770" s="159">
        <f t="shared" ref="AH770:AH779" si="526">W770+50</f>
        <v>45888.680555555555</v>
      </c>
      <c r="AI770" s="162">
        <f t="shared" ref="AI770:AI779" si="527" xml:space="preserve"> (0.3)*(AC770/AK770)+(0.7)*(AC770/AL770)</f>
        <v>0.54845601851863546</v>
      </c>
      <c r="AJ770" s="224">
        <f t="shared" ref="AJ770:AJ779" si="528">AE770/AP770</f>
        <v>-764.24339120370371</v>
      </c>
      <c r="AK770" s="225">
        <f t="shared" ref="AK770:AK779" si="529">IF(P770&lt;51,20,(IF(P770&lt;101,23,(IF(P770&lt;201,26,IF(P770&lt;301,28,IF(P770&lt;401,30,(IF(P770&lt;501,32,(IF(P770&lt;1001,40,50)))))))))))</f>
        <v>20</v>
      </c>
      <c r="AL770" s="170">
        <f t="shared" ref="AL770:AL779" si="530">IF(Q770&lt;51,36,(IF(Q770&lt;101,34,(IF(Q770&lt;201,32,IF(Q770&lt;301,30,IF(Q770&lt;401,28,(IF(Q770&lt;501,26,(IF(Q770&lt;1001,23,20)))))))))))</f>
        <v>36</v>
      </c>
      <c r="AM770" s="170">
        <f t="shared" ref="AM770:AM779" si="531">(0.75)/((0.3/AK770)+(0.7/AL770))</f>
        <v>21.774193548387096</v>
      </c>
      <c r="AN770" s="170">
        <f t="shared" ref="AN770:AN779" si="532">(0.95)/((0.3/AK770)+(0.7/AL770))</f>
        <v>27.58064516129032</v>
      </c>
      <c r="AO770" s="226">
        <f t="shared" ref="AO770:AO779" si="533">AM770-3</f>
        <v>18.774193548387096</v>
      </c>
      <c r="AP770" s="227">
        <v>60</v>
      </c>
      <c r="AQ770" s="228">
        <f t="shared" ref="AQ770:AQ786" si="534">0.95*AP770</f>
        <v>57</v>
      </c>
      <c r="AR770" s="228">
        <f t="shared" ref="AR770:AR786" si="535">AQ770-5</f>
        <v>52</v>
      </c>
      <c r="AS770" s="229">
        <f t="shared" ref="AS770:AS779" si="536">AA770+AP770</f>
        <v>45914.603472222225</v>
      </c>
      <c r="AT770" s="982">
        <f t="shared" ref="AT770:AT779" ca="1" si="537">IFERROR(TODAY()-AA770,"")</f>
        <v>40.396527777775191</v>
      </c>
      <c r="AU770" s="50"/>
      <c r="AV770" s="51"/>
      <c r="AW770" s="49"/>
      <c r="AX770" s="49"/>
      <c r="AY770" s="49"/>
      <c r="AZ770" s="300"/>
      <c r="BA770" s="52"/>
      <c r="BB770" s="304"/>
      <c r="BC770" s="231" t="s">
        <v>13</v>
      </c>
      <c r="BD770" s="232"/>
      <c r="BE770" s="222">
        <f t="shared" ref="BE770:BE779" si="538">AA770+15</f>
        <v>45869.603472222225</v>
      </c>
      <c r="BF770" s="233" t="e">
        <f t="shared" ref="BF770:BF779" si="539">IF(ISBLANK(AA770),0,IF(ISBLANK(BH770),(BE770-$L$1),(BH770-BE770)))</f>
        <v>#VALUE!</v>
      </c>
      <c r="BG770" s="234"/>
      <c r="BH770" s="235"/>
      <c r="BI770" s="234"/>
      <c r="BJ770" s="236"/>
      <c r="BK770" s="222"/>
      <c r="BL770" s="222"/>
      <c r="BM770" s="238"/>
      <c r="BN770" s="222"/>
      <c r="BO770" s="222"/>
      <c r="BP770" s="243"/>
      <c r="BQ770" s="244"/>
      <c r="BR770" s="238"/>
      <c r="BS770" s="68"/>
      <c r="BT770" s="69"/>
      <c r="BU770" s="69"/>
      <c r="BV770" s="69"/>
      <c r="BW770" s="75"/>
      <c r="BX770" s="81"/>
      <c r="BY770" s="66"/>
      <c r="BZ770" s="944"/>
      <c r="CA770" s="42"/>
      <c r="CB770" s="62"/>
      <c r="CC770" s="62"/>
      <c r="CD770" s="62">
        <f t="shared" si="441"/>
        <v>15.922916666670062</v>
      </c>
      <c r="CE770" s="62">
        <f t="shared" si="515"/>
        <v>0.54845601851863546</v>
      </c>
      <c r="CF770" s="145">
        <f t="shared" si="443"/>
        <v>14.396527777775191</v>
      </c>
      <c r="CG770" s="145"/>
      <c r="CH770" s="443">
        <f t="shared" si="516"/>
        <v>1.0443364197531142</v>
      </c>
      <c r="CI770" s="996">
        <f t="shared" si="444"/>
        <v>1.0443364197531142</v>
      </c>
      <c r="CJ770" s="261">
        <f t="shared" si="517"/>
        <v>0.23994212962958653</v>
      </c>
      <c r="CK770" s="458" t="str">
        <f t="shared" si="518"/>
        <v/>
      </c>
      <c r="CL770" t="str">
        <f t="shared" si="519"/>
        <v>REV</v>
      </c>
      <c r="CM770" t="str">
        <f t="shared" si="520"/>
        <v/>
      </c>
      <c r="CN770" s="635"/>
      <c r="CO770" s="631"/>
      <c r="CP770" s="629"/>
      <c r="CQ770" s="635"/>
      <c r="CR770" s="697"/>
      <c r="CS770" s="633"/>
      <c r="CT770" s="635"/>
      <c r="CU770" s="631"/>
      <c r="CV770" s="638"/>
      <c r="CW770" s="853"/>
      <c r="CX770" s="856"/>
      <c r="CY770" s="856"/>
    </row>
    <row r="771" spans="1:103" s="359" customFormat="1" ht="15" customHeight="1" x14ac:dyDescent="0.25">
      <c r="A771" s="242"/>
      <c r="B771" s="222"/>
      <c r="C771" s="852"/>
      <c r="D771" s="66" t="s">
        <v>234</v>
      </c>
      <c r="E771" s="404" t="s">
        <v>3684</v>
      </c>
      <c r="F771" s="95" t="s">
        <v>3685</v>
      </c>
      <c r="G771" s="95" t="s">
        <v>3502</v>
      </c>
      <c r="H771" s="95" t="s">
        <v>1513</v>
      </c>
      <c r="I771" s="95" t="s">
        <v>239</v>
      </c>
      <c r="J771" s="854"/>
      <c r="K771" s="855"/>
      <c r="L771" s="101"/>
      <c r="M771" s="101" t="s">
        <v>272</v>
      </c>
      <c r="N771" s="442" t="s">
        <v>3686</v>
      </c>
      <c r="O771" s="165"/>
      <c r="P771" s="165">
        <v>850.59</v>
      </c>
      <c r="Q771" s="157">
        <v>0</v>
      </c>
      <c r="R771" s="109" t="s">
        <v>327</v>
      </c>
      <c r="S771" s="110">
        <v>2093250.27</v>
      </c>
      <c r="T771" s="93"/>
      <c r="U771" s="857"/>
      <c r="V771" s="158" t="e">
        <f t="shared" si="494"/>
        <v>#DIV/0!</v>
      </c>
      <c r="W771" s="159">
        <v>45828.441666666666</v>
      </c>
      <c r="X771" s="159">
        <v>45835.655555555553</v>
      </c>
      <c r="Y771" s="160"/>
      <c r="Z771" s="470"/>
      <c r="AA771" s="942">
        <v>45837</v>
      </c>
      <c r="AB771" s="942"/>
      <c r="AC771" s="161">
        <f t="shared" si="521"/>
        <v>8.5583333333343035</v>
      </c>
      <c r="AD771" s="161">
        <f t="shared" si="522"/>
        <v>1.3444444444467081</v>
      </c>
      <c r="AE771" s="446">
        <f t="shared" si="523"/>
        <v>-45837</v>
      </c>
      <c r="AF771" s="160">
        <f t="shared" si="524"/>
        <v>45853.276718213056</v>
      </c>
      <c r="AG771" s="160">
        <f t="shared" si="525"/>
        <v>45863.699398625431</v>
      </c>
      <c r="AH771" s="159">
        <f t="shared" si="526"/>
        <v>45878.441666666666</v>
      </c>
      <c r="AI771" s="162">
        <f t="shared" si="527"/>
        <v>0.23059953703706318</v>
      </c>
      <c r="AJ771" s="224">
        <f t="shared" si="528"/>
        <v>-763.95</v>
      </c>
      <c r="AK771" s="225">
        <f t="shared" si="529"/>
        <v>40</v>
      </c>
      <c r="AL771" s="170">
        <f t="shared" si="530"/>
        <v>36</v>
      </c>
      <c r="AM771" s="170">
        <f t="shared" si="531"/>
        <v>27.835051546391753</v>
      </c>
      <c r="AN771" s="170">
        <f t="shared" si="532"/>
        <v>35.257731958762882</v>
      </c>
      <c r="AO771" s="226">
        <f t="shared" si="533"/>
        <v>24.835051546391753</v>
      </c>
      <c r="AP771" s="227">
        <v>60</v>
      </c>
      <c r="AQ771" s="228">
        <f t="shared" si="534"/>
        <v>57</v>
      </c>
      <c r="AR771" s="228">
        <f t="shared" si="535"/>
        <v>52</v>
      </c>
      <c r="AS771" s="229">
        <f t="shared" si="536"/>
        <v>45897</v>
      </c>
      <c r="AT771" s="982">
        <f t="shared" ca="1" si="537"/>
        <v>58</v>
      </c>
      <c r="AU771" s="50"/>
      <c r="AV771" s="51"/>
      <c r="AW771" s="49"/>
      <c r="AX771" s="49"/>
      <c r="AY771" s="49"/>
      <c r="AZ771" s="300"/>
      <c r="BA771" s="52"/>
      <c r="BB771" s="304"/>
      <c r="BC771" s="231" t="s">
        <v>13</v>
      </c>
      <c r="BD771" s="232"/>
      <c r="BE771" s="222">
        <f t="shared" si="538"/>
        <v>45852</v>
      </c>
      <c r="BF771" s="233" t="e">
        <f t="shared" si="539"/>
        <v>#VALUE!</v>
      </c>
      <c r="BG771" s="234"/>
      <c r="BH771" s="235"/>
      <c r="BI771" s="234"/>
      <c r="BJ771" s="236"/>
      <c r="BK771" s="222"/>
      <c r="BL771" s="222"/>
      <c r="BM771" s="238"/>
      <c r="BN771" s="222"/>
      <c r="BO771" s="222"/>
      <c r="BP771" s="243"/>
      <c r="BQ771" s="244"/>
      <c r="BR771" s="238"/>
      <c r="BS771" s="68"/>
      <c r="BT771" s="69"/>
      <c r="BU771" s="69"/>
      <c r="BV771" s="69"/>
      <c r="BW771" s="75"/>
      <c r="BX771" s="81"/>
      <c r="BY771" s="66"/>
      <c r="BZ771" s="944"/>
      <c r="CA771" s="42"/>
      <c r="CB771" s="62"/>
      <c r="CC771" s="62"/>
      <c r="CD771" s="62">
        <f t="shared" ref="CD771:CD789" si="540">AC771-BA771</f>
        <v>8.5583333333343035</v>
      </c>
      <c r="CE771" s="62">
        <f t="shared" si="515"/>
        <v>0.23059953703706318</v>
      </c>
      <c r="CF771" s="145">
        <f t="shared" ref="CF771:CF834" si="541">IF(AA771="","0",$CF$1-AA771)</f>
        <v>32</v>
      </c>
      <c r="CG771" s="145"/>
      <c r="CH771" s="443">
        <f t="shared" si="516"/>
        <v>1.0928217592592853</v>
      </c>
      <c r="CI771" s="996">
        <f t="shared" ref="CI771:CI789" si="542">CH771-CG771</f>
        <v>1.0928217592592853</v>
      </c>
      <c r="CJ771" s="261">
        <f t="shared" si="517"/>
        <v>0.53333333333333333</v>
      </c>
      <c r="CK771" s="458" t="str">
        <f t="shared" si="518"/>
        <v/>
      </c>
      <c r="CL771" t="str">
        <f t="shared" si="519"/>
        <v>NON-REV</v>
      </c>
      <c r="CM771" t="str">
        <f t="shared" si="520"/>
        <v/>
      </c>
      <c r="CN771" s="635"/>
      <c r="CO771" s="631"/>
      <c r="CP771" s="629"/>
      <c r="CQ771" s="635"/>
      <c r="CR771" s="697"/>
      <c r="CS771" s="633"/>
      <c r="CT771" s="635"/>
      <c r="CU771" s="631"/>
      <c r="CV771" s="638"/>
      <c r="CW771" s="853"/>
      <c r="CX771" s="856"/>
      <c r="CY771" s="856"/>
    </row>
    <row r="772" spans="1:103" s="359" customFormat="1" ht="15" customHeight="1" x14ac:dyDescent="0.25">
      <c r="A772" s="242">
        <v>45807</v>
      </c>
      <c r="B772" s="222">
        <v>45841</v>
      </c>
      <c r="C772" s="852"/>
      <c r="D772" s="66" t="s">
        <v>284</v>
      </c>
      <c r="E772" s="404" t="s">
        <v>3687</v>
      </c>
      <c r="F772" s="95" t="s">
        <v>3271</v>
      </c>
      <c r="G772" s="95" t="s">
        <v>3272</v>
      </c>
      <c r="H772" s="95" t="s">
        <v>318</v>
      </c>
      <c r="I772" s="95" t="s">
        <v>239</v>
      </c>
      <c r="J772" s="854"/>
      <c r="K772" s="855"/>
      <c r="L772" s="101" t="s">
        <v>5</v>
      </c>
      <c r="M772" s="101" t="s">
        <v>331</v>
      </c>
      <c r="N772" s="323" t="s">
        <v>403</v>
      </c>
      <c r="O772" s="165">
        <v>259.11</v>
      </c>
      <c r="P772" s="165">
        <v>570.83000000000004</v>
      </c>
      <c r="Q772" s="157">
        <v>150</v>
      </c>
      <c r="R772" s="109" t="s">
        <v>244</v>
      </c>
      <c r="S772" s="110">
        <v>1414628.64</v>
      </c>
      <c r="T772" s="93">
        <v>222656.42</v>
      </c>
      <c r="U772" s="857"/>
      <c r="V772" s="158">
        <f t="shared" si="494"/>
        <v>0</v>
      </c>
      <c r="W772" s="159">
        <v>45806.45208333333</v>
      </c>
      <c r="X772" s="159">
        <v>45807.342361111114</v>
      </c>
      <c r="Y772" s="160">
        <v>45817</v>
      </c>
      <c r="Z772" s="470"/>
      <c r="AA772" s="942"/>
      <c r="AB772" s="942"/>
      <c r="AC772" s="161">
        <f t="shared" si="521"/>
        <v>-45806.45208333333</v>
      </c>
      <c r="AD772" s="161">
        <f t="shared" si="522"/>
        <v>-45807.342361111114</v>
      </c>
      <c r="AE772" s="446">
        <f t="shared" si="523"/>
        <v>0</v>
      </c>
      <c r="AF772" s="160">
        <f t="shared" si="524"/>
        <v>45828.983998226948</v>
      </c>
      <c r="AG772" s="160">
        <f t="shared" si="525"/>
        <v>45838.792508865248</v>
      </c>
      <c r="AH772" s="159">
        <f t="shared" si="526"/>
        <v>45856.45208333333</v>
      </c>
      <c r="AI772" s="162">
        <f t="shared" si="527"/>
        <v>-1345.5645299479165</v>
      </c>
      <c r="AJ772" s="224">
        <f t="shared" si="528"/>
        <v>0</v>
      </c>
      <c r="AK772" s="225">
        <f t="shared" si="529"/>
        <v>40</v>
      </c>
      <c r="AL772" s="170">
        <f t="shared" si="530"/>
        <v>32</v>
      </c>
      <c r="AM772" s="170">
        <f t="shared" si="531"/>
        <v>25.531914893617024</v>
      </c>
      <c r="AN772" s="170">
        <f t="shared" si="532"/>
        <v>32.340425531914896</v>
      </c>
      <c r="AO772" s="226">
        <f t="shared" si="533"/>
        <v>22.531914893617024</v>
      </c>
      <c r="AP772" s="227">
        <v>60</v>
      </c>
      <c r="AQ772" s="228">
        <f t="shared" si="534"/>
        <v>57</v>
      </c>
      <c r="AR772" s="228">
        <f t="shared" si="535"/>
        <v>52</v>
      </c>
      <c r="AS772" s="229">
        <f t="shared" si="536"/>
        <v>60</v>
      </c>
      <c r="AT772" s="982">
        <f t="shared" ca="1" si="537"/>
        <v>45895</v>
      </c>
      <c r="AU772" s="50" t="s">
        <v>50</v>
      </c>
      <c r="AV772" s="51" t="s">
        <v>247</v>
      </c>
      <c r="AW772" s="49" t="s">
        <v>247</v>
      </c>
      <c r="AX772" s="49"/>
      <c r="AY772" s="49"/>
      <c r="AZ772" s="300">
        <v>45832</v>
      </c>
      <c r="BA772" s="52">
        <v>34</v>
      </c>
      <c r="BB772" s="304">
        <v>45866</v>
      </c>
      <c r="BC772" s="231"/>
      <c r="BD772" s="232"/>
      <c r="BE772" s="222">
        <f t="shared" si="538"/>
        <v>15</v>
      </c>
      <c r="BF772" s="233">
        <f t="shared" si="539"/>
        <v>0</v>
      </c>
      <c r="BG772" s="234"/>
      <c r="BH772" s="235"/>
      <c r="BI772" s="234"/>
      <c r="BJ772" s="236"/>
      <c r="BK772" s="222"/>
      <c r="BL772" s="222"/>
      <c r="BM772" s="238"/>
      <c r="BN772" s="222"/>
      <c r="BO772" s="222"/>
      <c r="BP772" s="243"/>
      <c r="BQ772" s="244"/>
      <c r="BR772" s="238"/>
      <c r="BS772" s="68"/>
      <c r="BT772" s="69"/>
      <c r="BU772" s="69"/>
      <c r="BV772" s="69"/>
      <c r="BW772" s="75"/>
      <c r="BX772" s="81"/>
      <c r="BY772" s="66">
        <v>45841</v>
      </c>
      <c r="BZ772" s="944" t="s">
        <v>3688</v>
      </c>
      <c r="CA772" s="42"/>
      <c r="CB772" s="62"/>
      <c r="CC772" s="62"/>
      <c r="CD772" s="62">
        <f t="shared" si="540"/>
        <v>-45840.45208333333</v>
      </c>
      <c r="CE772" s="62">
        <f t="shared" si="515"/>
        <v>-1346.5632799479165</v>
      </c>
      <c r="CF772" s="145" t="str">
        <f t="shared" si="541"/>
        <v>0</v>
      </c>
      <c r="CG772" s="145"/>
      <c r="CH772" s="443">
        <f t="shared" si="516"/>
        <v>1.8373450520834329</v>
      </c>
      <c r="CI772" s="996">
        <f t="shared" si="542"/>
        <v>1.8373450520834329</v>
      </c>
      <c r="CJ772" s="261">
        <f t="shared" si="517"/>
        <v>0</v>
      </c>
      <c r="CK772" s="458">
        <f t="shared" si="518"/>
        <v>49.547916666670062</v>
      </c>
      <c r="CL772" t="str">
        <f t="shared" si="519"/>
        <v>REV</v>
      </c>
      <c r="CM772" t="str">
        <f t="shared" si="520"/>
        <v>0-3 MONTHS</v>
      </c>
      <c r="CN772" s="635"/>
      <c r="CO772" s="631"/>
      <c r="CP772" s="629"/>
      <c r="CQ772" s="635"/>
      <c r="CR772" s="697"/>
      <c r="CS772" s="633"/>
      <c r="CT772" s="635"/>
      <c r="CU772" s="631"/>
      <c r="CV772" s="638"/>
      <c r="CW772" s="853"/>
      <c r="CX772" s="856"/>
      <c r="CY772" s="856"/>
    </row>
    <row r="773" spans="1:103" s="359" customFormat="1" ht="15" customHeight="1" x14ac:dyDescent="0.25">
      <c r="A773" s="242">
        <v>45846</v>
      </c>
      <c r="B773" s="222">
        <v>45847</v>
      </c>
      <c r="C773" s="852" t="s">
        <v>247</v>
      </c>
      <c r="D773" s="66" t="s">
        <v>284</v>
      </c>
      <c r="E773" s="404" t="s">
        <v>3689</v>
      </c>
      <c r="F773" s="95" t="s">
        <v>3690</v>
      </c>
      <c r="G773" s="95" t="s">
        <v>3691</v>
      </c>
      <c r="H773" s="95" t="s">
        <v>253</v>
      </c>
      <c r="I773" s="95" t="s">
        <v>254</v>
      </c>
      <c r="J773" s="854" t="s">
        <v>3692</v>
      </c>
      <c r="K773" s="855"/>
      <c r="L773" s="101" t="s">
        <v>242</v>
      </c>
      <c r="M773" s="101" t="s">
        <v>331</v>
      </c>
      <c r="N773" s="442" t="s">
        <v>467</v>
      </c>
      <c r="O773" s="165">
        <v>99.71</v>
      </c>
      <c r="P773" s="165">
        <v>177.99</v>
      </c>
      <c r="Q773" s="157">
        <v>236</v>
      </c>
      <c r="R773" s="109" t="s">
        <v>244</v>
      </c>
      <c r="S773" s="110">
        <v>878759.98</v>
      </c>
      <c r="T773" s="1132">
        <v>85697.14</v>
      </c>
      <c r="U773" s="857"/>
      <c r="V773" s="158">
        <f t="shared" ref="V773:V789" si="543">U773/T773</f>
        <v>0</v>
      </c>
      <c r="W773" s="159">
        <v>45840.542361111111</v>
      </c>
      <c r="X773" s="159">
        <v>45846.580555555556</v>
      </c>
      <c r="Y773" s="160">
        <v>45847</v>
      </c>
      <c r="Z773" s="470"/>
      <c r="AA773" s="942"/>
      <c r="AB773" s="942"/>
      <c r="AC773" s="161">
        <f t="shared" si="521"/>
        <v>-45840.542361111111</v>
      </c>
      <c r="AD773" s="161">
        <f t="shared" si="522"/>
        <v>-45846.580555555556</v>
      </c>
      <c r="AE773" s="446">
        <f t="shared" si="523"/>
        <v>0</v>
      </c>
      <c r="AF773" s="160">
        <f t="shared" si="524"/>
        <v>45859.049714052286</v>
      </c>
      <c r="AG773" s="160">
        <f t="shared" si="525"/>
        <v>45867.785008169936</v>
      </c>
      <c r="AH773" s="159">
        <f t="shared" si="526"/>
        <v>45890.542361111111</v>
      </c>
      <c r="AI773" s="162">
        <f t="shared" si="527"/>
        <v>-1598.5419900284896</v>
      </c>
      <c r="AJ773" s="224">
        <f t="shared" si="528"/>
        <v>0</v>
      </c>
      <c r="AK773" s="225">
        <f t="shared" si="529"/>
        <v>26</v>
      </c>
      <c r="AL773" s="170">
        <f t="shared" si="530"/>
        <v>30</v>
      </c>
      <c r="AM773" s="170">
        <f t="shared" si="531"/>
        <v>21.507352941176471</v>
      </c>
      <c r="AN773" s="170">
        <f t="shared" si="532"/>
        <v>27.242647058823529</v>
      </c>
      <c r="AO773" s="226">
        <f t="shared" si="533"/>
        <v>18.507352941176471</v>
      </c>
      <c r="AP773" s="227">
        <v>60</v>
      </c>
      <c r="AQ773" s="228">
        <f t="shared" si="534"/>
        <v>57</v>
      </c>
      <c r="AR773" s="228">
        <f t="shared" si="535"/>
        <v>52</v>
      </c>
      <c r="AS773" s="229">
        <f t="shared" si="536"/>
        <v>60</v>
      </c>
      <c r="AT773" s="982">
        <f t="shared" ca="1" si="537"/>
        <v>45895</v>
      </c>
      <c r="AU773" s="50"/>
      <c r="AV773" s="51"/>
      <c r="AW773" s="49"/>
      <c r="AX773" s="49"/>
      <c r="AY773" s="49"/>
      <c r="AZ773" s="300"/>
      <c r="BA773" s="52"/>
      <c r="BB773" s="304"/>
      <c r="BC773" s="231"/>
      <c r="BD773" s="232"/>
      <c r="BE773" s="222">
        <f t="shared" si="538"/>
        <v>15</v>
      </c>
      <c r="BF773" s="233">
        <f t="shared" si="539"/>
        <v>0</v>
      </c>
      <c r="BG773" s="234"/>
      <c r="BH773" s="235"/>
      <c r="BI773" s="234"/>
      <c r="BJ773" s="236"/>
      <c r="BK773" s="222"/>
      <c r="BL773" s="222"/>
      <c r="BM773" s="238"/>
      <c r="BN773" s="222"/>
      <c r="BO773" s="222"/>
      <c r="BP773" s="243"/>
      <c r="BQ773" s="244"/>
      <c r="BR773" s="238"/>
      <c r="BS773" s="68"/>
      <c r="BT773" s="69"/>
      <c r="BU773" s="69"/>
      <c r="BV773" s="69"/>
      <c r="BW773" s="75"/>
      <c r="BX773" s="81"/>
      <c r="BY773" s="66">
        <v>45847</v>
      </c>
      <c r="BZ773" s="944" t="s">
        <v>3693</v>
      </c>
      <c r="CA773" s="42"/>
      <c r="CB773" s="62"/>
      <c r="CC773" s="62"/>
      <c r="CD773" s="62">
        <f t="shared" si="540"/>
        <v>-45840.542361111111</v>
      </c>
      <c r="CE773" s="62">
        <f t="shared" si="515"/>
        <v>-1598.5419900284896</v>
      </c>
      <c r="CF773" s="145" t="str">
        <f t="shared" si="541"/>
        <v>0</v>
      </c>
      <c r="CG773" s="145"/>
      <c r="CH773" s="443">
        <f t="shared" si="516"/>
        <v>0.99236894586895141</v>
      </c>
      <c r="CI773" s="996">
        <f t="shared" si="542"/>
        <v>0.99236894586895141</v>
      </c>
      <c r="CJ773" s="261">
        <f t="shared" si="517"/>
        <v>0</v>
      </c>
      <c r="CK773" s="458">
        <f t="shared" si="518"/>
        <v>15.457638888889051</v>
      </c>
      <c r="CL773" t="str">
        <f t="shared" si="519"/>
        <v>REV</v>
      </c>
      <c r="CM773" t="str">
        <f t="shared" si="520"/>
        <v>0-3 MONTHS</v>
      </c>
      <c r="CN773" s="635"/>
      <c r="CO773" s="631"/>
      <c r="CP773" s="629"/>
      <c r="CQ773" s="635"/>
      <c r="CR773" s="697"/>
      <c r="CS773" s="633"/>
      <c r="CT773" s="635"/>
      <c r="CU773" s="631"/>
      <c r="CV773" s="638"/>
      <c r="CW773" s="853"/>
      <c r="CX773" s="856"/>
      <c r="CY773" s="856"/>
    </row>
    <row r="774" spans="1:103" s="359" customFormat="1" ht="15" customHeight="1" x14ac:dyDescent="0.25">
      <c r="A774" s="242">
        <v>45846</v>
      </c>
      <c r="B774" s="222">
        <v>45847</v>
      </c>
      <c r="C774" s="852" t="s">
        <v>247</v>
      </c>
      <c r="D774" s="66" t="s">
        <v>284</v>
      </c>
      <c r="E774" s="404" t="s">
        <v>3694</v>
      </c>
      <c r="F774" s="95" t="s">
        <v>3695</v>
      </c>
      <c r="G774" s="95" t="s">
        <v>3696</v>
      </c>
      <c r="H774" s="95" t="s">
        <v>253</v>
      </c>
      <c r="I774" s="95" t="s">
        <v>254</v>
      </c>
      <c r="J774" s="854" t="s">
        <v>3692</v>
      </c>
      <c r="K774" s="855"/>
      <c r="L774" s="101" t="s">
        <v>242</v>
      </c>
      <c r="M774" s="101" t="s">
        <v>331</v>
      </c>
      <c r="N774" s="442" t="s">
        <v>467</v>
      </c>
      <c r="O774" s="165">
        <v>3.32</v>
      </c>
      <c r="P774" s="165">
        <v>3.32</v>
      </c>
      <c r="Q774" s="157">
        <v>86</v>
      </c>
      <c r="R774" s="109" t="s">
        <v>244</v>
      </c>
      <c r="S774" s="110">
        <v>14987.51</v>
      </c>
      <c r="T774" s="93"/>
      <c r="U774" s="857"/>
      <c r="V774" s="158" t="e">
        <f t="shared" si="543"/>
        <v>#DIV/0!</v>
      </c>
      <c r="W774" s="159">
        <v>45840.681944444441</v>
      </c>
      <c r="X774" s="159">
        <v>45846.581250000003</v>
      </c>
      <c r="Y774" s="160">
        <v>45847</v>
      </c>
      <c r="Z774" s="470"/>
      <c r="AA774" s="942"/>
      <c r="AB774" s="942"/>
      <c r="AC774" s="161">
        <f t="shared" si="521"/>
        <v>-45840.681944444441</v>
      </c>
      <c r="AD774" s="161">
        <f t="shared" si="522"/>
        <v>-45846.581250000003</v>
      </c>
      <c r="AE774" s="446">
        <f t="shared" si="523"/>
        <v>0</v>
      </c>
      <c r="AF774" s="160">
        <f t="shared" si="524"/>
        <v>45858.756324609727</v>
      </c>
      <c r="AG774" s="160">
        <f t="shared" si="525"/>
        <v>45867.376159320476</v>
      </c>
      <c r="AH774" s="159">
        <f t="shared" si="526"/>
        <v>45890.681944444441</v>
      </c>
      <c r="AI774" s="162">
        <f t="shared" si="527"/>
        <v>-1631.3889750816991</v>
      </c>
      <c r="AJ774" s="224">
        <f t="shared" si="528"/>
        <v>0</v>
      </c>
      <c r="AK774" s="225">
        <f t="shared" si="529"/>
        <v>20</v>
      </c>
      <c r="AL774" s="170">
        <f t="shared" si="530"/>
        <v>34</v>
      </c>
      <c r="AM774" s="170">
        <f t="shared" si="531"/>
        <v>21.074380165289259</v>
      </c>
      <c r="AN774" s="170">
        <f t="shared" si="532"/>
        <v>26.694214876033058</v>
      </c>
      <c r="AO774" s="226">
        <f t="shared" si="533"/>
        <v>18.074380165289259</v>
      </c>
      <c r="AP774" s="227">
        <v>60</v>
      </c>
      <c r="AQ774" s="228">
        <f t="shared" si="534"/>
        <v>57</v>
      </c>
      <c r="AR774" s="228">
        <f t="shared" si="535"/>
        <v>52</v>
      </c>
      <c r="AS774" s="229">
        <f t="shared" si="536"/>
        <v>60</v>
      </c>
      <c r="AT774" s="982">
        <f t="shared" ca="1" si="537"/>
        <v>45895</v>
      </c>
      <c r="AU774" s="50"/>
      <c r="AV774" s="51"/>
      <c r="AW774" s="49"/>
      <c r="AX774" s="49"/>
      <c r="AY774" s="49"/>
      <c r="AZ774" s="300"/>
      <c r="BA774" s="52"/>
      <c r="BB774" s="304"/>
      <c r="BC774" s="231"/>
      <c r="BD774" s="232"/>
      <c r="BE774" s="222">
        <f t="shared" si="538"/>
        <v>15</v>
      </c>
      <c r="BF774" s="233">
        <f t="shared" si="539"/>
        <v>0</v>
      </c>
      <c r="BG774" s="234"/>
      <c r="BH774" s="235"/>
      <c r="BI774" s="234"/>
      <c r="BJ774" s="236"/>
      <c r="BK774" s="222"/>
      <c r="BL774" s="222"/>
      <c r="BM774" s="238"/>
      <c r="BN774" s="222"/>
      <c r="BO774" s="222"/>
      <c r="BP774" s="243"/>
      <c r="BQ774" s="244"/>
      <c r="BR774" s="238"/>
      <c r="BS774" s="68"/>
      <c r="BT774" s="69"/>
      <c r="BU774" s="69"/>
      <c r="BV774" s="69"/>
      <c r="BW774" s="75"/>
      <c r="BX774" s="81"/>
      <c r="BY774" s="66" t="s">
        <v>308</v>
      </c>
      <c r="BZ774" s="944" t="s">
        <v>3693</v>
      </c>
      <c r="CA774" s="42"/>
      <c r="CB774" s="62"/>
      <c r="CC774" s="62"/>
      <c r="CD774" s="62">
        <f t="shared" si="540"/>
        <v>-45840.681944444441</v>
      </c>
      <c r="CE774" s="62">
        <f t="shared" si="515"/>
        <v>-1631.3889750816991</v>
      </c>
      <c r="CF774" s="145" t="str">
        <f t="shared" si="541"/>
        <v>0</v>
      </c>
      <c r="CG774" s="145"/>
      <c r="CH774" s="443">
        <f t="shared" si="516"/>
        <v>1.007789624183133</v>
      </c>
      <c r="CI774" s="996">
        <f t="shared" si="542"/>
        <v>1.007789624183133</v>
      </c>
      <c r="CJ774" s="261">
        <f t="shared" si="517"/>
        <v>0</v>
      </c>
      <c r="CK774" s="458">
        <f t="shared" si="518"/>
        <v>15.318055555559113</v>
      </c>
      <c r="CL774" t="str">
        <f t="shared" si="519"/>
        <v>REV</v>
      </c>
      <c r="CM774" t="str">
        <f t="shared" si="520"/>
        <v>0-3 MONTHS</v>
      </c>
      <c r="CN774" s="635"/>
      <c r="CO774" s="631"/>
      <c r="CP774" s="629"/>
      <c r="CQ774" s="635"/>
      <c r="CR774" s="697"/>
      <c r="CS774" s="633"/>
      <c r="CT774" s="635"/>
      <c r="CU774" s="631"/>
      <c r="CV774" s="638"/>
      <c r="CW774" s="853"/>
      <c r="CX774" s="856"/>
      <c r="CY774" s="856"/>
    </row>
    <row r="775" spans="1:103" s="359" customFormat="1" ht="15" customHeight="1" x14ac:dyDescent="0.25">
      <c r="A775" s="242">
        <v>45846</v>
      </c>
      <c r="B775" s="222">
        <v>45847</v>
      </c>
      <c r="C775" s="852"/>
      <c r="D775" s="66" t="s">
        <v>284</v>
      </c>
      <c r="E775" s="404" t="s">
        <v>3697</v>
      </c>
      <c r="F775" s="95" t="s">
        <v>3698</v>
      </c>
      <c r="G775" s="95" t="s">
        <v>3699</v>
      </c>
      <c r="H775" s="95" t="s">
        <v>238</v>
      </c>
      <c r="I775" s="95" t="s">
        <v>239</v>
      </c>
      <c r="J775" s="854" t="s">
        <v>3700</v>
      </c>
      <c r="K775" s="855"/>
      <c r="L775" s="101" t="s">
        <v>242</v>
      </c>
      <c r="M775" s="101" t="s">
        <v>272</v>
      </c>
      <c r="N775" s="442" t="s">
        <v>467</v>
      </c>
      <c r="O775" s="165">
        <v>143.41</v>
      </c>
      <c r="P775" s="165">
        <v>221.69</v>
      </c>
      <c r="Q775" s="157">
        <v>353</v>
      </c>
      <c r="R775" s="109" t="s">
        <v>244</v>
      </c>
      <c r="S775" s="110">
        <v>1080773.54</v>
      </c>
      <c r="T775" s="93">
        <v>123248.07</v>
      </c>
      <c r="U775" s="857"/>
      <c r="V775" s="158">
        <f t="shared" si="543"/>
        <v>0</v>
      </c>
      <c r="W775" s="159">
        <v>45841.598611111112</v>
      </c>
      <c r="X775" s="159">
        <v>45846.572222222225</v>
      </c>
      <c r="Y775" s="160">
        <v>45847</v>
      </c>
      <c r="Z775" s="470"/>
      <c r="AA775" s="942">
        <v>45880.339583333334</v>
      </c>
      <c r="AB775" s="942"/>
      <c r="AC775" s="161">
        <f t="shared" si="521"/>
        <v>38.740972222221899</v>
      </c>
      <c r="AD775" s="161">
        <f t="shared" si="522"/>
        <v>33.767361111109494</v>
      </c>
      <c r="AE775" s="446">
        <f t="shared" si="523"/>
        <v>-45880.339583333334</v>
      </c>
      <c r="AF775" s="160">
        <f t="shared" si="524"/>
        <v>45859.598611111112</v>
      </c>
      <c r="AG775" s="160">
        <f t="shared" si="525"/>
        <v>45868.198611111111</v>
      </c>
      <c r="AH775" s="159">
        <f t="shared" si="526"/>
        <v>45891.598611111112</v>
      </c>
      <c r="AI775" s="162">
        <f t="shared" si="527"/>
        <v>1.3836061507936392</v>
      </c>
      <c r="AJ775" s="224">
        <f t="shared" si="528"/>
        <v>-764.67232638888891</v>
      </c>
      <c r="AK775" s="225">
        <f t="shared" si="529"/>
        <v>28</v>
      </c>
      <c r="AL775" s="170">
        <f t="shared" si="530"/>
        <v>28</v>
      </c>
      <c r="AM775" s="170">
        <f t="shared" si="531"/>
        <v>21</v>
      </c>
      <c r="AN775" s="170">
        <f t="shared" si="532"/>
        <v>26.6</v>
      </c>
      <c r="AO775" s="226">
        <f t="shared" si="533"/>
        <v>18</v>
      </c>
      <c r="AP775" s="227">
        <v>60</v>
      </c>
      <c r="AQ775" s="228">
        <f t="shared" si="534"/>
        <v>57</v>
      </c>
      <c r="AR775" s="228">
        <f t="shared" si="535"/>
        <v>52</v>
      </c>
      <c r="AS775" s="229">
        <f t="shared" si="536"/>
        <v>45940.339583333334</v>
      </c>
      <c r="AT775" s="982">
        <f t="shared" ca="1" si="537"/>
        <v>14.660416666665697</v>
      </c>
      <c r="AU775" s="50"/>
      <c r="AV775" s="51"/>
      <c r="AW775" s="49"/>
      <c r="AX775" s="49"/>
      <c r="AY775" s="49"/>
      <c r="AZ775" s="300"/>
      <c r="BA775" s="52"/>
      <c r="BB775" s="304"/>
      <c r="BC775" s="231" t="s">
        <v>13</v>
      </c>
      <c r="BD775" s="232"/>
      <c r="BE775" s="222">
        <f t="shared" si="538"/>
        <v>45895.339583333334</v>
      </c>
      <c r="BF775" s="233" t="e">
        <f t="shared" si="539"/>
        <v>#VALUE!</v>
      </c>
      <c r="BG775" s="234"/>
      <c r="BH775" s="235"/>
      <c r="BI775" s="234"/>
      <c r="BJ775" s="236"/>
      <c r="BK775" s="222"/>
      <c r="BL775" s="222"/>
      <c r="BM775" s="238"/>
      <c r="BN775" s="222"/>
      <c r="BO775" s="222"/>
      <c r="BP775" s="243"/>
      <c r="BQ775" s="244"/>
      <c r="BR775" s="238"/>
      <c r="BS775" s="68"/>
      <c r="BT775" s="69"/>
      <c r="BU775" s="69"/>
      <c r="BV775" s="69"/>
      <c r="BW775" s="75"/>
      <c r="BX775" s="81"/>
      <c r="BY775" s="66">
        <v>45847</v>
      </c>
      <c r="BZ775" s="944" t="s">
        <v>3701</v>
      </c>
      <c r="CA775" s="42"/>
      <c r="CB775" s="62"/>
      <c r="CC775" s="62"/>
      <c r="CD775" s="62">
        <f t="shared" si="540"/>
        <v>38.740972222221899</v>
      </c>
      <c r="CE775" s="62">
        <f t="shared" si="515"/>
        <v>1.3836061507936392</v>
      </c>
      <c r="CF775" s="145">
        <f t="shared" si="541"/>
        <v>-11.339583333334303</v>
      </c>
      <c r="CG775" s="145"/>
      <c r="CH775" s="443">
        <f t="shared" si="516"/>
        <v>0.97862103174598558</v>
      </c>
      <c r="CI775" s="996">
        <f t="shared" si="542"/>
        <v>0.97862103174598558</v>
      </c>
      <c r="CJ775" s="261">
        <f t="shared" si="517"/>
        <v>-0.18899305555557172</v>
      </c>
      <c r="CK775" s="458" t="str">
        <f t="shared" si="518"/>
        <v/>
      </c>
      <c r="CL775" t="str">
        <f t="shared" si="519"/>
        <v>REV</v>
      </c>
      <c r="CM775" t="str">
        <f t="shared" si="520"/>
        <v/>
      </c>
      <c r="CN775" s="635"/>
      <c r="CO775" s="631"/>
      <c r="CP775" s="629"/>
      <c r="CQ775" s="635"/>
      <c r="CR775" s="697"/>
      <c r="CS775" s="633"/>
      <c r="CT775" s="635"/>
      <c r="CU775" s="631"/>
      <c r="CV775" s="638"/>
      <c r="CW775" s="853"/>
      <c r="CX775" s="856"/>
      <c r="CY775" s="856"/>
    </row>
    <row r="776" spans="1:103" s="359" customFormat="1" ht="15" customHeight="1" x14ac:dyDescent="0.25">
      <c r="A776" s="242">
        <v>45846</v>
      </c>
      <c r="B776" s="222">
        <v>45847</v>
      </c>
      <c r="C776" s="852"/>
      <c r="D776" s="66" t="s">
        <v>284</v>
      </c>
      <c r="E776" s="404" t="s">
        <v>3702</v>
      </c>
      <c r="F776" s="95" t="s">
        <v>3698</v>
      </c>
      <c r="G776" s="95" t="s">
        <v>3699</v>
      </c>
      <c r="H776" s="95" t="s">
        <v>238</v>
      </c>
      <c r="I776" s="95" t="s">
        <v>239</v>
      </c>
      <c r="J776" s="854" t="s">
        <v>3700</v>
      </c>
      <c r="K776" s="855"/>
      <c r="L776" s="101" t="s">
        <v>242</v>
      </c>
      <c r="M776" s="101" t="s">
        <v>272</v>
      </c>
      <c r="N776" s="442" t="s">
        <v>467</v>
      </c>
      <c r="O776" s="165">
        <v>15.93</v>
      </c>
      <c r="P776" s="165">
        <v>15.93</v>
      </c>
      <c r="Q776" s="157">
        <v>28.8</v>
      </c>
      <c r="R776" s="109" t="s">
        <v>244</v>
      </c>
      <c r="S776" s="110">
        <v>30087.65</v>
      </c>
      <c r="T776" s="93">
        <v>13687.419999999998</v>
      </c>
      <c r="U776" s="857"/>
      <c r="V776" s="158">
        <f t="shared" si="543"/>
        <v>0</v>
      </c>
      <c r="W776" s="159">
        <v>45841.600694444445</v>
      </c>
      <c r="X776" s="159">
        <v>45846.572916666664</v>
      </c>
      <c r="Y776" s="160">
        <v>45847</v>
      </c>
      <c r="Z776" s="470"/>
      <c r="AA776" s="942">
        <v>45880.343055555553</v>
      </c>
      <c r="AB776" s="942"/>
      <c r="AC776" s="161">
        <f t="shared" si="521"/>
        <v>38.742361111108039</v>
      </c>
      <c r="AD776" s="161">
        <f t="shared" si="522"/>
        <v>33.770138888889051</v>
      </c>
      <c r="AE776" s="446">
        <f t="shared" si="523"/>
        <v>-45880.343055555553</v>
      </c>
      <c r="AF776" s="160">
        <f t="shared" si="524"/>
        <v>45860.374887992832</v>
      </c>
      <c r="AG776" s="160">
        <f t="shared" si="525"/>
        <v>45869.181339605733</v>
      </c>
      <c r="AH776" s="159">
        <f t="shared" si="526"/>
        <v>45891.600694444445</v>
      </c>
      <c r="AI776" s="162">
        <f t="shared" si="527"/>
        <v>1.3344591049381658</v>
      </c>
      <c r="AJ776" s="224">
        <f t="shared" si="528"/>
        <v>-764.67238425925927</v>
      </c>
      <c r="AK776" s="225">
        <f t="shared" si="529"/>
        <v>20</v>
      </c>
      <c r="AL776" s="170">
        <f t="shared" si="530"/>
        <v>36</v>
      </c>
      <c r="AM776" s="170">
        <f t="shared" si="531"/>
        <v>21.774193548387096</v>
      </c>
      <c r="AN776" s="170">
        <f t="shared" si="532"/>
        <v>27.58064516129032</v>
      </c>
      <c r="AO776" s="226">
        <f t="shared" si="533"/>
        <v>18.774193548387096</v>
      </c>
      <c r="AP776" s="227">
        <v>60</v>
      </c>
      <c r="AQ776" s="228">
        <f t="shared" si="534"/>
        <v>57</v>
      </c>
      <c r="AR776" s="228">
        <f t="shared" si="535"/>
        <v>52</v>
      </c>
      <c r="AS776" s="229">
        <f t="shared" si="536"/>
        <v>45940.343055555553</v>
      </c>
      <c r="AT776" s="982">
        <f t="shared" ca="1" si="537"/>
        <v>14.656944444446708</v>
      </c>
      <c r="AU776" s="50"/>
      <c r="AV776" s="51"/>
      <c r="AW776" s="49"/>
      <c r="AX776" s="49"/>
      <c r="AY776" s="49"/>
      <c r="AZ776" s="300"/>
      <c r="BA776" s="52"/>
      <c r="BB776" s="304"/>
      <c r="BC776" s="231" t="s">
        <v>13</v>
      </c>
      <c r="BD776" s="232"/>
      <c r="BE776" s="222">
        <f t="shared" si="538"/>
        <v>45895.343055555553</v>
      </c>
      <c r="BF776" s="233" t="e">
        <f t="shared" si="539"/>
        <v>#VALUE!</v>
      </c>
      <c r="BG776" s="234"/>
      <c r="BH776" s="235"/>
      <c r="BI776" s="234"/>
      <c r="BJ776" s="236"/>
      <c r="BK776" s="222"/>
      <c r="BL776" s="222"/>
      <c r="BM776" s="238"/>
      <c r="BN776" s="222"/>
      <c r="BO776" s="222"/>
      <c r="BP776" s="243"/>
      <c r="BQ776" s="244"/>
      <c r="BR776" s="238"/>
      <c r="BS776" s="68"/>
      <c r="BT776" s="69"/>
      <c r="BU776" s="69"/>
      <c r="BV776" s="69"/>
      <c r="BW776" s="75"/>
      <c r="BX776" s="81"/>
      <c r="BY776" s="66" t="s">
        <v>308</v>
      </c>
      <c r="BZ776" s="944">
        <v>180493</v>
      </c>
      <c r="CA776" s="42"/>
      <c r="CB776" s="62"/>
      <c r="CC776" s="62"/>
      <c r="CD776" s="62">
        <f t="shared" si="540"/>
        <v>38.742361111108039</v>
      </c>
      <c r="CE776" s="62">
        <f t="shared" si="515"/>
        <v>1.3344591049381658</v>
      </c>
      <c r="CF776" s="145">
        <f t="shared" si="541"/>
        <v>-11.343055555553292</v>
      </c>
      <c r="CG776" s="145"/>
      <c r="CH776" s="443">
        <f t="shared" si="516"/>
        <v>0.94375385802466338</v>
      </c>
      <c r="CI776" s="996">
        <f t="shared" si="542"/>
        <v>0.94375385802466338</v>
      </c>
      <c r="CJ776" s="261">
        <f t="shared" si="517"/>
        <v>-0.18905092592588821</v>
      </c>
      <c r="CK776" s="458" t="str">
        <f t="shared" si="518"/>
        <v/>
      </c>
      <c r="CL776" t="str">
        <f t="shared" si="519"/>
        <v>REV</v>
      </c>
      <c r="CM776" t="str">
        <f t="shared" si="520"/>
        <v/>
      </c>
      <c r="CN776" s="635"/>
      <c r="CO776" s="631"/>
      <c r="CP776" s="629"/>
      <c r="CQ776" s="635"/>
      <c r="CR776" s="697"/>
      <c r="CS776" s="633"/>
      <c r="CT776" s="635"/>
      <c r="CU776" s="631"/>
      <c r="CV776" s="638"/>
      <c r="CW776" s="853"/>
      <c r="CX776" s="856"/>
      <c r="CY776" s="856"/>
    </row>
    <row r="777" spans="1:103" s="359" customFormat="1" ht="15" customHeight="1" x14ac:dyDescent="0.25">
      <c r="A777" s="242">
        <v>45847</v>
      </c>
      <c r="B777" s="222">
        <v>45847</v>
      </c>
      <c r="C777" s="852"/>
      <c r="D777" s="66" t="s">
        <v>284</v>
      </c>
      <c r="E777" s="404" t="s">
        <v>3703</v>
      </c>
      <c r="F777" s="95" t="s">
        <v>3704</v>
      </c>
      <c r="G777" s="95" t="s">
        <v>3566</v>
      </c>
      <c r="H777" s="95" t="s">
        <v>378</v>
      </c>
      <c r="I777" s="95" t="s">
        <v>239</v>
      </c>
      <c r="J777" s="854"/>
      <c r="K777" s="855"/>
      <c r="L777" s="101" t="s">
        <v>288</v>
      </c>
      <c r="M777" s="101" t="s">
        <v>272</v>
      </c>
      <c r="N777" s="442" t="s">
        <v>381</v>
      </c>
      <c r="O777" s="165">
        <v>141.6</v>
      </c>
      <c r="P777" s="165">
        <v>219.88</v>
      </c>
      <c r="Q777" s="157">
        <v>204</v>
      </c>
      <c r="R777" s="109" t="s">
        <v>244</v>
      </c>
      <c r="S777" s="110">
        <v>982070.52</v>
      </c>
      <c r="T777" s="93"/>
      <c r="U777" s="857"/>
      <c r="V777" s="158" t="e">
        <f t="shared" si="543"/>
        <v>#DIV/0!</v>
      </c>
      <c r="W777" s="159">
        <v>45840.520138888889</v>
      </c>
      <c r="X777" s="159">
        <v>45846.588888888888</v>
      </c>
      <c r="Y777" s="160">
        <v>45847</v>
      </c>
      <c r="Z777" s="470">
        <v>45856</v>
      </c>
      <c r="AA777" s="942">
        <v>45856</v>
      </c>
      <c r="AB777" s="942"/>
      <c r="AC777" s="161">
        <f t="shared" si="521"/>
        <v>15.479861111110949</v>
      </c>
      <c r="AD777" s="161">
        <f t="shared" si="522"/>
        <v>9.4111111111124046</v>
      </c>
      <c r="AE777" s="446">
        <f t="shared" si="523"/>
        <v>-45856</v>
      </c>
      <c r="AF777" s="160">
        <f t="shared" si="524"/>
        <v>45859.548110916861</v>
      </c>
      <c r="AG777" s="160">
        <f t="shared" si="525"/>
        <v>45868.42223679099</v>
      </c>
      <c r="AH777" s="159">
        <f t="shared" si="526"/>
        <v>45890.520138888889</v>
      </c>
      <c r="AI777" s="162">
        <f t="shared" si="527"/>
        <v>0.52705241402115854</v>
      </c>
      <c r="AJ777" s="224">
        <f t="shared" si="528"/>
        <v>-764.26666666666665</v>
      </c>
      <c r="AK777" s="225">
        <f t="shared" si="529"/>
        <v>28</v>
      </c>
      <c r="AL777" s="170">
        <f t="shared" si="530"/>
        <v>30</v>
      </c>
      <c r="AM777" s="170">
        <f t="shared" si="531"/>
        <v>22.027972027972027</v>
      </c>
      <c r="AN777" s="170">
        <f t="shared" si="532"/>
        <v>27.9020979020979</v>
      </c>
      <c r="AO777" s="226">
        <f t="shared" si="533"/>
        <v>19.027972027972027</v>
      </c>
      <c r="AP777" s="227">
        <v>60</v>
      </c>
      <c r="AQ777" s="228">
        <f t="shared" si="534"/>
        <v>57</v>
      </c>
      <c r="AR777" s="228">
        <f t="shared" si="535"/>
        <v>52</v>
      </c>
      <c r="AS777" s="229">
        <f t="shared" si="536"/>
        <v>45916</v>
      </c>
      <c r="AT777" s="982">
        <f t="shared" ca="1" si="537"/>
        <v>39</v>
      </c>
      <c r="AU777" s="50"/>
      <c r="AV777" s="51"/>
      <c r="AW777" s="49"/>
      <c r="AX777" s="49"/>
      <c r="AY777" s="49"/>
      <c r="AZ777" s="300"/>
      <c r="BA777" s="52"/>
      <c r="BB777" s="304"/>
      <c r="BC777" s="231" t="s">
        <v>12</v>
      </c>
      <c r="BD777" s="232"/>
      <c r="BE777" s="222">
        <f t="shared" si="538"/>
        <v>45871</v>
      </c>
      <c r="BF777" s="233">
        <f t="shared" si="539"/>
        <v>13</v>
      </c>
      <c r="BG777" s="234">
        <v>45856</v>
      </c>
      <c r="BH777" s="235">
        <v>45884</v>
      </c>
      <c r="BI777" s="234"/>
      <c r="BJ777" s="236"/>
      <c r="BK777" s="222"/>
      <c r="BL777" s="222"/>
      <c r="BM777" s="238"/>
      <c r="BN777" s="222"/>
      <c r="BO777" s="222"/>
      <c r="BP777" s="243"/>
      <c r="BQ777" s="244"/>
      <c r="BR777" s="238"/>
      <c r="BS777" s="68"/>
      <c r="BT777" s="69"/>
      <c r="BU777" s="69"/>
      <c r="BV777" s="69"/>
      <c r="BW777" s="75"/>
      <c r="BX777" s="81"/>
      <c r="BY777" s="66">
        <v>45847</v>
      </c>
      <c r="BZ777" s="944" t="s">
        <v>3705</v>
      </c>
      <c r="CA777" s="42"/>
      <c r="CB777" s="62"/>
      <c r="CC777" s="62"/>
      <c r="CD777" s="62">
        <f t="shared" si="540"/>
        <v>15.479861111110949</v>
      </c>
      <c r="CE777" s="62">
        <f t="shared" si="515"/>
        <v>0.52705241402115854</v>
      </c>
      <c r="CF777" s="145">
        <f t="shared" si="541"/>
        <v>13</v>
      </c>
      <c r="CG777" s="145"/>
      <c r="CH777" s="443">
        <f t="shared" si="516"/>
        <v>0.96967146164020601</v>
      </c>
      <c r="CI777" s="996">
        <f t="shared" si="542"/>
        <v>0.96967146164020601</v>
      </c>
      <c r="CJ777" s="261">
        <f t="shared" si="517"/>
        <v>0.21666666666666667</v>
      </c>
      <c r="CK777" s="458" t="str">
        <f t="shared" si="518"/>
        <v/>
      </c>
      <c r="CL777" t="str">
        <f t="shared" si="519"/>
        <v>REV</v>
      </c>
      <c r="CM777" t="str">
        <f t="shared" si="520"/>
        <v/>
      </c>
      <c r="CN777" s="635"/>
      <c r="CO777" s="631"/>
      <c r="CP777" s="629"/>
      <c r="CQ777" s="635"/>
      <c r="CR777" s="697"/>
      <c r="CS777" s="633"/>
      <c r="CT777" s="635"/>
      <c r="CU777" s="631"/>
      <c r="CV777" s="638"/>
      <c r="CW777" s="853"/>
      <c r="CX777" s="856"/>
      <c r="CY777" s="856"/>
    </row>
    <row r="778" spans="1:103" s="359" customFormat="1" ht="15" customHeight="1" x14ac:dyDescent="0.25">
      <c r="A778" s="242">
        <v>45846</v>
      </c>
      <c r="B778" s="222">
        <v>45847</v>
      </c>
      <c r="C778" s="852"/>
      <c r="D778" s="66" t="s">
        <v>284</v>
      </c>
      <c r="E778" s="404" t="s">
        <v>3706</v>
      </c>
      <c r="F778" s="95" t="s">
        <v>3707</v>
      </c>
      <c r="G778" s="95" t="s">
        <v>2905</v>
      </c>
      <c r="H778" s="95" t="s">
        <v>318</v>
      </c>
      <c r="I778" s="95" t="s">
        <v>239</v>
      </c>
      <c r="J778" s="854"/>
      <c r="K778" s="855"/>
      <c r="L778" s="101" t="s">
        <v>5</v>
      </c>
      <c r="M778" s="101" t="s">
        <v>272</v>
      </c>
      <c r="N778" s="442" t="s">
        <v>403</v>
      </c>
      <c r="O778" s="165">
        <v>114.36</v>
      </c>
      <c r="P778" s="165">
        <v>114.36</v>
      </c>
      <c r="Q778" s="157">
        <v>0</v>
      </c>
      <c r="R778" s="109" t="s">
        <v>319</v>
      </c>
      <c r="S778" s="110">
        <v>98432.74</v>
      </c>
      <c r="T778" s="93"/>
      <c r="U778" s="857"/>
      <c r="V778" s="158" t="e">
        <f t="shared" si="543"/>
        <v>#DIV/0!</v>
      </c>
      <c r="W778" s="159">
        <v>45840.717361111114</v>
      </c>
      <c r="X778" s="159">
        <v>45846.589583333334</v>
      </c>
      <c r="Y778" s="160">
        <v>45847</v>
      </c>
      <c r="Z778" s="470"/>
      <c r="AA778" s="942">
        <v>45883</v>
      </c>
      <c r="AB778" s="942"/>
      <c r="AC778" s="161">
        <f t="shared" si="521"/>
        <v>42.28263888888614</v>
      </c>
      <c r="AD778" s="161">
        <f t="shared" si="522"/>
        <v>36.410416666665697</v>
      </c>
      <c r="AE778" s="446">
        <f t="shared" si="523"/>
        <v>-45883</v>
      </c>
      <c r="AF778" s="160">
        <f t="shared" si="524"/>
        <v>45861.924257662838</v>
      </c>
      <c r="AG778" s="160">
        <f t="shared" si="525"/>
        <v>45871.379430076631</v>
      </c>
      <c r="AH778" s="159">
        <f t="shared" si="526"/>
        <v>45890.717361111114</v>
      </c>
      <c r="AI778" s="162">
        <f t="shared" si="527"/>
        <v>1.3100390254035235</v>
      </c>
      <c r="AJ778" s="224">
        <f t="shared" si="528"/>
        <v>-764.7166666666667</v>
      </c>
      <c r="AK778" s="225">
        <f t="shared" si="529"/>
        <v>26</v>
      </c>
      <c r="AL778" s="170">
        <f t="shared" si="530"/>
        <v>36</v>
      </c>
      <c r="AM778" s="170">
        <f t="shared" si="531"/>
        <v>24.206896551724139</v>
      </c>
      <c r="AN778" s="170">
        <f t="shared" si="532"/>
        <v>30.662068965517239</v>
      </c>
      <c r="AO778" s="226">
        <f t="shared" si="533"/>
        <v>21.206896551724139</v>
      </c>
      <c r="AP778" s="227">
        <v>60</v>
      </c>
      <c r="AQ778" s="228">
        <f t="shared" si="534"/>
        <v>57</v>
      </c>
      <c r="AR778" s="228">
        <f t="shared" si="535"/>
        <v>52</v>
      </c>
      <c r="AS778" s="229">
        <f t="shared" si="536"/>
        <v>45943</v>
      </c>
      <c r="AT778" s="982">
        <f t="shared" ca="1" si="537"/>
        <v>12</v>
      </c>
      <c r="AU778" s="50"/>
      <c r="AV778" s="51"/>
      <c r="AW778" s="49"/>
      <c r="AX778" s="49"/>
      <c r="AY778" s="49"/>
      <c r="AZ778" s="300"/>
      <c r="BA778" s="52"/>
      <c r="BB778" s="304"/>
      <c r="BC778" s="231"/>
      <c r="BD778" s="232"/>
      <c r="BE778" s="222">
        <f t="shared" si="538"/>
        <v>45898</v>
      </c>
      <c r="BF778" s="233" t="e">
        <f t="shared" si="539"/>
        <v>#VALUE!</v>
      </c>
      <c r="BG778" s="234"/>
      <c r="BH778" s="235"/>
      <c r="BI778" s="234"/>
      <c r="BJ778" s="236"/>
      <c r="BK778" s="222"/>
      <c r="BL778" s="222"/>
      <c r="BM778" s="238"/>
      <c r="BN778" s="222"/>
      <c r="BO778" s="222"/>
      <c r="BP778" s="243"/>
      <c r="BQ778" s="244"/>
      <c r="BR778" s="238"/>
      <c r="BS778" s="68"/>
      <c r="BT778" s="69"/>
      <c r="BU778" s="69"/>
      <c r="BV778" s="69"/>
      <c r="BW778" s="75"/>
      <c r="BX778" s="81"/>
      <c r="BY778" s="66" t="s">
        <v>308</v>
      </c>
      <c r="BZ778" s="944" t="s">
        <v>3708</v>
      </c>
      <c r="CA778" s="42"/>
      <c r="CB778" s="62"/>
      <c r="CC778" s="62"/>
      <c r="CD778" s="62">
        <f t="shared" si="540"/>
        <v>42.28263888888614</v>
      </c>
      <c r="CE778" s="62">
        <f t="shared" si="515"/>
        <v>1.3100390254035235</v>
      </c>
      <c r="CF778" s="145">
        <f t="shared" si="541"/>
        <v>-14</v>
      </c>
      <c r="CG778" s="145"/>
      <c r="CH778" s="443">
        <f t="shared" si="516"/>
        <v>0.8762783416428398</v>
      </c>
      <c r="CI778" s="996">
        <f t="shared" si="542"/>
        <v>0.8762783416428398</v>
      </c>
      <c r="CJ778" s="261">
        <f t="shared" si="517"/>
        <v>-0.23333333333333334</v>
      </c>
      <c r="CK778" s="458" t="str">
        <f t="shared" si="518"/>
        <v/>
      </c>
      <c r="CL778" t="str">
        <f t="shared" si="519"/>
        <v>NON-REV</v>
      </c>
      <c r="CM778" t="str">
        <f t="shared" si="520"/>
        <v/>
      </c>
      <c r="CN778" s="635"/>
      <c r="CO778" s="631"/>
      <c r="CP778" s="629"/>
      <c r="CQ778" s="635"/>
      <c r="CR778" s="697"/>
      <c r="CS778" s="633"/>
      <c r="CT778" s="635"/>
      <c r="CU778" s="631"/>
      <c r="CV778" s="638"/>
      <c r="CW778" s="853"/>
      <c r="CX778" s="856"/>
      <c r="CY778" s="856"/>
    </row>
    <row r="779" spans="1:103" s="359" customFormat="1" ht="15" customHeight="1" x14ac:dyDescent="0.25">
      <c r="A779" s="222" t="s">
        <v>308</v>
      </c>
      <c r="B779" s="222" t="s">
        <v>308</v>
      </c>
      <c r="C779" s="852"/>
      <c r="D779" s="66" t="s">
        <v>320</v>
      </c>
      <c r="E779" s="404" t="s">
        <v>3709</v>
      </c>
      <c r="F779" s="95" t="s">
        <v>3710</v>
      </c>
      <c r="G779" s="95" t="s">
        <v>3711</v>
      </c>
      <c r="H779" s="95" t="s">
        <v>269</v>
      </c>
      <c r="I779" s="95" t="s">
        <v>239</v>
      </c>
      <c r="J779" s="854"/>
      <c r="K779" s="855"/>
      <c r="L779" s="101" t="s">
        <v>1945</v>
      </c>
      <c r="M779" s="101" t="s">
        <v>272</v>
      </c>
      <c r="N779" s="442" t="s">
        <v>1946</v>
      </c>
      <c r="O779" s="165">
        <v>5.8</v>
      </c>
      <c r="P779" s="165">
        <v>5.8</v>
      </c>
      <c r="Q779" s="157">
        <v>6</v>
      </c>
      <c r="R779" s="109" t="s">
        <v>548</v>
      </c>
      <c r="S779" s="110">
        <v>24865.38</v>
      </c>
      <c r="T779" s="93"/>
      <c r="U779" s="857"/>
      <c r="V779" s="158" t="e">
        <f t="shared" si="543"/>
        <v>#DIV/0!</v>
      </c>
      <c r="W779" s="159">
        <v>45840.532638888886</v>
      </c>
      <c r="X779" s="159">
        <v>45842.53125</v>
      </c>
      <c r="Y779" s="160" t="s">
        <v>308</v>
      </c>
      <c r="Z779" s="470"/>
      <c r="AA779" s="942">
        <v>45855.259027777778</v>
      </c>
      <c r="AB779" s="942"/>
      <c r="AC779" s="161">
        <f t="shared" si="521"/>
        <v>14.726388888891961</v>
      </c>
      <c r="AD779" s="161">
        <f t="shared" si="522"/>
        <v>12.727777777778101</v>
      </c>
      <c r="AE779" s="446">
        <f t="shared" si="523"/>
        <v>-45855.259027777778</v>
      </c>
      <c r="AF779" s="160">
        <f t="shared" si="524"/>
        <v>45859.306832437273</v>
      </c>
      <c r="AG779" s="160">
        <f t="shared" si="525"/>
        <v>45868.113284050174</v>
      </c>
      <c r="AH779" s="159">
        <f t="shared" si="526"/>
        <v>45890.532638888886</v>
      </c>
      <c r="AI779" s="162">
        <f t="shared" si="527"/>
        <v>0.50724228395072313</v>
      </c>
      <c r="AJ779" s="224">
        <f t="shared" si="528"/>
        <v>-764.25431712962961</v>
      </c>
      <c r="AK779" s="225">
        <f t="shared" si="529"/>
        <v>20</v>
      </c>
      <c r="AL779" s="170">
        <f t="shared" si="530"/>
        <v>36</v>
      </c>
      <c r="AM779" s="170">
        <f t="shared" si="531"/>
        <v>21.774193548387096</v>
      </c>
      <c r="AN779" s="170">
        <f t="shared" si="532"/>
        <v>27.58064516129032</v>
      </c>
      <c r="AO779" s="226">
        <f t="shared" si="533"/>
        <v>18.774193548387096</v>
      </c>
      <c r="AP779" s="227">
        <v>60</v>
      </c>
      <c r="AQ779" s="228">
        <f t="shared" si="534"/>
        <v>57</v>
      </c>
      <c r="AR779" s="228">
        <f t="shared" si="535"/>
        <v>52</v>
      </c>
      <c r="AS779" s="229">
        <f t="shared" si="536"/>
        <v>45915.259027777778</v>
      </c>
      <c r="AT779" s="982">
        <f t="shared" ca="1" si="537"/>
        <v>39.740972222221899</v>
      </c>
      <c r="AU779" s="50"/>
      <c r="AV779" s="51"/>
      <c r="AW779" s="49"/>
      <c r="AX779" s="49"/>
      <c r="AY779" s="49"/>
      <c r="AZ779" s="300"/>
      <c r="BA779" s="52"/>
      <c r="BB779" s="304"/>
      <c r="BC779" s="231" t="s">
        <v>13</v>
      </c>
      <c r="BD779" s="232"/>
      <c r="BE779" s="222">
        <f t="shared" si="538"/>
        <v>45870.259027777778</v>
      </c>
      <c r="BF779" s="233" t="e">
        <f t="shared" si="539"/>
        <v>#VALUE!</v>
      </c>
      <c r="BG779" s="234"/>
      <c r="BH779" s="235"/>
      <c r="BI779" s="234"/>
      <c r="BJ779" s="236"/>
      <c r="BK779" s="222"/>
      <c r="BL779" s="222"/>
      <c r="BM779" s="238"/>
      <c r="BN779" s="222"/>
      <c r="BO779" s="222"/>
      <c r="BP779" s="243"/>
      <c r="BQ779" s="244"/>
      <c r="BR779" s="238"/>
      <c r="BS779" s="68"/>
      <c r="BT779" s="69"/>
      <c r="BU779" s="69"/>
      <c r="BV779" s="69"/>
      <c r="BW779" s="75"/>
      <c r="BX779" s="81"/>
      <c r="BY779" s="66"/>
      <c r="BZ779" s="944"/>
      <c r="CA779" s="42"/>
      <c r="CB779" s="62"/>
      <c r="CC779" s="62"/>
      <c r="CD779" s="62">
        <f t="shared" si="540"/>
        <v>14.726388888891961</v>
      </c>
      <c r="CE779" s="62">
        <f t="shared" si="515"/>
        <v>0.50724228395072313</v>
      </c>
      <c r="CF779" s="145">
        <f t="shared" si="541"/>
        <v>13.740972222221899</v>
      </c>
      <c r="CG779" s="145"/>
      <c r="CH779" s="443">
        <f t="shared" si="516"/>
        <v>0.98054243827169962</v>
      </c>
      <c r="CI779" s="996">
        <f t="shared" si="542"/>
        <v>0.98054243827169962</v>
      </c>
      <c r="CJ779" s="261">
        <f t="shared" si="517"/>
        <v>0.22901620370369832</v>
      </c>
      <c r="CK779" s="458" t="str">
        <f t="shared" si="518"/>
        <v/>
      </c>
      <c r="CL779" t="str">
        <f t="shared" si="519"/>
        <v>NON-REV</v>
      </c>
      <c r="CM779" t="str">
        <f t="shared" si="520"/>
        <v/>
      </c>
      <c r="CN779" s="635"/>
      <c r="CO779" s="631"/>
      <c r="CP779" s="629"/>
      <c r="CQ779" s="635"/>
      <c r="CR779" s="697"/>
      <c r="CS779" s="633"/>
      <c r="CT779" s="635"/>
      <c r="CU779" s="631"/>
      <c r="CV779" s="638"/>
      <c r="CW779" s="853"/>
      <c r="CX779" s="856"/>
      <c r="CY779" s="856"/>
    </row>
    <row r="780" spans="1:103" s="359" customFormat="1" ht="15" customHeight="1" x14ac:dyDescent="0.25">
      <c r="A780" s="222" t="s">
        <v>308</v>
      </c>
      <c r="B780" s="222" t="s">
        <v>308</v>
      </c>
      <c r="C780" s="852"/>
      <c r="D780" s="66" t="s">
        <v>234</v>
      </c>
      <c r="E780" s="404" t="s">
        <v>3712</v>
      </c>
      <c r="F780" s="95" t="s">
        <v>926</v>
      </c>
      <c r="G780" s="95" t="s">
        <v>3713</v>
      </c>
      <c r="H780" s="95" t="s">
        <v>269</v>
      </c>
      <c r="I780" s="95" t="s">
        <v>239</v>
      </c>
      <c r="J780" s="854"/>
      <c r="K780" s="855"/>
      <c r="L780" s="101" t="s">
        <v>1957</v>
      </c>
      <c r="M780" s="101" t="s">
        <v>272</v>
      </c>
      <c r="N780" s="442" t="s">
        <v>3375</v>
      </c>
      <c r="O780" s="165">
        <v>38.56</v>
      </c>
      <c r="P780" s="165">
        <v>38.56</v>
      </c>
      <c r="Q780" s="157">
        <v>31</v>
      </c>
      <c r="R780" s="109" t="s">
        <v>244</v>
      </c>
      <c r="S780" s="110">
        <v>263276.53999999998</v>
      </c>
      <c r="T780" s="93"/>
      <c r="U780" s="857"/>
      <c r="V780" s="158" t="e">
        <f t="shared" si="543"/>
        <v>#DIV/0!</v>
      </c>
      <c r="W780" s="159">
        <v>45841.557638888888</v>
      </c>
      <c r="X780" s="159">
        <v>45842.531944444447</v>
      </c>
      <c r="Y780" s="160" t="s">
        <v>308</v>
      </c>
      <c r="Z780" s="470"/>
      <c r="AA780" s="942">
        <v>45883</v>
      </c>
      <c r="AB780" s="942"/>
      <c r="AC780" s="161">
        <f t="shared" ref="AC780:AC786" si="544">AA780-W780</f>
        <v>41.442361111112405</v>
      </c>
      <c r="AD780" s="161">
        <f t="shared" ref="AD780:AD786" si="545">AA780-X780</f>
        <v>40.468055555553292</v>
      </c>
      <c r="AE780" s="446">
        <f t="shared" ref="AE780:AE786" si="546">AB780-AA780</f>
        <v>-45883</v>
      </c>
      <c r="AF780" s="160">
        <f t="shared" ref="AF780:AF786" si="547">W780+AO780</f>
        <v>45860.331832437274</v>
      </c>
      <c r="AG780" s="160">
        <f t="shared" ref="AG780:AG786" si="548">W780+AN780</f>
        <v>45869.138284050176</v>
      </c>
      <c r="AH780" s="159">
        <f t="shared" ref="AH780:AH786" si="549">W780+50</f>
        <v>45891.557638888888</v>
      </c>
      <c r="AI780" s="162">
        <f t="shared" ref="AI780:AI786" si="550" xml:space="preserve"> (0.3)*(AC780/AK780)+(0.7)*(AC780/AL780)</f>
        <v>1.4274591049383161</v>
      </c>
      <c r="AJ780" s="224">
        <f t="shared" ref="AJ780:AJ786" si="551">AE780/AP780</f>
        <v>-764.7166666666667</v>
      </c>
      <c r="AK780" s="225">
        <f t="shared" ref="AK780:AK786" si="552">IF(P780&lt;51,20,(IF(P780&lt;101,23,(IF(P780&lt;201,26,IF(P780&lt;301,28,IF(P780&lt;401,30,(IF(P780&lt;501,32,(IF(P780&lt;1001,40,50)))))))))))</f>
        <v>20</v>
      </c>
      <c r="AL780" s="170">
        <f t="shared" ref="AL780:AL786" si="553">IF(Q780&lt;51,36,(IF(Q780&lt;101,34,(IF(Q780&lt;201,32,IF(Q780&lt;301,30,IF(Q780&lt;401,28,(IF(Q780&lt;501,26,(IF(Q780&lt;1001,23,20)))))))))))</f>
        <v>36</v>
      </c>
      <c r="AM780" s="170">
        <f t="shared" ref="AM780:AM786" si="554">(0.75)/((0.3/AK780)+(0.7/AL780))</f>
        <v>21.774193548387096</v>
      </c>
      <c r="AN780" s="170">
        <f t="shared" ref="AN780:AN786" si="555">(0.95)/((0.3/AK780)+(0.7/AL780))</f>
        <v>27.58064516129032</v>
      </c>
      <c r="AO780" s="226">
        <f t="shared" ref="AO780:AO786" si="556">AM780-3</f>
        <v>18.774193548387096</v>
      </c>
      <c r="AP780" s="227">
        <v>60</v>
      </c>
      <c r="AQ780" s="228">
        <f t="shared" si="534"/>
        <v>57</v>
      </c>
      <c r="AR780" s="228">
        <f t="shared" si="535"/>
        <v>52</v>
      </c>
      <c r="AS780" s="229">
        <f t="shared" ref="AS780:AS786" si="557">AA780+AP780</f>
        <v>45943</v>
      </c>
      <c r="AT780" s="982">
        <f t="shared" ref="AT780:AT786" ca="1" si="558">IFERROR(TODAY()-AA780,"")</f>
        <v>12</v>
      </c>
      <c r="AU780" s="50"/>
      <c r="AV780" s="51"/>
      <c r="AW780" s="49"/>
      <c r="AX780" s="49"/>
      <c r="AY780" s="49"/>
      <c r="AZ780" s="300"/>
      <c r="BA780" s="52"/>
      <c r="BB780" s="304"/>
      <c r="BC780" s="231"/>
      <c r="BD780" s="232"/>
      <c r="BE780" s="222">
        <f t="shared" ref="BE780:BE786" si="559">AA780+15</f>
        <v>45898</v>
      </c>
      <c r="BF780" s="233" t="e">
        <f t="shared" ref="BF780:BF786" si="560">IF(ISBLANK(AA780),0,IF(ISBLANK(BH780),(BE780-$L$1),(BH780-BE780)))</f>
        <v>#VALUE!</v>
      </c>
      <c r="BG780" s="234"/>
      <c r="BH780" s="235"/>
      <c r="BI780" s="234"/>
      <c r="BJ780" s="236"/>
      <c r="BK780" s="222"/>
      <c r="BL780" s="222"/>
      <c r="BM780" s="238"/>
      <c r="BN780" s="222"/>
      <c r="BO780" s="222"/>
      <c r="BP780" s="243"/>
      <c r="BQ780" s="244"/>
      <c r="BR780" s="238"/>
      <c r="BS780" s="68"/>
      <c r="BT780" s="69"/>
      <c r="BU780" s="69"/>
      <c r="BV780" s="69"/>
      <c r="BW780" s="75"/>
      <c r="BX780" s="81"/>
      <c r="BY780" s="66"/>
      <c r="BZ780" s="944"/>
      <c r="CA780" s="42"/>
      <c r="CB780" s="62"/>
      <c r="CC780" s="62"/>
      <c r="CD780" s="62">
        <f t="shared" si="540"/>
        <v>41.442361111112405</v>
      </c>
      <c r="CE780" s="62">
        <f t="shared" si="515"/>
        <v>1.4274591049383161</v>
      </c>
      <c r="CF780" s="145">
        <f t="shared" si="541"/>
        <v>-14</v>
      </c>
      <c r="CG780" s="145"/>
      <c r="CH780" s="443">
        <f t="shared" si="516"/>
        <v>0.94523688271609396</v>
      </c>
      <c r="CI780" s="996">
        <f t="shared" si="542"/>
        <v>0.94523688271609396</v>
      </c>
      <c r="CJ780" s="261">
        <f t="shared" si="517"/>
        <v>-0.23333333333333334</v>
      </c>
      <c r="CK780" s="458" t="str">
        <f t="shared" si="518"/>
        <v/>
      </c>
      <c r="CL780" t="str">
        <f t="shared" si="519"/>
        <v>REV</v>
      </c>
      <c r="CM780" t="str">
        <f t="shared" si="520"/>
        <v/>
      </c>
      <c r="CN780" s="635"/>
      <c r="CO780" s="631"/>
      <c r="CP780" s="629"/>
      <c r="CQ780" s="635"/>
      <c r="CR780" s="697"/>
      <c r="CS780" s="633"/>
      <c r="CT780" s="635"/>
      <c r="CU780" s="631"/>
      <c r="CV780" s="638"/>
      <c r="CW780" s="853"/>
      <c r="CX780" s="856"/>
      <c r="CY780" s="856"/>
    </row>
    <row r="781" spans="1:103" s="359" customFormat="1" ht="15" customHeight="1" x14ac:dyDescent="0.25">
      <c r="A781" s="242">
        <v>45856</v>
      </c>
      <c r="B781" s="222">
        <v>45849</v>
      </c>
      <c r="C781" s="852"/>
      <c r="D781" s="66" t="s">
        <v>320</v>
      </c>
      <c r="E781" s="404" t="s">
        <v>3714</v>
      </c>
      <c r="F781" s="95" t="s">
        <v>3715</v>
      </c>
      <c r="G781" s="95" t="s">
        <v>3716</v>
      </c>
      <c r="H781" s="95" t="s">
        <v>269</v>
      </c>
      <c r="I781" s="95" t="s">
        <v>239</v>
      </c>
      <c r="J781" s="854"/>
      <c r="K781" s="855"/>
      <c r="L781" s="101" t="s">
        <v>263</v>
      </c>
      <c r="M781" s="101" t="s">
        <v>331</v>
      </c>
      <c r="N781" s="442" t="s">
        <v>467</v>
      </c>
      <c r="O781" s="165">
        <v>0.59</v>
      </c>
      <c r="P781" s="165">
        <v>0.59</v>
      </c>
      <c r="Q781" s="157">
        <v>1.5</v>
      </c>
      <c r="R781" s="109" t="s">
        <v>244</v>
      </c>
      <c r="S781" s="110">
        <v>15021.02</v>
      </c>
      <c r="T781" s="93">
        <v>506.95000000000005</v>
      </c>
      <c r="U781" s="857"/>
      <c r="V781" s="158">
        <f t="shared" si="543"/>
        <v>0</v>
      </c>
      <c r="W781" s="159">
        <v>45841.679166666669</v>
      </c>
      <c r="X781" s="330">
        <v>45848</v>
      </c>
      <c r="Y781" s="160">
        <v>45849</v>
      </c>
      <c r="Z781" s="470"/>
      <c r="AA781" s="942"/>
      <c r="AB781" s="942"/>
      <c r="AC781" s="161">
        <f t="shared" si="544"/>
        <v>-45841.679166666669</v>
      </c>
      <c r="AD781" s="161">
        <f t="shared" si="545"/>
        <v>-45848</v>
      </c>
      <c r="AE781" s="446">
        <f t="shared" si="546"/>
        <v>0</v>
      </c>
      <c r="AF781" s="160">
        <f t="shared" si="547"/>
        <v>45860.453360215055</v>
      </c>
      <c r="AG781" s="160">
        <f t="shared" si="548"/>
        <v>45869.259811827957</v>
      </c>
      <c r="AH781" s="159">
        <f t="shared" si="549"/>
        <v>45891.679166666669</v>
      </c>
      <c r="AI781" s="162">
        <f t="shared" si="550"/>
        <v>-1578.9911712962964</v>
      </c>
      <c r="AJ781" s="224">
        <f t="shared" si="551"/>
        <v>0</v>
      </c>
      <c r="AK781" s="225">
        <f t="shared" si="552"/>
        <v>20</v>
      </c>
      <c r="AL781" s="170">
        <f t="shared" si="553"/>
        <v>36</v>
      </c>
      <c r="AM781" s="170">
        <f t="shared" si="554"/>
        <v>21.774193548387096</v>
      </c>
      <c r="AN781" s="170">
        <f t="shared" si="555"/>
        <v>27.58064516129032</v>
      </c>
      <c r="AO781" s="226">
        <f t="shared" si="556"/>
        <v>18.774193548387096</v>
      </c>
      <c r="AP781" s="227">
        <v>60</v>
      </c>
      <c r="AQ781" s="228">
        <f t="shared" si="534"/>
        <v>57</v>
      </c>
      <c r="AR781" s="228">
        <f t="shared" si="535"/>
        <v>52</v>
      </c>
      <c r="AS781" s="229">
        <f t="shared" si="557"/>
        <v>60</v>
      </c>
      <c r="AT781" s="982">
        <f t="shared" ca="1" si="558"/>
        <v>45895</v>
      </c>
      <c r="AU781" s="50"/>
      <c r="AV781" s="51"/>
      <c r="AW781" s="49"/>
      <c r="AX781" s="49"/>
      <c r="AY781" s="49"/>
      <c r="AZ781" s="300"/>
      <c r="BA781" s="52"/>
      <c r="BB781" s="304"/>
      <c r="BC781" s="231"/>
      <c r="BD781" s="232"/>
      <c r="BE781" s="222">
        <f t="shared" si="559"/>
        <v>15</v>
      </c>
      <c r="BF781" s="233">
        <f t="shared" si="560"/>
        <v>0</v>
      </c>
      <c r="BG781" s="234"/>
      <c r="BH781" s="235"/>
      <c r="BI781" s="234"/>
      <c r="BJ781" s="236"/>
      <c r="BK781" s="222"/>
      <c r="BL781" s="222"/>
      <c r="BM781" s="238"/>
      <c r="BN781" s="222"/>
      <c r="BO781" s="222"/>
      <c r="BP781" s="243"/>
      <c r="BQ781" s="244"/>
      <c r="BR781" s="238"/>
      <c r="BS781" s="68"/>
      <c r="BT781" s="69"/>
      <c r="BU781" s="69"/>
      <c r="BV781" s="69"/>
      <c r="BW781" s="75"/>
      <c r="BX781" s="81"/>
      <c r="BY781" s="66" t="s">
        <v>308</v>
      </c>
      <c r="BZ781" s="944" t="s">
        <v>3717</v>
      </c>
      <c r="CA781" s="42"/>
      <c r="CB781" s="62"/>
      <c r="CC781" s="62"/>
      <c r="CD781" s="62">
        <f t="shared" si="540"/>
        <v>-45841.679166666669</v>
      </c>
      <c r="CE781" s="62">
        <f t="shared" si="515"/>
        <v>-1578.9911712962964</v>
      </c>
      <c r="CF781" s="145" t="str">
        <f t="shared" si="541"/>
        <v>0</v>
      </c>
      <c r="CG781" s="145"/>
      <c r="CH781" s="443">
        <f t="shared" si="516"/>
        <v>0.94105092592585904</v>
      </c>
      <c r="CI781" s="996">
        <f t="shared" si="542"/>
        <v>0.94105092592585904</v>
      </c>
      <c r="CJ781" s="261">
        <f t="shared" si="517"/>
        <v>0</v>
      </c>
      <c r="CK781" s="458">
        <f t="shared" si="518"/>
        <v>14.320833333331393</v>
      </c>
      <c r="CL781" t="str">
        <f t="shared" si="519"/>
        <v>REV</v>
      </c>
      <c r="CM781" t="str">
        <f t="shared" si="520"/>
        <v>0-3 MONTHS</v>
      </c>
      <c r="CN781" s="635"/>
      <c r="CO781" s="631"/>
      <c r="CP781" s="629"/>
      <c r="CQ781" s="635"/>
      <c r="CR781" s="697"/>
      <c r="CS781" s="633"/>
      <c r="CT781" s="635"/>
      <c r="CU781" s="631"/>
      <c r="CV781" s="638"/>
      <c r="CW781" s="853"/>
      <c r="CX781" s="856"/>
      <c r="CY781" s="856"/>
    </row>
    <row r="782" spans="1:103" s="359" customFormat="1" ht="15" customHeight="1" x14ac:dyDescent="0.25">
      <c r="A782" s="242">
        <v>45856</v>
      </c>
      <c r="B782" s="222">
        <v>45855</v>
      </c>
      <c r="C782" s="852"/>
      <c r="D782" s="66" t="s">
        <v>320</v>
      </c>
      <c r="E782" s="404" t="s">
        <v>3718</v>
      </c>
      <c r="F782" s="95" t="s">
        <v>3719</v>
      </c>
      <c r="G782" s="95" t="s">
        <v>3720</v>
      </c>
      <c r="H782" s="95" t="s">
        <v>238</v>
      </c>
      <c r="I782" s="95" t="s">
        <v>239</v>
      </c>
      <c r="J782" s="854" t="s">
        <v>3168</v>
      </c>
      <c r="K782" s="855"/>
      <c r="L782" s="101" t="s">
        <v>242</v>
      </c>
      <c r="M782" s="101" t="s">
        <v>331</v>
      </c>
      <c r="N782" s="442" t="s">
        <v>467</v>
      </c>
      <c r="O782" s="165">
        <v>259.79000000000002</v>
      </c>
      <c r="P782" s="165">
        <v>416.35</v>
      </c>
      <c r="Q782" s="157">
        <v>90</v>
      </c>
      <c r="R782" s="109" t="s">
        <v>244</v>
      </c>
      <c r="S782" s="110">
        <v>786924.67</v>
      </c>
      <c r="T782" s="93"/>
      <c r="U782" s="857"/>
      <c r="V782" s="158" t="e">
        <f t="shared" si="543"/>
        <v>#DIV/0!</v>
      </c>
      <c r="W782" s="159">
        <v>45845.615972222222</v>
      </c>
      <c r="X782" s="159">
        <v>45852.620138888888</v>
      </c>
      <c r="Y782" s="160">
        <v>45855</v>
      </c>
      <c r="Z782" s="470"/>
      <c r="AA782" s="942"/>
      <c r="AB782" s="942"/>
      <c r="AC782" s="161">
        <f t="shared" si="544"/>
        <v>-45845.615972222222</v>
      </c>
      <c r="AD782" s="161">
        <f t="shared" si="545"/>
        <v>-45852.620138888888</v>
      </c>
      <c r="AE782" s="446">
        <f t="shared" si="546"/>
        <v>0</v>
      </c>
      <c r="AF782" s="160">
        <f t="shared" si="547"/>
        <v>45867.646647068847</v>
      </c>
      <c r="AG782" s="160">
        <f t="shared" si="548"/>
        <v>45877.321493694617</v>
      </c>
      <c r="AH782" s="159">
        <f t="shared" si="549"/>
        <v>45895.615972222222</v>
      </c>
      <c r="AI782" s="162">
        <f t="shared" si="550"/>
        <v>-1373.6829785794525</v>
      </c>
      <c r="AJ782" s="224">
        <f t="shared" si="551"/>
        <v>0</v>
      </c>
      <c r="AK782" s="225">
        <f t="shared" si="552"/>
        <v>32</v>
      </c>
      <c r="AL782" s="170">
        <f t="shared" si="553"/>
        <v>34</v>
      </c>
      <c r="AM782" s="170">
        <f t="shared" si="554"/>
        <v>25.030674846625768</v>
      </c>
      <c r="AN782" s="170">
        <f t="shared" si="555"/>
        <v>31.70552147239264</v>
      </c>
      <c r="AO782" s="226">
        <f t="shared" si="556"/>
        <v>22.030674846625768</v>
      </c>
      <c r="AP782" s="227">
        <v>60</v>
      </c>
      <c r="AQ782" s="228">
        <f t="shared" si="534"/>
        <v>57</v>
      </c>
      <c r="AR782" s="228">
        <f t="shared" si="535"/>
        <v>52</v>
      </c>
      <c r="AS782" s="229">
        <f t="shared" si="557"/>
        <v>60</v>
      </c>
      <c r="AT782" s="982">
        <f t="shared" ca="1" si="558"/>
        <v>45895</v>
      </c>
      <c r="AU782" s="50"/>
      <c r="AV782" s="51"/>
      <c r="AW782" s="49"/>
      <c r="AX782" s="49"/>
      <c r="AY782" s="49"/>
      <c r="AZ782" s="300"/>
      <c r="BA782" s="52"/>
      <c r="BB782" s="304"/>
      <c r="BC782" s="231"/>
      <c r="BD782" s="232"/>
      <c r="BE782" s="222">
        <f t="shared" si="559"/>
        <v>15</v>
      </c>
      <c r="BF782" s="233">
        <f t="shared" si="560"/>
        <v>0</v>
      </c>
      <c r="BG782" s="234"/>
      <c r="BH782" s="235"/>
      <c r="BI782" s="234"/>
      <c r="BJ782" s="236"/>
      <c r="BK782" s="222"/>
      <c r="BL782" s="222"/>
      <c r="BM782" s="238"/>
      <c r="BN782" s="222"/>
      <c r="BO782" s="222"/>
      <c r="BP782" s="243"/>
      <c r="BQ782" s="244"/>
      <c r="BR782" s="238"/>
      <c r="BS782" s="68"/>
      <c r="BT782" s="69"/>
      <c r="BU782" s="69"/>
      <c r="BV782" s="69"/>
      <c r="BW782" s="75"/>
      <c r="BX782" s="81"/>
      <c r="BY782" s="66">
        <v>45854</v>
      </c>
      <c r="BZ782" s="944" t="s">
        <v>3721</v>
      </c>
      <c r="CA782" s="42"/>
      <c r="CB782" s="62"/>
      <c r="CC782" s="62"/>
      <c r="CD782" s="62">
        <f t="shared" si="540"/>
        <v>-45845.615972222222</v>
      </c>
      <c r="CE782" s="62">
        <f t="shared" si="515"/>
        <v>-1373.6829785794525</v>
      </c>
      <c r="CF782" s="145" t="str">
        <f t="shared" si="541"/>
        <v>0</v>
      </c>
      <c r="CG782" s="145"/>
      <c r="CH782" s="443">
        <f t="shared" si="516"/>
        <v>0.7006611264297482</v>
      </c>
      <c r="CI782" s="996">
        <f t="shared" si="542"/>
        <v>0.7006611264297482</v>
      </c>
      <c r="CJ782" s="261">
        <f t="shared" si="517"/>
        <v>0</v>
      </c>
      <c r="CK782" s="458">
        <f t="shared" si="518"/>
        <v>10.384027777778101</v>
      </c>
      <c r="CL782" t="str">
        <f t="shared" si="519"/>
        <v>REV</v>
      </c>
      <c r="CM782" t="str">
        <f t="shared" si="520"/>
        <v>0-3 MONTHS</v>
      </c>
      <c r="CN782" s="635"/>
      <c r="CO782" s="631"/>
      <c r="CP782" s="629"/>
      <c r="CQ782" s="635"/>
      <c r="CR782" s="697"/>
      <c r="CS782" s="633"/>
      <c r="CT782" s="635"/>
      <c r="CU782" s="631"/>
      <c r="CV782" s="638"/>
      <c r="CW782" s="853"/>
      <c r="CX782" s="856"/>
      <c r="CY782" s="856"/>
    </row>
    <row r="783" spans="1:103" s="359" customFormat="1" ht="15" customHeight="1" x14ac:dyDescent="0.25">
      <c r="A783" s="242">
        <v>45856</v>
      </c>
      <c r="B783" s="222">
        <v>45855</v>
      </c>
      <c r="C783" s="852"/>
      <c r="D783" s="66" t="s">
        <v>320</v>
      </c>
      <c r="E783" s="404" t="s">
        <v>3722</v>
      </c>
      <c r="F783" s="95" t="s">
        <v>3723</v>
      </c>
      <c r="G783" s="95" t="s">
        <v>3724</v>
      </c>
      <c r="H783" s="95" t="s">
        <v>238</v>
      </c>
      <c r="I783" s="95" t="s">
        <v>239</v>
      </c>
      <c r="J783" s="854"/>
      <c r="K783" s="855"/>
      <c r="L783" s="101" t="s">
        <v>242</v>
      </c>
      <c r="M783" s="101" t="s">
        <v>272</v>
      </c>
      <c r="N783" s="442" t="s">
        <v>467</v>
      </c>
      <c r="O783" s="165">
        <v>53.97</v>
      </c>
      <c r="P783" s="165">
        <v>132.25</v>
      </c>
      <c r="Q783" s="157">
        <v>80</v>
      </c>
      <c r="R783" s="109" t="s">
        <v>548</v>
      </c>
      <c r="S783" s="110">
        <v>397295.13</v>
      </c>
      <c r="T783" s="93"/>
      <c r="U783" s="857"/>
      <c r="V783" s="158" t="e">
        <f t="shared" si="543"/>
        <v>#DIV/0!</v>
      </c>
      <c r="W783" s="159">
        <v>45845.96597222222</v>
      </c>
      <c r="X783" s="159">
        <v>45852.62222222222</v>
      </c>
      <c r="Y783" s="160">
        <v>45855</v>
      </c>
      <c r="Z783" s="470"/>
      <c r="AA783" s="942">
        <v>45859</v>
      </c>
      <c r="AB783" s="942"/>
      <c r="AC783" s="161">
        <f t="shared" si="544"/>
        <v>13.034027777779556</v>
      </c>
      <c r="AD783" s="161">
        <f t="shared" si="545"/>
        <v>6.3777777777795563</v>
      </c>
      <c r="AE783" s="446">
        <f t="shared" si="546"/>
        <v>-45859</v>
      </c>
      <c r="AF783" s="160">
        <f t="shared" si="547"/>
        <v>45866.311042644753</v>
      </c>
      <c r="AG783" s="160">
        <f t="shared" si="548"/>
        <v>45875.53639475743</v>
      </c>
      <c r="AH783" s="159">
        <f t="shared" si="549"/>
        <v>45895.96597222222</v>
      </c>
      <c r="AI783" s="162">
        <f t="shared" si="550"/>
        <v>0.41874025892413957</v>
      </c>
      <c r="AJ783" s="224">
        <f t="shared" si="551"/>
        <v>-764.31666666666672</v>
      </c>
      <c r="AK783" s="225">
        <f t="shared" si="552"/>
        <v>26</v>
      </c>
      <c r="AL783" s="170">
        <f t="shared" si="553"/>
        <v>34</v>
      </c>
      <c r="AM783" s="170">
        <f t="shared" si="554"/>
        <v>23.345070422535212</v>
      </c>
      <c r="AN783" s="170">
        <f t="shared" si="555"/>
        <v>29.570422535211268</v>
      </c>
      <c r="AO783" s="226">
        <f t="shared" si="556"/>
        <v>20.345070422535212</v>
      </c>
      <c r="AP783" s="227">
        <v>60</v>
      </c>
      <c r="AQ783" s="228">
        <f t="shared" si="534"/>
        <v>57</v>
      </c>
      <c r="AR783" s="228">
        <f t="shared" si="535"/>
        <v>52</v>
      </c>
      <c r="AS783" s="229">
        <f t="shared" si="557"/>
        <v>45919</v>
      </c>
      <c r="AT783" s="982">
        <f t="shared" ca="1" si="558"/>
        <v>36</v>
      </c>
      <c r="AU783" s="50"/>
      <c r="AV783" s="51"/>
      <c r="AW783" s="49"/>
      <c r="AX783" s="49"/>
      <c r="AY783" s="49"/>
      <c r="AZ783" s="300"/>
      <c r="BA783" s="52"/>
      <c r="BB783" s="304"/>
      <c r="BC783" s="231" t="s">
        <v>13</v>
      </c>
      <c r="BD783" s="232"/>
      <c r="BE783" s="222">
        <f t="shared" si="559"/>
        <v>45874</v>
      </c>
      <c r="BF783" s="233" t="e">
        <f t="shared" si="560"/>
        <v>#VALUE!</v>
      </c>
      <c r="BG783" s="234"/>
      <c r="BH783" s="235"/>
      <c r="BI783" s="234"/>
      <c r="BJ783" s="236"/>
      <c r="BK783" s="222"/>
      <c r="BL783" s="222"/>
      <c r="BM783" s="238"/>
      <c r="BN783" s="222"/>
      <c r="BO783" s="222"/>
      <c r="BP783" s="243"/>
      <c r="BQ783" s="244"/>
      <c r="BR783" s="238"/>
      <c r="BS783" s="68"/>
      <c r="BT783" s="69"/>
      <c r="BU783" s="69"/>
      <c r="BV783" s="69"/>
      <c r="BW783" s="75"/>
      <c r="BX783" s="81"/>
      <c r="BY783" s="66">
        <v>45854</v>
      </c>
      <c r="BZ783" s="944" t="s">
        <v>3725</v>
      </c>
      <c r="CA783" s="42"/>
      <c r="CB783" s="62"/>
      <c r="CC783" s="62"/>
      <c r="CD783" s="62">
        <f t="shared" si="540"/>
        <v>13.034027777779556</v>
      </c>
      <c r="CE783" s="62">
        <f t="shared" si="515"/>
        <v>0.41874025892413957</v>
      </c>
      <c r="CF783" s="145">
        <f t="shared" si="541"/>
        <v>10</v>
      </c>
      <c r="CG783" s="145"/>
      <c r="CH783" s="443">
        <f t="shared" si="516"/>
        <v>0.7400072272499314</v>
      </c>
      <c r="CI783" s="996">
        <f t="shared" si="542"/>
        <v>0.7400072272499314</v>
      </c>
      <c r="CJ783" s="261">
        <f t="shared" si="517"/>
        <v>0.16666666666666666</v>
      </c>
      <c r="CK783" s="458" t="str">
        <f t="shared" si="518"/>
        <v/>
      </c>
      <c r="CL783" t="str">
        <f t="shared" si="519"/>
        <v>NON-REV</v>
      </c>
      <c r="CM783" t="str">
        <f t="shared" si="520"/>
        <v/>
      </c>
      <c r="CN783" s="635"/>
      <c r="CO783" s="631"/>
      <c r="CP783" s="629"/>
      <c r="CQ783" s="635"/>
      <c r="CR783" s="697"/>
      <c r="CS783" s="633"/>
      <c r="CT783" s="635"/>
      <c r="CU783" s="631"/>
      <c r="CV783" s="638"/>
      <c r="CW783" s="853"/>
      <c r="CX783" s="856"/>
      <c r="CY783" s="856"/>
    </row>
    <row r="784" spans="1:103" s="1103" customFormat="1" ht="15" customHeight="1" x14ac:dyDescent="0.2">
      <c r="A784" s="242">
        <v>45856</v>
      </c>
      <c r="B784" s="222">
        <v>45854</v>
      </c>
      <c r="C784" s="852"/>
      <c r="D784" s="66" t="s">
        <v>320</v>
      </c>
      <c r="E784" s="404" t="s">
        <v>3726</v>
      </c>
      <c r="F784" s="95" t="s">
        <v>3727</v>
      </c>
      <c r="G784" s="95" t="s">
        <v>3728</v>
      </c>
      <c r="H784" s="95" t="s">
        <v>269</v>
      </c>
      <c r="I784" s="95" t="s">
        <v>239</v>
      </c>
      <c r="J784" s="854"/>
      <c r="K784" s="855"/>
      <c r="L784" s="101" t="s">
        <v>255</v>
      </c>
      <c r="M784" s="101" t="s">
        <v>272</v>
      </c>
      <c r="N784" s="442" t="s">
        <v>403</v>
      </c>
      <c r="O784" s="165">
        <v>4.72</v>
      </c>
      <c r="P784" s="165">
        <v>4.72</v>
      </c>
      <c r="Q784" s="157">
        <v>1.5</v>
      </c>
      <c r="R784" s="109" t="s">
        <v>244</v>
      </c>
      <c r="S784" s="110">
        <v>26372.55</v>
      </c>
      <c r="T784" s="93"/>
      <c r="U784" s="857"/>
      <c r="V784" s="158" t="e">
        <f t="shared" si="543"/>
        <v>#DIV/0!</v>
      </c>
      <c r="W784" s="159">
        <v>45842.60833333333</v>
      </c>
      <c r="X784" s="159">
        <v>45849.441666666666</v>
      </c>
      <c r="Y784" s="160">
        <v>45854</v>
      </c>
      <c r="Z784" s="470"/>
      <c r="AA784" s="942">
        <v>45866</v>
      </c>
      <c r="AB784" s="942"/>
      <c r="AC784" s="161">
        <f t="shared" si="544"/>
        <v>23.391666666670062</v>
      </c>
      <c r="AD784" s="161">
        <f t="shared" si="545"/>
        <v>16.558333333334303</v>
      </c>
      <c r="AE784" s="446">
        <f t="shared" si="546"/>
        <v>-45866</v>
      </c>
      <c r="AF784" s="160">
        <f t="shared" si="547"/>
        <v>45861.382526881716</v>
      </c>
      <c r="AG784" s="160">
        <f t="shared" si="548"/>
        <v>45870.188978494618</v>
      </c>
      <c r="AH784" s="159">
        <f t="shared" si="549"/>
        <v>45892.60833333333</v>
      </c>
      <c r="AI784" s="162">
        <f t="shared" si="550"/>
        <v>0.80571296296307993</v>
      </c>
      <c r="AJ784" s="224">
        <f t="shared" si="551"/>
        <v>-764.43333333333328</v>
      </c>
      <c r="AK784" s="225">
        <f t="shared" si="552"/>
        <v>20</v>
      </c>
      <c r="AL784" s="170">
        <f t="shared" si="553"/>
        <v>36</v>
      </c>
      <c r="AM784" s="170">
        <f t="shared" si="554"/>
        <v>21.774193548387096</v>
      </c>
      <c r="AN784" s="170">
        <f t="shared" si="555"/>
        <v>27.58064516129032</v>
      </c>
      <c r="AO784" s="226">
        <f t="shared" si="556"/>
        <v>18.774193548387096</v>
      </c>
      <c r="AP784" s="227">
        <v>60</v>
      </c>
      <c r="AQ784" s="228">
        <f t="shared" si="534"/>
        <v>57</v>
      </c>
      <c r="AR784" s="228">
        <f t="shared" si="535"/>
        <v>52</v>
      </c>
      <c r="AS784" s="229">
        <f t="shared" si="557"/>
        <v>45926</v>
      </c>
      <c r="AT784" s="982">
        <f t="shared" ca="1" si="558"/>
        <v>29</v>
      </c>
      <c r="AU784" s="1077"/>
      <c r="AV784" s="1092"/>
      <c r="AW784" s="1079"/>
      <c r="AX784" s="1079"/>
      <c r="AY784" s="1079"/>
      <c r="AZ784" s="1080"/>
      <c r="BA784" s="1101"/>
      <c r="BB784" s="1091"/>
      <c r="BC784" s="231" t="s">
        <v>13</v>
      </c>
      <c r="BD784" s="232"/>
      <c r="BE784" s="222">
        <f t="shared" si="559"/>
        <v>45881</v>
      </c>
      <c r="BF784" s="233" t="e">
        <f t="shared" si="560"/>
        <v>#VALUE!</v>
      </c>
      <c r="BG784" s="234"/>
      <c r="BH784" s="235"/>
      <c r="BI784" s="234"/>
      <c r="BJ784" s="236"/>
      <c r="BK784" s="222"/>
      <c r="BL784" s="222"/>
      <c r="BM784" s="238"/>
      <c r="BN784" s="222"/>
      <c r="BO784" s="222"/>
      <c r="BP784" s="243"/>
      <c r="BQ784" s="244"/>
      <c r="BR784" s="238"/>
      <c r="BS784" s="68"/>
      <c r="BT784" s="69"/>
      <c r="BU784" s="69"/>
      <c r="BV784" s="69"/>
      <c r="BW784" s="75"/>
      <c r="BX784" s="81"/>
      <c r="BY784" s="66">
        <v>45854</v>
      </c>
      <c r="BZ784" s="944" t="s">
        <v>3729</v>
      </c>
      <c r="CA784" s="42"/>
      <c r="CB784" s="62"/>
      <c r="CC784" s="62"/>
      <c r="CD784" s="62">
        <f t="shared" si="540"/>
        <v>23.391666666670062</v>
      </c>
      <c r="CE784" s="62">
        <f t="shared" si="515"/>
        <v>0.80571296296307993</v>
      </c>
      <c r="CF784" s="1059">
        <f t="shared" si="541"/>
        <v>3</v>
      </c>
      <c r="CG784" s="1059"/>
      <c r="CH784" s="1082">
        <f t="shared" si="516"/>
        <v>0.9090462962964132</v>
      </c>
      <c r="CI784" s="1083">
        <f t="shared" si="542"/>
        <v>0.9090462962964132</v>
      </c>
      <c r="CJ784" s="1084">
        <f t="shared" si="517"/>
        <v>0.05</v>
      </c>
      <c r="CK784" s="1085" t="str">
        <f t="shared" si="518"/>
        <v/>
      </c>
      <c r="CL784" s="1057" t="str">
        <f t="shared" si="519"/>
        <v>REV</v>
      </c>
      <c r="CM784" s="1057" t="str">
        <f t="shared" si="520"/>
        <v/>
      </c>
      <c r="CN784" s="1086"/>
      <c r="CO784" s="1087"/>
      <c r="CP784" s="629"/>
      <c r="CQ784" s="1086"/>
      <c r="CR784" s="1088"/>
      <c r="CS784" s="1089"/>
      <c r="CT784" s="1086"/>
      <c r="CU784" s="1087"/>
      <c r="CV784" s="1090"/>
      <c r="CW784" s="853"/>
      <c r="CX784" s="856"/>
      <c r="CY784" s="856"/>
    </row>
    <row r="785" spans="1:103" s="1103" customFormat="1" ht="15" customHeight="1" x14ac:dyDescent="0.2">
      <c r="A785" s="242">
        <v>45856</v>
      </c>
      <c r="B785" s="222">
        <v>45854</v>
      </c>
      <c r="C785" s="852"/>
      <c r="D785" s="66" t="s">
        <v>320</v>
      </c>
      <c r="E785" s="404" t="s">
        <v>3730</v>
      </c>
      <c r="F785" s="95" t="s">
        <v>3731</v>
      </c>
      <c r="G785" s="95" t="s">
        <v>3732</v>
      </c>
      <c r="H785" s="95" t="s">
        <v>269</v>
      </c>
      <c r="I785" s="95" t="s">
        <v>239</v>
      </c>
      <c r="J785" s="1134" t="s">
        <v>3095</v>
      </c>
      <c r="K785" s="855"/>
      <c r="L785" s="101" t="s">
        <v>255</v>
      </c>
      <c r="M785" s="101" t="s">
        <v>331</v>
      </c>
      <c r="N785" s="442" t="s">
        <v>403</v>
      </c>
      <c r="O785" s="165">
        <v>125.51</v>
      </c>
      <c r="P785" s="165">
        <v>125.51</v>
      </c>
      <c r="Q785" s="157">
        <v>77.400000000000006</v>
      </c>
      <c r="R785" s="109" t="s">
        <v>244</v>
      </c>
      <c r="S785" s="110">
        <v>385717.47</v>
      </c>
      <c r="T785" s="93">
        <v>74239.759999999995</v>
      </c>
      <c r="U785" s="857"/>
      <c r="V785" s="158">
        <f t="shared" si="543"/>
        <v>0</v>
      </c>
      <c r="W785" s="159">
        <v>45842.61041666667</v>
      </c>
      <c r="X785" s="159">
        <v>45849.43472222222</v>
      </c>
      <c r="Y785" s="160">
        <v>45854</v>
      </c>
      <c r="Z785" s="470"/>
      <c r="AA785" s="942"/>
      <c r="AB785" s="942"/>
      <c r="AC785" s="161">
        <f t="shared" si="544"/>
        <v>-45842.61041666667</v>
      </c>
      <c r="AD785" s="161">
        <f t="shared" si="545"/>
        <v>-45849.43472222222</v>
      </c>
      <c r="AE785" s="446">
        <f t="shared" si="546"/>
        <v>0</v>
      </c>
      <c r="AF785" s="160">
        <f t="shared" si="547"/>
        <v>45862.955487089203</v>
      </c>
      <c r="AG785" s="160">
        <f t="shared" si="548"/>
        <v>45872.180839201879</v>
      </c>
      <c r="AH785" s="159">
        <f t="shared" si="549"/>
        <v>45892.61041666667</v>
      </c>
      <c r="AI785" s="162">
        <f t="shared" si="550"/>
        <v>-1472.7716468702865</v>
      </c>
      <c r="AJ785" s="224">
        <f t="shared" si="551"/>
        <v>0</v>
      </c>
      <c r="AK785" s="225">
        <f t="shared" si="552"/>
        <v>26</v>
      </c>
      <c r="AL785" s="170">
        <f t="shared" si="553"/>
        <v>34</v>
      </c>
      <c r="AM785" s="170">
        <f t="shared" si="554"/>
        <v>23.345070422535212</v>
      </c>
      <c r="AN785" s="170">
        <f t="shared" si="555"/>
        <v>29.570422535211268</v>
      </c>
      <c r="AO785" s="226">
        <f t="shared" si="556"/>
        <v>20.345070422535212</v>
      </c>
      <c r="AP785" s="227">
        <v>60</v>
      </c>
      <c r="AQ785" s="228">
        <f t="shared" si="534"/>
        <v>57</v>
      </c>
      <c r="AR785" s="228">
        <f t="shared" si="535"/>
        <v>52</v>
      </c>
      <c r="AS785" s="229">
        <f t="shared" si="557"/>
        <v>60</v>
      </c>
      <c r="AT785" s="982">
        <f t="shared" ca="1" si="558"/>
        <v>45895</v>
      </c>
      <c r="AU785" s="1077"/>
      <c r="AV785" s="1092"/>
      <c r="AW785" s="1079"/>
      <c r="AX785" s="1079"/>
      <c r="AY785" s="1079"/>
      <c r="AZ785" s="1080"/>
      <c r="BA785" s="1101"/>
      <c r="BB785" s="1091"/>
      <c r="BC785" s="231"/>
      <c r="BD785" s="232"/>
      <c r="BE785" s="222">
        <f t="shared" si="559"/>
        <v>15</v>
      </c>
      <c r="BF785" s="233">
        <f t="shared" si="560"/>
        <v>0</v>
      </c>
      <c r="BG785" s="234"/>
      <c r="BH785" s="235"/>
      <c r="BI785" s="234"/>
      <c r="BJ785" s="236"/>
      <c r="BK785" s="222"/>
      <c r="BL785" s="222"/>
      <c r="BM785" s="238"/>
      <c r="BN785" s="222"/>
      <c r="BO785" s="222"/>
      <c r="BP785" s="243"/>
      <c r="BQ785" s="244"/>
      <c r="BR785" s="238"/>
      <c r="BS785" s="68"/>
      <c r="BT785" s="69"/>
      <c r="BU785" s="69"/>
      <c r="BV785" s="69"/>
      <c r="BW785" s="75"/>
      <c r="BX785" s="81"/>
      <c r="BY785" s="66">
        <v>45854</v>
      </c>
      <c r="BZ785" s="944" t="s">
        <v>3733</v>
      </c>
      <c r="CA785" s="42"/>
      <c r="CB785" s="62"/>
      <c r="CC785" s="62"/>
      <c r="CD785" s="62">
        <f t="shared" si="540"/>
        <v>-45842.61041666667</v>
      </c>
      <c r="CE785" s="62">
        <f t="shared" si="515"/>
        <v>-1472.7716468702865</v>
      </c>
      <c r="CF785" s="1059" t="str">
        <f t="shared" si="541"/>
        <v>0</v>
      </c>
      <c r="CG785" s="1059"/>
      <c r="CH785" s="1082">
        <f t="shared" si="516"/>
        <v>0.84781014328797544</v>
      </c>
      <c r="CI785" s="1083">
        <f t="shared" si="542"/>
        <v>0.84781014328797544</v>
      </c>
      <c r="CJ785" s="1084">
        <f t="shared" si="517"/>
        <v>0</v>
      </c>
      <c r="CK785" s="1085">
        <f t="shared" si="518"/>
        <v>13.389583333329938</v>
      </c>
      <c r="CL785" s="1057" t="str">
        <f t="shared" si="519"/>
        <v>REV</v>
      </c>
      <c r="CM785" s="1057" t="str">
        <f t="shared" si="520"/>
        <v>0-3 MONTHS</v>
      </c>
      <c r="CN785" s="1086"/>
      <c r="CO785" s="1087"/>
      <c r="CP785" s="629"/>
      <c r="CQ785" s="1086"/>
      <c r="CR785" s="1088"/>
      <c r="CS785" s="1089"/>
      <c r="CT785" s="1086"/>
      <c r="CU785" s="1087"/>
      <c r="CV785" s="1090"/>
      <c r="CW785" s="853"/>
      <c r="CX785" s="856"/>
      <c r="CY785" s="856"/>
    </row>
    <row r="786" spans="1:103" s="359" customFormat="1" ht="15" customHeight="1" x14ac:dyDescent="0.25">
      <c r="A786" s="222" t="s">
        <v>308</v>
      </c>
      <c r="B786" s="222" t="s">
        <v>308</v>
      </c>
      <c r="C786" s="852"/>
      <c r="D786" s="66" t="s">
        <v>284</v>
      </c>
      <c r="E786" s="404" t="s">
        <v>3734</v>
      </c>
      <c r="F786" s="95" t="s">
        <v>3356</v>
      </c>
      <c r="G786" s="95" t="s">
        <v>2746</v>
      </c>
      <c r="H786" s="95" t="s">
        <v>238</v>
      </c>
      <c r="I786" s="95" t="s">
        <v>239</v>
      </c>
      <c r="J786" s="1134" t="s">
        <v>3095</v>
      </c>
      <c r="K786" s="855"/>
      <c r="L786" s="101" t="s">
        <v>1945</v>
      </c>
      <c r="M786" s="101" t="s">
        <v>272</v>
      </c>
      <c r="N786" s="442" t="s">
        <v>1946</v>
      </c>
      <c r="O786" s="165">
        <v>38.06</v>
      </c>
      <c r="P786" s="165">
        <v>38.06</v>
      </c>
      <c r="Q786" s="157">
        <v>33</v>
      </c>
      <c r="R786" s="109" t="s">
        <v>244</v>
      </c>
      <c r="S786" s="110">
        <v>247433.29</v>
      </c>
      <c r="T786" s="93"/>
      <c r="U786" s="857"/>
      <c r="V786" s="158" t="e">
        <f t="shared" si="543"/>
        <v>#DIV/0!</v>
      </c>
      <c r="W786" s="159">
        <v>45845.618055555555</v>
      </c>
      <c r="X786" s="159">
        <v>45846.593055555553</v>
      </c>
      <c r="Y786" s="160" t="s">
        <v>308</v>
      </c>
      <c r="Z786" s="470"/>
      <c r="AA786" s="942">
        <v>45856</v>
      </c>
      <c r="AB786" s="942"/>
      <c r="AC786" s="161">
        <f t="shared" si="544"/>
        <v>10.381944444445253</v>
      </c>
      <c r="AD786" s="161">
        <f t="shared" si="545"/>
        <v>9.4069444444467081</v>
      </c>
      <c r="AE786" s="446">
        <f t="shared" si="546"/>
        <v>-45856</v>
      </c>
      <c r="AF786" s="160">
        <f t="shared" si="547"/>
        <v>45864.392249103941</v>
      </c>
      <c r="AG786" s="160">
        <f t="shared" si="548"/>
        <v>45873.198700716843</v>
      </c>
      <c r="AH786" s="159">
        <f t="shared" si="549"/>
        <v>45895.618055555555</v>
      </c>
      <c r="AI786" s="162">
        <f t="shared" si="550"/>
        <v>0.3576003086420031</v>
      </c>
      <c r="AJ786" s="224">
        <f t="shared" si="551"/>
        <v>-764.26666666666665</v>
      </c>
      <c r="AK786" s="225">
        <f t="shared" si="552"/>
        <v>20</v>
      </c>
      <c r="AL786" s="170">
        <f t="shared" si="553"/>
        <v>36</v>
      </c>
      <c r="AM786" s="170">
        <f t="shared" si="554"/>
        <v>21.774193548387096</v>
      </c>
      <c r="AN786" s="170">
        <f t="shared" si="555"/>
        <v>27.58064516129032</v>
      </c>
      <c r="AO786" s="226">
        <f t="shared" si="556"/>
        <v>18.774193548387096</v>
      </c>
      <c r="AP786" s="227">
        <v>60</v>
      </c>
      <c r="AQ786" s="228">
        <f t="shared" si="534"/>
        <v>57</v>
      </c>
      <c r="AR786" s="228">
        <f t="shared" si="535"/>
        <v>52</v>
      </c>
      <c r="AS786" s="229">
        <f t="shared" si="557"/>
        <v>45916</v>
      </c>
      <c r="AT786" s="982">
        <f t="shared" ca="1" si="558"/>
        <v>39</v>
      </c>
      <c r="AU786" s="50"/>
      <c r="AV786" s="51"/>
      <c r="AW786" s="49"/>
      <c r="AX786" s="49"/>
      <c r="AY786" s="49"/>
      <c r="AZ786" s="300"/>
      <c r="BA786" s="52"/>
      <c r="BB786" s="304"/>
      <c r="BC786" s="231" t="s">
        <v>13</v>
      </c>
      <c r="BD786" s="232"/>
      <c r="BE786" s="222">
        <f t="shared" si="559"/>
        <v>45871</v>
      </c>
      <c r="BF786" s="233" t="e">
        <f t="shared" si="560"/>
        <v>#VALUE!</v>
      </c>
      <c r="BG786" s="234"/>
      <c r="BH786" s="235"/>
      <c r="BI786" s="234"/>
      <c r="BJ786" s="236"/>
      <c r="BK786" s="222"/>
      <c r="BL786" s="222"/>
      <c r="BM786" s="238"/>
      <c r="BN786" s="222"/>
      <c r="BO786" s="222"/>
      <c r="BP786" s="243"/>
      <c r="BQ786" s="244"/>
      <c r="BR786" s="238"/>
      <c r="BS786" s="68"/>
      <c r="BT786" s="69"/>
      <c r="BU786" s="69"/>
      <c r="BV786" s="69"/>
      <c r="BW786" s="75"/>
      <c r="BX786" s="81"/>
      <c r="BY786" s="66"/>
      <c r="BZ786" s="944"/>
      <c r="CA786" s="42"/>
      <c r="CB786" s="62"/>
      <c r="CC786" s="62"/>
      <c r="CD786" s="62">
        <f t="shared" si="540"/>
        <v>10.381944444445253</v>
      </c>
      <c r="CE786" s="62">
        <f t="shared" si="515"/>
        <v>0.3576003086420031</v>
      </c>
      <c r="CF786" s="145">
        <f t="shared" si="541"/>
        <v>13</v>
      </c>
      <c r="CG786" s="145"/>
      <c r="CH786" s="443">
        <f t="shared" si="516"/>
        <v>0.80537808641978093</v>
      </c>
      <c r="CI786" s="996">
        <f t="shared" si="542"/>
        <v>0.80537808641978093</v>
      </c>
      <c r="CJ786" s="261">
        <f t="shared" si="517"/>
        <v>0.21666666666666667</v>
      </c>
      <c r="CK786" s="458" t="str">
        <f t="shared" si="518"/>
        <v/>
      </c>
      <c r="CL786" t="str">
        <f t="shared" si="519"/>
        <v>REV</v>
      </c>
      <c r="CM786" t="str">
        <f t="shared" si="520"/>
        <v/>
      </c>
      <c r="CN786" s="635"/>
      <c r="CO786" s="631"/>
      <c r="CP786" s="629"/>
      <c r="CQ786" s="635"/>
      <c r="CR786" s="697"/>
      <c r="CS786" s="633"/>
      <c r="CT786" s="635"/>
      <c r="CU786" s="631"/>
      <c r="CV786" s="638"/>
      <c r="CW786" s="853"/>
      <c r="CX786" s="856"/>
      <c r="CY786" s="856"/>
    </row>
    <row r="787" spans="1:103" s="359" customFormat="1" ht="15" customHeight="1" x14ac:dyDescent="0.25">
      <c r="A787" s="222" t="s">
        <v>308</v>
      </c>
      <c r="B787" s="222" t="s">
        <v>308</v>
      </c>
      <c r="C787" s="852" t="s">
        <v>247</v>
      </c>
      <c r="D787" s="66" t="s">
        <v>284</v>
      </c>
      <c r="E787" s="404" t="s">
        <v>3735</v>
      </c>
      <c r="F787" s="95" t="s">
        <v>3736</v>
      </c>
      <c r="G787" s="95" t="s">
        <v>3737</v>
      </c>
      <c r="H787" s="95" t="s">
        <v>238</v>
      </c>
      <c r="I787" s="95" t="s">
        <v>239</v>
      </c>
      <c r="J787" s="854"/>
      <c r="K787" s="855"/>
      <c r="L787" s="101" t="s">
        <v>1945</v>
      </c>
      <c r="M787" s="101" t="s">
        <v>272</v>
      </c>
      <c r="N787" s="442" t="s">
        <v>1946</v>
      </c>
      <c r="O787" s="165">
        <v>68.72</v>
      </c>
      <c r="P787" s="165">
        <v>68.72</v>
      </c>
      <c r="Q787" s="157">
        <v>81</v>
      </c>
      <c r="R787" s="109" t="s">
        <v>244</v>
      </c>
      <c r="S787" s="110">
        <v>500165.57</v>
      </c>
      <c r="T787" s="93"/>
      <c r="U787" s="857"/>
      <c r="V787" s="158" t="e">
        <f t="shared" si="543"/>
        <v>#DIV/0!</v>
      </c>
      <c r="W787" s="159">
        <v>45841.672222222223</v>
      </c>
      <c r="X787" s="159">
        <v>45846.592361111114</v>
      </c>
      <c r="Y787" s="160" t="s">
        <v>308</v>
      </c>
      <c r="Z787" s="470"/>
      <c r="AA787" s="942">
        <v>45852.336805555555</v>
      </c>
      <c r="AB787" s="942"/>
      <c r="AC787" s="161">
        <f t="shared" ref="AC787:AC794" si="561">AA787-W787</f>
        <v>10.664583333331393</v>
      </c>
      <c r="AD787" s="161">
        <f t="shared" ref="AD787:AD794" si="562">AA787-X787</f>
        <v>5.7444444444408873</v>
      </c>
      <c r="AE787" s="446">
        <f t="shared" ref="AE787:AE794" si="563">AB787-AA787</f>
        <v>-45852.336805555555</v>
      </c>
      <c r="AF787" s="160">
        <f t="shared" ref="AF787:AF794" si="564">W787+AO787</f>
        <v>45860.972602450362</v>
      </c>
      <c r="AG787" s="160">
        <f t="shared" ref="AG787:AG794" si="565">W787+AN787</f>
        <v>45869.919370511197</v>
      </c>
      <c r="AH787" s="159">
        <f t="shared" ref="AH787:AH794" si="566">W787+50</f>
        <v>45891.672222222223</v>
      </c>
      <c r="AI787" s="162">
        <f t="shared" ref="AI787:AI794" si="567" xml:space="preserve"> (0.3)*(AC787/AK787)+(0.7)*(AC787/AL787)</f>
        <v>0.35866821184989206</v>
      </c>
      <c r="AJ787" s="224">
        <f t="shared" ref="AJ787:AJ794" si="568">AE787/AP787</f>
        <v>-764.20561342592589</v>
      </c>
      <c r="AK787" s="225">
        <f t="shared" ref="AK787:AK794" si="569">IF(P787&lt;51,20,(IF(P787&lt;101,23,(IF(P787&lt;201,26,IF(P787&lt;301,28,IF(P787&lt;401,30,(IF(P787&lt;501,32,(IF(P787&lt;1001,40,50)))))))))))</f>
        <v>23</v>
      </c>
      <c r="AL787" s="170">
        <f t="shared" ref="AL787:AL794" si="570">IF(Q787&lt;51,36,(IF(Q787&lt;101,34,(IF(Q787&lt;201,32,IF(Q787&lt;301,30,IF(Q787&lt;401,28,(IF(Q787&lt;501,26,(IF(Q787&lt;1001,23,20)))))))))))</f>
        <v>34</v>
      </c>
      <c r="AM787" s="170">
        <f t="shared" ref="AM787:AM794" si="571">(0.75)/((0.3/AK787)+(0.7/AL787))</f>
        <v>22.300380228136884</v>
      </c>
      <c r="AN787" s="170">
        <f t="shared" ref="AN787:AN794" si="572">(0.95)/((0.3/AK787)+(0.7/AL787))</f>
        <v>28.247148288973385</v>
      </c>
      <c r="AO787" s="226">
        <f t="shared" ref="AO787:AO794" si="573">AM787-3</f>
        <v>19.300380228136884</v>
      </c>
      <c r="AP787" s="227">
        <v>60</v>
      </c>
      <c r="AQ787" s="228">
        <f t="shared" ref="AQ787:AQ794" si="574">0.95*AP787</f>
        <v>57</v>
      </c>
      <c r="AR787" s="228">
        <f t="shared" ref="AR787:AR794" si="575">AQ787-5</f>
        <v>52</v>
      </c>
      <c r="AS787" s="229">
        <f t="shared" ref="AS787:AS794" si="576">AA787+AP787</f>
        <v>45912.336805555555</v>
      </c>
      <c r="AT787" s="982">
        <f t="shared" ref="AT787:AT794" ca="1" si="577">IFERROR(TODAY()-AA787,"")</f>
        <v>42.663194444445253</v>
      </c>
      <c r="AU787" s="50"/>
      <c r="AV787" s="51"/>
      <c r="AW787" s="49"/>
      <c r="AX787" s="49"/>
      <c r="AY787" s="49"/>
      <c r="AZ787" s="300"/>
      <c r="BA787" s="52"/>
      <c r="BB787" s="304"/>
      <c r="BC787" s="231" t="s">
        <v>13</v>
      </c>
      <c r="BD787" s="232"/>
      <c r="BE787" s="222">
        <f t="shared" ref="BE787:BE794" si="578">AA787+15</f>
        <v>45867.336805555555</v>
      </c>
      <c r="BF787" s="233" t="e">
        <f t="shared" ref="BF787:BF794" si="579">IF(ISBLANK(AA787),0,IF(ISBLANK(BH787),(BE787-$L$1),(BH787-BE787)))</f>
        <v>#VALUE!</v>
      </c>
      <c r="BG787" s="234"/>
      <c r="BH787" s="235"/>
      <c r="BI787" s="234"/>
      <c r="BJ787" s="236"/>
      <c r="BK787" s="222"/>
      <c r="BL787" s="222"/>
      <c r="BM787" s="238"/>
      <c r="BN787" s="222"/>
      <c r="BO787" s="222"/>
      <c r="BP787" s="243"/>
      <c r="BQ787" s="244"/>
      <c r="BR787" s="238"/>
      <c r="BS787" s="68"/>
      <c r="BT787" s="69"/>
      <c r="BU787" s="69"/>
      <c r="BV787" s="69"/>
      <c r="BW787" s="75"/>
      <c r="BX787" s="81"/>
      <c r="BY787" s="66"/>
      <c r="BZ787" s="944"/>
      <c r="CA787" s="42"/>
      <c r="CB787" s="62"/>
      <c r="CC787" s="62"/>
      <c r="CD787" s="62">
        <f t="shared" si="540"/>
        <v>10.664583333331393</v>
      </c>
      <c r="CE787" s="62">
        <f t="shared" si="515"/>
        <v>0.35866821184989206</v>
      </c>
      <c r="CF787" s="145">
        <f t="shared" si="541"/>
        <v>16.663194444445253</v>
      </c>
      <c r="CG787" s="145"/>
      <c r="CH787" s="443">
        <f t="shared" si="516"/>
        <v>0.91907999431652909</v>
      </c>
      <c r="CI787" s="996">
        <f t="shared" si="542"/>
        <v>0.91907999431652909</v>
      </c>
      <c r="CJ787" s="261">
        <f>CF787/AP787</f>
        <v>0.27771990740742086</v>
      </c>
      <c r="CK787" s="458" t="str">
        <f t="shared" si="518"/>
        <v/>
      </c>
      <c r="CL787" t="str">
        <f t="shared" si="519"/>
        <v>REV</v>
      </c>
      <c r="CM787" t="str">
        <f t="shared" si="520"/>
        <v/>
      </c>
      <c r="CN787" s="635"/>
      <c r="CO787" s="631"/>
      <c r="CP787" s="629"/>
      <c r="CQ787" s="635"/>
      <c r="CR787" s="697"/>
      <c r="CS787" s="633"/>
      <c r="CT787" s="635"/>
      <c r="CU787" s="631"/>
      <c r="CV787" s="638"/>
      <c r="CW787" s="853"/>
      <c r="CX787" s="856"/>
      <c r="CY787" s="856"/>
    </row>
    <row r="788" spans="1:103" s="359" customFormat="1" ht="15" customHeight="1" x14ac:dyDescent="0.25">
      <c r="A788" s="222" t="s">
        <v>308</v>
      </c>
      <c r="B788" s="222" t="s">
        <v>308</v>
      </c>
      <c r="C788" s="852"/>
      <c r="D788" s="66" t="s">
        <v>284</v>
      </c>
      <c r="E788" s="404" t="s">
        <v>3738</v>
      </c>
      <c r="F788" s="95" t="s">
        <v>3739</v>
      </c>
      <c r="G788" s="95" t="s">
        <v>787</v>
      </c>
      <c r="H788" s="95" t="s">
        <v>269</v>
      </c>
      <c r="I788" s="95" t="s">
        <v>239</v>
      </c>
      <c r="J788" s="854"/>
      <c r="K788" s="855"/>
      <c r="L788" s="101" t="s">
        <v>1957</v>
      </c>
      <c r="M788" s="101" t="s">
        <v>272</v>
      </c>
      <c r="N788" s="442" t="s">
        <v>3375</v>
      </c>
      <c r="O788" s="165">
        <v>37.15</v>
      </c>
      <c r="P788" s="165">
        <v>37.15</v>
      </c>
      <c r="Q788" s="157">
        <v>29</v>
      </c>
      <c r="R788" s="109" t="s">
        <v>244</v>
      </c>
      <c r="S788" s="110">
        <v>277878.12</v>
      </c>
      <c r="T788" s="93"/>
      <c r="U788" s="857"/>
      <c r="V788" s="158" t="e">
        <f t="shared" si="543"/>
        <v>#DIV/0!</v>
      </c>
      <c r="W788" s="159">
        <v>45842.397916666669</v>
      </c>
      <c r="X788" s="159">
        <v>45846.597916666666</v>
      </c>
      <c r="Y788" s="160" t="s">
        <v>308</v>
      </c>
      <c r="Z788" s="470"/>
      <c r="AA788" s="942">
        <v>45874.590277777781</v>
      </c>
      <c r="AB788" s="942"/>
      <c r="AC788" s="161">
        <f t="shared" si="561"/>
        <v>32.192361111112405</v>
      </c>
      <c r="AD788" s="161">
        <f t="shared" si="562"/>
        <v>27.992361111115315</v>
      </c>
      <c r="AE788" s="446">
        <f t="shared" si="563"/>
        <v>-45874.590277777781</v>
      </c>
      <c r="AF788" s="160">
        <f t="shared" si="564"/>
        <v>45861.172110215055</v>
      </c>
      <c r="AG788" s="160">
        <f t="shared" si="565"/>
        <v>45869.978561827957</v>
      </c>
      <c r="AH788" s="159">
        <f t="shared" si="566"/>
        <v>45892.397916666669</v>
      </c>
      <c r="AI788" s="162">
        <f t="shared" si="567"/>
        <v>1.1088479938272049</v>
      </c>
      <c r="AJ788" s="224">
        <f t="shared" si="568"/>
        <v>-764.57650462962965</v>
      </c>
      <c r="AK788" s="225">
        <f t="shared" si="569"/>
        <v>20</v>
      </c>
      <c r="AL788" s="170">
        <f t="shared" si="570"/>
        <v>36</v>
      </c>
      <c r="AM788" s="170">
        <f t="shared" si="571"/>
        <v>21.774193548387096</v>
      </c>
      <c r="AN788" s="170">
        <f t="shared" si="572"/>
        <v>27.58064516129032</v>
      </c>
      <c r="AO788" s="226">
        <f t="shared" si="573"/>
        <v>18.774193548387096</v>
      </c>
      <c r="AP788" s="227">
        <v>60</v>
      </c>
      <c r="AQ788" s="228">
        <f t="shared" si="574"/>
        <v>57</v>
      </c>
      <c r="AR788" s="228">
        <f t="shared" si="575"/>
        <v>52</v>
      </c>
      <c r="AS788" s="229">
        <f t="shared" si="576"/>
        <v>45934.590277777781</v>
      </c>
      <c r="AT788" s="982">
        <f t="shared" ca="1" si="577"/>
        <v>20.409722222218988</v>
      </c>
      <c r="AU788" s="50"/>
      <c r="AV788" s="51"/>
      <c r="AW788" s="49"/>
      <c r="AX788" s="49"/>
      <c r="AY788" s="49"/>
      <c r="AZ788" s="300"/>
      <c r="BA788" s="52"/>
      <c r="BB788" s="304"/>
      <c r="BC788" s="231" t="s">
        <v>13</v>
      </c>
      <c r="BD788" s="232"/>
      <c r="BE788" s="222">
        <f t="shared" si="578"/>
        <v>45889.590277777781</v>
      </c>
      <c r="BF788" s="233" t="e">
        <f t="shared" si="579"/>
        <v>#VALUE!</v>
      </c>
      <c r="BG788" s="234"/>
      <c r="BH788" s="235"/>
      <c r="BI788" s="234"/>
      <c r="BJ788" s="236"/>
      <c r="BK788" s="222"/>
      <c r="BL788" s="222"/>
      <c r="BM788" s="238"/>
      <c r="BN788" s="222"/>
      <c r="BO788" s="222"/>
      <c r="BP788" s="243"/>
      <c r="BQ788" s="244"/>
      <c r="BR788" s="238"/>
      <c r="BS788" s="68"/>
      <c r="BT788" s="69"/>
      <c r="BU788" s="69"/>
      <c r="BV788" s="69"/>
      <c r="BW788" s="75"/>
      <c r="BX788" s="81"/>
      <c r="BY788" s="66"/>
      <c r="BZ788" s="944"/>
      <c r="CA788" s="42"/>
      <c r="CB788" s="62"/>
      <c r="CC788" s="62"/>
      <c r="CD788" s="62">
        <f t="shared" si="540"/>
        <v>32.192361111112405</v>
      </c>
      <c r="CE788" s="62">
        <f t="shared" si="515"/>
        <v>1.1088479938272049</v>
      </c>
      <c r="CF788" s="145">
        <f t="shared" si="541"/>
        <v>-5.5902777777810115</v>
      </c>
      <c r="CG788" s="145"/>
      <c r="CH788" s="443">
        <f t="shared" si="516"/>
        <v>0.91629398148141461</v>
      </c>
      <c r="CI788" s="996">
        <f t="shared" si="542"/>
        <v>0.91629398148141461</v>
      </c>
      <c r="CJ788" s="261">
        <f t="shared" si="517"/>
        <v>-9.3171296296350195E-2</v>
      </c>
      <c r="CK788" s="458" t="str">
        <f t="shared" si="518"/>
        <v/>
      </c>
      <c r="CL788" t="str">
        <f t="shared" si="519"/>
        <v>REV</v>
      </c>
      <c r="CM788" t="str">
        <f t="shared" si="520"/>
        <v/>
      </c>
      <c r="CN788" s="635"/>
      <c r="CO788" s="631"/>
      <c r="CP788" s="629"/>
      <c r="CQ788" s="635"/>
      <c r="CR788" s="697"/>
      <c r="CS788" s="633"/>
      <c r="CT788" s="635"/>
      <c r="CU788" s="631"/>
      <c r="CV788" s="638"/>
      <c r="CW788" s="853"/>
      <c r="CX788" s="856"/>
      <c r="CY788" s="856"/>
    </row>
    <row r="789" spans="1:103" s="359" customFormat="1" ht="15" customHeight="1" x14ac:dyDescent="0.25">
      <c r="A789" s="222" t="s">
        <v>308</v>
      </c>
      <c r="B789" s="222" t="s">
        <v>308</v>
      </c>
      <c r="C789" s="852"/>
      <c r="D789" s="66" t="s">
        <v>284</v>
      </c>
      <c r="E789" s="404" t="s">
        <v>3740</v>
      </c>
      <c r="F789" s="95" t="s">
        <v>3741</v>
      </c>
      <c r="G789" s="95" t="s">
        <v>3742</v>
      </c>
      <c r="H789" s="95" t="s">
        <v>378</v>
      </c>
      <c r="I789" s="95" t="s">
        <v>239</v>
      </c>
      <c r="J789" s="854"/>
      <c r="K789" s="855"/>
      <c r="L789" s="101" t="s">
        <v>1957</v>
      </c>
      <c r="M789" s="101" t="s">
        <v>272</v>
      </c>
      <c r="N789" s="442" t="s">
        <v>580</v>
      </c>
      <c r="O789" s="165">
        <v>64.86</v>
      </c>
      <c r="P789" s="165">
        <v>64.86</v>
      </c>
      <c r="Q789" s="157">
        <v>61</v>
      </c>
      <c r="R789" s="109" t="s">
        <v>244</v>
      </c>
      <c r="S789" s="110">
        <v>405410.08</v>
      </c>
      <c r="T789" s="93"/>
      <c r="U789" s="857"/>
      <c r="V789" s="158" t="e">
        <f t="shared" si="543"/>
        <v>#DIV/0!</v>
      </c>
      <c r="W789" s="159">
        <v>45842.402083333334</v>
      </c>
      <c r="X789" s="159">
        <v>45846.597916666666</v>
      </c>
      <c r="Y789" s="160" t="s">
        <v>308</v>
      </c>
      <c r="Z789" s="470"/>
      <c r="AA789" s="942">
        <v>45876</v>
      </c>
      <c r="AB789" s="942"/>
      <c r="AC789" s="161">
        <f t="shared" si="561"/>
        <v>33.597916666665697</v>
      </c>
      <c r="AD789" s="161">
        <f t="shared" si="562"/>
        <v>29.402083333334303</v>
      </c>
      <c r="AE789" s="446">
        <f t="shared" si="563"/>
        <v>-45876</v>
      </c>
      <c r="AF789" s="160">
        <f t="shared" si="564"/>
        <v>45861.702463561473</v>
      </c>
      <c r="AG789" s="160">
        <f t="shared" si="565"/>
        <v>45870.649231622308</v>
      </c>
      <c r="AH789" s="159">
        <f t="shared" si="566"/>
        <v>45892.402083333334</v>
      </c>
      <c r="AI789" s="162">
        <f t="shared" si="567"/>
        <v>1.1299555093776315</v>
      </c>
      <c r="AJ789" s="224">
        <f t="shared" si="568"/>
        <v>-764.6</v>
      </c>
      <c r="AK789" s="225">
        <f t="shared" si="569"/>
        <v>23</v>
      </c>
      <c r="AL789" s="170">
        <f t="shared" si="570"/>
        <v>34</v>
      </c>
      <c r="AM789" s="170">
        <f t="shared" si="571"/>
        <v>22.300380228136884</v>
      </c>
      <c r="AN789" s="170">
        <f t="shared" si="572"/>
        <v>28.247148288973385</v>
      </c>
      <c r="AO789" s="226">
        <f t="shared" si="573"/>
        <v>19.300380228136884</v>
      </c>
      <c r="AP789" s="227">
        <v>60</v>
      </c>
      <c r="AQ789" s="228">
        <f t="shared" si="574"/>
        <v>57</v>
      </c>
      <c r="AR789" s="228">
        <f t="shared" si="575"/>
        <v>52</v>
      </c>
      <c r="AS789" s="229">
        <f t="shared" si="576"/>
        <v>45936</v>
      </c>
      <c r="AT789" s="982">
        <f t="shared" ca="1" si="577"/>
        <v>19</v>
      </c>
      <c r="AU789" s="50"/>
      <c r="AV789" s="51"/>
      <c r="AW789" s="49"/>
      <c r="AX789" s="49"/>
      <c r="AY789" s="49"/>
      <c r="AZ789" s="300"/>
      <c r="BA789" s="52"/>
      <c r="BB789" s="304"/>
      <c r="BC789" s="231" t="s">
        <v>13</v>
      </c>
      <c r="BD789" s="232"/>
      <c r="BE789" s="222">
        <f t="shared" si="578"/>
        <v>45891</v>
      </c>
      <c r="BF789" s="233" t="e">
        <f t="shared" si="579"/>
        <v>#VALUE!</v>
      </c>
      <c r="BG789" s="234"/>
      <c r="BH789" s="235"/>
      <c r="BI789" s="234"/>
      <c r="BJ789" s="236"/>
      <c r="BK789" s="222"/>
      <c r="BL789" s="222"/>
      <c r="BM789" s="238"/>
      <c r="BN789" s="222"/>
      <c r="BO789" s="222"/>
      <c r="BP789" s="243"/>
      <c r="BQ789" s="244"/>
      <c r="BR789" s="238"/>
      <c r="BS789" s="68"/>
      <c r="BT789" s="69"/>
      <c r="BU789" s="69"/>
      <c r="BV789" s="69"/>
      <c r="BW789" s="75"/>
      <c r="BX789" s="81"/>
      <c r="BY789" s="66"/>
      <c r="BZ789" s="944"/>
      <c r="CA789" s="42"/>
      <c r="CB789" s="62"/>
      <c r="CC789" s="62"/>
      <c r="CD789" s="62">
        <f t="shared" si="540"/>
        <v>33.597916666665697</v>
      </c>
      <c r="CE789" s="62">
        <f t="shared" si="515"/>
        <v>1.1299555093776315</v>
      </c>
      <c r="CF789" s="145">
        <f t="shared" si="541"/>
        <v>-7</v>
      </c>
      <c r="CG789" s="145"/>
      <c r="CH789" s="443">
        <f t="shared" si="516"/>
        <v>0.89453351449272089</v>
      </c>
      <c r="CI789" s="996">
        <f t="shared" si="542"/>
        <v>0.89453351449272089</v>
      </c>
      <c r="CJ789" s="261">
        <f t="shared" si="517"/>
        <v>-0.11666666666666667</v>
      </c>
      <c r="CK789" s="458" t="str">
        <f t="shared" si="518"/>
        <v/>
      </c>
      <c r="CL789" t="str">
        <f t="shared" si="519"/>
        <v>REV</v>
      </c>
      <c r="CM789" t="str">
        <f t="shared" si="520"/>
        <v/>
      </c>
      <c r="CN789" s="635"/>
      <c r="CO789" s="631"/>
      <c r="CP789" s="629"/>
      <c r="CQ789" s="635"/>
      <c r="CR789" s="697"/>
      <c r="CS789" s="633"/>
      <c r="CT789" s="635"/>
      <c r="CU789" s="631"/>
      <c r="CV789" s="638"/>
      <c r="CW789" s="853"/>
      <c r="CX789" s="856"/>
      <c r="CY789" s="856"/>
    </row>
    <row r="790" spans="1:103" s="359" customFormat="1" ht="15" customHeight="1" x14ac:dyDescent="0.25">
      <c r="A790" s="242">
        <v>45855</v>
      </c>
      <c r="B790" s="222">
        <v>45855</v>
      </c>
      <c r="C790" s="852"/>
      <c r="D790" s="66" t="s">
        <v>320</v>
      </c>
      <c r="E790" s="404" t="s">
        <v>3743</v>
      </c>
      <c r="F790" s="95" t="s">
        <v>3744</v>
      </c>
      <c r="G790" s="95" t="s">
        <v>3745</v>
      </c>
      <c r="H790" s="95" t="s">
        <v>318</v>
      </c>
      <c r="I790" s="95" t="s">
        <v>239</v>
      </c>
      <c r="J790" s="854"/>
      <c r="K790" s="855"/>
      <c r="L790" s="101" t="s">
        <v>5</v>
      </c>
      <c r="M790" s="101" t="s">
        <v>331</v>
      </c>
      <c r="N790" s="442" t="s">
        <v>403</v>
      </c>
      <c r="O790" s="165">
        <v>9.23</v>
      </c>
      <c r="P790" s="165">
        <v>9.23</v>
      </c>
      <c r="Q790" s="157">
        <v>0</v>
      </c>
      <c r="R790" s="109" t="s">
        <v>319</v>
      </c>
      <c r="S790" s="110">
        <v>22600.14</v>
      </c>
      <c r="T790" s="93">
        <v>7930.56</v>
      </c>
      <c r="U790" s="857"/>
      <c r="V790" s="158">
        <f t="shared" ref="V790:V811" si="580">U790/T790</f>
        <v>0</v>
      </c>
      <c r="W790" s="159">
        <v>45847.693749999999</v>
      </c>
      <c r="X790" s="159">
        <v>45855.559027777781</v>
      </c>
      <c r="Y790" s="160">
        <v>45855</v>
      </c>
      <c r="Z790" s="470"/>
      <c r="AA790" s="942"/>
      <c r="AB790" s="942"/>
      <c r="AC790" s="161">
        <f t="shared" si="561"/>
        <v>-45847.693749999999</v>
      </c>
      <c r="AD790" s="161">
        <f t="shared" si="562"/>
        <v>-45855.559027777781</v>
      </c>
      <c r="AE790" s="446">
        <f t="shared" si="563"/>
        <v>0</v>
      </c>
      <c r="AF790" s="160">
        <f t="shared" si="564"/>
        <v>45866.467943548385</v>
      </c>
      <c r="AG790" s="160">
        <f t="shared" si="565"/>
        <v>45875.274395161287</v>
      </c>
      <c r="AH790" s="159">
        <f t="shared" si="566"/>
        <v>45897.693749999999</v>
      </c>
      <c r="AI790" s="162">
        <f t="shared" si="567"/>
        <v>-1579.1983402777778</v>
      </c>
      <c r="AJ790" s="224">
        <f t="shared" si="568"/>
        <v>0</v>
      </c>
      <c r="AK790" s="225">
        <f t="shared" si="569"/>
        <v>20</v>
      </c>
      <c r="AL790" s="170">
        <f t="shared" si="570"/>
        <v>36</v>
      </c>
      <c r="AM790" s="170">
        <f t="shared" si="571"/>
        <v>21.774193548387096</v>
      </c>
      <c r="AN790" s="170">
        <f t="shared" si="572"/>
        <v>27.58064516129032</v>
      </c>
      <c r="AO790" s="226">
        <f t="shared" si="573"/>
        <v>18.774193548387096</v>
      </c>
      <c r="AP790" s="227">
        <v>60</v>
      </c>
      <c r="AQ790" s="228">
        <f t="shared" si="574"/>
        <v>57</v>
      </c>
      <c r="AR790" s="228">
        <f t="shared" si="575"/>
        <v>52</v>
      </c>
      <c r="AS790" s="229">
        <f t="shared" si="576"/>
        <v>60</v>
      </c>
      <c r="AT790" s="982">
        <f t="shared" ca="1" si="577"/>
        <v>45895</v>
      </c>
      <c r="AU790" s="50"/>
      <c r="AV790" s="51"/>
      <c r="AW790" s="49"/>
      <c r="AX790" s="49"/>
      <c r="AY790" s="49"/>
      <c r="AZ790" s="300"/>
      <c r="BA790" s="52"/>
      <c r="BB790" s="304"/>
      <c r="BC790" s="231"/>
      <c r="BD790" s="232"/>
      <c r="BE790" s="222">
        <f t="shared" si="578"/>
        <v>15</v>
      </c>
      <c r="BF790" s="233">
        <f t="shared" si="579"/>
        <v>0</v>
      </c>
      <c r="BG790" s="234"/>
      <c r="BH790" s="235"/>
      <c r="BI790" s="234"/>
      <c r="BJ790" s="236"/>
      <c r="BK790" s="222"/>
      <c r="BL790" s="222"/>
      <c r="BM790" s="238"/>
      <c r="BN790" s="222"/>
      <c r="BO790" s="222"/>
      <c r="BP790" s="243"/>
      <c r="BQ790" s="244"/>
      <c r="BR790" s="238"/>
      <c r="BS790" s="68"/>
      <c r="BT790" s="69"/>
      <c r="BU790" s="69"/>
      <c r="BV790" s="69"/>
      <c r="BW790" s="75"/>
      <c r="BX790" s="81"/>
      <c r="BY790" s="66" t="s">
        <v>308</v>
      </c>
      <c r="BZ790" s="944" t="s">
        <v>3746</v>
      </c>
      <c r="CA790" s="42"/>
      <c r="CB790" s="62"/>
      <c r="CC790" s="62"/>
      <c r="CD790" s="42"/>
      <c r="CE790" s="42"/>
      <c r="CF790" s="145" t="str">
        <f t="shared" si="541"/>
        <v>0</v>
      </c>
      <c r="CG790" s="145"/>
      <c r="CH790" s="443">
        <f t="shared" ref="CH790:CH853" si="581" xml:space="preserve"> (0.3)*(($CF$1-W790)/AK790)+(0.7)*(($CF$1-W790)/AL790)</f>
        <v>0.73388194444449462</v>
      </c>
      <c r="CI790" s="996">
        <f t="shared" ref="CI790:CI853" si="582">CH790-CG790</f>
        <v>0.73388194444449462</v>
      </c>
      <c r="CJ790" s="261">
        <f t="shared" ref="CJ790:CJ853" si="583">CF790/AP790</f>
        <v>0</v>
      </c>
      <c r="CK790" s="458">
        <f t="shared" ref="CK790:CK853" si="584">IF(AA790&gt;0,"",$CK$1-W790)</f>
        <v>8.3062500000014552</v>
      </c>
      <c r="CL790" t="str">
        <f t="shared" ref="CL790:CL853" si="585">IF(R790="NEW","REV","NON-REV")</f>
        <v>NON-REV</v>
      </c>
      <c r="CM790" t="str">
        <f t="shared" ref="CM790:CM853" si="586">IF(CK790="","",IF(CK790&lt;91,"0-3 MONTHS",(IF(CK790&lt;181,"4-6 MONTHS",(IF(CK790&lt;271,"7-9 MONTHS",IF(CK790&gt;270,"10 MONTHS AND ABOVE",)))))))</f>
        <v>0-3 MONTHS</v>
      </c>
      <c r="CN790" s="635"/>
      <c r="CO790" s="631"/>
      <c r="CP790" s="629"/>
      <c r="CQ790" s="635"/>
      <c r="CR790" s="697"/>
      <c r="CS790" s="633"/>
      <c r="CT790" s="635"/>
      <c r="CU790" s="631"/>
      <c r="CV790" s="638"/>
      <c r="CW790" s="853"/>
      <c r="CX790" s="856"/>
      <c r="CY790" s="856"/>
    </row>
    <row r="791" spans="1:103" s="359" customFormat="1" ht="15" customHeight="1" x14ac:dyDescent="0.25">
      <c r="A791" s="242">
        <v>45856</v>
      </c>
      <c r="B791" s="222">
        <v>45855</v>
      </c>
      <c r="C791" s="852"/>
      <c r="D791" s="66" t="s">
        <v>284</v>
      </c>
      <c r="E791" s="404" t="s">
        <v>3747</v>
      </c>
      <c r="F791" s="95" t="s">
        <v>1567</v>
      </c>
      <c r="G791" s="95" t="s">
        <v>3748</v>
      </c>
      <c r="H791" s="95" t="s">
        <v>318</v>
      </c>
      <c r="I791" s="95" t="s">
        <v>239</v>
      </c>
      <c r="J791" s="854"/>
      <c r="K791" s="855"/>
      <c r="L791" s="101" t="s">
        <v>5</v>
      </c>
      <c r="M791" s="101" t="s">
        <v>272</v>
      </c>
      <c r="N791" s="442" t="s">
        <v>403</v>
      </c>
      <c r="O791" s="165">
        <v>76.27</v>
      </c>
      <c r="P791" s="165">
        <v>155.91999999999999</v>
      </c>
      <c r="Q791" s="157">
        <v>55</v>
      </c>
      <c r="R791" s="109" t="s">
        <v>244</v>
      </c>
      <c r="S791" s="110">
        <v>416475.6</v>
      </c>
      <c r="T791" s="93"/>
      <c r="U791" s="857"/>
      <c r="V791" s="158" t="e">
        <f t="shared" si="580"/>
        <v>#DIV/0!</v>
      </c>
      <c r="W791" s="159">
        <v>45847.515972222223</v>
      </c>
      <c r="X791" s="159">
        <v>45855.560416666667</v>
      </c>
      <c r="Y791" s="160">
        <v>45855</v>
      </c>
      <c r="Z791" s="470"/>
      <c r="AA791" s="942">
        <v>45868</v>
      </c>
      <c r="AB791" s="942"/>
      <c r="AC791" s="161">
        <f t="shared" si="561"/>
        <v>20.484027777776646</v>
      </c>
      <c r="AD791" s="161">
        <f t="shared" si="562"/>
        <v>12.439583333332848</v>
      </c>
      <c r="AE791" s="446">
        <f t="shared" si="563"/>
        <v>-45868</v>
      </c>
      <c r="AF791" s="160">
        <f t="shared" si="564"/>
        <v>45867.861042644756</v>
      </c>
      <c r="AG791" s="160">
        <f t="shared" si="565"/>
        <v>45877.086394757433</v>
      </c>
      <c r="AH791" s="159">
        <f t="shared" si="566"/>
        <v>45897.515972222223</v>
      </c>
      <c r="AI791" s="162">
        <f t="shared" si="567"/>
        <v>0.65808415032676093</v>
      </c>
      <c r="AJ791" s="224">
        <f t="shared" si="568"/>
        <v>-764.4666666666667</v>
      </c>
      <c r="AK791" s="225">
        <f t="shared" si="569"/>
        <v>26</v>
      </c>
      <c r="AL791" s="170">
        <f t="shared" si="570"/>
        <v>34</v>
      </c>
      <c r="AM791" s="170">
        <f t="shared" si="571"/>
        <v>23.345070422535212</v>
      </c>
      <c r="AN791" s="170">
        <f t="shared" si="572"/>
        <v>29.570422535211268</v>
      </c>
      <c r="AO791" s="226">
        <f t="shared" si="573"/>
        <v>20.345070422535212</v>
      </c>
      <c r="AP791" s="227">
        <v>60</v>
      </c>
      <c r="AQ791" s="228">
        <f t="shared" si="574"/>
        <v>57</v>
      </c>
      <c r="AR791" s="228">
        <f t="shared" si="575"/>
        <v>52</v>
      </c>
      <c r="AS791" s="229">
        <f t="shared" si="576"/>
        <v>45928</v>
      </c>
      <c r="AT791" s="982">
        <f t="shared" ca="1" si="577"/>
        <v>27</v>
      </c>
      <c r="AU791" s="50"/>
      <c r="AV791" s="51"/>
      <c r="AW791" s="49"/>
      <c r="AX791" s="49"/>
      <c r="AY791" s="49"/>
      <c r="AZ791" s="300"/>
      <c r="BA791" s="52"/>
      <c r="BB791" s="304"/>
      <c r="BC791" s="231" t="s">
        <v>13</v>
      </c>
      <c r="BD791" s="232"/>
      <c r="BE791" s="222">
        <f t="shared" si="578"/>
        <v>45883</v>
      </c>
      <c r="BF791" s="233" t="e">
        <f t="shared" si="579"/>
        <v>#VALUE!</v>
      </c>
      <c r="BG791" s="234"/>
      <c r="BH791" s="235"/>
      <c r="BI791" s="234"/>
      <c r="BJ791" s="236"/>
      <c r="BK791" s="222"/>
      <c r="BL791" s="222"/>
      <c r="BM791" s="238"/>
      <c r="BN791" s="222"/>
      <c r="BO791" s="222"/>
      <c r="BP791" s="243"/>
      <c r="BQ791" s="244"/>
      <c r="BR791" s="238"/>
      <c r="BS791" s="68"/>
      <c r="BT791" s="69"/>
      <c r="BU791" s="69"/>
      <c r="BV791" s="69"/>
      <c r="BW791" s="75"/>
      <c r="BX791" s="81"/>
      <c r="BY791" s="66">
        <v>45855</v>
      </c>
      <c r="BZ791" s="944" t="s">
        <v>3749</v>
      </c>
      <c r="CA791" s="42"/>
      <c r="CB791" s="62"/>
      <c r="CC791" s="62"/>
      <c r="CD791" s="42"/>
      <c r="CE791" s="42"/>
      <c r="CF791" s="145">
        <f t="shared" si="541"/>
        <v>1</v>
      </c>
      <c r="CG791" s="145"/>
      <c r="CH791" s="443">
        <f t="shared" si="581"/>
        <v>0.69021084715934022</v>
      </c>
      <c r="CI791" s="996">
        <f t="shared" si="582"/>
        <v>0.69021084715934022</v>
      </c>
      <c r="CJ791" s="261">
        <f t="shared" si="583"/>
        <v>1.6666666666666666E-2</v>
      </c>
      <c r="CK791" s="458" t="str">
        <f t="shared" si="584"/>
        <v/>
      </c>
      <c r="CL791" t="str">
        <f t="shared" si="585"/>
        <v>REV</v>
      </c>
      <c r="CM791" t="str">
        <f t="shared" si="586"/>
        <v/>
      </c>
      <c r="CN791" s="635"/>
      <c r="CO791" s="631"/>
      <c r="CP791" s="629"/>
      <c r="CQ791" s="635"/>
      <c r="CR791" s="697"/>
      <c r="CS791" s="633"/>
      <c r="CT791" s="635"/>
      <c r="CU791" s="631"/>
      <c r="CV791" s="638"/>
      <c r="CW791" s="853"/>
      <c r="CX791" s="856"/>
      <c r="CY791" s="856"/>
    </row>
    <row r="792" spans="1:103" s="359" customFormat="1" ht="15" customHeight="1" x14ac:dyDescent="0.25">
      <c r="A792" s="242">
        <v>45855</v>
      </c>
      <c r="B792" s="222">
        <v>45855</v>
      </c>
      <c r="C792" s="852"/>
      <c r="D792" s="66" t="s">
        <v>320</v>
      </c>
      <c r="E792" s="404" t="s">
        <v>3750</v>
      </c>
      <c r="F792" s="95" t="s">
        <v>3751</v>
      </c>
      <c r="G792" s="95" t="s">
        <v>3752</v>
      </c>
      <c r="H792" s="95" t="s">
        <v>318</v>
      </c>
      <c r="I792" s="95" t="s">
        <v>239</v>
      </c>
      <c r="J792" s="1135" t="s">
        <v>3753</v>
      </c>
      <c r="K792" s="855"/>
      <c r="L792" s="101" t="s">
        <v>5</v>
      </c>
      <c r="M792" s="101" t="s">
        <v>272</v>
      </c>
      <c r="N792" s="442" t="s">
        <v>403</v>
      </c>
      <c r="O792" s="165">
        <v>98.3</v>
      </c>
      <c r="P792" s="165">
        <v>254.86</v>
      </c>
      <c r="Q792" s="157">
        <v>33</v>
      </c>
      <c r="R792" s="109" t="s">
        <v>548</v>
      </c>
      <c r="S792" s="110">
        <v>497380.68</v>
      </c>
      <c r="T792" s="93"/>
      <c r="U792" s="857"/>
      <c r="V792" s="158" t="e">
        <f t="shared" si="580"/>
        <v>#DIV/0!</v>
      </c>
      <c r="W792" s="159">
        <v>45848.640972222223</v>
      </c>
      <c r="X792" s="159">
        <v>45855.561111111114</v>
      </c>
      <c r="Y792" s="160">
        <v>45855</v>
      </c>
      <c r="Z792" s="470"/>
      <c r="AA792" s="942">
        <v>45883.395138888889</v>
      </c>
      <c r="AB792" s="942"/>
      <c r="AC792" s="161">
        <f t="shared" si="561"/>
        <v>34.754166666665697</v>
      </c>
      <c r="AD792" s="161">
        <f t="shared" si="562"/>
        <v>27.834027777775191</v>
      </c>
      <c r="AE792" s="446">
        <f t="shared" si="563"/>
        <v>-45883.395138888889</v>
      </c>
      <c r="AF792" s="160">
        <f t="shared" si="564"/>
        <v>45870.509393274857</v>
      </c>
      <c r="AG792" s="160">
        <f t="shared" si="565"/>
        <v>45880.140972222223</v>
      </c>
      <c r="AH792" s="159">
        <f t="shared" si="566"/>
        <v>45898.640972222223</v>
      </c>
      <c r="AI792" s="162">
        <f t="shared" si="567"/>
        <v>1.048141534391505</v>
      </c>
      <c r="AJ792" s="224">
        <f t="shared" si="568"/>
        <v>-764.72325231481477</v>
      </c>
      <c r="AK792" s="225">
        <f t="shared" si="569"/>
        <v>28</v>
      </c>
      <c r="AL792" s="170">
        <f t="shared" si="570"/>
        <v>36</v>
      </c>
      <c r="AM792" s="170">
        <f t="shared" si="571"/>
        <v>24.868421052631579</v>
      </c>
      <c r="AN792" s="170">
        <f t="shared" si="572"/>
        <v>31.499999999999996</v>
      </c>
      <c r="AO792" s="226">
        <f t="shared" si="573"/>
        <v>21.868421052631579</v>
      </c>
      <c r="AP792" s="227">
        <v>60</v>
      </c>
      <c r="AQ792" s="228">
        <f t="shared" si="574"/>
        <v>57</v>
      </c>
      <c r="AR792" s="228">
        <f t="shared" si="575"/>
        <v>52</v>
      </c>
      <c r="AS792" s="229">
        <f t="shared" si="576"/>
        <v>45943.395138888889</v>
      </c>
      <c r="AT792" s="982">
        <f t="shared" ca="1" si="577"/>
        <v>11.604861111110949</v>
      </c>
      <c r="AU792" s="50"/>
      <c r="AV792" s="51"/>
      <c r="AW792" s="49"/>
      <c r="AX792" s="49"/>
      <c r="AY792" s="49"/>
      <c r="AZ792" s="300"/>
      <c r="BA792" s="52"/>
      <c r="BB792" s="304"/>
      <c r="BC792" s="231" t="s">
        <v>13</v>
      </c>
      <c r="BD792" s="232"/>
      <c r="BE792" s="222">
        <f t="shared" si="578"/>
        <v>45898.395138888889</v>
      </c>
      <c r="BF792" s="233" t="e">
        <f t="shared" si="579"/>
        <v>#VALUE!</v>
      </c>
      <c r="BG792" s="234"/>
      <c r="BH792" s="235"/>
      <c r="BI792" s="234"/>
      <c r="BJ792" s="236"/>
      <c r="BK792" s="222"/>
      <c r="BL792" s="222"/>
      <c r="BM792" s="238"/>
      <c r="BN792" s="222"/>
      <c r="BO792" s="222"/>
      <c r="BP792" s="243"/>
      <c r="BQ792" s="244"/>
      <c r="BR792" s="238"/>
      <c r="BS792" s="68"/>
      <c r="BT792" s="69"/>
      <c r="BU792" s="69"/>
      <c r="BV792" s="69"/>
      <c r="BW792" s="75"/>
      <c r="BX792" s="81"/>
      <c r="BY792" s="66">
        <v>45855</v>
      </c>
      <c r="BZ792" s="944" t="s">
        <v>3754</v>
      </c>
      <c r="CA792" s="42"/>
      <c r="CB792" s="62"/>
      <c r="CC792" s="62"/>
      <c r="CD792" s="42"/>
      <c r="CE792" s="42"/>
      <c r="CF792" s="145">
        <f t="shared" si="541"/>
        <v>-14.395138888889051</v>
      </c>
      <c r="CG792" s="145"/>
      <c r="CH792" s="443">
        <f t="shared" si="581"/>
        <v>0.61400242504405755</v>
      </c>
      <c r="CI792" s="996">
        <f t="shared" si="582"/>
        <v>0.61400242504405755</v>
      </c>
      <c r="CJ792" s="261">
        <f t="shared" si="583"/>
        <v>-0.23991898148148419</v>
      </c>
      <c r="CK792" s="458" t="str">
        <f t="shared" si="584"/>
        <v/>
      </c>
      <c r="CL792" t="str">
        <f t="shared" si="585"/>
        <v>NON-REV</v>
      </c>
      <c r="CM792" t="str">
        <f t="shared" si="586"/>
        <v/>
      </c>
      <c r="CN792" s="635"/>
      <c r="CO792" s="631"/>
      <c r="CP792" s="629"/>
      <c r="CQ792" s="635"/>
      <c r="CR792" s="697"/>
      <c r="CS792" s="633"/>
      <c r="CT792" s="635"/>
      <c r="CU792" s="631"/>
      <c r="CV792" s="638"/>
      <c r="CW792" s="853"/>
      <c r="CX792" s="856"/>
      <c r="CY792" s="856"/>
    </row>
    <row r="793" spans="1:103" s="359" customFormat="1" ht="15" customHeight="1" x14ac:dyDescent="0.25">
      <c r="A793" s="242">
        <v>45856</v>
      </c>
      <c r="B793" s="222">
        <v>45854</v>
      </c>
      <c r="C793" s="852"/>
      <c r="D793" s="66" t="s">
        <v>320</v>
      </c>
      <c r="E793" s="404" t="s">
        <v>3755</v>
      </c>
      <c r="F793" s="95" t="s">
        <v>3756</v>
      </c>
      <c r="G793" s="95" t="s">
        <v>3757</v>
      </c>
      <c r="H793" s="95" t="s">
        <v>253</v>
      </c>
      <c r="I793" s="95" t="s">
        <v>254</v>
      </c>
      <c r="J793" s="854"/>
      <c r="K793" s="855"/>
      <c r="L793" s="101" t="s">
        <v>263</v>
      </c>
      <c r="M793" s="101" t="s">
        <v>331</v>
      </c>
      <c r="N793" s="442" t="s">
        <v>467</v>
      </c>
      <c r="O793" s="165">
        <v>55.52</v>
      </c>
      <c r="P793" s="165">
        <v>271.69</v>
      </c>
      <c r="Q793" s="157">
        <v>26.57</v>
      </c>
      <c r="R793" s="109" t="s">
        <v>548</v>
      </c>
      <c r="S793" s="110">
        <v>421014.87</v>
      </c>
      <c r="T793" s="93">
        <v>47701.68</v>
      </c>
      <c r="U793" s="857"/>
      <c r="V793" s="158">
        <f t="shared" si="580"/>
        <v>0</v>
      </c>
      <c r="W793" s="159">
        <v>45846.597222222219</v>
      </c>
      <c r="X793" s="159">
        <v>45852.625</v>
      </c>
      <c r="Y793" s="160">
        <v>45854</v>
      </c>
      <c r="Z793" s="470"/>
      <c r="AA793" s="942"/>
      <c r="AB793" s="942"/>
      <c r="AC793" s="161">
        <f t="shared" si="561"/>
        <v>-45846.597222222219</v>
      </c>
      <c r="AD793" s="161">
        <f t="shared" si="562"/>
        <v>-45852.625</v>
      </c>
      <c r="AE793" s="446">
        <f t="shared" si="563"/>
        <v>0</v>
      </c>
      <c r="AF793" s="160">
        <f t="shared" si="564"/>
        <v>45868.465643274852</v>
      </c>
      <c r="AG793" s="160">
        <f t="shared" si="565"/>
        <v>45878.097222222219</v>
      </c>
      <c r="AH793" s="159">
        <f t="shared" si="566"/>
        <v>45896.597222222219</v>
      </c>
      <c r="AI793" s="162">
        <f t="shared" si="567"/>
        <v>-1382.6751543209875</v>
      </c>
      <c r="AJ793" s="224">
        <f t="shared" si="568"/>
        <v>0</v>
      </c>
      <c r="AK793" s="225">
        <f t="shared" si="569"/>
        <v>28</v>
      </c>
      <c r="AL793" s="170">
        <f t="shared" si="570"/>
        <v>36</v>
      </c>
      <c r="AM793" s="170">
        <f t="shared" si="571"/>
        <v>24.868421052631579</v>
      </c>
      <c r="AN793" s="170">
        <f t="shared" si="572"/>
        <v>31.499999999999996</v>
      </c>
      <c r="AO793" s="226">
        <f t="shared" si="573"/>
        <v>21.868421052631579</v>
      </c>
      <c r="AP793" s="227">
        <v>60</v>
      </c>
      <c r="AQ793" s="228">
        <f t="shared" si="574"/>
        <v>57</v>
      </c>
      <c r="AR793" s="228">
        <f t="shared" si="575"/>
        <v>52</v>
      </c>
      <c r="AS793" s="229">
        <f t="shared" si="576"/>
        <v>60</v>
      </c>
      <c r="AT793" s="982">
        <f t="shared" ca="1" si="577"/>
        <v>45895</v>
      </c>
      <c r="AU793" s="50"/>
      <c r="AV793" s="51"/>
      <c r="AW793" s="49"/>
      <c r="AX793" s="49"/>
      <c r="AY793" s="49"/>
      <c r="AZ793" s="300"/>
      <c r="BA793" s="52"/>
      <c r="BB793" s="304"/>
      <c r="BC793" s="231"/>
      <c r="BD793" s="232"/>
      <c r="BE793" s="222">
        <f t="shared" si="578"/>
        <v>15</v>
      </c>
      <c r="BF793" s="233">
        <f t="shared" si="579"/>
        <v>0</v>
      </c>
      <c r="BG793" s="234"/>
      <c r="BH793" s="235"/>
      <c r="BI793" s="234"/>
      <c r="BJ793" s="236"/>
      <c r="BK793" s="222"/>
      <c r="BL793" s="222"/>
      <c r="BM793" s="238"/>
      <c r="BN793" s="222"/>
      <c r="BO793" s="222"/>
      <c r="BP793" s="243"/>
      <c r="BQ793" s="244"/>
      <c r="BR793" s="238"/>
      <c r="BS793" s="68"/>
      <c r="BT793" s="69"/>
      <c r="BU793" s="69"/>
      <c r="BV793" s="69"/>
      <c r="BW793" s="75"/>
      <c r="BX793" s="81"/>
      <c r="BY793" s="66">
        <v>45854</v>
      </c>
      <c r="BZ793" s="944" t="s">
        <v>3758</v>
      </c>
      <c r="CA793" s="42"/>
      <c r="CB793" s="62"/>
      <c r="CC793" s="62"/>
      <c r="CD793" s="42"/>
      <c r="CE793" s="42"/>
      <c r="CF793" s="145" t="str">
        <f t="shared" si="541"/>
        <v>0</v>
      </c>
      <c r="CG793" s="145"/>
      <c r="CH793" s="443">
        <f t="shared" si="581"/>
        <v>0.67563932980609398</v>
      </c>
      <c r="CI793" s="996">
        <f t="shared" si="582"/>
        <v>0.67563932980609398</v>
      </c>
      <c r="CJ793" s="261">
        <f t="shared" si="583"/>
        <v>0</v>
      </c>
      <c r="CK793" s="458">
        <f t="shared" si="584"/>
        <v>9.4027777777810115</v>
      </c>
      <c r="CL793" t="str">
        <f t="shared" si="585"/>
        <v>NON-REV</v>
      </c>
      <c r="CM793" t="str">
        <f t="shared" si="586"/>
        <v>0-3 MONTHS</v>
      </c>
      <c r="CN793" s="635"/>
      <c r="CO793" s="631"/>
      <c r="CP793" s="629"/>
      <c r="CQ793" s="635"/>
      <c r="CR793" s="697"/>
      <c r="CS793" s="633"/>
      <c r="CT793" s="635"/>
      <c r="CU793" s="631"/>
      <c r="CV793" s="638"/>
      <c r="CW793" s="853"/>
      <c r="CX793" s="856"/>
      <c r="CY793" s="856"/>
    </row>
    <row r="794" spans="1:103" s="359" customFormat="1" ht="15" customHeight="1" x14ac:dyDescent="0.25">
      <c r="A794" s="242">
        <v>45856</v>
      </c>
      <c r="B794" s="222">
        <v>45854</v>
      </c>
      <c r="C794" s="852"/>
      <c r="D794" s="66" t="s">
        <v>320</v>
      </c>
      <c r="E794" s="404" t="s">
        <v>3759</v>
      </c>
      <c r="F794" s="95" t="s">
        <v>3760</v>
      </c>
      <c r="G794" s="95" t="s">
        <v>3761</v>
      </c>
      <c r="H794" s="95" t="s">
        <v>253</v>
      </c>
      <c r="I794" s="95" t="s">
        <v>254</v>
      </c>
      <c r="J794" s="854" t="s">
        <v>3762</v>
      </c>
      <c r="K794" s="855"/>
      <c r="L794" s="101" t="s">
        <v>263</v>
      </c>
      <c r="M794" s="101" t="s">
        <v>272</v>
      </c>
      <c r="N794" s="442" t="s">
        <v>467</v>
      </c>
      <c r="O794" s="165">
        <v>242.65</v>
      </c>
      <c r="P794" s="165">
        <v>477.5</v>
      </c>
      <c r="Q794" s="157">
        <v>48</v>
      </c>
      <c r="R794" s="109" t="s">
        <v>548</v>
      </c>
      <c r="S794" s="110">
        <v>921804.67</v>
      </c>
      <c r="T794" s="93">
        <v>208494.48000000004</v>
      </c>
      <c r="U794" s="857"/>
      <c r="V794" s="158">
        <f t="shared" si="580"/>
        <v>0</v>
      </c>
      <c r="W794" s="159">
        <v>45846.59375</v>
      </c>
      <c r="X794" s="159">
        <v>45852.623611111114</v>
      </c>
      <c r="Y794" s="160">
        <v>45854</v>
      </c>
      <c r="Z794" s="942">
        <v>45887.288888888892</v>
      </c>
      <c r="AA794" s="942">
        <v>45887.288888888892</v>
      </c>
      <c r="AB794" s="942"/>
      <c r="AC794" s="161">
        <f t="shared" si="561"/>
        <v>40.695138888891961</v>
      </c>
      <c r="AD794" s="161">
        <f t="shared" si="562"/>
        <v>34.665277777778101</v>
      </c>
      <c r="AE794" s="446">
        <f t="shared" si="563"/>
        <v>-45887.288888888892</v>
      </c>
      <c r="AF794" s="160">
        <f t="shared" si="564"/>
        <v>45869.617846385539</v>
      </c>
      <c r="AG794" s="160">
        <f t="shared" si="565"/>
        <v>45879.557605421687</v>
      </c>
      <c r="AH794" s="159">
        <f t="shared" si="566"/>
        <v>45896.59375</v>
      </c>
      <c r="AI794" s="162">
        <f t="shared" si="567"/>
        <v>1.1728112943673725</v>
      </c>
      <c r="AJ794" s="224">
        <f t="shared" si="568"/>
        <v>-764.78814814814825</v>
      </c>
      <c r="AK794" s="225">
        <f t="shared" si="569"/>
        <v>32</v>
      </c>
      <c r="AL794" s="170">
        <f t="shared" si="570"/>
        <v>36</v>
      </c>
      <c r="AM794" s="170">
        <f t="shared" si="571"/>
        <v>26.024096385542165</v>
      </c>
      <c r="AN794" s="170">
        <f t="shared" si="572"/>
        <v>32.963855421686745</v>
      </c>
      <c r="AO794" s="226">
        <f t="shared" si="573"/>
        <v>23.024096385542165</v>
      </c>
      <c r="AP794" s="227">
        <v>60</v>
      </c>
      <c r="AQ794" s="228">
        <f t="shared" si="574"/>
        <v>57</v>
      </c>
      <c r="AR794" s="228">
        <f t="shared" si="575"/>
        <v>52</v>
      </c>
      <c r="AS794" s="229">
        <f t="shared" si="576"/>
        <v>45947.288888888892</v>
      </c>
      <c r="AT794" s="982">
        <f t="shared" ca="1" si="577"/>
        <v>7.711111111108039</v>
      </c>
      <c r="AU794" s="50"/>
      <c r="AV794" s="51"/>
      <c r="AW794" s="49"/>
      <c r="AX794" s="49"/>
      <c r="AY794" s="49"/>
      <c r="AZ794" s="300"/>
      <c r="BA794" s="52"/>
      <c r="BB794" s="304"/>
      <c r="BC794" s="231" t="s">
        <v>13</v>
      </c>
      <c r="BD794" s="232"/>
      <c r="BE794" s="222">
        <f t="shared" si="578"/>
        <v>45902.288888888892</v>
      </c>
      <c r="BF794" s="233" t="e">
        <f t="shared" si="579"/>
        <v>#VALUE!</v>
      </c>
      <c r="BG794" s="234"/>
      <c r="BH794" s="235"/>
      <c r="BI794" s="234"/>
      <c r="BJ794" s="236"/>
      <c r="BK794" s="222"/>
      <c r="BL794" s="222"/>
      <c r="BM794" s="238"/>
      <c r="BN794" s="222"/>
      <c r="BO794" s="222"/>
      <c r="BP794" s="243"/>
      <c r="BQ794" s="244"/>
      <c r="BR794" s="238"/>
      <c r="BS794" s="68"/>
      <c r="BT794" s="69"/>
      <c r="BU794" s="69"/>
      <c r="BV794" s="69"/>
      <c r="BW794" s="75"/>
      <c r="BX794" s="81"/>
      <c r="BY794" s="66">
        <v>45854</v>
      </c>
      <c r="BZ794" s="944" t="s">
        <v>3763</v>
      </c>
      <c r="CA794" s="42"/>
      <c r="CB794" s="62"/>
      <c r="CC794" s="62"/>
      <c r="CD794" s="42"/>
      <c r="CE794" s="42"/>
      <c r="CF794" s="145">
        <f t="shared" si="541"/>
        <v>-18.288888888891961</v>
      </c>
      <c r="CG794" s="145"/>
      <c r="CH794" s="443">
        <f t="shared" si="581"/>
        <v>0.64573567708333335</v>
      </c>
      <c r="CI794" s="996">
        <f t="shared" si="582"/>
        <v>0.64573567708333335</v>
      </c>
      <c r="CJ794" s="261">
        <f t="shared" si="583"/>
        <v>-0.304814814814866</v>
      </c>
      <c r="CK794" s="458" t="str">
        <f t="shared" si="584"/>
        <v/>
      </c>
      <c r="CL794" t="str">
        <f t="shared" si="585"/>
        <v>NON-REV</v>
      </c>
      <c r="CM794" t="str">
        <f t="shared" si="586"/>
        <v/>
      </c>
      <c r="CN794" s="635"/>
      <c r="CO794" s="631"/>
      <c r="CP794" s="629"/>
      <c r="CQ794" s="635"/>
      <c r="CR794" s="697"/>
      <c r="CS794" s="633"/>
      <c r="CT794" s="635"/>
      <c r="CU794" s="631"/>
      <c r="CV794" s="638"/>
      <c r="CW794" s="853"/>
      <c r="CX794" s="856"/>
      <c r="CY794" s="856"/>
    </row>
    <row r="795" spans="1:103" s="359" customFormat="1" ht="15" customHeight="1" x14ac:dyDescent="0.25">
      <c r="A795" s="242">
        <v>45856</v>
      </c>
      <c r="B795" s="222">
        <v>45854</v>
      </c>
      <c r="C795" s="852"/>
      <c r="D795" s="66" t="s">
        <v>320</v>
      </c>
      <c r="E795" s="404" t="s">
        <v>3764</v>
      </c>
      <c r="F795" s="95" t="s">
        <v>949</v>
      </c>
      <c r="G795" s="95" t="s">
        <v>2030</v>
      </c>
      <c r="H795" s="95" t="s">
        <v>378</v>
      </c>
      <c r="I795" s="95" t="s">
        <v>239</v>
      </c>
      <c r="J795" s="854"/>
      <c r="K795" s="855"/>
      <c r="L795" s="101" t="s">
        <v>288</v>
      </c>
      <c r="M795" s="101" t="s">
        <v>272</v>
      </c>
      <c r="N795" s="442" t="s">
        <v>381</v>
      </c>
      <c r="O795" s="165">
        <v>17.690000000000001</v>
      </c>
      <c r="P795" s="165">
        <v>17.690000000000001</v>
      </c>
      <c r="Q795" s="157">
        <v>0</v>
      </c>
      <c r="R795" s="109" t="s">
        <v>327</v>
      </c>
      <c r="S795" s="110">
        <v>44745.1</v>
      </c>
      <c r="T795" s="93"/>
      <c r="U795" s="857"/>
      <c r="V795" s="158" t="e">
        <f t="shared" si="580"/>
        <v>#DIV/0!</v>
      </c>
      <c r="W795" s="159">
        <v>45839.768055555556</v>
      </c>
      <c r="X795" s="159">
        <v>45852.622916666667</v>
      </c>
      <c r="Y795" s="160">
        <v>45854</v>
      </c>
      <c r="Z795" s="470"/>
      <c r="AA795" s="942">
        <v>45862</v>
      </c>
      <c r="AB795" s="942"/>
      <c r="AC795" s="161">
        <f t="shared" ref="AC795:AC810" si="587">AA795-W795</f>
        <v>22.231944444443798</v>
      </c>
      <c r="AD795" s="161">
        <f t="shared" ref="AD795:AD810" si="588">AA795-X795</f>
        <v>9.3770833333328483</v>
      </c>
      <c r="AE795" s="446">
        <f t="shared" ref="AE795:AE810" si="589">AB795-AA795</f>
        <v>-45862</v>
      </c>
      <c r="AF795" s="160">
        <f t="shared" ref="AF795:AF810" si="590">W795+AO795</f>
        <v>45858.542249103943</v>
      </c>
      <c r="AG795" s="160">
        <f t="shared" ref="AG795:AG810" si="591">W795+AN795</f>
        <v>45867.348700716844</v>
      </c>
      <c r="AH795" s="159">
        <f t="shared" ref="AH795:AH810" si="592">W795+50</f>
        <v>45889.768055555556</v>
      </c>
      <c r="AI795" s="162">
        <f t="shared" ref="AI795:AI810" si="593" xml:space="preserve"> (0.3)*(AC795/AK795)+(0.7)*(AC795/AL795)</f>
        <v>0.7657669753086197</v>
      </c>
      <c r="AJ795" s="224">
        <f t="shared" ref="AJ795:AJ810" si="594">AE795/AP795</f>
        <v>-764.36666666666667</v>
      </c>
      <c r="AK795" s="225">
        <f t="shared" ref="AK795:AK810" si="595">IF(P795&lt;51,20,(IF(P795&lt;101,23,(IF(P795&lt;201,26,IF(P795&lt;301,28,IF(P795&lt;401,30,(IF(P795&lt;501,32,(IF(P795&lt;1001,40,50)))))))))))</f>
        <v>20</v>
      </c>
      <c r="AL795" s="170">
        <f t="shared" ref="AL795:AL810" si="596">IF(Q795&lt;51,36,(IF(Q795&lt;101,34,(IF(Q795&lt;201,32,IF(Q795&lt;301,30,IF(Q795&lt;401,28,(IF(Q795&lt;501,26,(IF(Q795&lt;1001,23,20)))))))))))</f>
        <v>36</v>
      </c>
      <c r="AM795" s="170">
        <f t="shared" ref="AM795:AM810" si="597">(0.75)/((0.3/AK795)+(0.7/AL795))</f>
        <v>21.774193548387096</v>
      </c>
      <c r="AN795" s="170">
        <f t="shared" ref="AN795:AN810" si="598">(0.95)/((0.3/AK795)+(0.7/AL795))</f>
        <v>27.58064516129032</v>
      </c>
      <c r="AO795" s="226">
        <f t="shared" ref="AO795:AO810" si="599">AM795-3</f>
        <v>18.774193548387096</v>
      </c>
      <c r="AP795" s="227">
        <v>60</v>
      </c>
      <c r="AQ795" s="228">
        <f t="shared" ref="AQ795:AQ810" si="600">0.95*AP795</f>
        <v>57</v>
      </c>
      <c r="AR795" s="228">
        <f t="shared" ref="AR795:AR810" si="601">AQ795-5</f>
        <v>52</v>
      </c>
      <c r="AS795" s="229">
        <f t="shared" ref="AS795:AS810" si="602">AA795+AP795</f>
        <v>45922</v>
      </c>
      <c r="AT795" s="982">
        <f t="shared" ref="AT795:AT810" ca="1" si="603">IFERROR(TODAY()-AA795,"")</f>
        <v>33</v>
      </c>
      <c r="AU795" s="50"/>
      <c r="AV795" s="51"/>
      <c r="AW795" s="49"/>
      <c r="AX795" s="49"/>
      <c r="AY795" s="49"/>
      <c r="AZ795" s="300"/>
      <c r="BA795" s="52"/>
      <c r="BB795" s="304"/>
      <c r="BC795" s="231" t="s">
        <v>13</v>
      </c>
      <c r="BD795" s="232"/>
      <c r="BE795" s="222">
        <f t="shared" ref="BE795:BE810" si="604">AA795+15</f>
        <v>45877</v>
      </c>
      <c r="BF795" s="233" t="e">
        <f t="shared" ref="BF795:BF810" si="605">IF(ISBLANK(AA795),0,IF(ISBLANK(BH795),(BE795-$L$1),(BH795-BE795)))</f>
        <v>#VALUE!</v>
      </c>
      <c r="BG795" s="234"/>
      <c r="BH795" s="235"/>
      <c r="BI795" s="234"/>
      <c r="BJ795" s="236"/>
      <c r="BK795" s="222"/>
      <c r="BL795" s="222"/>
      <c r="BM795" s="238"/>
      <c r="BN795" s="222"/>
      <c r="BO795" s="222"/>
      <c r="BP795" s="243"/>
      <c r="BQ795" s="244"/>
      <c r="BR795" s="238"/>
      <c r="BS795" s="68"/>
      <c r="BT795" s="69"/>
      <c r="BU795" s="69"/>
      <c r="BV795" s="69"/>
      <c r="BW795" s="75"/>
      <c r="BX795" s="81"/>
      <c r="BY795" s="66" t="s">
        <v>308</v>
      </c>
      <c r="BZ795" s="944" t="s">
        <v>3765</v>
      </c>
      <c r="CA795" s="42"/>
      <c r="CB795" s="62"/>
      <c r="CC795" s="62"/>
      <c r="CD795" s="42"/>
      <c r="CE795" s="42"/>
      <c r="CF795" s="145">
        <f t="shared" si="541"/>
        <v>7</v>
      </c>
      <c r="CG795" s="145"/>
      <c r="CH795" s="443">
        <f t="shared" si="581"/>
        <v>1.0068780864197306</v>
      </c>
      <c r="CI795" s="996">
        <f t="shared" si="582"/>
        <v>1.0068780864197306</v>
      </c>
      <c r="CJ795" s="261">
        <f t="shared" si="583"/>
        <v>0.11666666666666667</v>
      </c>
      <c r="CK795" s="458" t="str">
        <f t="shared" si="584"/>
        <v/>
      </c>
      <c r="CL795" t="str">
        <f t="shared" si="585"/>
        <v>NON-REV</v>
      </c>
      <c r="CM795" t="str">
        <f t="shared" si="586"/>
        <v/>
      </c>
      <c r="CN795" s="635"/>
      <c r="CO795" s="631"/>
      <c r="CP795" s="629"/>
      <c r="CQ795" s="635"/>
      <c r="CR795" s="697"/>
      <c r="CS795" s="633"/>
      <c r="CT795" s="635"/>
      <c r="CU795" s="631"/>
      <c r="CV795" s="638"/>
      <c r="CW795" s="853"/>
      <c r="CX795" s="856"/>
      <c r="CY795" s="856"/>
    </row>
    <row r="796" spans="1:103" s="359" customFormat="1" ht="15" customHeight="1" x14ac:dyDescent="0.25">
      <c r="A796" s="242">
        <v>45855</v>
      </c>
      <c r="B796" s="222">
        <v>45854</v>
      </c>
      <c r="C796" s="852"/>
      <c r="D796" s="66" t="s">
        <v>320</v>
      </c>
      <c r="E796" s="404" t="s">
        <v>3766</v>
      </c>
      <c r="F796" s="95" t="s">
        <v>3767</v>
      </c>
      <c r="G796" s="95" t="s">
        <v>3768</v>
      </c>
      <c r="H796" s="95" t="s">
        <v>378</v>
      </c>
      <c r="I796" s="95" t="s">
        <v>239</v>
      </c>
      <c r="J796" s="854"/>
      <c r="K796" s="855"/>
      <c r="L796" s="101" t="s">
        <v>288</v>
      </c>
      <c r="M796" s="101" t="s">
        <v>272</v>
      </c>
      <c r="N796" s="442" t="s">
        <v>381</v>
      </c>
      <c r="O796" s="165">
        <v>4.3899999999999997</v>
      </c>
      <c r="P796" s="165">
        <v>4.3899999999999997</v>
      </c>
      <c r="Q796" s="157">
        <v>1.5</v>
      </c>
      <c r="R796" s="109" t="s">
        <v>244</v>
      </c>
      <c r="S796" s="110">
        <v>25892.04</v>
      </c>
      <c r="T796" s="93"/>
      <c r="U796" s="857"/>
      <c r="V796" s="158" t="e">
        <f t="shared" si="580"/>
        <v>#DIV/0!</v>
      </c>
      <c r="W796" s="159">
        <v>45846.643750000003</v>
      </c>
      <c r="X796" s="159">
        <v>45852.625694444447</v>
      </c>
      <c r="Y796" s="160">
        <v>45854</v>
      </c>
      <c r="Z796" s="470">
        <v>45862</v>
      </c>
      <c r="AA796" s="942">
        <v>45862</v>
      </c>
      <c r="AB796" s="942"/>
      <c r="AC796" s="161">
        <f t="shared" si="587"/>
        <v>15.35624999999709</v>
      </c>
      <c r="AD796" s="161">
        <f t="shared" si="588"/>
        <v>9.3743055555532919</v>
      </c>
      <c r="AE796" s="446">
        <f t="shared" si="589"/>
        <v>-45862</v>
      </c>
      <c r="AF796" s="160">
        <f t="shared" si="590"/>
        <v>45865.417943548389</v>
      </c>
      <c r="AG796" s="160">
        <f t="shared" si="591"/>
        <v>45874.224395161291</v>
      </c>
      <c r="AH796" s="159">
        <f t="shared" si="592"/>
        <v>45896.643750000003</v>
      </c>
      <c r="AI796" s="162">
        <f t="shared" si="593"/>
        <v>0.5289374999998997</v>
      </c>
      <c r="AJ796" s="224">
        <f t="shared" si="594"/>
        <v>-764.36666666666667</v>
      </c>
      <c r="AK796" s="225">
        <f t="shared" si="595"/>
        <v>20</v>
      </c>
      <c r="AL796" s="170">
        <f t="shared" si="596"/>
        <v>36</v>
      </c>
      <c r="AM796" s="170">
        <f t="shared" si="597"/>
        <v>21.774193548387096</v>
      </c>
      <c r="AN796" s="170">
        <f t="shared" si="598"/>
        <v>27.58064516129032</v>
      </c>
      <c r="AO796" s="226">
        <f t="shared" si="599"/>
        <v>18.774193548387096</v>
      </c>
      <c r="AP796" s="227">
        <v>60</v>
      </c>
      <c r="AQ796" s="228">
        <f t="shared" si="600"/>
        <v>57</v>
      </c>
      <c r="AR796" s="228">
        <f t="shared" si="601"/>
        <v>52</v>
      </c>
      <c r="AS796" s="229">
        <f t="shared" si="602"/>
        <v>45922</v>
      </c>
      <c r="AT796" s="982">
        <f t="shared" ca="1" si="603"/>
        <v>33</v>
      </c>
      <c r="AU796" s="50"/>
      <c r="AV796" s="51"/>
      <c r="AW796" s="49"/>
      <c r="AX796" s="49"/>
      <c r="AY796" s="49"/>
      <c r="AZ796" s="300"/>
      <c r="BA796" s="52"/>
      <c r="BB796" s="304"/>
      <c r="BC796" s="231" t="s">
        <v>12</v>
      </c>
      <c r="BD796" s="232"/>
      <c r="BE796" s="222">
        <f t="shared" si="604"/>
        <v>45877</v>
      </c>
      <c r="BF796" s="233">
        <f t="shared" si="605"/>
        <v>7</v>
      </c>
      <c r="BG796" s="234">
        <v>45862</v>
      </c>
      <c r="BH796" s="235">
        <v>45884</v>
      </c>
      <c r="BI796" s="234"/>
      <c r="BJ796" s="236"/>
      <c r="BK796" s="222"/>
      <c r="BL796" s="222"/>
      <c r="BM796" s="238"/>
      <c r="BN796" s="222"/>
      <c r="BO796" s="222"/>
      <c r="BP796" s="243"/>
      <c r="BQ796" s="244"/>
      <c r="BR796" s="238"/>
      <c r="BS796" s="68"/>
      <c r="BT796" s="69"/>
      <c r="BU796" s="69"/>
      <c r="BV796" s="69"/>
      <c r="BW796" s="75"/>
      <c r="BX796" s="81"/>
      <c r="BY796" s="66">
        <v>45854</v>
      </c>
      <c r="BZ796" s="944" t="s">
        <v>3769</v>
      </c>
      <c r="CA796" s="42"/>
      <c r="CB796" s="62"/>
      <c r="CC796" s="62"/>
      <c r="CD796" s="42"/>
      <c r="CE796" s="42"/>
      <c r="CF796" s="145">
        <f t="shared" si="541"/>
        <v>7</v>
      </c>
      <c r="CG796" s="145"/>
      <c r="CH796" s="443">
        <f t="shared" si="581"/>
        <v>0.77004861111101075</v>
      </c>
      <c r="CI796" s="996">
        <f t="shared" si="582"/>
        <v>0.77004861111101075</v>
      </c>
      <c r="CJ796" s="261">
        <f t="shared" si="583"/>
        <v>0.11666666666666667</v>
      </c>
      <c r="CK796" s="458" t="str">
        <f t="shared" si="584"/>
        <v/>
      </c>
      <c r="CL796" t="str">
        <f t="shared" si="585"/>
        <v>REV</v>
      </c>
      <c r="CM796" t="str">
        <f t="shared" si="586"/>
        <v/>
      </c>
      <c r="CN796" s="635"/>
      <c r="CO796" s="631"/>
      <c r="CP796" s="629"/>
      <c r="CQ796" s="635"/>
      <c r="CR796" s="697"/>
      <c r="CS796" s="633"/>
      <c r="CT796" s="635"/>
      <c r="CU796" s="631"/>
      <c r="CV796" s="638"/>
      <c r="CW796" s="853"/>
      <c r="CX796" s="856"/>
      <c r="CY796" s="856"/>
    </row>
    <row r="797" spans="1:103" s="359" customFormat="1" ht="15" customHeight="1" x14ac:dyDescent="0.25">
      <c r="A797" s="242">
        <v>45860</v>
      </c>
      <c r="B797" s="222">
        <v>45860</v>
      </c>
      <c r="C797" s="852"/>
      <c r="D797" s="66" t="s">
        <v>320</v>
      </c>
      <c r="E797" s="404" t="s">
        <v>3770</v>
      </c>
      <c r="F797" s="95" t="s">
        <v>3771</v>
      </c>
      <c r="G797" s="95" t="s">
        <v>3772</v>
      </c>
      <c r="H797" s="95" t="s">
        <v>318</v>
      </c>
      <c r="I797" s="95" t="s">
        <v>239</v>
      </c>
      <c r="J797" s="854" t="s">
        <v>3773</v>
      </c>
      <c r="K797" s="855"/>
      <c r="L797" s="101" t="s">
        <v>5</v>
      </c>
      <c r="M797" s="101" t="s">
        <v>272</v>
      </c>
      <c r="N797" s="442" t="s">
        <v>403</v>
      </c>
      <c r="O797" s="165">
        <v>71.44</v>
      </c>
      <c r="P797" s="165">
        <v>91.72</v>
      </c>
      <c r="Q797" s="157">
        <v>46</v>
      </c>
      <c r="R797" s="109" t="s">
        <v>244</v>
      </c>
      <c r="S797" s="110">
        <v>334067.09999999998</v>
      </c>
      <c r="T797" s="93">
        <v>61383.98000000001</v>
      </c>
      <c r="U797" s="857"/>
      <c r="V797" s="158">
        <f t="shared" si="580"/>
        <v>0</v>
      </c>
      <c r="W797" s="159">
        <v>45849</v>
      </c>
      <c r="X797" s="159">
        <v>45859.428472222222</v>
      </c>
      <c r="Y797" s="160">
        <v>45860</v>
      </c>
      <c r="Z797" s="470"/>
      <c r="AA797" s="942">
        <v>45878.382638888892</v>
      </c>
      <c r="AB797" s="942"/>
      <c r="AC797" s="161">
        <f t="shared" si="587"/>
        <v>29.382638888891961</v>
      </c>
      <c r="AD797" s="161">
        <f t="shared" si="588"/>
        <v>18.954166666670062</v>
      </c>
      <c r="AE797" s="446">
        <f t="shared" si="589"/>
        <v>-45878.382638888892</v>
      </c>
      <c r="AF797" s="160">
        <f t="shared" si="590"/>
        <v>45869.085501858739</v>
      </c>
      <c r="AG797" s="160">
        <f t="shared" si="591"/>
        <v>45878.241635687729</v>
      </c>
      <c r="AH797" s="159">
        <f t="shared" si="592"/>
        <v>45899</v>
      </c>
      <c r="AI797" s="162">
        <f t="shared" si="593"/>
        <v>0.95458090110047555</v>
      </c>
      <c r="AJ797" s="224">
        <f t="shared" si="594"/>
        <v>-764.63971064814825</v>
      </c>
      <c r="AK797" s="225">
        <f t="shared" si="595"/>
        <v>23</v>
      </c>
      <c r="AL797" s="170">
        <f t="shared" si="596"/>
        <v>36</v>
      </c>
      <c r="AM797" s="170">
        <f t="shared" si="597"/>
        <v>23.085501858736059</v>
      </c>
      <c r="AN797" s="170">
        <f t="shared" si="598"/>
        <v>29.241635687732341</v>
      </c>
      <c r="AO797" s="226">
        <f t="shared" si="599"/>
        <v>20.085501858736059</v>
      </c>
      <c r="AP797" s="227">
        <v>60</v>
      </c>
      <c r="AQ797" s="228">
        <f t="shared" si="600"/>
        <v>57</v>
      </c>
      <c r="AR797" s="228">
        <f t="shared" si="601"/>
        <v>52</v>
      </c>
      <c r="AS797" s="229">
        <f t="shared" si="602"/>
        <v>45938.382638888892</v>
      </c>
      <c r="AT797" s="982">
        <f t="shared" ca="1" si="603"/>
        <v>16.617361111108039</v>
      </c>
      <c r="AU797" s="50"/>
      <c r="AV797" s="51"/>
      <c r="AW797" s="49"/>
      <c r="AX797" s="49"/>
      <c r="AY797" s="49"/>
      <c r="AZ797" s="300"/>
      <c r="BA797" s="52"/>
      <c r="BB797" s="304"/>
      <c r="BC797" s="231" t="s">
        <v>13</v>
      </c>
      <c r="BD797" s="232"/>
      <c r="BE797" s="222">
        <f t="shared" si="604"/>
        <v>45893.382638888892</v>
      </c>
      <c r="BF797" s="233" t="e">
        <f t="shared" si="605"/>
        <v>#VALUE!</v>
      </c>
      <c r="BG797" s="234"/>
      <c r="BH797" s="235"/>
      <c r="BI797" s="234"/>
      <c r="BJ797" s="236"/>
      <c r="BK797" s="222"/>
      <c r="BL797" s="222"/>
      <c r="BM797" s="238"/>
      <c r="BN797" s="222"/>
      <c r="BO797" s="222"/>
      <c r="BP797" s="243"/>
      <c r="BQ797" s="244"/>
      <c r="BR797" s="238"/>
      <c r="BS797" s="68"/>
      <c r="BT797" s="69"/>
      <c r="BU797" s="69"/>
      <c r="BV797" s="69"/>
      <c r="BW797" s="75"/>
      <c r="BX797" s="81"/>
      <c r="BY797" s="66">
        <v>45860</v>
      </c>
      <c r="BZ797" s="944" t="s">
        <v>3774</v>
      </c>
      <c r="CA797" s="42"/>
      <c r="CB797" s="62"/>
      <c r="CC797" s="62"/>
      <c r="CD797" s="42"/>
      <c r="CE797" s="42"/>
      <c r="CF797" s="145">
        <f t="shared" si="541"/>
        <v>-9.382638888891961</v>
      </c>
      <c r="CG797" s="145"/>
      <c r="CH797" s="443">
        <f t="shared" si="581"/>
        <v>0.64975845410628019</v>
      </c>
      <c r="CI797" s="996">
        <f t="shared" si="582"/>
        <v>0.64975845410628019</v>
      </c>
      <c r="CJ797" s="261">
        <f t="shared" si="583"/>
        <v>-0.15637731481486603</v>
      </c>
      <c r="CK797" s="458" t="str">
        <f t="shared" si="584"/>
        <v/>
      </c>
      <c r="CL797" t="str">
        <f t="shared" si="585"/>
        <v>REV</v>
      </c>
      <c r="CM797" t="str">
        <f t="shared" si="586"/>
        <v/>
      </c>
      <c r="CN797" s="635"/>
      <c r="CO797" s="631"/>
      <c r="CP797" s="629"/>
      <c r="CQ797" s="635"/>
      <c r="CR797" s="697"/>
      <c r="CS797" s="633"/>
      <c r="CT797" s="635"/>
      <c r="CU797" s="631"/>
      <c r="CV797" s="638"/>
      <c r="CW797" s="853"/>
      <c r="CX797" s="856"/>
      <c r="CY797" s="856"/>
    </row>
    <row r="798" spans="1:103" s="359" customFormat="1" ht="15" customHeight="1" x14ac:dyDescent="0.25">
      <c r="A798" s="242">
        <v>45860</v>
      </c>
      <c r="B798" s="222">
        <v>45860</v>
      </c>
      <c r="C798" s="852"/>
      <c r="D798" s="66" t="s">
        <v>320</v>
      </c>
      <c r="E798" s="404" t="s">
        <v>3775</v>
      </c>
      <c r="F798" s="95" t="s">
        <v>2354</v>
      </c>
      <c r="G798" s="95" t="s">
        <v>2781</v>
      </c>
      <c r="H798" s="95" t="s">
        <v>318</v>
      </c>
      <c r="I798" s="95" t="s">
        <v>239</v>
      </c>
      <c r="J798" s="854"/>
      <c r="K798" s="855"/>
      <c r="L798" s="101" t="s">
        <v>5</v>
      </c>
      <c r="M798" s="101" t="s">
        <v>331</v>
      </c>
      <c r="N798" s="442" t="s">
        <v>403</v>
      </c>
      <c r="O798" s="165">
        <v>205.55</v>
      </c>
      <c r="P798" s="165">
        <v>205.55</v>
      </c>
      <c r="Q798" s="157">
        <v>108.4</v>
      </c>
      <c r="R798" s="109" t="s">
        <v>244</v>
      </c>
      <c r="S798" s="110">
        <v>1092314.6499999999</v>
      </c>
      <c r="T798" s="93">
        <v>176646.77</v>
      </c>
      <c r="U798" s="857"/>
      <c r="V798" s="158">
        <f t="shared" si="580"/>
        <v>0</v>
      </c>
      <c r="W798" s="159">
        <v>45849</v>
      </c>
      <c r="X798" s="159">
        <v>45859.429861111108</v>
      </c>
      <c r="Y798" s="160">
        <v>45860</v>
      </c>
      <c r="Z798" s="470"/>
      <c r="AA798" s="942"/>
      <c r="AB798" s="942"/>
      <c r="AC798" s="161">
        <f t="shared" si="587"/>
        <v>-45849</v>
      </c>
      <c r="AD798" s="161">
        <f t="shared" si="588"/>
        <v>-45859.429861111108</v>
      </c>
      <c r="AE798" s="446">
        <f t="shared" si="589"/>
        <v>0</v>
      </c>
      <c r="AF798" s="160">
        <f t="shared" si="590"/>
        <v>45869.013698630137</v>
      </c>
      <c r="AG798" s="160">
        <f t="shared" si="591"/>
        <v>45878.150684931505</v>
      </c>
      <c r="AH798" s="159">
        <f t="shared" si="592"/>
        <v>45899</v>
      </c>
      <c r="AI798" s="162">
        <f t="shared" si="593"/>
        <v>-1494.1861607142857</v>
      </c>
      <c r="AJ798" s="224">
        <f t="shared" si="594"/>
        <v>0</v>
      </c>
      <c r="AK798" s="225">
        <f t="shared" si="595"/>
        <v>28</v>
      </c>
      <c r="AL798" s="170">
        <f t="shared" si="596"/>
        <v>32</v>
      </c>
      <c r="AM798" s="170">
        <f t="shared" si="597"/>
        <v>23.013698630136989</v>
      </c>
      <c r="AN798" s="170">
        <f t="shared" si="598"/>
        <v>29.150684931506852</v>
      </c>
      <c r="AO798" s="226">
        <f t="shared" si="599"/>
        <v>20.013698630136989</v>
      </c>
      <c r="AP798" s="227">
        <v>60</v>
      </c>
      <c r="AQ798" s="228">
        <f t="shared" si="600"/>
        <v>57</v>
      </c>
      <c r="AR798" s="228">
        <f t="shared" si="601"/>
        <v>52</v>
      </c>
      <c r="AS798" s="229">
        <f t="shared" si="602"/>
        <v>60</v>
      </c>
      <c r="AT798" s="982">
        <f t="shared" ca="1" si="603"/>
        <v>45895</v>
      </c>
      <c r="AU798" s="50"/>
      <c r="AV798" s="51"/>
      <c r="AW798" s="49"/>
      <c r="AX798" s="49"/>
      <c r="AY798" s="49"/>
      <c r="AZ798" s="300"/>
      <c r="BA798" s="52"/>
      <c r="BB798" s="304"/>
      <c r="BC798" s="231"/>
      <c r="BD798" s="232"/>
      <c r="BE798" s="222">
        <f t="shared" si="604"/>
        <v>15</v>
      </c>
      <c r="BF798" s="233">
        <f t="shared" si="605"/>
        <v>0</v>
      </c>
      <c r="BG798" s="234"/>
      <c r="BH798" s="235"/>
      <c r="BI798" s="234"/>
      <c r="BJ798" s="236"/>
      <c r="BK798" s="222"/>
      <c r="BL798" s="222"/>
      <c r="BM798" s="238"/>
      <c r="BN798" s="222"/>
      <c r="BO798" s="222"/>
      <c r="BP798" s="243"/>
      <c r="BQ798" s="244"/>
      <c r="BR798" s="238"/>
      <c r="BS798" s="68"/>
      <c r="BT798" s="69"/>
      <c r="BU798" s="69"/>
      <c r="BV798" s="69"/>
      <c r="BW798" s="75"/>
      <c r="BX798" s="81"/>
      <c r="BY798" s="66">
        <v>45860</v>
      </c>
      <c r="BZ798" s="944" t="s">
        <v>3776</v>
      </c>
      <c r="CA798" s="42"/>
      <c r="CB798" s="62"/>
      <c r="CC798" s="62"/>
      <c r="CD798" s="42"/>
      <c r="CE798" s="42"/>
      <c r="CF798" s="145" t="str">
        <f t="shared" si="541"/>
        <v>0</v>
      </c>
      <c r="CG798" s="145"/>
      <c r="CH798" s="443">
        <f t="shared" si="581"/>
        <v>0.6517857142857143</v>
      </c>
      <c r="CI798" s="996">
        <f t="shared" si="582"/>
        <v>0.6517857142857143</v>
      </c>
      <c r="CJ798" s="261">
        <f t="shared" si="583"/>
        <v>0</v>
      </c>
      <c r="CK798" s="458">
        <f t="shared" si="584"/>
        <v>7</v>
      </c>
      <c r="CL798" t="str">
        <f t="shared" si="585"/>
        <v>REV</v>
      </c>
      <c r="CM798" t="str">
        <f t="shared" si="586"/>
        <v>0-3 MONTHS</v>
      </c>
      <c r="CN798" s="635"/>
      <c r="CO798" s="631"/>
      <c r="CP798" s="629"/>
      <c r="CQ798" s="635"/>
      <c r="CR798" s="697"/>
      <c r="CS798" s="633"/>
      <c r="CT798" s="635"/>
      <c r="CU798" s="631"/>
      <c r="CV798" s="638"/>
      <c r="CW798" s="853"/>
      <c r="CX798" s="856"/>
      <c r="CY798" s="856"/>
    </row>
    <row r="799" spans="1:103" s="359" customFormat="1" ht="15" customHeight="1" x14ac:dyDescent="0.25">
      <c r="A799" s="242">
        <v>45860</v>
      </c>
      <c r="B799" s="222">
        <v>45860</v>
      </c>
      <c r="C799" s="852"/>
      <c r="D799" s="66" t="s">
        <v>320</v>
      </c>
      <c r="E799" s="404" t="s">
        <v>3777</v>
      </c>
      <c r="F799" s="95" t="s">
        <v>3778</v>
      </c>
      <c r="G799" s="95" t="s">
        <v>820</v>
      </c>
      <c r="H799" s="95" t="s">
        <v>318</v>
      </c>
      <c r="I799" s="95" t="s">
        <v>239</v>
      </c>
      <c r="J799" s="854"/>
      <c r="K799" s="855"/>
      <c r="L799" s="101" t="s">
        <v>5</v>
      </c>
      <c r="M799" s="101" t="s">
        <v>331</v>
      </c>
      <c r="N799" s="442" t="s">
        <v>403</v>
      </c>
      <c r="O799" s="165">
        <v>24.61</v>
      </c>
      <c r="P799" s="165">
        <v>24.61</v>
      </c>
      <c r="Q799" s="157">
        <v>3</v>
      </c>
      <c r="R799" s="109" t="s">
        <v>244</v>
      </c>
      <c r="S799" s="110">
        <v>180869.47</v>
      </c>
      <c r="T799" s="93">
        <v>21147.33</v>
      </c>
      <c r="U799" s="857"/>
      <c r="V799" s="158">
        <f t="shared" si="580"/>
        <v>0</v>
      </c>
      <c r="W799" s="159">
        <v>45852</v>
      </c>
      <c r="X799" s="159">
        <v>45859.433333333334</v>
      </c>
      <c r="Y799" s="160">
        <v>45860</v>
      </c>
      <c r="Z799" s="470"/>
      <c r="AA799" s="942"/>
      <c r="AB799" s="942"/>
      <c r="AC799" s="161">
        <f t="shared" si="587"/>
        <v>-45852</v>
      </c>
      <c r="AD799" s="161">
        <f t="shared" si="588"/>
        <v>-45859.433333333334</v>
      </c>
      <c r="AE799" s="446">
        <f t="shared" si="589"/>
        <v>0</v>
      </c>
      <c r="AF799" s="160">
        <f t="shared" si="590"/>
        <v>45870.774193548386</v>
      </c>
      <c r="AG799" s="160">
        <f t="shared" si="591"/>
        <v>45879.580645161288</v>
      </c>
      <c r="AH799" s="159">
        <f t="shared" si="592"/>
        <v>45902</v>
      </c>
      <c r="AI799" s="162">
        <f t="shared" si="593"/>
        <v>-1579.3466666666668</v>
      </c>
      <c r="AJ799" s="224">
        <f t="shared" si="594"/>
        <v>0</v>
      </c>
      <c r="AK799" s="225">
        <f t="shared" si="595"/>
        <v>20</v>
      </c>
      <c r="AL799" s="170">
        <f t="shared" si="596"/>
        <v>36</v>
      </c>
      <c r="AM799" s="170">
        <f t="shared" si="597"/>
        <v>21.774193548387096</v>
      </c>
      <c r="AN799" s="170">
        <f t="shared" si="598"/>
        <v>27.58064516129032</v>
      </c>
      <c r="AO799" s="226">
        <f t="shared" si="599"/>
        <v>18.774193548387096</v>
      </c>
      <c r="AP799" s="227">
        <v>60</v>
      </c>
      <c r="AQ799" s="228">
        <f t="shared" si="600"/>
        <v>57</v>
      </c>
      <c r="AR799" s="228">
        <f t="shared" si="601"/>
        <v>52</v>
      </c>
      <c r="AS799" s="229">
        <f t="shared" si="602"/>
        <v>60</v>
      </c>
      <c r="AT799" s="982">
        <f t="shared" ca="1" si="603"/>
        <v>45895</v>
      </c>
      <c r="AU799" s="50"/>
      <c r="AV799" s="51"/>
      <c r="AW799" s="49"/>
      <c r="AX799" s="49"/>
      <c r="AY799" s="49"/>
      <c r="AZ799" s="300"/>
      <c r="BA799" s="52"/>
      <c r="BB799" s="304"/>
      <c r="BC799" s="231"/>
      <c r="BD799" s="232"/>
      <c r="BE799" s="222">
        <f t="shared" si="604"/>
        <v>15</v>
      </c>
      <c r="BF799" s="233">
        <f t="shared" si="605"/>
        <v>0</v>
      </c>
      <c r="BG799" s="234"/>
      <c r="BH799" s="235"/>
      <c r="BI799" s="234"/>
      <c r="BJ799" s="236"/>
      <c r="BK799" s="222"/>
      <c r="BL799" s="222"/>
      <c r="BM799" s="238"/>
      <c r="BN799" s="222"/>
      <c r="BO799" s="222"/>
      <c r="BP799" s="243"/>
      <c r="BQ799" s="244"/>
      <c r="BR799" s="238"/>
      <c r="BS799" s="68"/>
      <c r="BT799" s="69"/>
      <c r="BU799" s="69"/>
      <c r="BV799" s="69"/>
      <c r="BW799" s="75"/>
      <c r="BX799" s="81"/>
      <c r="BY799" s="66">
        <v>45860</v>
      </c>
      <c r="BZ799" s="944" t="s">
        <v>3779</v>
      </c>
      <c r="CA799" s="42"/>
      <c r="CB799" s="62"/>
      <c r="CC799" s="62"/>
      <c r="CD799" s="42"/>
      <c r="CE799" s="42"/>
      <c r="CF799" s="145" t="str">
        <f t="shared" si="541"/>
        <v>0</v>
      </c>
      <c r="CG799" s="145"/>
      <c r="CH799" s="443">
        <f t="shared" si="581"/>
        <v>0.58555555555555561</v>
      </c>
      <c r="CI799" s="996">
        <f t="shared" si="582"/>
        <v>0.58555555555555561</v>
      </c>
      <c r="CJ799" s="261">
        <f t="shared" si="583"/>
        <v>0</v>
      </c>
      <c r="CK799" s="458">
        <f t="shared" si="584"/>
        <v>4</v>
      </c>
      <c r="CL799" t="str">
        <f t="shared" si="585"/>
        <v>REV</v>
      </c>
      <c r="CM799" t="str">
        <f t="shared" si="586"/>
        <v>0-3 MONTHS</v>
      </c>
      <c r="CN799" s="635"/>
      <c r="CO799" s="631"/>
      <c r="CP799" s="629"/>
      <c r="CQ799" s="635"/>
      <c r="CR799" s="697"/>
      <c r="CS799" s="633"/>
      <c r="CT799" s="635"/>
      <c r="CU799" s="631"/>
      <c r="CV799" s="638"/>
      <c r="CW799" s="853"/>
      <c r="CX799" s="856"/>
      <c r="CY799" s="856"/>
    </row>
    <row r="800" spans="1:103" s="1103" customFormat="1" ht="15" customHeight="1" x14ac:dyDescent="0.2">
      <c r="A800" s="242">
        <v>45860</v>
      </c>
      <c r="B800" s="222">
        <v>45860</v>
      </c>
      <c r="C800" s="852"/>
      <c r="D800" s="66" t="s">
        <v>284</v>
      </c>
      <c r="E800" s="404" t="s">
        <v>3780</v>
      </c>
      <c r="F800" s="95" t="s">
        <v>3781</v>
      </c>
      <c r="G800" s="95" t="s">
        <v>1715</v>
      </c>
      <c r="H800" s="95" t="s">
        <v>238</v>
      </c>
      <c r="I800" s="95" t="s">
        <v>239</v>
      </c>
      <c r="J800" s="1134" t="s">
        <v>3782</v>
      </c>
      <c r="K800" s="855"/>
      <c r="L800" s="101" t="s">
        <v>255</v>
      </c>
      <c r="M800" s="101" t="s">
        <v>331</v>
      </c>
      <c r="N800" s="442" t="s">
        <v>403</v>
      </c>
      <c r="O800" s="165">
        <v>56.86</v>
      </c>
      <c r="P800" s="165">
        <v>77.14</v>
      </c>
      <c r="Q800" s="157">
        <v>14</v>
      </c>
      <c r="R800" s="109" t="s">
        <v>244</v>
      </c>
      <c r="S800" s="110">
        <v>290936.32000000001</v>
      </c>
      <c r="T800" s="93">
        <v>48855.55</v>
      </c>
      <c r="U800" s="857"/>
      <c r="V800" s="158">
        <f t="shared" si="580"/>
        <v>0</v>
      </c>
      <c r="W800" s="159">
        <v>45855</v>
      </c>
      <c r="X800" s="159">
        <v>45860.538888888892</v>
      </c>
      <c r="Y800" s="160">
        <v>45860</v>
      </c>
      <c r="Z800" s="470"/>
      <c r="AA800" s="942"/>
      <c r="AB800" s="942"/>
      <c r="AC800" s="161">
        <f t="shared" si="587"/>
        <v>-45855</v>
      </c>
      <c r="AD800" s="161">
        <f t="shared" si="588"/>
        <v>-45860.538888888892</v>
      </c>
      <c r="AE800" s="446">
        <f t="shared" si="589"/>
        <v>0</v>
      </c>
      <c r="AF800" s="160">
        <f t="shared" si="590"/>
        <v>45875.085501858739</v>
      </c>
      <c r="AG800" s="160">
        <f t="shared" si="591"/>
        <v>45884.241635687729</v>
      </c>
      <c r="AH800" s="159">
        <f t="shared" si="592"/>
        <v>45905</v>
      </c>
      <c r="AI800" s="162">
        <f t="shared" si="593"/>
        <v>-1489.733695652174</v>
      </c>
      <c r="AJ800" s="224">
        <f t="shared" si="594"/>
        <v>0</v>
      </c>
      <c r="AK800" s="225">
        <f t="shared" si="595"/>
        <v>23</v>
      </c>
      <c r="AL800" s="170">
        <f t="shared" si="596"/>
        <v>36</v>
      </c>
      <c r="AM800" s="170">
        <f t="shared" si="597"/>
        <v>23.085501858736059</v>
      </c>
      <c r="AN800" s="170">
        <f t="shared" si="598"/>
        <v>29.241635687732341</v>
      </c>
      <c r="AO800" s="226">
        <f t="shared" si="599"/>
        <v>20.085501858736059</v>
      </c>
      <c r="AP800" s="227">
        <v>60</v>
      </c>
      <c r="AQ800" s="228">
        <f t="shared" si="600"/>
        <v>57</v>
      </c>
      <c r="AR800" s="228">
        <f t="shared" si="601"/>
        <v>52</v>
      </c>
      <c r="AS800" s="229">
        <f t="shared" si="602"/>
        <v>60</v>
      </c>
      <c r="AT800" s="982">
        <f t="shared" ca="1" si="603"/>
        <v>45895</v>
      </c>
      <c r="AU800" s="1077"/>
      <c r="AV800" s="1092"/>
      <c r="AW800" s="1079"/>
      <c r="AX800" s="1079"/>
      <c r="AY800" s="1079"/>
      <c r="AZ800" s="1080"/>
      <c r="BA800" s="1101"/>
      <c r="BB800" s="1091"/>
      <c r="BC800" s="231"/>
      <c r="BD800" s="232"/>
      <c r="BE800" s="222">
        <f t="shared" si="604"/>
        <v>15</v>
      </c>
      <c r="BF800" s="233">
        <f t="shared" si="605"/>
        <v>0</v>
      </c>
      <c r="BG800" s="234"/>
      <c r="BH800" s="235"/>
      <c r="BI800" s="234"/>
      <c r="BJ800" s="236"/>
      <c r="BK800" s="222"/>
      <c r="BL800" s="222"/>
      <c r="BM800" s="238"/>
      <c r="BN800" s="222"/>
      <c r="BO800" s="222"/>
      <c r="BP800" s="243"/>
      <c r="BQ800" s="244"/>
      <c r="BR800" s="238"/>
      <c r="BS800" s="68"/>
      <c r="BT800" s="69"/>
      <c r="BU800" s="69"/>
      <c r="BV800" s="69"/>
      <c r="BW800" s="75"/>
      <c r="BX800" s="81"/>
      <c r="BY800" s="66">
        <v>45860</v>
      </c>
      <c r="BZ800" s="944" t="s">
        <v>3783</v>
      </c>
      <c r="CA800" s="42"/>
      <c r="CB800" s="62"/>
      <c r="CC800" s="62"/>
      <c r="CD800" s="42"/>
      <c r="CE800" s="42"/>
      <c r="CF800" s="1059" t="str">
        <f t="shared" si="541"/>
        <v>0</v>
      </c>
      <c r="CG800" s="1059"/>
      <c r="CH800" s="1082">
        <f t="shared" si="581"/>
        <v>0.45483091787439611</v>
      </c>
      <c r="CI800" s="1083">
        <f t="shared" si="582"/>
        <v>0.45483091787439611</v>
      </c>
      <c r="CJ800" s="1084">
        <f t="shared" si="583"/>
        <v>0</v>
      </c>
      <c r="CK800" s="1085">
        <f t="shared" si="584"/>
        <v>1</v>
      </c>
      <c r="CL800" s="1057" t="str">
        <f t="shared" si="585"/>
        <v>REV</v>
      </c>
      <c r="CM800" s="1057" t="str">
        <f t="shared" si="586"/>
        <v>0-3 MONTHS</v>
      </c>
      <c r="CN800" s="1086"/>
      <c r="CO800" s="1087"/>
      <c r="CP800" s="629"/>
      <c r="CQ800" s="1086"/>
      <c r="CR800" s="1088"/>
      <c r="CS800" s="1089"/>
      <c r="CT800" s="1086"/>
      <c r="CU800" s="1087"/>
      <c r="CV800" s="1090"/>
      <c r="CW800" s="853"/>
      <c r="CX800" s="856"/>
      <c r="CY800" s="856"/>
    </row>
    <row r="801" spans="1:103" s="359" customFormat="1" ht="15" customHeight="1" x14ac:dyDescent="0.25">
      <c r="A801" s="242">
        <v>45860</v>
      </c>
      <c r="B801" s="222">
        <v>45863</v>
      </c>
      <c r="C801" s="852"/>
      <c r="D801" s="66" t="s">
        <v>320</v>
      </c>
      <c r="E801" s="404" t="s">
        <v>3784</v>
      </c>
      <c r="F801" s="95" t="s">
        <v>3785</v>
      </c>
      <c r="G801" s="95" t="s">
        <v>3786</v>
      </c>
      <c r="H801" s="95" t="s">
        <v>238</v>
      </c>
      <c r="I801" s="95" t="s">
        <v>239</v>
      </c>
      <c r="J801" s="1134" t="s">
        <v>2405</v>
      </c>
      <c r="K801" s="855"/>
      <c r="L801" s="101" t="s">
        <v>242</v>
      </c>
      <c r="M801" s="101" t="s">
        <v>331</v>
      </c>
      <c r="N801" s="442" t="s">
        <v>467</v>
      </c>
      <c r="O801" s="165">
        <v>289.05</v>
      </c>
      <c r="P801" s="165">
        <v>329.61</v>
      </c>
      <c r="Q801" s="157">
        <v>169</v>
      </c>
      <c r="R801" s="109" t="s">
        <v>548</v>
      </c>
      <c r="S801" s="110">
        <v>1175972.96</v>
      </c>
      <c r="T801" s="93"/>
      <c r="U801" s="857"/>
      <c r="V801" s="158" t="e">
        <f t="shared" si="580"/>
        <v>#DIV/0!</v>
      </c>
      <c r="W801" s="159">
        <v>45852</v>
      </c>
      <c r="X801" s="159">
        <v>45859.431944444441</v>
      </c>
      <c r="Y801" s="160">
        <v>45863</v>
      </c>
      <c r="Z801" s="470"/>
      <c r="AA801" s="942"/>
      <c r="AB801" s="942"/>
      <c r="AC801" s="161">
        <f t="shared" si="587"/>
        <v>-45852</v>
      </c>
      <c r="AD801" s="161">
        <f t="shared" si="588"/>
        <v>-45859.431944444441</v>
      </c>
      <c r="AE801" s="446">
        <f t="shared" si="589"/>
        <v>0</v>
      </c>
      <c r="AF801" s="160">
        <f t="shared" si="590"/>
        <v>45872.529411764706</v>
      </c>
      <c r="AG801" s="160">
        <f t="shared" si="591"/>
        <v>45881.803921568629</v>
      </c>
      <c r="AH801" s="159">
        <f t="shared" si="592"/>
        <v>45902</v>
      </c>
      <c r="AI801" s="162">
        <f t="shared" si="593"/>
        <v>-1461.5325</v>
      </c>
      <c r="AJ801" s="224">
        <f t="shared" si="594"/>
        <v>0</v>
      </c>
      <c r="AK801" s="225">
        <f t="shared" si="595"/>
        <v>30</v>
      </c>
      <c r="AL801" s="170">
        <f t="shared" si="596"/>
        <v>32</v>
      </c>
      <c r="AM801" s="170">
        <f t="shared" si="597"/>
        <v>23.52941176470588</v>
      </c>
      <c r="AN801" s="170">
        <f t="shared" si="598"/>
        <v>29.803921568627448</v>
      </c>
      <c r="AO801" s="226">
        <f t="shared" si="599"/>
        <v>20.52941176470588</v>
      </c>
      <c r="AP801" s="227">
        <v>60</v>
      </c>
      <c r="AQ801" s="228">
        <f t="shared" si="600"/>
        <v>57</v>
      </c>
      <c r="AR801" s="228">
        <f t="shared" si="601"/>
        <v>52</v>
      </c>
      <c r="AS801" s="229">
        <f t="shared" si="602"/>
        <v>60</v>
      </c>
      <c r="AT801" s="982">
        <f t="shared" ca="1" si="603"/>
        <v>45895</v>
      </c>
      <c r="AU801" s="50"/>
      <c r="AV801" s="51"/>
      <c r="AW801" s="49"/>
      <c r="AX801" s="49"/>
      <c r="AY801" s="49"/>
      <c r="AZ801" s="300"/>
      <c r="BA801" s="52"/>
      <c r="BB801" s="304"/>
      <c r="BC801" s="231"/>
      <c r="BD801" s="232"/>
      <c r="BE801" s="222">
        <f t="shared" si="604"/>
        <v>15</v>
      </c>
      <c r="BF801" s="233">
        <f t="shared" si="605"/>
        <v>0</v>
      </c>
      <c r="BG801" s="234"/>
      <c r="BH801" s="235"/>
      <c r="BI801" s="234"/>
      <c r="BJ801" s="236"/>
      <c r="BK801" s="222"/>
      <c r="BL801" s="222"/>
      <c r="BM801" s="238"/>
      <c r="BN801" s="222"/>
      <c r="BO801" s="222"/>
      <c r="BP801" s="243"/>
      <c r="BQ801" s="244"/>
      <c r="BR801" s="238"/>
      <c r="BS801" s="68"/>
      <c r="BT801" s="69"/>
      <c r="BU801" s="69"/>
      <c r="BV801" s="69"/>
      <c r="BW801" s="75"/>
      <c r="BX801" s="81"/>
      <c r="BY801" s="66">
        <v>45860</v>
      </c>
      <c r="BZ801" s="944" t="s">
        <v>3787</v>
      </c>
      <c r="CA801" s="42"/>
      <c r="CB801" s="62"/>
      <c r="CC801" s="62"/>
      <c r="CD801" s="42"/>
      <c r="CE801" s="42"/>
      <c r="CF801" s="145" t="str">
        <f t="shared" si="541"/>
        <v>0</v>
      </c>
      <c r="CG801" s="145"/>
      <c r="CH801" s="443">
        <f t="shared" si="581"/>
        <v>0.54187499999999988</v>
      </c>
      <c r="CI801" s="996">
        <f t="shared" si="582"/>
        <v>0.54187499999999988</v>
      </c>
      <c r="CJ801" s="261">
        <f t="shared" si="583"/>
        <v>0</v>
      </c>
      <c r="CK801" s="458">
        <f t="shared" si="584"/>
        <v>4</v>
      </c>
      <c r="CL801" t="str">
        <f t="shared" si="585"/>
        <v>NON-REV</v>
      </c>
      <c r="CM801" t="str">
        <f t="shared" si="586"/>
        <v>0-3 MONTHS</v>
      </c>
      <c r="CN801" s="635"/>
      <c r="CO801" s="631"/>
      <c r="CP801" s="629"/>
      <c r="CQ801" s="635"/>
      <c r="CR801" s="697"/>
      <c r="CS801" s="633"/>
      <c r="CT801" s="635"/>
      <c r="CU801" s="631"/>
      <c r="CV801" s="638"/>
      <c r="CW801" s="853"/>
      <c r="CX801" s="856"/>
      <c r="CY801" s="856"/>
    </row>
    <row r="802" spans="1:103" s="359" customFormat="1" ht="15" customHeight="1" x14ac:dyDescent="0.25">
      <c r="A802" s="242">
        <v>45860</v>
      </c>
      <c r="B802" s="222">
        <v>45863</v>
      </c>
      <c r="C802" s="852"/>
      <c r="D802" s="66" t="s">
        <v>320</v>
      </c>
      <c r="E802" s="404" t="s">
        <v>3788</v>
      </c>
      <c r="F802" s="95" t="s">
        <v>3789</v>
      </c>
      <c r="G802" s="95" t="s">
        <v>3790</v>
      </c>
      <c r="H802" s="95" t="s">
        <v>269</v>
      </c>
      <c r="I802" s="95" t="s">
        <v>239</v>
      </c>
      <c r="J802" s="854"/>
      <c r="K802" s="855"/>
      <c r="L802" s="101" t="s">
        <v>242</v>
      </c>
      <c r="M802" s="101" t="s">
        <v>331</v>
      </c>
      <c r="N802" s="442" t="s">
        <v>467</v>
      </c>
      <c r="O802" s="165">
        <v>17.899999999999999</v>
      </c>
      <c r="P802" s="165">
        <v>17.899999999999999</v>
      </c>
      <c r="Q802" s="157">
        <v>12</v>
      </c>
      <c r="R802" s="109" t="s">
        <v>548</v>
      </c>
      <c r="S802" s="110">
        <v>37198.870000000003</v>
      </c>
      <c r="T802" s="93"/>
      <c r="U802" s="857"/>
      <c r="V802" s="158" t="e">
        <f t="shared" si="580"/>
        <v>#DIV/0!</v>
      </c>
      <c r="W802" s="159">
        <v>45849</v>
      </c>
      <c r="X802" s="159">
        <v>45859.427083333336</v>
      </c>
      <c r="Y802" s="160">
        <v>45863</v>
      </c>
      <c r="Z802" s="470"/>
      <c r="AA802" s="942"/>
      <c r="AB802" s="942"/>
      <c r="AC802" s="161">
        <f t="shared" si="587"/>
        <v>-45849</v>
      </c>
      <c r="AD802" s="161">
        <f t="shared" si="588"/>
        <v>-45859.427083333336</v>
      </c>
      <c r="AE802" s="446">
        <f t="shared" si="589"/>
        <v>0</v>
      </c>
      <c r="AF802" s="160">
        <f t="shared" si="590"/>
        <v>45867.774193548386</v>
      </c>
      <c r="AG802" s="160">
        <f t="shared" si="591"/>
        <v>45876.580645161288</v>
      </c>
      <c r="AH802" s="159">
        <f t="shared" si="592"/>
        <v>45899</v>
      </c>
      <c r="AI802" s="162">
        <f t="shared" si="593"/>
        <v>-1579.2433333333331</v>
      </c>
      <c r="AJ802" s="224">
        <f t="shared" si="594"/>
        <v>0</v>
      </c>
      <c r="AK802" s="225">
        <f t="shared" si="595"/>
        <v>20</v>
      </c>
      <c r="AL802" s="170">
        <f t="shared" si="596"/>
        <v>36</v>
      </c>
      <c r="AM802" s="170">
        <f t="shared" si="597"/>
        <v>21.774193548387096</v>
      </c>
      <c r="AN802" s="170">
        <f t="shared" si="598"/>
        <v>27.58064516129032</v>
      </c>
      <c r="AO802" s="226">
        <f t="shared" si="599"/>
        <v>18.774193548387096</v>
      </c>
      <c r="AP802" s="227">
        <v>60</v>
      </c>
      <c r="AQ802" s="228">
        <f t="shared" si="600"/>
        <v>57</v>
      </c>
      <c r="AR802" s="228">
        <f t="shared" si="601"/>
        <v>52</v>
      </c>
      <c r="AS802" s="229">
        <f t="shared" si="602"/>
        <v>60</v>
      </c>
      <c r="AT802" s="982">
        <f t="shared" ca="1" si="603"/>
        <v>45895</v>
      </c>
      <c r="AU802" s="50"/>
      <c r="AV802" s="51"/>
      <c r="AW802" s="49"/>
      <c r="AX802" s="49"/>
      <c r="AY802" s="49"/>
      <c r="AZ802" s="300"/>
      <c r="BA802" s="52"/>
      <c r="BB802" s="304"/>
      <c r="BC802" s="231"/>
      <c r="BD802" s="232"/>
      <c r="BE802" s="222">
        <f t="shared" si="604"/>
        <v>15</v>
      </c>
      <c r="BF802" s="233">
        <f t="shared" si="605"/>
        <v>0</v>
      </c>
      <c r="BG802" s="234"/>
      <c r="BH802" s="235"/>
      <c r="BI802" s="234"/>
      <c r="BJ802" s="236"/>
      <c r="BK802" s="222"/>
      <c r="BL802" s="222"/>
      <c r="BM802" s="238"/>
      <c r="BN802" s="222"/>
      <c r="BO802" s="222"/>
      <c r="BP802" s="243"/>
      <c r="BQ802" s="244"/>
      <c r="BR802" s="238"/>
      <c r="BS802" s="68"/>
      <c r="BT802" s="69"/>
      <c r="BU802" s="69"/>
      <c r="BV802" s="69"/>
      <c r="BW802" s="75"/>
      <c r="BX802" s="81"/>
      <c r="BY802" s="66" t="s">
        <v>308</v>
      </c>
      <c r="BZ802" s="944" t="s">
        <v>3791</v>
      </c>
      <c r="CA802" s="42"/>
      <c r="CB802" s="62"/>
      <c r="CC802" s="62"/>
      <c r="CD802" s="42"/>
      <c r="CE802" s="42"/>
      <c r="CF802" s="145" t="str">
        <f t="shared" si="541"/>
        <v>0</v>
      </c>
      <c r="CG802" s="145"/>
      <c r="CH802" s="443">
        <f t="shared" si="581"/>
        <v>0.68888888888888888</v>
      </c>
      <c r="CI802" s="996">
        <f t="shared" si="582"/>
        <v>0.68888888888888888</v>
      </c>
      <c r="CJ802" s="261">
        <f t="shared" si="583"/>
        <v>0</v>
      </c>
      <c r="CK802" s="458">
        <f t="shared" si="584"/>
        <v>7</v>
      </c>
      <c r="CL802" t="str">
        <f t="shared" si="585"/>
        <v>NON-REV</v>
      </c>
      <c r="CM802" t="str">
        <f t="shared" si="586"/>
        <v>0-3 MONTHS</v>
      </c>
      <c r="CN802" s="635"/>
      <c r="CO802" s="631"/>
      <c r="CP802" s="629"/>
      <c r="CQ802" s="635"/>
      <c r="CR802" s="697"/>
      <c r="CS802" s="633"/>
      <c r="CT802" s="635"/>
      <c r="CU802" s="631"/>
      <c r="CV802" s="638"/>
      <c r="CW802" s="853"/>
      <c r="CX802" s="856"/>
      <c r="CY802" s="856"/>
    </row>
    <row r="803" spans="1:103" s="359" customFormat="1" ht="15" customHeight="1" x14ac:dyDescent="0.25">
      <c r="A803" s="242">
        <v>45860</v>
      </c>
      <c r="B803" s="222">
        <v>45861</v>
      </c>
      <c r="C803" s="852"/>
      <c r="D803" s="66" t="s">
        <v>284</v>
      </c>
      <c r="E803" s="404" t="s">
        <v>3792</v>
      </c>
      <c r="F803" s="95" t="s">
        <v>3793</v>
      </c>
      <c r="G803" s="95" t="s">
        <v>3794</v>
      </c>
      <c r="H803" s="95" t="s">
        <v>253</v>
      </c>
      <c r="I803" s="95" t="s">
        <v>254</v>
      </c>
      <c r="J803" s="854"/>
      <c r="K803" s="855"/>
      <c r="L803" s="101" t="s">
        <v>263</v>
      </c>
      <c r="M803" s="101" t="s">
        <v>331</v>
      </c>
      <c r="N803" s="442" t="s">
        <v>467</v>
      </c>
      <c r="O803" s="165">
        <v>472.66</v>
      </c>
      <c r="P803" s="165">
        <v>472.66</v>
      </c>
      <c r="Q803" s="157">
        <v>271</v>
      </c>
      <c r="R803" s="109" t="s">
        <v>244</v>
      </c>
      <c r="S803" s="110">
        <v>1427142.92</v>
      </c>
      <c r="T803" s="93">
        <v>305292.52000000019</v>
      </c>
      <c r="U803" s="857"/>
      <c r="V803" s="158">
        <f t="shared" si="580"/>
        <v>0</v>
      </c>
      <c r="W803" s="159">
        <v>45855</v>
      </c>
      <c r="X803" s="159">
        <v>45860.540277777778</v>
      </c>
      <c r="Y803" s="160">
        <v>45861</v>
      </c>
      <c r="Z803" s="470"/>
      <c r="AA803" s="942"/>
      <c r="AB803" s="942"/>
      <c r="AC803" s="161">
        <f t="shared" si="587"/>
        <v>-45855</v>
      </c>
      <c r="AD803" s="161">
        <f t="shared" si="588"/>
        <v>-45860.540277777778</v>
      </c>
      <c r="AE803" s="446">
        <f t="shared" si="589"/>
        <v>0</v>
      </c>
      <c r="AF803" s="160">
        <f t="shared" si="590"/>
        <v>45874.929936305729</v>
      </c>
      <c r="AG803" s="160">
        <f t="shared" si="591"/>
        <v>45884.044585987263</v>
      </c>
      <c r="AH803" s="159">
        <f t="shared" si="592"/>
        <v>45905</v>
      </c>
      <c r="AI803" s="162">
        <f t="shared" si="593"/>
        <v>-1499.840625</v>
      </c>
      <c r="AJ803" s="224">
        <f t="shared" si="594"/>
        <v>0</v>
      </c>
      <c r="AK803" s="225">
        <f t="shared" si="595"/>
        <v>32</v>
      </c>
      <c r="AL803" s="170">
        <f t="shared" si="596"/>
        <v>30</v>
      </c>
      <c r="AM803" s="170">
        <f t="shared" si="597"/>
        <v>22.929936305732486</v>
      </c>
      <c r="AN803" s="170">
        <f t="shared" si="598"/>
        <v>29.044585987261147</v>
      </c>
      <c r="AO803" s="226">
        <f t="shared" si="599"/>
        <v>19.929936305732486</v>
      </c>
      <c r="AP803" s="227">
        <v>60</v>
      </c>
      <c r="AQ803" s="228">
        <f t="shared" si="600"/>
        <v>57</v>
      </c>
      <c r="AR803" s="228">
        <f t="shared" si="601"/>
        <v>52</v>
      </c>
      <c r="AS803" s="229">
        <f t="shared" si="602"/>
        <v>60</v>
      </c>
      <c r="AT803" s="982">
        <f t="shared" ca="1" si="603"/>
        <v>45895</v>
      </c>
      <c r="AU803" s="50"/>
      <c r="AV803" s="51"/>
      <c r="AW803" s="49"/>
      <c r="AX803" s="49"/>
      <c r="AY803" s="49"/>
      <c r="AZ803" s="300"/>
      <c r="BA803" s="52"/>
      <c r="BB803" s="304"/>
      <c r="BC803" s="231"/>
      <c r="BD803" s="232"/>
      <c r="BE803" s="222">
        <f t="shared" si="604"/>
        <v>15</v>
      </c>
      <c r="BF803" s="233">
        <f t="shared" si="605"/>
        <v>0</v>
      </c>
      <c r="BG803" s="234"/>
      <c r="BH803" s="235"/>
      <c r="BI803" s="234"/>
      <c r="BJ803" s="236"/>
      <c r="BK803" s="222"/>
      <c r="BL803" s="222"/>
      <c r="BM803" s="238"/>
      <c r="BN803" s="222"/>
      <c r="BO803" s="222"/>
      <c r="BP803" s="243"/>
      <c r="BQ803" s="244"/>
      <c r="BR803" s="238"/>
      <c r="BS803" s="68"/>
      <c r="BT803" s="69"/>
      <c r="BU803" s="69"/>
      <c r="BV803" s="69"/>
      <c r="BW803" s="75"/>
      <c r="BX803" s="81"/>
      <c r="BY803" s="66">
        <v>45860</v>
      </c>
      <c r="BZ803" s="944" t="s">
        <v>3795</v>
      </c>
      <c r="CA803" s="42"/>
      <c r="CB803" s="62"/>
      <c r="CC803" s="62"/>
      <c r="CD803" s="42"/>
      <c r="CE803" s="42"/>
      <c r="CF803" s="145" t="str">
        <f t="shared" si="541"/>
        <v>0</v>
      </c>
      <c r="CG803" s="145"/>
      <c r="CH803" s="443">
        <f t="shared" si="581"/>
        <v>0.45791666666666664</v>
      </c>
      <c r="CI803" s="996">
        <f t="shared" si="582"/>
        <v>0.45791666666666664</v>
      </c>
      <c r="CJ803" s="261">
        <f t="shared" si="583"/>
        <v>0</v>
      </c>
      <c r="CK803" s="458">
        <f t="shared" si="584"/>
        <v>1</v>
      </c>
      <c r="CL803" t="str">
        <f t="shared" si="585"/>
        <v>REV</v>
      </c>
      <c r="CM803" t="str">
        <f t="shared" si="586"/>
        <v>0-3 MONTHS</v>
      </c>
      <c r="CN803" s="635"/>
      <c r="CO803" s="631"/>
      <c r="CP803" s="629"/>
      <c r="CQ803" s="635"/>
      <c r="CR803" s="697"/>
      <c r="CS803" s="633"/>
      <c r="CT803" s="635"/>
      <c r="CU803" s="631"/>
      <c r="CV803" s="638"/>
      <c r="CW803" s="853"/>
      <c r="CX803" s="856"/>
      <c r="CY803" s="856"/>
    </row>
    <row r="804" spans="1:103" s="359" customFormat="1" ht="15" customHeight="1" x14ac:dyDescent="0.25">
      <c r="A804" s="242">
        <v>45860</v>
      </c>
      <c r="B804" s="222">
        <v>45861</v>
      </c>
      <c r="C804" s="852"/>
      <c r="D804" s="66" t="s">
        <v>320</v>
      </c>
      <c r="E804" s="404" t="s">
        <v>3796</v>
      </c>
      <c r="F804" s="95" t="s">
        <v>3797</v>
      </c>
      <c r="G804" s="95" t="s">
        <v>3798</v>
      </c>
      <c r="H804" s="95" t="s">
        <v>253</v>
      </c>
      <c r="I804" s="95" t="s">
        <v>254</v>
      </c>
      <c r="J804" s="854"/>
      <c r="K804" s="855"/>
      <c r="L804" s="101" t="s">
        <v>263</v>
      </c>
      <c r="M804" s="101" t="s">
        <v>331</v>
      </c>
      <c r="N804" s="442" t="s">
        <v>467</v>
      </c>
      <c r="O804" s="165">
        <v>184.61</v>
      </c>
      <c r="P804" s="165">
        <v>574.62</v>
      </c>
      <c r="Q804" s="157">
        <v>30.5</v>
      </c>
      <c r="R804" s="109" t="s">
        <v>244</v>
      </c>
      <c r="S804" s="110">
        <v>925613.28</v>
      </c>
      <c r="T804" s="93">
        <v>157813.10999999999</v>
      </c>
      <c r="U804" s="857"/>
      <c r="V804" s="158">
        <f t="shared" si="580"/>
        <v>0</v>
      </c>
      <c r="W804" s="159">
        <v>45855</v>
      </c>
      <c r="X804" s="159">
        <v>45860.541666666664</v>
      </c>
      <c r="Y804" s="160">
        <v>45861</v>
      </c>
      <c r="Z804" s="470"/>
      <c r="AA804" s="942"/>
      <c r="AB804" s="942"/>
      <c r="AC804" s="161">
        <f t="shared" si="587"/>
        <v>-45855</v>
      </c>
      <c r="AD804" s="161">
        <f t="shared" si="588"/>
        <v>-45860.541666666664</v>
      </c>
      <c r="AE804" s="446">
        <f t="shared" si="589"/>
        <v>0</v>
      </c>
      <c r="AF804" s="160">
        <f t="shared" si="590"/>
        <v>45879.83505154639</v>
      </c>
      <c r="AG804" s="160">
        <f t="shared" si="591"/>
        <v>45890.257731958765</v>
      </c>
      <c r="AH804" s="159">
        <f t="shared" si="592"/>
        <v>45905</v>
      </c>
      <c r="AI804" s="162">
        <f t="shared" si="593"/>
        <v>-1235.5374999999999</v>
      </c>
      <c r="AJ804" s="224">
        <f t="shared" si="594"/>
        <v>0</v>
      </c>
      <c r="AK804" s="225">
        <f t="shared" si="595"/>
        <v>40</v>
      </c>
      <c r="AL804" s="170">
        <f t="shared" si="596"/>
        <v>36</v>
      </c>
      <c r="AM804" s="170">
        <f t="shared" si="597"/>
        <v>27.835051546391753</v>
      </c>
      <c r="AN804" s="170">
        <f t="shared" si="598"/>
        <v>35.257731958762882</v>
      </c>
      <c r="AO804" s="226">
        <f t="shared" si="599"/>
        <v>24.835051546391753</v>
      </c>
      <c r="AP804" s="227">
        <v>60</v>
      </c>
      <c r="AQ804" s="228">
        <f t="shared" si="600"/>
        <v>57</v>
      </c>
      <c r="AR804" s="228">
        <f t="shared" si="601"/>
        <v>52</v>
      </c>
      <c r="AS804" s="229">
        <f t="shared" si="602"/>
        <v>60</v>
      </c>
      <c r="AT804" s="982">
        <f t="shared" ca="1" si="603"/>
        <v>45895</v>
      </c>
      <c r="AU804" s="50"/>
      <c r="AV804" s="51"/>
      <c r="AW804" s="49"/>
      <c r="AX804" s="49"/>
      <c r="AY804" s="49"/>
      <c r="AZ804" s="300"/>
      <c r="BA804" s="52"/>
      <c r="BB804" s="304"/>
      <c r="BC804" s="231"/>
      <c r="BD804" s="232"/>
      <c r="BE804" s="222">
        <f t="shared" si="604"/>
        <v>15</v>
      </c>
      <c r="BF804" s="233">
        <f t="shared" si="605"/>
        <v>0</v>
      </c>
      <c r="BG804" s="234"/>
      <c r="BH804" s="235"/>
      <c r="BI804" s="234"/>
      <c r="BJ804" s="236"/>
      <c r="BK804" s="222"/>
      <c r="BL804" s="222"/>
      <c r="BM804" s="238"/>
      <c r="BN804" s="222"/>
      <c r="BO804" s="222"/>
      <c r="BP804" s="243"/>
      <c r="BQ804" s="244"/>
      <c r="BR804" s="238"/>
      <c r="BS804" s="68"/>
      <c r="BT804" s="69"/>
      <c r="BU804" s="69"/>
      <c r="BV804" s="69"/>
      <c r="BW804" s="75"/>
      <c r="BX804" s="81"/>
      <c r="BY804" s="66">
        <v>45860</v>
      </c>
      <c r="BZ804" s="944" t="s">
        <v>3799</v>
      </c>
      <c r="CA804" s="42"/>
      <c r="CB804" s="62"/>
      <c r="CC804" s="62"/>
      <c r="CD804" s="42"/>
      <c r="CE804" s="42"/>
      <c r="CF804" s="145" t="str">
        <f t="shared" si="541"/>
        <v>0</v>
      </c>
      <c r="CG804" s="145"/>
      <c r="CH804" s="443">
        <f t="shared" si="581"/>
        <v>0.37722222222222218</v>
      </c>
      <c r="CI804" s="996">
        <f t="shared" si="582"/>
        <v>0.37722222222222218</v>
      </c>
      <c r="CJ804" s="261">
        <f t="shared" si="583"/>
        <v>0</v>
      </c>
      <c r="CK804" s="458">
        <f t="shared" si="584"/>
        <v>1</v>
      </c>
      <c r="CL804" t="str">
        <f t="shared" si="585"/>
        <v>REV</v>
      </c>
      <c r="CM804" t="str">
        <f t="shared" si="586"/>
        <v>0-3 MONTHS</v>
      </c>
      <c r="CN804" s="635"/>
      <c r="CO804" s="631"/>
      <c r="CP804" s="629"/>
      <c r="CQ804" s="635"/>
      <c r="CR804" s="697"/>
      <c r="CS804" s="633"/>
      <c r="CT804" s="635"/>
      <c r="CU804" s="631"/>
      <c r="CV804" s="638"/>
      <c r="CW804" s="853"/>
      <c r="CX804" s="856"/>
      <c r="CY804" s="856"/>
    </row>
    <row r="805" spans="1:103" s="359" customFormat="1" ht="15" customHeight="1" x14ac:dyDescent="0.25">
      <c r="A805" s="242">
        <v>45860</v>
      </c>
      <c r="B805" s="222">
        <v>45861</v>
      </c>
      <c r="C805" s="852"/>
      <c r="D805" s="66" t="s">
        <v>320</v>
      </c>
      <c r="E805" s="404" t="s">
        <v>3800</v>
      </c>
      <c r="F805" s="95" t="s">
        <v>1134</v>
      </c>
      <c r="G805" s="95" t="s">
        <v>3801</v>
      </c>
      <c r="H805" s="95" t="s">
        <v>378</v>
      </c>
      <c r="I805" s="95" t="s">
        <v>239</v>
      </c>
      <c r="J805" s="854" t="s">
        <v>3802</v>
      </c>
      <c r="K805" s="855"/>
      <c r="L805" s="101" t="s">
        <v>288</v>
      </c>
      <c r="M805" s="101" t="s">
        <v>243</v>
      </c>
      <c r="N805" s="442" t="s">
        <v>381</v>
      </c>
      <c r="O805" s="165">
        <v>4.51</v>
      </c>
      <c r="P805" s="165">
        <v>4.51</v>
      </c>
      <c r="Q805" s="157">
        <v>19</v>
      </c>
      <c r="R805" s="109" t="s">
        <v>244</v>
      </c>
      <c r="S805" s="110">
        <v>23672.39</v>
      </c>
      <c r="T805" s="93"/>
      <c r="U805" s="857"/>
      <c r="V805" s="158" t="e">
        <f t="shared" si="580"/>
        <v>#DIV/0!</v>
      </c>
      <c r="W805" s="159">
        <v>45854</v>
      </c>
      <c r="X805" s="159">
        <v>45859.436111111114</v>
      </c>
      <c r="Y805" s="160">
        <v>45861</v>
      </c>
      <c r="Z805" s="470">
        <v>45866</v>
      </c>
      <c r="AA805" s="942">
        <v>45866</v>
      </c>
      <c r="AB805" s="942">
        <v>45890</v>
      </c>
      <c r="AC805" s="161">
        <f t="shared" si="587"/>
        <v>12</v>
      </c>
      <c r="AD805" s="161">
        <f t="shared" si="588"/>
        <v>6.5638888888861402</v>
      </c>
      <c r="AE805" s="446">
        <f t="shared" si="589"/>
        <v>24</v>
      </c>
      <c r="AF805" s="160">
        <f t="shared" si="590"/>
        <v>45872.774193548386</v>
      </c>
      <c r="AG805" s="160">
        <f t="shared" si="591"/>
        <v>45881.580645161288</v>
      </c>
      <c r="AH805" s="159">
        <f t="shared" si="592"/>
        <v>45904</v>
      </c>
      <c r="AI805" s="162">
        <f t="shared" si="593"/>
        <v>0.41333333333333333</v>
      </c>
      <c r="AJ805" s="224">
        <f t="shared" si="594"/>
        <v>0.4</v>
      </c>
      <c r="AK805" s="225">
        <f t="shared" si="595"/>
        <v>20</v>
      </c>
      <c r="AL805" s="170">
        <f t="shared" si="596"/>
        <v>36</v>
      </c>
      <c r="AM805" s="170">
        <f t="shared" si="597"/>
        <v>21.774193548387096</v>
      </c>
      <c r="AN805" s="170">
        <f t="shared" si="598"/>
        <v>27.58064516129032</v>
      </c>
      <c r="AO805" s="226">
        <f t="shared" si="599"/>
        <v>18.774193548387096</v>
      </c>
      <c r="AP805" s="227">
        <v>60</v>
      </c>
      <c r="AQ805" s="228">
        <f t="shared" si="600"/>
        <v>57</v>
      </c>
      <c r="AR805" s="228">
        <f t="shared" si="601"/>
        <v>52</v>
      </c>
      <c r="AS805" s="229">
        <f t="shared" si="602"/>
        <v>45926</v>
      </c>
      <c r="AT805" s="982">
        <f t="shared" ca="1" si="603"/>
        <v>29</v>
      </c>
      <c r="AU805" s="50"/>
      <c r="AV805" s="51"/>
      <c r="AW805" s="49"/>
      <c r="AX805" s="49"/>
      <c r="AY805" s="49"/>
      <c r="AZ805" s="300"/>
      <c r="BA805" s="52"/>
      <c r="BB805" s="304"/>
      <c r="BC805" s="231" t="s">
        <v>14</v>
      </c>
      <c r="BD805" s="232"/>
      <c r="BE805" s="222">
        <f t="shared" si="604"/>
        <v>45881</v>
      </c>
      <c r="BF805" s="233">
        <f t="shared" si="605"/>
        <v>-5</v>
      </c>
      <c r="BG805" s="234">
        <v>45866</v>
      </c>
      <c r="BH805" s="235">
        <v>45876</v>
      </c>
      <c r="BI805" s="234"/>
      <c r="BJ805" s="236"/>
      <c r="BK805" s="222"/>
      <c r="BL805" s="222"/>
      <c r="BM805" s="238"/>
      <c r="BN805" s="222"/>
      <c r="BO805" s="222"/>
      <c r="BP805" s="243"/>
      <c r="BQ805" s="244"/>
      <c r="BR805" s="238"/>
      <c r="BS805" s="68"/>
      <c r="BT805" s="69"/>
      <c r="BU805" s="69"/>
      <c r="BV805" s="69"/>
      <c r="BW805" s="75"/>
      <c r="BX805" s="81"/>
      <c r="BY805" s="66">
        <v>45860</v>
      </c>
      <c r="BZ805" s="944">
        <v>177754</v>
      </c>
      <c r="CA805" s="42"/>
      <c r="CB805" s="62"/>
      <c r="CC805" s="62"/>
      <c r="CD805" s="42"/>
      <c r="CE805" s="42"/>
      <c r="CF805" s="145">
        <f t="shared" si="541"/>
        <v>3</v>
      </c>
      <c r="CG805" s="145"/>
      <c r="CH805" s="443">
        <f t="shared" si="581"/>
        <v>0.51666666666666661</v>
      </c>
      <c r="CI805" s="996">
        <f t="shared" si="582"/>
        <v>0.51666666666666661</v>
      </c>
      <c r="CJ805" s="261">
        <f t="shared" si="583"/>
        <v>0.05</v>
      </c>
      <c r="CK805" s="458" t="str">
        <f t="shared" si="584"/>
        <v/>
      </c>
      <c r="CL805" t="str">
        <f t="shared" si="585"/>
        <v>REV</v>
      </c>
      <c r="CM805" t="str">
        <f t="shared" si="586"/>
        <v/>
      </c>
      <c r="CN805" s="635"/>
      <c r="CO805" s="631"/>
      <c r="CP805" s="629"/>
      <c r="CQ805" s="635"/>
      <c r="CR805" s="697"/>
      <c r="CS805" s="633"/>
      <c r="CT805" s="635"/>
      <c r="CU805" s="631"/>
      <c r="CV805" s="638"/>
      <c r="CW805" s="853"/>
      <c r="CX805" s="856"/>
      <c r="CY805" s="856"/>
    </row>
    <row r="806" spans="1:103" s="359" customFormat="1" ht="15" customHeight="1" x14ac:dyDescent="0.25">
      <c r="A806" s="242">
        <v>45860</v>
      </c>
      <c r="B806" s="222">
        <v>45861</v>
      </c>
      <c r="C806" s="852"/>
      <c r="D806" s="66" t="s">
        <v>320</v>
      </c>
      <c r="E806" s="404" t="s">
        <v>3803</v>
      </c>
      <c r="F806" s="95" t="s">
        <v>3804</v>
      </c>
      <c r="G806" s="95" t="s">
        <v>2446</v>
      </c>
      <c r="H806" s="95" t="s">
        <v>378</v>
      </c>
      <c r="I806" s="95" t="s">
        <v>239</v>
      </c>
      <c r="J806" s="854" t="s">
        <v>3805</v>
      </c>
      <c r="K806" s="855"/>
      <c r="L806" s="101" t="s">
        <v>288</v>
      </c>
      <c r="M806" s="101" t="s">
        <v>272</v>
      </c>
      <c r="N806" s="442" t="s">
        <v>381</v>
      </c>
      <c r="O806" s="165">
        <v>3.2</v>
      </c>
      <c r="P806" s="165">
        <v>3.2</v>
      </c>
      <c r="Q806" s="157">
        <v>7.5</v>
      </c>
      <c r="R806" s="109" t="s">
        <v>244</v>
      </c>
      <c r="S806" s="110">
        <v>23672.39</v>
      </c>
      <c r="T806" s="93"/>
      <c r="U806" s="857"/>
      <c r="V806" s="158" t="e">
        <f t="shared" si="580"/>
        <v>#DIV/0!</v>
      </c>
      <c r="W806" s="159">
        <v>45854</v>
      </c>
      <c r="X806" s="159">
        <v>45859.4375</v>
      </c>
      <c r="Y806" s="160">
        <v>45861</v>
      </c>
      <c r="Z806" s="470">
        <v>45865</v>
      </c>
      <c r="AA806" s="942">
        <v>45866</v>
      </c>
      <c r="AB806" s="942"/>
      <c r="AC806" s="161">
        <f t="shared" si="587"/>
        <v>12</v>
      </c>
      <c r="AD806" s="161">
        <f t="shared" si="588"/>
        <v>6.5625</v>
      </c>
      <c r="AE806" s="446">
        <f t="shared" si="589"/>
        <v>-45866</v>
      </c>
      <c r="AF806" s="160">
        <f t="shared" si="590"/>
        <v>45872.774193548386</v>
      </c>
      <c r="AG806" s="160">
        <f t="shared" si="591"/>
        <v>45881.580645161288</v>
      </c>
      <c r="AH806" s="159">
        <f t="shared" si="592"/>
        <v>45904</v>
      </c>
      <c r="AI806" s="162">
        <f t="shared" si="593"/>
        <v>0.41333333333333333</v>
      </c>
      <c r="AJ806" s="224">
        <f t="shared" si="594"/>
        <v>-764.43333333333328</v>
      </c>
      <c r="AK806" s="225">
        <f t="shared" si="595"/>
        <v>20</v>
      </c>
      <c r="AL806" s="170">
        <f t="shared" si="596"/>
        <v>36</v>
      </c>
      <c r="AM806" s="170">
        <f t="shared" si="597"/>
        <v>21.774193548387096</v>
      </c>
      <c r="AN806" s="170">
        <f t="shared" si="598"/>
        <v>27.58064516129032</v>
      </c>
      <c r="AO806" s="226">
        <f t="shared" si="599"/>
        <v>18.774193548387096</v>
      </c>
      <c r="AP806" s="227">
        <v>60</v>
      </c>
      <c r="AQ806" s="228">
        <f t="shared" si="600"/>
        <v>57</v>
      </c>
      <c r="AR806" s="228">
        <f t="shared" si="601"/>
        <v>52</v>
      </c>
      <c r="AS806" s="229">
        <f t="shared" si="602"/>
        <v>45926</v>
      </c>
      <c r="AT806" s="982">
        <f t="shared" ca="1" si="603"/>
        <v>29</v>
      </c>
      <c r="AU806" s="50"/>
      <c r="AV806" s="51"/>
      <c r="AW806" s="49"/>
      <c r="AX806" s="49"/>
      <c r="AY806" s="49"/>
      <c r="AZ806" s="300"/>
      <c r="BA806" s="52"/>
      <c r="BB806" s="304"/>
      <c r="BC806" s="231" t="s">
        <v>12</v>
      </c>
      <c r="BD806" s="232"/>
      <c r="BE806" s="222">
        <f t="shared" si="604"/>
        <v>45881</v>
      </c>
      <c r="BF806" s="233">
        <f t="shared" si="605"/>
        <v>3</v>
      </c>
      <c r="BG806" s="234">
        <v>45866</v>
      </c>
      <c r="BH806" s="235">
        <v>45884</v>
      </c>
      <c r="BI806" s="234"/>
      <c r="BJ806" s="236"/>
      <c r="BK806" s="222"/>
      <c r="BL806" s="222"/>
      <c r="BM806" s="238"/>
      <c r="BN806" s="222"/>
      <c r="BO806" s="222"/>
      <c r="BP806" s="243"/>
      <c r="BQ806" s="244" t="s">
        <v>247</v>
      </c>
      <c r="BR806" s="238">
        <v>45867</v>
      </c>
      <c r="BS806" s="68"/>
      <c r="BT806" s="69"/>
      <c r="BU806" s="69"/>
      <c r="BV806" s="69"/>
      <c r="BW806" s="75"/>
      <c r="BX806" s="81"/>
      <c r="BY806" s="66" t="s">
        <v>308</v>
      </c>
      <c r="BZ806" s="944" t="s">
        <v>3806</v>
      </c>
      <c r="CA806" s="42"/>
      <c r="CB806" s="62"/>
      <c r="CC806" s="62"/>
      <c r="CD806" s="42"/>
      <c r="CE806" s="42"/>
      <c r="CF806" s="145">
        <f t="shared" si="541"/>
        <v>3</v>
      </c>
      <c r="CG806" s="145"/>
      <c r="CH806" s="443">
        <f t="shared" si="581"/>
        <v>0.51666666666666661</v>
      </c>
      <c r="CI806" s="996">
        <f t="shared" si="582"/>
        <v>0.51666666666666661</v>
      </c>
      <c r="CJ806" s="261">
        <f t="shared" si="583"/>
        <v>0.05</v>
      </c>
      <c r="CK806" s="458" t="str">
        <f t="shared" si="584"/>
        <v/>
      </c>
      <c r="CL806" t="str">
        <f t="shared" si="585"/>
        <v>REV</v>
      </c>
      <c r="CM806" t="str">
        <f t="shared" si="586"/>
        <v/>
      </c>
      <c r="CN806" s="635"/>
      <c r="CO806" s="631"/>
      <c r="CP806" s="629"/>
      <c r="CQ806" s="635"/>
      <c r="CR806" s="697"/>
      <c r="CS806" s="633"/>
      <c r="CT806" s="635"/>
      <c r="CU806" s="631"/>
      <c r="CV806" s="638"/>
      <c r="CW806" s="853"/>
      <c r="CX806" s="856"/>
      <c r="CY806" s="856"/>
    </row>
    <row r="807" spans="1:103" s="359" customFormat="1" ht="15" customHeight="1" x14ac:dyDescent="0.25">
      <c r="A807" s="242">
        <v>45860</v>
      </c>
      <c r="B807" s="222">
        <v>45861</v>
      </c>
      <c r="C807" s="852"/>
      <c r="D807" s="66" t="s">
        <v>320</v>
      </c>
      <c r="E807" s="404" t="s">
        <v>3807</v>
      </c>
      <c r="F807" s="95" t="s">
        <v>3808</v>
      </c>
      <c r="G807" s="95" t="s">
        <v>3809</v>
      </c>
      <c r="H807" s="95" t="s">
        <v>378</v>
      </c>
      <c r="I807" s="95" t="s">
        <v>239</v>
      </c>
      <c r="J807" s="163" t="s">
        <v>3810</v>
      </c>
      <c r="K807" s="855"/>
      <c r="L807" s="101" t="s">
        <v>288</v>
      </c>
      <c r="M807" s="101" t="s">
        <v>331</v>
      </c>
      <c r="N807" s="442" t="s">
        <v>381</v>
      </c>
      <c r="O807" s="165">
        <v>61.94</v>
      </c>
      <c r="P807" s="165">
        <v>140.22</v>
      </c>
      <c r="Q807" s="157">
        <v>3</v>
      </c>
      <c r="R807" s="109" t="s">
        <v>244</v>
      </c>
      <c r="S807" s="110">
        <v>326113.45</v>
      </c>
      <c r="T807" s="93"/>
      <c r="U807" s="857"/>
      <c r="V807" s="158" t="e">
        <f t="shared" si="580"/>
        <v>#DIV/0!</v>
      </c>
      <c r="W807" s="159">
        <v>45853</v>
      </c>
      <c r="X807" s="159">
        <v>45859.434027777781</v>
      </c>
      <c r="Y807" s="160">
        <v>45861</v>
      </c>
      <c r="Z807" s="470"/>
      <c r="AA807" s="942"/>
      <c r="AB807" s="942"/>
      <c r="AC807" s="161">
        <f t="shared" si="587"/>
        <v>-45853</v>
      </c>
      <c r="AD807" s="161">
        <f t="shared" si="588"/>
        <v>-45859.434027777781</v>
      </c>
      <c r="AE807" s="446">
        <f t="shared" si="589"/>
        <v>0</v>
      </c>
      <c r="AF807" s="160">
        <f t="shared" si="590"/>
        <v>45874.206896551725</v>
      </c>
      <c r="AG807" s="160">
        <f t="shared" si="591"/>
        <v>45883.662068965517</v>
      </c>
      <c r="AH807" s="159">
        <f t="shared" si="592"/>
        <v>45903</v>
      </c>
      <c r="AI807" s="162">
        <f t="shared" si="593"/>
        <v>-1420.659188034188</v>
      </c>
      <c r="AJ807" s="224">
        <f t="shared" si="594"/>
        <v>0</v>
      </c>
      <c r="AK807" s="225">
        <f t="shared" si="595"/>
        <v>26</v>
      </c>
      <c r="AL807" s="170">
        <f t="shared" si="596"/>
        <v>36</v>
      </c>
      <c r="AM807" s="170">
        <f t="shared" si="597"/>
        <v>24.206896551724139</v>
      </c>
      <c r="AN807" s="170">
        <f t="shared" si="598"/>
        <v>30.662068965517239</v>
      </c>
      <c r="AO807" s="226">
        <f t="shared" si="599"/>
        <v>21.206896551724139</v>
      </c>
      <c r="AP807" s="227">
        <v>60</v>
      </c>
      <c r="AQ807" s="228">
        <f t="shared" si="600"/>
        <v>57</v>
      </c>
      <c r="AR807" s="228">
        <f t="shared" si="601"/>
        <v>52</v>
      </c>
      <c r="AS807" s="229">
        <f t="shared" si="602"/>
        <v>60</v>
      </c>
      <c r="AT807" s="982">
        <f t="shared" ca="1" si="603"/>
        <v>45895</v>
      </c>
      <c r="AU807" s="50"/>
      <c r="AV807" s="51"/>
      <c r="AW807" s="49"/>
      <c r="AX807" s="49"/>
      <c r="AY807" s="49"/>
      <c r="AZ807" s="300"/>
      <c r="BA807" s="52"/>
      <c r="BB807" s="304"/>
      <c r="BC807" s="231"/>
      <c r="BD807" s="232"/>
      <c r="BE807" s="222">
        <f t="shared" si="604"/>
        <v>15</v>
      </c>
      <c r="BF807" s="233">
        <f t="shared" si="605"/>
        <v>0</v>
      </c>
      <c r="BG807" s="234"/>
      <c r="BH807" s="235"/>
      <c r="BI807" s="234"/>
      <c r="BJ807" s="236"/>
      <c r="BK807" s="222"/>
      <c r="BL807" s="222"/>
      <c r="BM807" s="238"/>
      <c r="BN807" s="222"/>
      <c r="BO807" s="222"/>
      <c r="BP807" s="243"/>
      <c r="BQ807" s="244"/>
      <c r="BR807" s="238"/>
      <c r="BS807" s="68"/>
      <c r="BT807" s="69"/>
      <c r="BU807" s="69"/>
      <c r="BV807" s="69"/>
      <c r="BW807" s="75"/>
      <c r="BX807" s="81"/>
      <c r="BY807" s="66">
        <v>45860</v>
      </c>
      <c r="BZ807" s="944" t="s">
        <v>3811</v>
      </c>
      <c r="CA807" s="42"/>
      <c r="CB807" s="62"/>
      <c r="CC807" s="62"/>
      <c r="CD807" s="42"/>
      <c r="CE807" s="42"/>
      <c r="CF807" s="145" t="str">
        <f t="shared" si="541"/>
        <v>0</v>
      </c>
      <c r="CG807" s="145"/>
      <c r="CH807" s="443">
        <f t="shared" si="581"/>
        <v>0.49572649572649569</v>
      </c>
      <c r="CI807" s="996">
        <f t="shared" si="582"/>
        <v>0.49572649572649569</v>
      </c>
      <c r="CJ807" s="261">
        <f t="shared" si="583"/>
        <v>0</v>
      </c>
      <c r="CK807" s="458">
        <f t="shared" si="584"/>
        <v>3</v>
      </c>
      <c r="CL807" t="str">
        <f t="shared" si="585"/>
        <v>REV</v>
      </c>
      <c r="CM807" t="str">
        <f t="shared" si="586"/>
        <v>0-3 MONTHS</v>
      </c>
      <c r="CN807" s="635"/>
      <c r="CO807" s="631"/>
      <c r="CP807" s="629"/>
      <c r="CQ807" s="635"/>
      <c r="CR807" s="697"/>
      <c r="CS807" s="633"/>
      <c r="CT807" s="635"/>
      <c r="CU807" s="631"/>
      <c r="CV807" s="638"/>
      <c r="CW807" s="853"/>
      <c r="CX807" s="856"/>
      <c r="CY807" s="856"/>
    </row>
    <row r="808" spans="1:103" s="359" customFormat="1" ht="15" customHeight="1" x14ac:dyDescent="0.25">
      <c r="A808" s="242">
        <v>45860</v>
      </c>
      <c r="B808" s="222">
        <v>45863</v>
      </c>
      <c r="C808" s="852"/>
      <c r="D808" s="66" t="s">
        <v>284</v>
      </c>
      <c r="E808" s="404" t="s">
        <v>3812</v>
      </c>
      <c r="F808" s="95" t="s">
        <v>3813</v>
      </c>
      <c r="G808" s="95" t="s">
        <v>3566</v>
      </c>
      <c r="H808" s="95" t="s">
        <v>378</v>
      </c>
      <c r="I808" s="95" t="s">
        <v>239</v>
      </c>
      <c r="J808" s="163" t="s">
        <v>3814</v>
      </c>
      <c r="K808" s="855"/>
      <c r="L808" s="101" t="s">
        <v>288</v>
      </c>
      <c r="M808" s="101" t="s">
        <v>331</v>
      </c>
      <c r="N808" s="442" t="s">
        <v>381</v>
      </c>
      <c r="O808" s="165">
        <v>270.02999999999997</v>
      </c>
      <c r="P808" s="165">
        <v>283.63</v>
      </c>
      <c r="Q808" s="157">
        <v>460</v>
      </c>
      <c r="R808" s="109" t="s">
        <v>244</v>
      </c>
      <c r="S808" s="110">
        <v>1613623.68</v>
      </c>
      <c r="T808" s="93"/>
      <c r="U808" s="857"/>
      <c r="V808" s="158" t="e">
        <f t="shared" si="580"/>
        <v>#DIV/0!</v>
      </c>
      <c r="W808" s="159">
        <v>45853</v>
      </c>
      <c r="X808" s="159">
        <v>45859.435416666667</v>
      </c>
      <c r="Y808" s="160">
        <v>45863</v>
      </c>
      <c r="Z808" s="470"/>
      <c r="AA808" s="942"/>
      <c r="AB808" s="942"/>
      <c r="AC808" s="161">
        <f t="shared" si="587"/>
        <v>-45853</v>
      </c>
      <c r="AD808" s="161">
        <f t="shared" si="588"/>
        <v>-45859.435416666667</v>
      </c>
      <c r="AE808" s="446">
        <f t="shared" si="589"/>
        <v>0</v>
      </c>
      <c r="AF808" s="160">
        <f t="shared" si="590"/>
        <v>45869.927007299273</v>
      </c>
      <c r="AG808" s="160">
        <f t="shared" si="591"/>
        <v>45878.240875912408</v>
      </c>
      <c r="AH808" s="159">
        <f t="shared" si="592"/>
        <v>45903</v>
      </c>
      <c r="AI808" s="162">
        <f t="shared" si="593"/>
        <v>-1725.7859890109889</v>
      </c>
      <c r="AJ808" s="224">
        <f t="shared" si="594"/>
        <v>0</v>
      </c>
      <c r="AK808" s="225">
        <f t="shared" si="595"/>
        <v>28</v>
      </c>
      <c r="AL808" s="170">
        <f t="shared" si="596"/>
        <v>26</v>
      </c>
      <c r="AM808" s="170">
        <f t="shared" si="597"/>
        <v>19.927007299270073</v>
      </c>
      <c r="AN808" s="170">
        <f t="shared" si="598"/>
        <v>25.240875912408761</v>
      </c>
      <c r="AO808" s="226">
        <f t="shared" si="599"/>
        <v>16.927007299270073</v>
      </c>
      <c r="AP808" s="227">
        <v>60</v>
      </c>
      <c r="AQ808" s="228">
        <f t="shared" si="600"/>
        <v>57</v>
      </c>
      <c r="AR808" s="228">
        <f t="shared" si="601"/>
        <v>52</v>
      </c>
      <c r="AS808" s="229">
        <f t="shared" si="602"/>
        <v>60</v>
      </c>
      <c r="AT808" s="982">
        <f t="shared" ca="1" si="603"/>
        <v>45895</v>
      </c>
      <c r="AU808" s="50"/>
      <c r="AV808" s="51"/>
      <c r="AW808" s="49"/>
      <c r="AX808" s="49"/>
      <c r="AY808" s="49"/>
      <c r="AZ808" s="300"/>
      <c r="BA808" s="52"/>
      <c r="BB808" s="304"/>
      <c r="BC808" s="231"/>
      <c r="BD808" s="232"/>
      <c r="BE808" s="222">
        <f t="shared" si="604"/>
        <v>15</v>
      </c>
      <c r="BF808" s="233">
        <f t="shared" si="605"/>
        <v>0</v>
      </c>
      <c r="BG808" s="234"/>
      <c r="BH808" s="235"/>
      <c r="BI808" s="234"/>
      <c r="BJ808" s="236"/>
      <c r="BK808" s="222"/>
      <c r="BL808" s="222"/>
      <c r="BM808" s="238"/>
      <c r="BN808" s="222"/>
      <c r="BO808" s="222"/>
      <c r="BP808" s="243"/>
      <c r="BQ808" s="244"/>
      <c r="BR808" s="238"/>
      <c r="BS808" s="68"/>
      <c r="BT808" s="69"/>
      <c r="BU808" s="69"/>
      <c r="BV808" s="69"/>
      <c r="BW808" s="75"/>
      <c r="BX808" s="81"/>
      <c r="BY808" s="66">
        <v>45860</v>
      </c>
      <c r="BZ808" s="944" t="s">
        <v>3815</v>
      </c>
      <c r="CA808" s="42"/>
      <c r="CB808" s="62"/>
      <c r="CC808" s="62"/>
      <c r="CD808" s="42"/>
      <c r="CE808" s="42"/>
      <c r="CF808" s="145" t="str">
        <f t="shared" si="541"/>
        <v>0</v>
      </c>
      <c r="CG808" s="145"/>
      <c r="CH808" s="443">
        <f t="shared" si="581"/>
        <v>0.60219780219780217</v>
      </c>
      <c r="CI808" s="996">
        <f t="shared" si="582"/>
        <v>0.60219780219780217</v>
      </c>
      <c r="CJ808" s="261">
        <f t="shared" si="583"/>
        <v>0</v>
      </c>
      <c r="CK808" s="458">
        <f t="shared" si="584"/>
        <v>3</v>
      </c>
      <c r="CL808" t="str">
        <f t="shared" si="585"/>
        <v>REV</v>
      </c>
      <c r="CM808" t="str">
        <f t="shared" si="586"/>
        <v>0-3 MONTHS</v>
      </c>
      <c r="CN808" s="635"/>
      <c r="CO808" s="631"/>
      <c r="CP808" s="629"/>
      <c r="CQ808" s="635"/>
      <c r="CR808" s="697"/>
      <c r="CS808" s="633"/>
      <c r="CT808" s="635"/>
      <c r="CU808" s="631"/>
      <c r="CV808" s="638"/>
      <c r="CW808" s="853"/>
      <c r="CX808" s="856"/>
      <c r="CY808" s="856"/>
    </row>
    <row r="809" spans="1:103" s="359" customFormat="1" ht="15" customHeight="1" x14ac:dyDescent="0.25">
      <c r="A809" s="222" t="s">
        <v>308</v>
      </c>
      <c r="B809" s="222" t="s">
        <v>308</v>
      </c>
      <c r="C809" s="852"/>
      <c r="D809" s="66" t="s">
        <v>284</v>
      </c>
      <c r="E809" s="404" t="s">
        <v>3816</v>
      </c>
      <c r="F809" s="95" t="s">
        <v>1134</v>
      </c>
      <c r="G809" s="95" t="s">
        <v>3817</v>
      </c>
      <c r="H809" s="95" t="s">
        <v>269</v>
      </c>
      <c r="I809" s="95" t="s">
        <v>239</v>
      </c>
      <c r="J809" s="854"/>
      <c r="K809" s="855"/>
      <c r="L809" s="101" t="s">
        <v>1957</v>
      </c>
      <c r="M809" s="101" t="s">
        <v>331</v>
      </c>
      <c r="N809" s="442" t="s">
        <v>3375</v>
      </c>
      <c r="O809" s="165">
        <v>21.93</v>
      </c>
      <c r="P809" s="165">
        <v>21.93</v>
      </c>
      <c r="Q809" s="157">
        <v>20</v>
      </c>
      <c r="R809" s="109" t="s">
        <v>244</v>
      </c>
      <c r="S809" s="110">
        <v>196406.01</v>
      </c>
      <c r="T809" s="93"/>
      <c r="U809" s="857"/>
      <c r="V809" s="158" t="e">
        <f t="shared" si="580"/>
        <v>#DIV/0!</v>
      </c>
      <c r="W809" s="159">
        <v>45855</v>
      </c>
      <c r="X809" s="159">
        <v>45860.536805555559</v>
      </c>
      <c r="Y809" s="160" t="s">
        <v>308</v>
      </c>
      <c r="Z809" s="470"/>
      <c r="AA809" s="942"/>
      <c r="AB809" s="942"/>
      <c r="AC809" s="161">
        <f t="shared" si="587"/>
        <v>-45855</v>
      </c>
      <c r="AD809" s="161">
        <f t="shared" si="588"/>
        <v>-45860.536805555559</v>
      </c>
      <c r="AE809" s="446">
        <f t="shared" si="589"/>
        <v>0</v>
      </c>
      <c r="AF809" s="160">
        <f t="shared" si="590"/>
        <v>45873.774193548386</v>
      </c>
      <c r="AG809" s="160">
        <f t="shared" si="591"/>
        <v>45882.580645161288</v>
      </c>
      <c r="AH809" s="159">
        <f t="shared" si="592"/>
        <v>45905</v>
      </c>
      <c r="AI809" s="162">
        <f t="shared" si="593"/>
        <v>-1579.4499999999998</v>
      </c>
      <c r="AJ809" s="224">
        <f t="shared" si="594"/>
        <v>0</v>
      </c>
      <c r="AK809" s="225">
        <f t="shared" si="595"/>
        <v>20</v>
      </c>
      <c r="AL809" s="170">
        <f t="shared" si="596"/>
        <v>36</v>
      </c>
      <c r="AM809" s="170">
        <f t="shared" si="597"/>
        <v>21.774193548387096</v>
      </c>
      <c r="AN809" s="170">
        <f t="shared" si="598"/>
        <v>27.58064516129032</v>
      </c>
      <c r="AO809" s="226">
        <f t="shared" si="599"/>
        <v>18.774193548387096</v>
      </c>
      <c r="AP809" s="227">
        <v>60</v>
      </c>
      <c r="AQ809" s="228">
        <f t="shared" si="600"/>
        <v>57</v>
      </c>
      <c r="AR809" s="228">
        <f t="shared" si="601"/>
        <v>52</v>
      </c>
      <c r="AS809" s="229">
        <f t="shared" si="602"/>
        <v>60</v>
      </c>
      <c r="AT809" s="982">
        <f t="shared" ca="1" si="603"/>
        <v>45895</v>
      </c>
      <c r="AU809" s="50"/>
      <c r="AV809" s="51"/>
      <c r="AW809" s="49"/>
      <c r="AX809" s="49"/>
      <c r="AY809" s="49"/>
      <c r="AZ809" s="300"/>
      <c r="BA809" s="52"/>
      <c r="BB809" s="304"/>
      <c r="BC809" s="231"/>
      <c r="BD809" s="232"/>
      <c r="BE809" s="222">
        <f t="shared" si="604"/>
        <v>15</v>
      </c>
      <c r="BF809" s="233">
        <f t="shared" si="605"/>
        <v>0</v>
      </c>
      <c r="BG809" s="234"/>
      <c r="BH809" s="235"/>
      <c r="BI809" s="234"/>
      <c r="BJ809" s="236"/>
      <c r="BK809" s="222"/>
      <c r="BL809" s="222"/>
      <c r="BM809" s="238"/>
      <c r="BN809" s="222"/>
      <c r="BO809" s="222"/>
      <c r="BP809" s="243"/>
      <c r="BQ809" s="244"/>
      <c r="BR809" s="238"/>
      <c r="BS809" s="68"/>
      <c r="BT809" s="69"/>
      <c r="BU809" s="69"/>
      <c r="BV809" s="69"/>
      <c r="BW809" s="75"/>
      <c r="BX809" s="81"/>
      <c r="BY809" s="66"/>
      <c r="BZ809" s="944"/>
      <c r="CA809" s="42"/>
      <c r="CB809" s="62"/>
      <c r="CC809" s="62"/>
      <c r="CD809" s="42"/>
      <c r="CE809" s="42"/>
      <c r="CF809" s="145" t="str">
        <f t="shared" si="541"/>
        <v>0</v>
      </c>
      <c r="CG809" s="145"/>
      <c r="CH809" s="443">
        <f t="shared" si="581"/>
        <v>0.48222222222222222</v>
      </c>
      <c r="CI809" s="996">
        <f t="shared" si="582"/>
        <v>0.48222222222222222</v>
      </c>
      <c r="CJ809" s="261">
        <f t="shared" si="583"/>
        <v>0</v>
      </c>
      <c r="CK809" s="458">
        <f t="shared" si="584"/>
        <v>1</v>
      </c>
      <c r="CL809" t="str">
        <f t="shared" si="585"/>
        <v>REV</v>
      </c>
      <c r="CM809" t="str">
        <f t="shared" si="586"/>
        <v>0-3 MONTHS</v>
      </c>
      <c r="CN809" s="635"/>
      <c r="CO809" s="631"/>
      <c r="CP809" s="629"/>
      <c r="CQ809" s="635"/>
      <c r="CR809" s="697"/>
      <c r="CS809" s="633"/>
      <c r="CT809" s="635"/>
      <c r="CU809" s="631"/>
      <c r="CV809" s="638"/>
      <c r="CW809" s="853"/>
      <c r="CX809" s="856"/>
      <c r="CY809" s="856"/>
    </row>
    <row r="810" spans="1:103" s="359" customFormat="1" ht="15" customHeight="1" x14ac:dyDescent="0.25">
      <c r="A810" s="222">
        <v>45874</v>
      </c>
      <c r="B810" s="222">
        <v>45874</v>
      </c>
      <c r="C810" s="852" t="s">
        <v>247</v>
      </c>
      <c r="D810" s="66" t="s">
        <v>284</v>
      </c>
      <c r="E810" s="404" t="s">
        <v>3818</v>
      </c>
      <c r="F810" s="95" t="s">
        <v>3819</v>
      </c>
      <c r="G810" s="95" t="s">
        <v>1799</v>
      </c>
      <c r="H810" s="95" t="s">
        <v>318</v>
      </c>
      <c r="I810" s="95" t="s">
        <v>239</v>
      </c>
      <c r="J810" s="854"/>
      <c r="K810" s="855"/>
      <c r="L810" s="101" t="s">
        <v>288</v>
      </c>
      <c r="M810" s="101" t="s">
        <v>272</v>
      </c>
      <c r="N810" s="442" t="s">
        <v>381</v>
      </c>
      <c r="O810" s="165">
        <v>68.36</v>
      </c>
      <c r="P810" s="165">
        <v>68.36</v>
      </c>
      <c r="Q810" s="157">
        <v>298</v>
      </c>
      <c r="R810" s="109" t="s">
        <v>244</v>
      </c>
      <c r="S810" s="110">
        <v>855093.42</v>
      </c>
      <c r="T810" s="93"/>
      <c r="U810" s="857"/>
      <c r="V810" s="158" t="e">
        <f t="shared" si="580"/>
        <v>#DIV/0!</v>
      </c>
      <c r="W810" s="159">
        <v>45855</v>
      </c>
      <c r="X810" s="159">
        <v>45859.628472222219</v>
      </c>
      <c r="Y810" s="160">
        <v>45874</v>
      </c>
      <c r="Z810" s="470">
        <v>45869</v>
      </c>
      <c r="AA810" s="942">
        <v>45869</v>
      </c>
      <c r="AB810" s="942"/>
      <c r="AC810" s="161">
        <f t="shared" si="587"/>
        <v>14</v>
      </c>
      <c r="AD810" s="161">
        <f t="shared" si="588"/>
        <v>9.3715277777810115</v>
      </c>
      <c r="AE810" s="446">
        <f t="shared" si="589"/>
        <v>-45869</v>
      </c>
      <c r="AF810" s="160">
        <f t="shared" si="590"/>
        <v>45872.617529880481</v>
      </c>
      <c r="AG810" s="160">
        <f t="shared" si="591"/>
        <v>45881.115537848607</v>
      </c>
      <c r="AH810" s="159">
        <f t="shared" si="592"/>
        <v>45905</v>
      </c>
      <c r="AI810" s="162">
        <f t="shared" si="593"/>
        <v>0.50927536231884063</v>
      </c>
      <c r="AJ810" s="224">
        <f t="shared" si="594"/>
        <v>-764.48333333333335</v>
      </c>
      <c r="AK810" s="225">
        <f t="shared" si="595"/>
        <v>23</v>
      </c>
      <c r="AL810" s="170">
        <f t="shared" si="596"/>
        <v>30</v>
      </c>
      <c r="AM810" s="170">
        <f t="shared" si="597"/>
        <v>20.617529880478088</v>
      </c>
      <c r="AN810" s="170">
        <f t="shared" si="598"/>
        <v>26.115537848605577</v>
      </c>
      <c r="AO810" s="226">
        <f t="shared" si="599"/>
        <v>17.617529880478088</v>
      </c>
      <c r="AP810" s="227">
        <v>60</v>
      </c>
      <c r="AQ810" s="228">
        <f t="shared" si="600"/>
        <v>57</v>
      </c>
      <c r="AR810" s="228">
        <f t="shared" si="601"/>
        <v>52</v>
      </c>
      <c r="AS810" s="229">
        <f t="shared" si="602"/>
        <v>45929</v>
      </c>
      <c r="AT810" s="982">
        <f t="shared" ca="1" si="603"/>
        <v>26</v>
      </c>
      <c r="AU810" s="50"/>
      <c r="AV810" s="51"/>
      <c r="AW810" s="49"/>
      <c r="AX810" s="49"/>
      <c r="AY810" s="49"/>
      <c r="AZ810" s="300"/>
      <c r="BA810" s="52"/>
      <c r="BB810" s="304"/>
      <c r="BC810" s="231" t="s">
        <v>12</v>
      </c>
      <c r="BD810" s="232"/>
      <c r="BE810" s="222">
        <f t="shared" si="604"/>
        <v>45884</v>
      </c>
      <c r="BF810" s="233">
        <f t="shared" si="605"/>
        <v>0</v>
      </c>
      <c r="BG810" s="234">
        <v>45869</v>
      </c>
      <c r="BH810" s="235">
        <v>45884</v>
      </c>
      <c r="BI810" s="234"/>
      <c r="BJ810" s="236"/>
      <c r="BK810" s="222"/>
      <c r="BL810" s="222"/>
      <c r="BM810" s="238"/>
      <c r="BN810" s="222"/>
      <c r="BO810" s="222"/>
      <c r="BP810" s="243"/>
      <c r="BQ810" s="244"/>
      <c r="BR810" s="238"/>
      <c r="BS810" s="68"/>
      <c r="BT810" s="69"/>
      <c r="BU810" s="69"/>
      <c r="BV810" s="69"/>
      <c r="BW810" s="75"/>
      <c r="BX810" s="81"/>
      <c r="BY810" s="66">
        <v>45874</v>
      </c>
      <c r="BZ810" s="944" t="s">
        <v>3820</v>
      </c>
      <c r="CA810" s="42"/>
      <c r="CB810" s="62"/>
      <c r="CC810" s="62"/>
      <c r="CD810" s="42"/>
      <c r="CE810" s="42"/>
      <c r="CF810" s="145">
        <f t="shared" si="541"/>
        <v>0</v>
      </c>
      <c r="CG810" s="145"/>
      <c r="CH810" s="443">
        <f t="shared" si="581"/>
        <v>0.50927536231884063</v>
      </c>
      <c r="CI810" s="996">
        <f t="shared" si="582"/>
        <v>0.50927536231884063</v>
      </c>
      <c r="CJ810" s="261">
        <f t="shared" si="583"/>
        <v>0</v>
      </c>
      <c r="CK810" s="458" t="str">
        <f t="shared" si="584"/>
        <v/>
      </c>
      <c r="CL810" t="str">
        <f t="shared" si="585"/>
        <v>REV</v>
      </c>
      <c r="CM810" t="str">
        <f t="shared" si="586"/>
        <v/>
      </c>
      <c r="CN810" s="635"/>
      <c r="CO810" s="631"/>
      <c r="CP810" s="629"/>
      <c r="CQ810" s="635"/>
      <c r="CR810" s="697"/>
      <c r="CS810" s="633"/>
      <c r="CT810" s="635"/>
      <c r="CU810" s="631"/>
      <c r="CV810" s="638"/>
      <c r="CW810" s="853"/>
      <c r="CX810" s="856"/>
      <c r="CY810" s="856"/>
    </row>
    <row r="811" spans="1:103" s="359" customFormat="1" ht="15" customHeight="1" x14ac:dyDescent="0.25">
      <c r="A811" s="222" t="s">
        <v>308</v>
      </c>
      <c r="B811" s="222" t="s">
        <v>308</v>
      </c>
      <c r="C811" s="852"/>
      <c r="D811" s="66" t="s">
        <v>284</v>
      </c>
      <c r="E811" s="404" t="s">
        <v>3821</v>
      </c>
      <c r="F811" s="95" t="s">
        <v>3822</v>
      </c>
      <c r="G811" s="95" t="s">
        <v>1007</v>
      </c>
      <c r="H811" s="95" t="s">
        <v>238</v>
      </c>
      <c r="I811" s="95" t="s">
        <v>239</v>
      </c>
      <c r="J811" s="854"/>
      <c r="K811" s="855"/>
      <c r="L811" s="101" t="s">
        <v>1945</v>
      </c>
      <c r="M811" s="101" t="s">
        <v>272</v>
      </c>
      <c r="N811" s="442" t="s">
        <v>1946</v>
      </c>
      <c r="O811" s="165">
        <v>12.36</v>
      </c>
      <c r="P811" s="165">
        <v>12.36</v>
      </c>
      <c r="Q811" s="157">
        <v>18</v>
      </c>
      <c r="R811" s="109" t="s">
        <v>244</v>
      </c>
      <c r="S811" s="110">
        <v>855093.42</v>
      </c>
      <c r="T811" s="93"/>
      <c r="U811" s="857"/>
      <c r="V811" s="158" t="e">
        <f t="shared" si="580"/>
        <v>#DIV/0!</v>
      </c>
      <c r="W811" s="159">
        <v>45855</v>
      </c>
      <c r="X811" s="159">
        <v>45862.612500000003</v>
      </c>
      <c r="Y811" s="160" t="s">
        <v>308</v>
      </c>
      <c r="Z811" s="470"/>
      <c r="AA811" s="942">
        <v>45875.423611111109</v>
      </c>
      <c r="AB811" s="942"/>
      <c r="AC811" s="161">
        <f t="shared" ref="AC811:AC815" si="606">AA811-W811</f>
        <v>20.423611111109494</v>
      </c>
      <c r="AD811" s="161">
        <f t="shared" ref="AD811:AD815" si="607">AA811-X811</f>
        <v>12.811111111106584</v>
      </c>
      <c r="AE811" s="446">
        <f t="shared" ref="AE811:AE815" si="608">AB811-AA811</f>
        <v>-45875.423611111109</v>
      </c>
      <c r="AF811" s="160">
        <f t="shared" ref="AF811:AF815" si="609">W811+AO811</f>
        <v>45873.774193548386</v>
      </c>
      <c r="AG811" s="160">
        <f t="shared" ref="AG811:AG815" si="610">W811+AN811</f>
        <v>45882.580645161288</v>
      </c>
      <c r="AH811" s="159">
        <f t="shared" ref="AH811:AH815" si="611">W811+50</f>
        <v>45905</v>
      </c>
      <c r="AI811" s="162">
        <f t="shared" ref="AI811:AI815" si="612" xml:space="preserve"> (0.3)*(AC811/AK811)+(0.7)*(AC811/AL811)</f>
        <v>0.7034799382715492</v>
      </c>
      <c r="AJ811" s="224">
        <f t="shared" ref="AJ811:AJ815" si="613">AE811/AP811</f>
        <v>-764.59039351851845</v>
      </c>
      <c r="AK811" s="225">
        <f t="shared" ref="AK811:AK815" si="614">IF(P811&lt;51,20,(IF(P811&lt;101,23,(IF(P811&lt;201,26,IF(P811&lt;301,28,IF(P811&lt;401,30,(IF(P811&lt;501,32,(IF(P811&lt;1001,40,50)))))))))))</f>
        <v>20</v>
      </c>
      <c r="AL811" s="170">
        <f t="shared" ref="AL811:AL815" si="615">IF(Q811&lt;51,36,(IF(Q811&lt;101,34,(IF(Q811&lt;201,32,IF(Q811&lt;301,30,IF(Q811&lt;401,28,(IF(Q811&lt;501,26,(IF(Q811&lt;1001,23,20)))))))))))</f>
        <v>36</v>
      </c>
      <c r="AM811" s="170">
        <f t="shared" ref="AM811:AM815" si="616">(0.75)/((0.3/AK811)+(0.7/AL811))</f>
        <v>21.774193548387096</v>
      </c>
      <c r="AN811" s="170">
        <f t="shared" ref="AN811:AN815" si="617">(0.95)/((0.3/AK811)+(0.7/AL811))</f>
        <v>27.58064516129032</v>
      </c>
      <c r="AO811" s="226">
        <f t="shared" ref="AO811:AO815" si="618">AM811-3</f>
        <v>18.774193548387096</v>
      </c>
      <c r="AP811" s="227">
        <v>60</v>
      </c>
      <c r="AQ811" s="228">
        <f t="shared" ref="AQ811:AQ815" si="619">0.95*AP811</f>
        <v>57</v>
      </c>
      <c r="AR811" s="228">
        <f t="shared" ref="AR811:AR815" si="620">AQ811-5</f>
        <v>52</v>
      </c>
      <c r="AS811" s="229">
        <f t="shared" ref="AS811:AS815" si="621">AA811+AP811</f>
        <v>45935.423611111109</v>
      </c>
      <c r="AT811" s="982">
        <f t="shared" ref="AT811:AT815" ca="1" si="622">IFERROR(TODAY()-AA811,"")</f>
        <v>19.576388888890506</v>
      </c>
      <c r="AU811" s="50"/>
      <c r="AV811" s="51"/>
      <c r="AW811" s="49"/>
      <c r="AX811" s="49"/>
      <c r="AY811" s="49"/>
      <c r="AZ811" s="300"/>
      <c r="BA811" s="52"/>
      <c r="BB811" s="304"/>
      <c r="BC811" s="231" t="s">
        <v>13</v>
      </c>
      <c r="BD811" s="232"/>
      <c r="BE811" s="222">
        <f t="shared" ref="BE811:BE815" si="623">AA811+15</f>
        <v>45890.423611111109</v>
      </c>
      <c r="BF811" s="233" t="e">
        <f t="shared" ref="BF811:BF815" si="624">IF(ISBLANK(AA811),0,IF(ISBLANK(BH811),(BE811-$L$1),(BH811-BE811)))</f>
        <v>#VALUE!</v>
      </c>
      <c r="BG811" s="234"/>
      <c r="BH811" s="235"/>
      <c r="BI811" s="234"/>
      <c r="BJ811" s="236"/>
      <c r="BK811" s="222"/>
      <c r="BL811" s="222"/>
      <c r="BM811" s="238"/>
      <c r="BN811" s="222"/>
      <c r="BO811" s="222"/>
      <c r="BP811" s="243"/>
      <c r="BQ811" s="244"/>
      <c r="BR811" s="238"/>
      <c r="BS811" s="68"/>
      <c r="BT811" s="69"/>
      <c r="BU811" s="69"/>
      <c r="BV811" s="69"/>
      <c r="BW811" s="75"/>
      <c r="BX811" s="81"/>
      <c r="BY811" s="66"/>
      <c r="BZ811" s="944"/>
      <c r="CA811" s="42"/>
      <c r="CB811" s="62"/>
      <c r="CC811" s="62"/>
      <c r="CD811" s="42"/>
      <c r="CE811" s="42"/>
      <c r="CF811" s="145">
        <f t="shared" si="541"/>
        <v>-6.4236111111094942</v>
      </c>
      <c r="CG811" s="145"/>
      <c r="CH811" s="443">
        <f t="shared" si="581"/>
        <v>0.48222222222222222</v>
      </c>
      <c r="CI811" s="996">
        <f t="shared" si="582"/>
        <v>0.48222222222222222</v>
      </c>
      <c r="CJ811" s="261">
        <f t="shared" si="583"/>
        <v>-0.10706018518515824</v>
      </c>
      <c r="CK811" s="458" t="str">
        <f t="shared" si="584"/>
        <v/>
      </c>
      <c r="CL811" t="str">
        <f t="shared" si="585"/>
        <v>REV</v>
      </c>
      <c r="CM811" t="str">
        <f t="shared" si="586"/>
        <v/>
      </c>
      <c r="CN811" s="635"/>
      <c r="CO811" s="631"/>
      <c r="CP811" s="629"/>
      <c r="CQ811" s="635"/>
      <c r="CR811" s="697"/>
      <c r="CS811" s="633"/>
      <c r="CT811" s="635"/>
      <c r="CU811" s="631"/>
      <c r="CV811" s="638"/>
      <c r="CW811" s="853"/>
      <c r="CX811" s="856"/>
      <c r="CY811" s="856"/>
    </row>
    <row r="812" spans="1:103" s="1103" customFormat="1" ht="15" customHeight="1" x14ac:dyDescent="0.2">
      <c r="A812" s="242">
        <v>45874</v>
      </c>
      <c r="B812" s="222">
        <v>45866</v>
      </c>
      <c r="C812" s="852"/>
      <c r="D812" s="66" t="s">
        <v>320</v>
      </c>
      <c r="E812" s="404" t="s">
        <v>3823</v>
      </c>
      <c r="F812" s="95" t="s">
        <v>3824</v>
      </c>
      <c r="G812" s="95" t="s">
        <v>3825</v>
      </c>
      <c r="H812" s="95" t="s">
        <v>318</v>
      </c>
      <c r="I812" s="95" t="s">
        <v>239</v>
      </c>
      <c r="J812" s="1134" t="s">
        <v>2405</v>
      </c>
      <c r="K812" s="855"/>
      <c r="L812" s="101" t="s">
        <v>255</v>
      </c>
      <c r="M812" s="101" t="s">
        <v>331</v>
      </c>
      <c r="N812" s="442" t="s">
        <v>403</v>
      </c>
      <c r="O812" s="165">
        <v>118.03</v>
      </c>
      <c r="P812" s="165">
        <v>274.60000000000002</v>
      </c>
      <c r="Q812" s="157">
        <v>96</v>
      </c>
      <c r="R812" s="109" t="s">
        <v>548</v>
      </c>
      <c r="S812" s="110">
        <v>623160.79</v>
      </c>
      <c r="T812" s="1133">
        <v>100235.56</v>
      </c>
      <c r="U812" s="857"/>
      <c r="V812" s="158">
        <f t="shared" ref="V812:V818" si="625">U812/T812</f>
        <v>0</v>
      </c>
      <c r="W812" s="159">
        <v>45859.393055555556</v>
      </c>
      <c r="X812" s="159">
        <v>45866.618750000001</v>
      </c>
      <c r="Y812" s="160">
        <v>45866</v>
      </c>
      <c r="Z812" s="470"/>
      <c r="AA812" s="942"/>
      <c r="AB812" s="942"/>
      <c r="AC812" s="161">
        <f t="shared" si="606"/>
        <v>-45859.393055555556</v>
      </c>
      <c r="AD812" s="161">
        <f t="shared" si="607"/>
        <v>-45866.618750000001</v>
      </c>
      <c r="AE812" s="446">
        <f t="shared" si="608"/>
        <v>0</v>
      </c>
      <c r="AF812" s="160">
        <f t="shared" si="609"/>
        <v>45880.352787099182</v>
      </c>
      <c r="AG812" s="160">
        <f t="shared" si="610"/>
        <v>45889.742048844149</v>
      </c>
      <c r="AH812" s="159">
        <f t="shared" si="611"/>
        <v>45909.393055555556</v>
      </c>
      <c r="AI812" s="162">
        <f t="shared" si="612"/>
        <v>-1435.5146145541548</v>
      </c>
      <c r="AJ812" s="224">
        <f t="shared" si="613"/>
        <v>0</v>
      </c>
      <c r="AK812" s="225">
        <f t="shared" si="614"/>
        <v>28</v>
      </c>
      <c r="AL812" s="170">
        <f t="shared" si="615"/>
        <v>34</v>
      </c>
      <c r="AM812" s="170">
        <f t="shared" si="616"/>
        <v>23.959731543624162</v>
      </c>
      <c r="AN812" s="170">
        <f t="shared" si="617"/>
        <v>30.348993288590602</v>
      </c>
      <c r="AO812" s="226">
        <f t="shared" si="618"/>
        <v>20.959731543624162</v>
      </c>
      <c r="AP812" s="227">
        <v>60</v>
      </c>
      <c r="AQ812" s="228">
        <f t="shared" si="619"/>
        <v>57</v>
      </c>
      <c r="AR812" s="228">
        <f t="shared" si="620"/>
        <v>52</v>
      </c>
      <c r="AS812" s="229">
        <f t="shared" si="621"/>
        <v>60</v>
      </c>
      <c r="AT812" s="982">
        <f t="shared" ca="1" si="622"/>
        <v>45895</v>
      </c>
      <c r="AU812" s="1077"/>
      <c r="AV812" s="1092"/>
      <c r="AW812" s="1079"/>
      <c r="AX812" s="1079"/>
      <c r="AY812" s="1079"/>
      <c r="AZ812" s="1080"/>
      <c r="BA812" s="1101"/>
      <c r="BB812" s="1091"/>
      <c r="BC812" s="231"/>
      <c r="BD812" s="232"/>
      <c r="BE812" s="222">
        <f t="shared" si="623"/>
        <v>15</v>
      </c>
      <c r="BF812" s="233">
        <f t="shared" si="624"/>
        <v>0</v>
      </c>
      <c r="BG812" s="234"/>
      <c r="BH812" s="235"/>
      <c r="BI812" s="234"/>
      <c r="BJ812" s="236"/>
      <c r="BK812" s="222"/>
      <c r="BL812" s="222"/>
      <c r="BM812" s="238"/>
      <c r="BN812" s="222"/>
      <c r="BO812" s="222"/>
      <c r="BP812" s="243"/>
      <c r="BQ812" s="244"/>
      <c r="BR812" s="238"/>
      <c r="BS812" s="68"/>
      <c r="BT812" s="69"/>
      <c r="BU812" s="69"/>
      <c r="BV812" s="69"/>
      <c r="BW812" s="75"/>
      <c r="BX812" s="81"/>
      <c r="BY812" s="66">
        <v>45874</v>
      </c>
      <c r="BZ812" s="944" t="s">
        <v>3826</v>
      </c>
      <c r="CA812" s="42"/>
      <c r="CB812" s="62"/>
      <c r="CC812" s="62"/>
      <c r="CD812" s="42"/>
      <c r="CE812" s="42"/>
      <c r="CF812" s="1059" t="str">
        <f t="shared" si="541"/>
        <v>0</v>
      </c>
      <c r="CG812" s="1059"/>
      <c r="CH812" s="1082">
        <f t="shared" si="581"/>
        <v>0.30072158029876594</v>
      </c>
      <c r="CI812" s="1083">
        <f t="shared" si="582"/>
        <v>0.30072158029876594</v>
      </c>
      <c r="CJ812" s="1084">
        <f t="shared" si="583"/>
        <v>0</v>
      </c>
      <c r="CK812" s="1085">
        <f t="shared" si="584"/>
        <v>-3.3930555555562023</v>
      </c>
      <c r="CL812" s="1057" t="str">
        <f t="shared" si="585"/>
        <v>NON-REV</v>
      </c>
      <c r="CM812" s="1057" t="str">
        <f t="shared" si="586"/>
        <v>0-3 MONTHS</v>
      </c>
      <c r="CN812" s="1086"/>
      <c r="CO812" s="1087"/>
      <c r="CP812" s="629"/>
      <c r="CQ812" s="1086"/>
      <c r="CR812" s="1088"/>
      <c r="CS812" s="1089"/>
      <c r="CT812" s="1086"/>
      <c r="CU812" s="1087"/>
      <c r="CV812" s="1090"/>
      <c r="CW812" s="853"/>
      <c r="CX812" s="856"/>
      <c r="CY812" s="856"/>
    </row>
    <row r="813" spans="1:103" s="359" customFormat="1" ht="15" customHeight="1" x14ac:dyDescent="0.25">
      <c r="A813" s="242">
        <v>45874</v>
      </c>
      <c r="B813" s="222">
        <v>45866</v>
      </c>
      <c r="C813" s="852"/>
      <c r="D813" s="66" t="s">
        <v>320</v>
      </c>
      <c r="E813" s="404" t="s">
        <v>3827</v>
      </c>
      <c r="F813" s="95" t="s">
        <v>3828</v>
      </c>
      <c r="G813" s="95" t="s">
        <v>3829</v>
      </c>
      <c r="H813" s="95" t="s">
        <v>269</v>
      </c>
      <c r="I813" s="95" t="s">
        <v>239</v>
      </c>
      <c r="J813" s="1134" t="s">
        <v>2405</v>
      </c>
      <c r="K813" s="855"/>
      <c r="L813" s="101" t="s">
        <v>5</v>
      </c>
      <c r="M813" s="101" t="s">
        <v>331</v>
      </c>
      <c r="N813" s="442" t="s">
        <v>403</v>
      </c>
      <c r="O813" s="165">
        <v>302.7</v>
      </c>
      <c r="P813" s="165">
        <v>537.54</v>
      </c>
      <c r="Q813" s="157">
        <v>124</v>
      </c>
      <c r="R813" s="109" t="s">
        <v>548</v>
      </c>
      <c r="S813" s="110">
        <v>1291179.32</v>
      </c>
      <c r="T813" s="93">
        <v>260101.8</v>
      </c>
      <c r="U813" s="857"/>
      <c r="V813" s="158">
        <f t="shared" si="625"/>
        <v>0</v>
      </c>
      <c r="W813" s="159">
        <v>45856.532638888886</v>
      </c>
      <c r="X813" s="159">
        <v>45863.593055555553</v>
      </c>
      <c r="Y813" s="160">
        <v>45866</v>
      </c>
      <c r="Z813" s="470"/>
      <c r="AA813" s="942"/>
      <c r="AB813" s="942"/>
      <c r="AC813" s="161">
        <f t="shared" si="606"/>
        <v>-45856.532638888886</v>
      </c>
      <c r="AD813" s="161">
        <f t="shared" si="607"/>
        <v>-45863.593055555553</v>
      </c>
      <c r="AE813" s="446">
        <f t="shared" si="608"/>
        <v>0</v>
      </c>
      <c r="AF813" s="160">
        <f t="shared" si="609"/>
        <v>45879.064553782504</v>
      </c>
      <c r="AG813" s="160">
        <f t="shared" si="610"/>
        <v>45888.873064420804</v>
      </c>
      <c r="AH813" s="159">
        <f t="shared" si="611"/>
        <v>45906.532638888886</v>
      </c>
      <c r="AI813" s="162">
        <f t="shared" si="612"/>
        <v>-1347.035646267361</v>
      </c>
      <c r="AJ813" s="224">
        <f t="shared" si="613"/>
        <v>0</v>
      </c>
      <c r="AK813" s="225">
        <f t="shared" si="614"/>
        <v>40</v>
      </c>
      <c r="AL813" s="170">
        <f t="shared" si="615"/>
        <v>32</v>
      </c>
      <c r="AM813" s="170">
        <f t="shared" si="616"/>
        <v>25.531914893617024</v>
      </c>
      <c r="AN813" s="170">
        <f t="shared" si="617"/>
        <v>32.340425531914896</v>
      </c>
      <c r="AO813" s="226">
        <f t="shared" si="618"/>
        <v>22.531914893617024</v>
      </c>
      <c r="AP813" s="227">
        <v>60</v>
      </c>
      <c r="AQ813" s="228">
        <f t="shared" si="619"/>
        <v>57</v>
      </c>
      <c r="AR813" s="228">
        <f t="shared" si="620"/>
        <v>52</v>
      </c>
      <c r="AS813" s="229">
        <f t="shared" si="621"/>
        <v>60</v>
      </c>
      <c r="AT813" s="982">
        <f t="shared" ca="1" si="622"/>
        <v>45895</v>
      </c>
      <c r="AU813" s="50"/>
      <c r="AV813" s="51"/>
      <c r="AW813" s="49"/>
      <c r="AX813" s="49"/>
      <c r="AY813" s="49"/>
      <c r="AZ813" s="300"/>
      <c r="BA813" s="52"/>
      <c r="BB813" s="304"/>
      <c r="BC813" s="231"/>
      <c r="BD813" s="232"/>
      <c r="BE813" s="222">
        <f t="shared" si="623"/>
        <v>15</v>
      </c>
      <c r="BF813" s="233">
        <f t="shared" si="624"/>
        <v>0</v>
      </c>
      <c r="BG813" s="234"/>
      <c r="BH813" s="235"/>
      <c r="BI813" s="234"/>
      <c r="BJ813" s="236"/>
      <c r="BK813" s="222"/>
      <c r="BL813" s="222"/>
      <c r="BM813" s="238"/>
      <c r="BN813" s="222"/>
      <c r="BO813" s="222"/>
      <c r="BP813" s="243"/>
      <c r="BQ813" s="244"/>
      <c r="BR813" s="238"/>
      <c r="BS813" s="68"/>
      <c r="BT813" s="69"/>
      <c r="BU813" s="69"/>
      <c r="BV813" s="69"/>
      <c r="BW813" s="75"/>
      <c r="BX813" s="81"/>
      <c r="BY813" s="66"/>
      <c r="BZ813" s="944"/>
      <c r="CA813" s="42"/>
      <c r="CB813" s="62"/>
      <c r="CC813" s="62"/>
      <c r="CD813" s="42"/>
      <c r="CE813" s="42"/>
      <c r="CF813" s="145" t="str">
        <f t="shared" si="541"/>
        <v>0</v>
      </c>
      <c r="CG813" s="145"/>
      <c r="CH813" s="443">
        <f t="shared" si="581"/>
        <v>0.3662287326389696</v>
      </c>
      <c r="CI813" s="996">
        <f t="shared" si="582"/>
        <v>0.3662287326389696</v>
      </c>
      <c r="CJ813" s="261">
        <f t="shared" si="583"/>
        <v>0</v>
      </c>
      <c r="CK813" s="458">
        <f t="shared" si="584"/>
        <v>-0.53263888888614019</v>
      </c>
      <c r="CL813" t="str">
        <f t="shared" si="585"/>
        <v>NON-REV</v>
      </c>
      <c r="CM813" t="str">
        <f t="shared" si="586"/>
        <v>0-3 MONTHS</v>
      </c>
      <c r="CN813" s="635"/>
      <c r="CO813" s="631"/>
      <c r="CP813" s="629"/>
      <c r="CQ813" s="635"/>
      <c r="CR813" s="697"/>
      <c r="CS813" s="633"/>
      <c r="CT813" s="635"/>
      <c r="CU813" s="631"/>
      <c r="CV813" s="638"/>
      <c r="CW813" s="853"/>
      <c r="CX813" s="856"/>
      <c r="CY813" s="856"/>
    </row>
    <row r="814" spans="1:103" s="359" customFormat="1" ht="15" customHeight="1" x14ac:dyDescent="0.25">
      <c r="A814" s="242">
        <v>45874</v>
      </c>
      <c r="B814" s="222">
        <v>45866</v>
      </c>
      <c r="C814" s="852"/>
      <c r="D814" s="66" t="s">
        <v>320</v>
      </c>
      <c r="E814" s="404" t="s">
        <v>3830</v>
      </c>
      <c r="F814" s="95" t="s">
        <v>2505</v>
      </c>
      <c r="G814" s="95" t="s">
        <v>3829</v>
      </c>
      <c r="H814" s="95" t="s">
        <v>269</v>
      </c>
      <c r="I814" s="95" t="s">
        <v>239</v>
      </c>
      <c r="J814" s="854"/>
      <c r="K814" s="855"/>
      <c r="L814" s="101" t="s">
        <v>5</v>
      </c>
      <c r="M814" s="101" t="s">
        <v>331</v>
      </c>
      <c r="N814" s="442" t="s">
        <v>403</v>
      </c>
      <c r="O814" s="165">
        <v>251.16</v>
      </c>
      <c r="P814" s="165">
        <v>486.01</v>
      </c>
      <c r="Q814" s="157">
        <v>124</v>
      </c>
      <c r="R814" s="109" t="s">
        <v>548</v>
      </c>
      <c r="S814" s="110">
        <v>774554.45</v>
      </c>
      <c r="T814" s="93">
        <v>215802.71</v>
      </c>
      <c r="U814" s="857"/>
      <c r="V814" s="158">
        <f t="shared" si="625"/>
        <v>0</v>
      </c>
      <c r="W814" s="159">
        <v>45856.551388888889</v>
      </c>
      <c r="X814" s="159">
        <v>45863.609722222223</v>
      </c>
      <c r="Y814" s="160">
        <v>45866</v>
      </c>
      <c r="Z814" s="470"/>
      <c r="AA814" s="942"/>
      <c r="AB814" s="942"/>
      <c r="AC814" s="161">
        <f t="shared" si="606"/>
        <v>-45856.551388888889</v>
      </c>
      <c r="AD814" s="161">
        <f t="shared" si="607"/>
        <v>-45863.609722222223</v>
      </c>
      <c r="AE814" s="446">
        <f t="shared" si="608"/>
        <v>0</v>
      </c>
      <c r="AF814" s="160">
        <f t="shared" si="609"/>
        <v>45877.551388888889</v>
      </c>
      <c r="AG814" s="160">
        <f t="shared" si="610"/>
        <v>45886.951388888891</v>
      </c>
      <c r="AH814" s="159">
        <f t="shared" si="611"/>
        <v>45906.551388888889</v>
      </c>
      <c r="AI814" s="162">
        <f t="shared" si="612"/>
        <v>-1433.0172309027776</v>
      </c>
      <c r="AJ814" s="224">
        <f t="shared" si="613"/>
        <v>0</v>
      </c>
      <c r="AK814" s="225">
        <f t="shared" si="614"/>
        <v>32</v>
      </c>
      <c r="AL814" s="170">
        <f t="shared" si="615"/>
        <v>32</v>
      </c>
      <c r="AM814" s="170">
        <f t="shared" si="616"/>
        <v>24</v>
      </c>
      <c r="AN814" s="170">
        <f t="shared" si="617"/>
        <v>30.4</v>
      </c>
      <c r="AO814" s="226">
        <f t="shared" si="618"/>
        <v>21</v>
      </c>
      <c r="AP814" s="227">
        <v>60</v>
      </c>
      <c r="AQ814" s="228">
        <f t="shared" si="619"/>
        <v>57</v>
      </c>
      <c r="AR814" s="228">
        <f t="shared" si="620"/>
        <v>52</v>
      </c>
      <c r="AS814" s="229">
        <f t="shared" si="621"/>
        <v>60</v>
      </c>
      <c r="AT814" s="982">
        <f t="shared" ca="1" si="622"/>
        <v>45895</v>
      </c>
      <c r="AU814" s="50"/>
      <c r="AV814" s="51"/>
      <c r="AW814" s="49"/>
      <c r="AX814" s="49"/>
      <c r="AY814" s="49"/>
      <c r="AZ814" s="300"/>
      <c r="BA814" s="52"/>
      <c r="BB814" s="304"/>
      <c r="BC814" s="231"/>
      <c r="BD814" s="232"/>
      <c r="BE814" s="222">
        <f t="shared" si="623"/>
        <v>15</v>
      </c>
      <c r="BF814" s="233">
        <f t="shared" si="624"/>
        <v>0</v>
      </c>
      <c r="BG814" s="234"/>
      <c r="BH814" s="235"/>
      <c r="BI814" s="234"/>
      <c r="BJ814" s="236"/>
      <c r="BK814" s="222"/>
      <c r="BL814" s="222"/>
      <c r="BM814" s="238"/>
      <c r="BN814" s="222"/>
      <c r="BO814" s="222"/>
      <c r="BP814" s="243"/>
      <c r="BQ814" s="244"/>
      <c r="BR814" s="238"/>
      <c r="BS814" s="68"/>
      <c r="BT814" s="69"/>
      <c r="BU814" s="69"/>
      <c r="BV814" s="69"/>
      <c r="BW814" s="75"/>
      <c r="BX814" s="81"/>
      <c r="BY814" s="66"/>
      <c r="BZ814" s="944"/>
      <c r="CA814" s="42"/>
      <c r="CB814" s="62"/>
      <c r="CC814" s="62"/>
      <c r="CD814" s="42"/>
      <c r="CE814" s="42"/>
      <c r="CF814" s="145" t="str">
        <f t="shared" si="541"/>
        <v>0</v>
      </c>
      <c r="CG814" s="145"/>
      <c r="CH814" s="443">
        <f t="shared" si="581"/>
        <v>0.38901909722221717</v>
      </c>
      <c r="CI814" s="996">
        <f t="shared" si="582"/>
        <v>0.38901909722221717</v>
      </c>
      <c r="CJ814" s="261">
        <f t="shared" si="583"/>
        <v>0</v>
      </c>
      <c r="CK814" s="458">
        <f t="shared" si="584"/>
        <v>-0.55138888888905058</v>
      </c>
      <c r="CL814" t="str">
        <f t="shared" si="585"/>
        <v>NON-REV</v>
      </c>
      <c r="CM814" t="str">
        <f t="shared" si="586"/>
        <v>0-3 MONTHS</v>
      </c>
      <c r="CN814" s="635"/>
      <c r="CO814" s="631"/>
      <c r="CP814" s="629"/>
      <c r="CQ814" s="635"/>
      <c r="CR814" s="697"/>
      <c r="CS814" s="633"/>
      <c r="CT814" s="635"/>
      <c r="CU814" s="631"/>
      <c r="CV814" s="638"/>
      <c r="CW814" s="853"/>
      <c r="CX814" s="856"/>
      <c r="CY814" s="856"/>
    </row>
    <row r="815" spans="1:103" s="359" customFormat="1" ht="15" customHeight="1" x14ac:dyDescent="0.25">
      <c r="A815" s="242"/>
      <c r="B815" s="222">
        <v>45868</v>
      </c>
      <c r="C815" s="852"/>
      <c r="D815" s="66" t="s">
        <v>320</v>
      </c>
      <c r="E815" s="404" t="s">
        <v>3831</v>
      </c>
      <c r="F815" s="95" t="s">
        <v>3832</v>
      </c>
      <c r="G815" s="95" t="s">
        <v>3833</v>
      </c>
      <c r="H815" s="95" t="s">
        <v>378</v>
      </c>
      <c r="I815" s="95" t="s">
        <v>239</v>
      </c>
      <c r="J815" s="163" t="s">
        <v>3334</v>
      </c>
      <c r="K815" s="855"/>
      <c r="L815" s="101" t="s">
        <v>288</v>
      </c>
      <c r="M815" s="101" t="s">
        <v>331</v>
      </c>
      <c r="N815" s="442" t="s">
        <v>381</v>
      </c>
      <c r="O815" s="165">
        <v>220.98</v>
      </c>
      <c r="P815" s="165">
        <v>532.71</v>
      </c>
      <c r="Q815" s="157">
        <v>95.2</v>
      </c>
      <c r="R815" s="109" t="s">
        <v>244</v>
      </c>
      <c r="S815" s="110">
        <v>1151223.6100000001</v>
      </c>
      <c r="T815" s="93"/>
      <c r="U815" s="857"/>
      <c r="V815" s="158" t="e">
        <f t="shared" si="625"/>
        <v>#DIV/0!</v>
      </c>
      <c r="W815" s="159">
        <v>45855.532638888886</v>
      </c>
      <c r="X815" s="159">
        <v>45862.611805555556</v>
      </c>
      <c r="Y815" s="160">
        <v>45868</v>
      </c>
      <c r="Z815" s="470"/>
      <c r="AA815" s="942"/>
      <c r="AB815" s="942"/>
      <c r="AC815" s="161">
        <f t="shared" si="606"/>
        <v>-45855.532638888886</v>
      </c>
      <c r="AD815" s="161">
        <f t="shared" si="607"/>
        <v>-45862.611805555556</v>
      </c>
      <c r="AE815" s="446">
        <f t="shared" si="608"/>
        <v>0</v>
      </c>
      <c r="AF815" s="160">
        <f t="shared" si="609"/>
        <v>45879.234209569513</v>
      </c>
      <c r="AG815" s="160">
        <f t="shared" si="610"/>
        <v>45889.354628417685</v>
      </c>
      <c r="AH815" s="159">
        <f t="shared" si="611"/>
        <v>45905.532638888886</v>
      </c>
      <c r="AI815" s="162">
        <f t="shared" si="612"/>
        <v>-1288.0009902982024</v>
      </c>
      <c r="AJ815" s="224">
        <f t="shared" si="613"/>
        <v>0</v>
      </c>
      <c r="AK815" s="225">
        <f t="shared" si="614"/>
        <v>40</v>
      </c>
      <c r="AL815" s="170">
        <f t="shared" si="615"/>
        <v>34</v>
      </c>
      <c r="AM815" s="170">
        <f t="shared" si="616"/>
        <v>26.701570680628272</v>
      </c>
      <c r="AN815" s="170">
        <f t="shared" si="617"/>
        <v>33.821989528795811</v>
      </c>
      <c r="AO815" s="226">
        <f t="shared" si="618"/>
        <v>23.701570680628272</v>
      </c>
      <c r="AP815" s="227">
        <v>60</v>
      </c>
      <c r="AQ815" s="228">
        <f t="shared" si="619"/>
        <v>57</v>
      </c>
      <c r="AR815" s="228">
        <f t="shared" si="620"/>
        <v>52</v>
      </c>
      <c r="AS815" s="229">
        <f t="shared" si="621"/>
        <v>60</v>
      </c>
      <c r="AT815" s="982">
        <f t="shared" ca="1" si="622"/>
        <v>45895</v>
      </c>
      <c r="AU815" s="50"/>
      <c r="AV815" s="51"/>
      <c r="AW815" s="49"/>
      <c r="AX815" s="49"/>
      <c r="AY815" s="49"/>
      <c r="AZ815" s="300"/>
      <c r="BA815" s="52"/>
      <c r="BB815" s="304"/>
      <c r="BC815" s="231"/>
      <c r="BD815" s="232"/>
      <c r="BE815" s="222">
        <f t="shared" si="623"/>
        <v>15</v>
      </c>
      <c r="BF815" s="233">
        <f t="shared" si="624"/>
        <v>0</v>
      </c>
      <c r="BG815" s="234"/>
      <c r="BH815" s="235"/>
      <c r="BI815" s="234"/>
      <c r="BJ815" s="236"/>
      <c r="BK815" s="222"/>
      <c r="BL815" s="222"/>
      <c r="BM815" s="238"/>
      <c r="BN815" s="222"/>
      <c r="BO815" s="222"/>
      <c r="BP815" s="243"/>
      <c r="BQ815" s="244"/>
      <c r="BR815" s="238"/>
      <c r="BS815" s="68"/>
      <c r="BT815" s="69"/>
      <c r="BU815" s="69"/>
      <c r="BV815" s="69"/>
      <c r="BW815" s="75"/>
      <c r="BX815" s="81"/>
      <c r="BY815" s="66"/>
      <c r="BZ815" s="944"/>
      <c r="CA815" s="42"/>
      <c r="CB815" s="62"/>
      <c r="CC815" s="62"/>
      <c r="CD815" s="42"/>
      <c r="CE815" s="42"/>
      <c r="CF815" s="145" t="str">
        <f t="shared" si="541"/>
        <v>0</v>
      </c>
      <c r="CG815" s="145"/>
      <c r="CH815" s="443">
        <f t="shared" si="581"/>
        <v>0.37827440767981579</v>
      </c>
      <c r="CI815" s="996">
        <f t="shared" si="582"/>
        <v>0.37827440767981579</v>
      </c>
      <c r="CJ815" s="261">
        <f t="shared" si="583"/>
        <v>0</v>
      </c>
      <c r="CK815" s="458">
        <f t="shared" si="584"/>
        <v>0.46736111111385981</v>
      </c>
      <c r="CL815" t="str">
        <f t="shared" si="585"/>
        <v>REV</v>
      </c>
      <c r="CM815" t="str">
        <f t="shared" si="586"/>
        <v>0-3 MONTHS</v>
      </c>
      <c r="CN815" s="635"/>
      <c r="CO815" s="631"/>
      <c r="CP815" s="629"/>
      <c r="CQ815" s="635"/>
      <c r="CR815" s="697"/>
      <c r="CS815" s="633"/>
      <c r="CT815" s="635"/>
      <c r="CU815" s="631"/>
      <c r="CV815" s="638"/>
      <c r="CW815" s="853"/>
      <c r="CX815" s="856"/>
      <c r="CY815" s="856"/>
    </row>
    <row r="816" spans="1:103" s="359" customFormat="1" ht="15" customHeight="1" x14ac:dyDescent="0.25">
      <c r="A816" s="242"/>
      <c r="B816" s="222">
        <v>45868</v>
      </c>
      <c r="C816" s="852"/>
      <c r="D816" s="66" t="s">
        <v>320</v>
      </c>
      <c r="E816" s="404" t="s">
        <v>3834</v>
      </c>
      <c r="F816" s="95" t="s">
        <v>3835</v>
      </c>
      <c r="G816" s="95" t="s">
        <v>3836</v>
      </c>
      <c r="H816" s="95" t="s">
        <v>238</v>
      </c>
      <c r="I816" s="95" t="s">
        <v>239</v>
      </c>
      <c r="J816" s="854"/>
      <c r="K816" s="855"/>
      <c r="L816" s="101" t="s">
        <v>242</v>
      </c>
      <c r="M816" s="101" t="s">
        <v>272</v>
      </c>
      <c r="N816" s="442" t="s">
        <v>467</v>
      </c>
      <c r="O816" s="165">
        <v>5.08</v>
      </c>
      <c r="P816" s="165">
        <v>5.08</v>
      </c>
      <c r="Q816" s="157">
        <v>24</v>
      </c>
      <c r="R816" s="109" t="s">
        <v>548</v>
      </c>
      <c r="S816" s="110">
        <v>23115.53</v>
      </c>
      <c r="T816" s="93"/>
      <c r="U816" s="857"/>
      <c r="V816" s="158" t="e">
        <f t="shared" si="625"/>
        <v>#DIV/0!</v>
      </c>
      <c r="W816" s="159">
        <v>45856.712500000001</v>
      </c>
      <c r="X816" s="159">
        <v>45862.617361111108</v>
      </c>
      <c r="Y816" s="160">
        <v>45868</v>
      </c>
      <c r="Z816" s="470"/>
      <c r="AA816" s="942">
        <v>45868</v>
      </c>
      <c r="AB816" s="942"/>
      <c r="AC816" s="161">
        <f t="shared" ref="AC816:AC839" si="626">AA816-W816</f>
        <v>11.287499999998545</v>
      </c>
      <c r="AD816" s="161">
        <f t="shared" ref="AD816:AD839" si="627">AA816-X816</f>
        <v>5.382638888891961</v>
      </c>
      <c r="AE816" s="446">
        <f t="shared" ref="AE816:AE839" si="628">AB816-AA816</f>
        <v>-45868</v>
      </c>
      <c r="AF816" s="160">
        <f t="shared" ref="AF816:AF839" si="629">W816+AO816</f>
        <v>45875.486693548388</v>
      </c>
      <c r="AG816" s="160">
        <f t="shared" ref="AG816:AG839" si="630">W816+AN816</f>
        <v>45884.293145161289</v>
      </c>
      <c r="AH816" s="159">
        <f t="shared" ref="AH816:AH839" si="631">W816+50</f>
        <v>45906.712500000001</v>
      </c>
      <c r="AI816" s="162">
        <f t="shared" ref="AI816:AI839" si="632" xml:space="preserve"> (0.3)*(AC816/AK816)+(0.7)*(AC816/AL816)</f>
        <v>0.38879166666661652</v>
      </c>
      <c r="AJ816" s="224">
        <f t="shared" ref="AJ816:AJ839" si="633">AE816/AP816</f>
        <v>-764.4666666666667</v>
      </c>
      <c r="AK816" s="225">
        <f t="shared" ref="AK816:AK839" si="634">IF(P816&lt;51,20,(IF(P816&lt;101,23,(IF(P816&lt;201,26,IF(P816&lt;301,28,IF(P816&lt;401,30,(IF(P816&lt;501,32,(IF(P816&lt;1001,40,50)))))))))))</f>
        <v>20</v>
      </c>
      <c r="AL816" s="170">
        <f t="shared" ref="AL816:AL839" si="635">IF(Q816&lt;51,36,(IF(Q816&lt;101,34,(IF(Q816&lt;201,32,IF(Q816&lt;301,30,IF(Q816&lt;401,28,(IF(Q816&lt;501,26,(IF(Q816&lt;1001,23,20)))))))))))</f>
        <v>36</v>
      </c>
      <c r="AM816" s="170">
        <f t="shared" ref="AM816:AM839" si="636">(0.75)/((0.3/AK816)+(0.7/AL816))</f>
        <v>21.774193548387096</v>
      </c>
      <c r="AN816" s="170">
        <f t="shared" ref="AN816:AN839" si="637">(0.95)/((0.3/AK816)+(0.7/AL816))</f>
        <v>27.58064516129032</v>
      </c>
      <c r="AO816" s="226">
        <f t="shared" ref="AO816:AO839" si="638">AM816-3</f>
        <v>18.774193548387096</v>
      </c>
      <c r="AP816" s="227">
        <v>60</v>
      </c>
      <c r="AQ816" s="228">
        <f t="shared" ref="AQ816:AQ839" si="639">0.95*AP816</f>
        <v>57</v>
      </c>
      <c r="AR816" s="228">
        <f t="shared" ref="AR816:AR839" si="640">AQ816-5</f>
        <v>52</v>
      </c>
      <c r="AS816" s="229">
        <f t="shared" ref="AS816:AS839" si="641">AA816+AP816</f>
        <v>45928</v>
      </c>
      <c r="AT816" s="982">
        <f t="shared" ref="AT816:AT839" ca="1" si="642">IFERROR(TODAY()-AA816,"")</f>
        <v>27</v>
      </c>
      <c r="AU816" s="50"/>
      <c r="AV816" s="51"/>
      <c r="AW816" s="49"/>
      <c r="AX816" s="49"/>
      <c r="AY816" s="49"/>
      <c r="AZ816" s="300"/>
      <c r="BA816" s="52"/>
      <c r="BB816" s="304"/>
      <c r="BC816" s="231" t="s">
        <v>13</v>
      </c>
      <c r="BD816" s="232"/>
      <c r="BE816" s="222">
        <f t="shared" ref="BE816:BE839" si="643">AA816+15</f>
        <v>45883</v>
      </c>
      <c r="BF816" s="233" t="e">
        <f t="shared" ref="BF816:BF839" si="644">IF(ISBLANK(AA816),0,IF(ISBLANK(BH816),(BE816-$L$1),(BH816-BE816)))</f>
        <v>#VALUE!</v>
      </c>
      <c r="BG816" s="234"/>
      <c r="BH816" s="235"/>
      <c r="BI816" s="234"/>
      <c r="BJ816" s="236"/>
      <c r="BK816" s="222"/>
      <c r="BL816" s="222"/>
      <c r="BM816" s="238"/>
      <c r="BN816" s="222"/>
      <c r="BO816" s="222"/>
      <c r="BP816" s="243"/>
      <c r="BQ816" s="244"/>
      <c r="BR816" s="238"/>
      <c r="BS816" s="68"/>
      <c r="BT816" s="69"/>
      <c r="BU816" s="69"/>
      <c r="BV816" s="69"/>
      <c r="BW816" s="75"/>
      <c r="BX816" s="81"/>
      <c r="BY816" s="66"/>
      <c r="BZ816" s="944"/>
      <c r="CA816" s="42"/>
      <c r="CB816" s="62"/>
      <c r="CC816" s="62"/>
      <c r="CD816" s="42"/>
      <c r="CE816" s="42"/>
      <c r="CF816" s="145">
        <f t="shared" si="541"/>
        <v>1</v>
      </c>
      <c r="CG816" s="145"/>
      <c r="CH816" s="443">
        <f t="shared" si="581"/>
        <v>0.42323611111106096</v>
      </c>
      <c r="CI816" s="996">
        <f t="shared" si="582"/>
        <v>0.42323611111106096</v>
      </c>
      <c r="CJ816" s="261">
        <f t="shared" si="583"/>
        <v>1.6666666666666666E-2</v>
      </c>
      <c r="CK816" s="458" t="str">
        <f t="shared" si="584"/>
        <v/>
      </c>
      <c r="CL816" t="str">
        <f t="shared" si="585"/>
        <v>NON-REV</v>
      </c>
      <c r="CM816" t="str">
        <f t="shared" si="586"/>
        <v/>
      </c>
      <c r="CN816" s="635"/>
      <c r="CO816" s="631"/>
      <c r="CP816" s="629"/>
      <c r="CQ816" s="635"/>
      <c r="CR816" s="697"/>
      <c r="CS816" s="633"/>
      <c r="CT816" s="635"/>
      <c r="CU816" s="631"/>
      <c r="CV816" s="638"/>
      <c r="CW816" s="853"/>
      <c r="CX816" s="856"/>
      <c r="CY816" s="856"/>
    </row>
    <row r="817" spans="1:103" s="359" customFormat="1" ht="15" customHeight="1" x14ac:dyDescent="0.25">
      <c r="A817" s="222">
        <v>45874</v>
      </c>
      <c r="B817" s="222">
        <v>45874</v>
      </c>
      <c r="C817" s="852" t="s">
        <v>247</v>
      </c>
      <c r="D817" s="66" t="s">
        <v>284</v>
      </c>
      <c r="E817" s="404" t="s">
        <v>3837</v>
      </c>
      <c r="F817" s="95" t="s">
        <v>3838</v>
      </c>
      <c r="G817" s="95" t="s">
        <v>1799</v>
      </c>
      <c r="H817" s="95" t="s">
        <v>318</v>
      </c>
      <c r="I817" s="95" t="s">
        <v>239</v>
      </c>
      <c r="J817" s="854"/>
      <c r="K817" s="855"/>
      <c r="L817" s="101" t="s">
        <v>288</v>
      </c>
      <c r="M817" s="101" t="s">
        <v>272</v>
      </c>
      <c r="N817" s="442" t="s">
        <v>381</v>
      </c>
      <c r="O817" s="165">
        <v>33.799999999999997</v>
      </c>
      <c r="P817" s="165">
        <v>33.799999999999997</v>
      </c>
      <c r="Q817" s="157">
        <v>0</v>
      </c>
      <c r="R817" s="109" t="s">
        <v>319</v>
      </c>
      <c r="S817" s="110">
        <v>35402.550000000003</v>
      </c>
      <c r="T817" s="93"/>
      <c r="U817" s="857"/>
      <c r="V817" s="158" t="e">
        <f t="shared" si="625"/>
        <v>#DIV/0!</v>
      </c>
      <c r="W817" s="159">
        <v>45856.461111111108</v>
      </c>
      <c r="X817" s="159">
        <v>45859.632638888892</v>
      </c>
      <c r="Y817" s="160">
        <v>45874</v>
      </c>
      <c r="Z817" s="470">
        <v>45869</v>
      </c>
      <c r="AA817" s="942">
        <v>45869</v>
      </c>
      <c r="AB817" s="942"/>
      <c r="AC817" s="161">
        <f t="shared" si="626"/>
        <v>12.538888888891961</v>
      </c>
      <c r="AD817" s="161">
        <f t="shared" si="627"/>
        <v>9.367361111108039</v>
      </c>
      <c r="AE817" s="446">
        <f t="shared" si="628"/>
        <v>-45869</v>
      </c>
      <c r="AF817" s="160">
        <f t="shared" si="629"/>
        <v>45875.235304659494</v>
      </c>
      <c r="AG817" s="160">
        <f t="shared" si="630"/>
        <v>45884.041756272396</v>
      </c>
      <c r="AH817" s="159">
        <f t="shared" si="631"/>
        <v>45906.461111111108</v>
      </c>
      <c r="AI817" s="162">
        <f t="shared" si="632"/>
        <v>0.4318950617285009</v>
      </c>
      <c r="AJ817" s="224">
        <f t="shared" si="633"/>
        <v>-764.48333333333335</v>
      </c>
      <c r="AK817" s="225">
        <f t="shared" si="634"/>
        <v>20</v>
      </c>
      <c r="AL817" s="170">
        <f t="shared" si="635"/>
        <v>36</v>
      </c>
      <c r="AM817" s="170">
        <f t="shared" si="636"/>
        <v>21.774193548387096</v>
      </c>
      <c r="AN817" s="170">
        <f t="shared" si="637"/>
        <v>27.58064516129032</v>
      </c>
      <c r="AO817" s="226">
        <f t="shared" si="638"/>
        <v>18.774193548387096</v>
      </c>
      <c r="AP817" s="227">
        <v>60</v>
      </c>
      <c r="AQ817" s="228">
        <f t="shared" si="639"/>
        <v>57</v>
      </c>
      <c r="AR817" s="228">
        <f t="shared" si="640"/>
        <v>52</v>
      </c>
      <c r="AS817" s="229">
        <f t="shared" si="641"/>
        <v>45929</v>
      </c>
      <c r="AT817" s="982">
        <f t="shared" ca="1" si="642"/>
        <v>26</v>
      </c>
      <c r="AU817" s="50"/>
      <c r="AV817" s="51"/>
      <c r="AW817" s="49"/>
      <c r="AX817" s="49"/>
      <c r="AY817" s="49"/>
      <c r="AZ817" s="300"/>
      <c r="BA817" s="52"/>
      <c r="BB817" s="304"/>
      <c r="BC817" s="231" t="s">
        <v>12</v>
      </c>
      <c r="BD817" s="232"/>
      <c r="BE817" s="222">
        <f t="shared" si="643"/>
        <v>45884</v>
      </c>
      <c r="BF817" s="233">
        <f t="shared" si="644"/>
        <v>0</v>
      </c>
      <c r="BG817" s="234">
        <v>45869</v>
      </c>
      <c r="BH817" s="235">
        <v>45884</v>
      </c>
      <c r="BI817" s="234"/>
      <c r="BJ817" s="236"/>
      <c r="BK817" s="222"/>
      <c r="BL817" s="222"/>
      <c r="BM817" s="238"/>
      <c r="BN817" s="222"/>
      <c r="BO817" s="222"/>
      <c r="BP817" s="243"/>
      <c r="BQ817" s="244"/>
      <c r="BR817" s="238"/>
      <c r="BS817" s="68"/>
      <c r="BT817" s="69"/>
      <c r="BU817" s="69"/>
      <c r="BV817" s="69"/>
      <c r="BW817" s="75"/>
      <c r="BX817" s="81"/>
      <c r="BY817" s="66" t="s">
        <v>308</v>
      </c>
      <c r="BZ817" s="944"/>
      <c r="CA817" s="42"/>
      <c r="CB817" s="62"/>
      <c r="CC817" s="62"/>
      <c r="CD817" s="42"/>
      <c r="CE817" s="42"/>
      <c r="CF817" s="145">
        <f t="shared" si="541"/>
        <v>0</v>
      </c>
      <c r="CG817" s="145"/>
      <c r="CH817" s="443">
        <f t="shared" si="581"/>
        <v>0.4318950617285009</v>
      </c>
      <c r="CI817" s="996">
        <f t="shared" si="582"/>
        <v>0.4318950617285009</v>
      </c>
      <c r="CJ817" s="261">
        <f t="shared" si="583"/>
        <v>0</v>
      </c>
      <c r="CK817" s="458" t="str">
        <f t="shared" si="584"/>
        <v/>
      </c>
      <c r="CL817" t="str">
        <f t="shared" si="585"/>
        <v>NON-REV</v>
      </c>
      <c r="CM817" t="str">
        <f t="shared" si="586"/>
        <v/>
      </c>
      <c r="CN817" s="635"/>
      <c r="CO817" s="631"/>
      <c r="CP817" s="629"/>
      <c r="CQ817" s="635"/>
      <c r="CR817" s="697"/>
      <c r="CS817" s="633"/>
      <c r="CT817" s="635"/>
      <c r="CU817" s="631"/>
      <c r="CV817" s="638"/>
      <c r="CW817" s="853"/>
      <c r="CX817" s="856"/>
      <c r="CY817" s="856"/>
    </row>
    <row r="818" spans="1:103" s="359" customFormat="1" ht="15" customHeight="1" x14ac:dyDescent="0.25">
      <c r="A818" s="222" t="s">
        <v>308</v>
      </c>
      <c r="B818" s="222" t="s">
        <v>308</v>
      </c>
      <c r="C818" s="852"/>
      <c r="D818" s="66" t="s">
        <v>284</v>
      </c>
      <c r="E818" s="404" t="s">
        <v>3839</v>
      </c>
      <c r="F818" s="95" t="s">
        <v>3840</v>
      </c>
      <c r="G818" s="95" t="s">
        <v>252</v>
      </c>
      <c r="H818" s="95" t="s">
        <v>253</v>
      </c>
      <c r="I818" s="95" t="s">
        <v>254</v>
      </c>
      <c r="J818" s="854"/>
      <c r="K818" s="855"/>
      <c r="L818" s="101" t="s">
        <v>1945</v>
      </c>
      <c r="M818" s="101" t="s">
        <v>272</v>
      </c>
      <c r="N818" s="442" t="s">
        <v>1946</v>
      </c>
      <c r="O818" s="165">
        <v>3.68</v>
      </c>
      <c r="P818" s="165">
        <v>3.68</v>
      </c>
      <c r="Q818" s="157">
        <v>20</v>
      </c>
      <c r="R818" s="109" t="s">
        <v>244</v>
      </c>
      <c r="S818" s="110">
        <v>18682.3</v>
      </c>
      <c r="T818" s="93"/>
      <c r="U818" s="857"/>
      <c r="V818" s="158" t="e">
        <f t="shared" si="625"/>
        <v>#DIV/0!</v>
      </c>
      <c r="W818" s="159">
        <v>45856.644444444442</v>
      </c>
      <c r="X818" s="159">
        <v>45860.534722222219</v>
      </c>
      <c r="Y818" s="160" t="s">
        <v>308</v>
      </c>
      <c r="Z818" s="470"/>
      <c r="AA818" s="942">
        <v>45876.265277777777</v>
      </c>
      <c r="AB818" s="942"/>
      <c r="AC818" s="161">
        <f t="shared" si="626"/>
        <v>19.620833333334303</v>
      </c>
      <c r="AD818" s="161">
        <f t="shared" si="627"/>
        <v>15.730555555557657</v>
      </c>
      <c r="AE818" s="446">
        <f t="shared" si="628"/>
        <v>-45876.265277777777</v>
      </c>
      <c r="AF818" s="160">
        <f t="shared" si="629"/>
        <v>45875.418637992829</v>
      </c>
      <c r="AG818" s="160">
        <f t="shared" si="630"/>
        <v>45884.22508960573</v>
      </c>
      <c r="AH818" s="159">
        <f t="shared" si="631"/>
        <v>45906.644444444442</v>
      </c>
      <c r="AI818" s="162">
        <f t="shared" si="632"/>
        <v>0.67582870370373715</v>
      </c>
      <c r="AJ818" s="224">
        <f t="shared" si="633"/>
        <v>-764.60442129629632</v>
      </c>
      <c r="AK818" s="225">
        <f t="shared" si="634"/>
        <v>20</v>
      </c>
      <c r="AL818" s="170">
        <f t="shared" si="635"/>
        <v>36</v>
      </c>
      <c r="AM818" s="170">
        <f t="shared" si="636"/>
        <v>21.774193548387096</v>
      </c>
      <c r="AN818" s="170">
        <f t="shared" si="637"/>
        <v>27.58064516129032</v>
      </c>
      <c r="AO818" s="226">
        <f t="shared" si="638"/>
        <v>18.774193548387096</v>
      </c>
      <c r="AP818" s="227">
        <v>60</v>
      </c>
      <c r="AQ818" s="228">
        <f t="shared" si="639"/>
        <v>57</v>
      </c>
      <c r="AR818" s="228">
        <f t="shared" si="640"/>
        <v>52</v>
      </c>
      <c r="AS818" s="229">
        <f t="shared" si="641"/>
        <v>45936.265277777777</v>
      </c>
      <c r="AT818" s="982">
        <f t="shared" ca="1" si="642"/>
        <v>18.734722222223354</v>
      </c>
      <c r="AU818" s="50"/>
      <c r="AV818" s="51"/>
      <c r="AW818" s="49"/>
      <c r="AX818" s="49"/>
      <c r="AY818" s="49"/>
      <c r="AZ818" s="300"/>
      <c r="BA818" s="52"/>
      <c r="BB818" s="304"/>
      <c r="BC818" s="231" t="s">
        <v>13</v>
      </c>
      <c r="BD818" s="232"/>
      <c r="BE818" s="222">
        <f t="shared" si="643"/>
        <v>45891.265277777777</v>
      </c>
      <c r="BF818" s="233" t="e">
        <f t="shared" si="644"/>
        <v>#VALUE!</v>
      </c>
      <c r="BG818" s="234"/>
      <c r="BH818" s="235"/>
      <c r="BI818" s="234"/>
      <c r="BJ818" s="236"/>
      <c r="BK818" s="222"/>
      <c r="BL818" s="222"/>
      <c r="BM818" s="238"/>
      <c r="BN818" s="222"/>
      <c r="BO818" s="222"/>
      <c r="BP818" s="243"/>
      <c r="BQ818" s="244"/>
      <c r="BR818" s="238"/>
      <c r="BS818" s="68"/>
      <c r="BT818" s="69"/>
      <c r="BU818" s="69"/>
      <c r="BV818" s="69"/>
      <c r="BW818" s="75"/>
      <c r="BX818" s="81"/>
      <c r="BY818" s="66"/>
      <c r="BZ818" s="944"/>
      <c r="CA818" s="42"/>
      <c r="CB818" s="62"/>
      <c r="CC818" s="62"/>
      <c r="CD818" s="42"/>
      <c r="CE818" s="42"/>
      <c r="CF818" s="145">
        <f t="shared" si="541"/>
        <v>-7.265277777776646</v>
      </c>
      <c r="CG818" s="145"/>
      <c r="CH818" s="443">
        <f t="shared" si="581"/>
        <v>0.42558024691365265</v>
      </c>
      <c r="CI818" s="996">
        <f t="shared" si="582"/>
        <v>0.42558024691365265</v>
      </c>
      <c r="CJ818" s="261">
        <f t="shared" si="583"/>
        <v>-0.12108796296294409</v>
      </c>
      <c r="CK818" s="458" t="str">
        <f t="shared" si="584"/>
        <v/>
      </c>
      <c r="CL818" t="str">
        <f t="shared" si="585"/>
        <v>REV</v>
      </c>
      <c r="CM818" t="str">
        <f t="shared" si="586"/>
        <v/>
      </c>
      <c r="CN818" s="635"/>
      <c r="CO818" s="631"/>
      <c r="CP818" s="629"/>
      <c r="CQ818" s="635"/>
      <c r="CR818" s="697"/>
      <c r="CS818" s="633"/>
      <c r="CT818" s="635"/>
      <c r="CU818" s="631"/>
      <c r="CV818" s="638"/>
      <c r="CW818" s="853"/>
      <c r="CX818" s="856"/>
      <c r="CY818" s="856"/>
    </row>
    <row r="819" spans="1:103" s="359" customFormat="1" ht="15" customHeight="1" x14ac:dyDescent="0.25">
      <c r="A819" s="242">
        <v>45868</v>
      </c>
      <c r="B819" s="222">
        <v>45868</v>
      </c>
      <c r="C819" s="852"/>
      <c r="D819" s="66" t="s">
        <v>320</v>
      </c>
      <c r="E819" s="404" t="s">
        <v>3841</v>
      </c>
      <c r="F819" s="95" t="s">
        <v>3842</v>
      </c>
      <c r="G819" s="95" t="s">
        <v>3843</v>
      </c>
      <c r="H819" s="95" t="s">
        <v>378</v>
      </c>
      <c r="I819" s="95" t="s">
        <v>239</v>
      </c>
      <c r="J819" s="854"/>
      <c r="K819" s="855"/>
      <c r="L819" s="101" t="s">
        <v>288</v>
      </c>
      <c r="M819" s="101" t="s">
        <v>272</v>
      </c>
      <c r="N819" s="442" t="s">
        <v>381</v>
      </c>
      <c r="O819" s="165">
        <v>0.33</v>
      </c>
      <c r="P819" s="165">
        <v>0.33</v>
      </c>
      <c r="Q819" s="157">
        <v>2</v>
      </c>
      <c r="R819" s="109" t="s">
        <v>244</v>
      </c>
      <c r="S819" s="110">
        <v>14723.93</v>
      </c>
      <c r="T819" s="93">
        <v>283.55</v>
      </c>
      <c r="U819" s="857"/>
      <c r="V819" s="158">
        <f t="shared" ref="V819:V840" si="645">U819/T819</f>
        <v>0</v>
      </c>
      <c r="W819" s="159">
        <v>45859.682638888888</v>
      </c>
      <c r="X819" s="159">
        <v>45866.623611111114</v>
      </c>
      <c r="Y819" s="160">
        <v>45868</v>
      </c>
      <c r="Z819" s="470"/>
      <c r="AA819" s="942">
        <v>45878.375694444447</v>
      </c>
      <c r="AB819" s="942"/>
      <c r="AC819" s="161">
        <f t="shared" si="626"/>
        <v>18.693055555559113</v>
      </c>
      <c r="AD819" s="161">
        <f t="shared" si="627"/>
        <v>11.752083333332848</v>
      </c>
      <c r="AE819" s="446">
        <f t="shared" si="628"/>
        <v>-45878.375694444447</v>
      </c>
      <c r="AF819" s="160">
        <f t="shared" si="629"/>
        <v>45878.456832437274</v>
      </c>
      <c r="AG819" s="160">
        <f t="shared" si="630"/>
        <v>45887.263284050176</v>
      </c>
      <c r="AH819" s="159">
        <f t="shared" si="631"/>
        <v>45909.682638888888</v>
      </c>
      <c r="AI819" s="162">
        <f t="shared" si="632"/>
        <v>0.64387191358036944</v>
      </c>
      <c r="AJ819" s="224">
        <f t="shared" si="633"/>
        <v>-764.6395949074074</v>
      </c>
      <c r="AK819" s="225">
        <f t="shared" si="634"/>
        <v>20</v>
      </c>
      <c r="AL819" s="170">
        <f t="shared" si="635"/>
        <v>36</v>
      </c>
      <c r="AM819" s="170">
        <f t="shared" si="636"/>
        <v>21.774193548387096</v>
      </c>
      <c r="AN819" s="170">
        <f t="shared" si="637"/>
        <v>27.58064516129032</v>
      </c>
      <c r="AO819" s="226">
        <f t="shared" si="638"/>
        <v>18.774193548387096</v>
      </c>
      <c r="AP819" s="227">
        <v>60</v>
      </c>
      <c r="AQ819" s="228">
        <f t="shared" si="639"/>
        <v>57</v>
      </c>
      <c r="AR819" s="228">
        <f t="shared" si="640"/>
        <v>52</v>
      </c>
      <c r="AS819" s="229">
        <f t="shared" si="641"/>
        <v>45938.375694444447</v>
      </c>
      <c r="AT819" s="982">
        <f t="shared" ca="1" si="642"/>
        <v>16.624305555553292</v>
      </c>
      <c r="AU819" s="50"/>
      <c r="AV819" s="51"/>
      <c r="AW819" s="49"/>
      <c r="AX819" s="49"/>
      <c r="AY819" s="49"/>
      <c r="AZ819" s="300"/>
      <c r="BA819" s="52"/>
      <c r="BB819" s="304"/>
      <c r="BC819" s="231" t="s">
        <v>13</v>
      </c>
      <c r="BD819" s="232"/>
      <c r="BE819" s="222">
        <f>AA819+15</f>
        <v>45893.375694444447</v>
      </c>
      <c r="BF819" s="233" t="e">
        <f t="shared" si="644"/>
        <v>#VALUE!</v>
      </c>
      <c r="BG819" s="234"/>
      <c r="BH819" s="235"/>
      <c r="BI819" s="234"/>
      <c r="BJ819" s="236"/>
      <c r="BK819" s="222"/>
      <c r="BL819" s="222"/>
      <c r="BM819" s="238"/>
      <c r="BN819" s="222"/>
      <c r="BO819" s="222"/>
      <c r="BP819" s="243"/>
      <c r="BQ819" s="244"/>
      <c r="BR819" s="238"/>
      <c r="BS819" s="68"/>
      <c r="BT819" s="69"/>
      <c r="BU819" s="69"/>
      <c r="BV819" s="69"/>
      <c r="BW819" s="75"/>
      <c r="BX819" s="81"/>
      <c r="BY819" s="66" t="s">
        <v>308</v>
      </c>
      <c r="BZ819" s="944" t="s">
        <v>3844</v>
      </c>
      <c r="CA819" s="42"/>
      <c r="CB819" s="62"/>
      <c r="CC819" s="62"/>
      <c r="CD819" s="42"/>
      <c r="CE819" s="42"/>
      <c r="CF819" s="145">
        <f t="shared" si="541"/>
        <v>-9.3756944444467081</v>
      </c>
      <c r="CG819" s="145"/>
      <c r="CH819" s="443">
        <f t="shared" si="581"/>
        <v>0.3209313271605384</v>
      </c>
      <c r="CI819" s="996">
        <f t="shared" si="582"/>
        <v>0.3209313271605384</v>
      </c>
      <c r="CJ819" s="261">
        <f t="shared" si="583"/>
        <v>-0.15626157407411181</v>
      </c>
      <c r="CK819" s="458" t="str">
        <f t="shared" si="584"/>
        <v/>
      </c>
      <c r="CL819" t="str">
        <f t="shared" si="585"/>
        <v>REV</v>
      </c>
      <c r="CM819" t="str">
        <f t="shared" si="586"/>
        <v/>
      </c>
      <c r="CN819" s="635"/>
      <c r="CO819" s="631"/>
      <c r="CP819" s="629"/>
      <c r="CQ819" s="635"/>
      <c r="CR819" s="697"/>
      <c r="CS819" s="633"/>
      <c r="CT819" s="635"/>
      <c r="CU819" s="631"/>
      <c r="CV819" s="638"/>
      <c r="CW819" s="853"/>
      <c r="CX819" s="856"/>
      <c r="CY819" s="856"/>
    </row>
    <row r="820" spans="1:103" s="359" customFormat="1" ht="15" customHeight="1" x14ac:dyDescent="0.25">
      <c r="A820" s="242">
        <v>45874</v>
      </c>
      <c r="B820" s="222">
        <v>45868</v>
      </c>
      <c r="C820" s="852"/>
      <c r="D820" s="66" t="s">
        <v>284</v>
      </c>
      <c r="E820" s="404" t="s">
        <v>3845</v>
      </c>
      <c r="F820" s="95" t="s">
        <v>3846</v>
      </c>
      <c r="G820" s="95" t="s">
        <v>3847</v>
      </c>
      <c r="H820" s="95" t="s">
        <v>378</v>
      </c>
      <c r="I820" s="95" t="s">
        <v>239</v>
      </c>
      <c r="J820" s="854"/>
      <c r="K820" s="855"/>
      <c r="L820" s="101" t="s">
        <v>288</v>
      </c>
      <c r="M820" s="101" t="s">
        <v>272</v>
      </c>
      <c r="N820" s="442" t="s">
        <v>381</v>
      </c>
      <c r="O820" s="165">
        <v>6.69</v>
      </c>
      <c r="P820" s="165">
        <v>6.69</v>
      </c>
      <c r="Q820" s="157">
        <v>0</v>
      </c>
      <c r="R820" s="109" t="s">
        <v>319</v>
      </c>
      <c r="S820" s="110">
        <v>17701.89</v>
      </c>
      <c r="T820" s="93"/>
      <c r="U820" s="857"/>
      <c r="V820" s="158" t="e">
        <f t="shared" si="645"/>
        <v>#DIV/0!</v>
      </c>
      <c r="W820" s="159">
        <v>45860.695138888892</v>
      </c>
      <c r="X820" s="159">
        <v>45866.628472222219</v>
      </c>
      <c r="Y820" s="160">
        <v>45868</v>
      </c>
      <c r="Z820" s="470">
        <v>45872</v>
      </c>
      <c r="AA820" s="942">
        <v>45872.329861111109</v>
      </c>
      <c r="AB820" s="942"/>
      <c r="AC820" s="161">
        <f t="shared" si="626"/>
        <v>11.634722222217533</v>
      </c>
      <c r="AD820" s="161">
        <f t="shared" si="627"/>
        <v>5.7013888888905058</v>
      </c>
      <c r="AE820" s="446">
        <f t="shared" si="628"/>
        <v>-45872.329861111109</v>
      </c>
      <c r="AF820" s="160">
        <f t="shared" si="629"/>
        <v>45879.469332437278</v>
      </c>
      <c r="AG820" s="160">
        <f t="shared" si="630"/>
        <v>45888.27578405018</v>
      </c>
      <c r="AH820" s="159">
        <f t="shared" si="631"/>
        <v>45910.695138888892</v>
      </c>
      <c r="AI820" s="162">
        <f t="shared" si="632"/>
        <v>0.40075154320971496</v>
      </c>
      <c r="AJ820" s="224">
        <f t="shared" si="633"/>
        <v>-764.53883101851852</v>
      </c>
      <c r="AK820" s="225">
        <f t="shared" si="634"/>
        <v>20</v>
      </c>
      <c r="AL820" s="170">
        <f t="shared" si="635"/>
        <v>36</v>
      </c>
      <c r="AM820" s="170">
        <f t="shared" si="636"/>
        <v>21.774193548387096</v>
      </c>
      <c r="AN820" s="170">
        <f t="shared" si="637"/>
        <v>27.58064516129032</v>
      </c>
      <c r="AO820" s="226">
        <f t="shared" si="638"/>
        <v>18.774193548387096</v>
      </c>
      <c r="AP820" s="227">
        <v>60</v>
      </c>
      <c r="AQ820" s="228">
        <f t="shared" si="639"/>
        <v>57</v>
      </c>
      <c r="AR820" s="228">
        <f t="shared" si="640"/>
        <v>52</v>
      </c>
      <c r="AS820" s="229">
        <f t="shared" si="641"/>
        <v>45932.329861111109</v>
      </c>
      <c r="AT820" s="982">
        <f t="shared" ca="1" si="642"/>
        <v>22.670138888890506</v>
      </c>
      <c r="AU820" s="50"/>
      <c r="AV820" s="51"/>
      <c r="AW820" s="49"/>
      <c r="AX820" s="49"/>
      <c r="AY820" s="49"/>
      <c r="AZ820" s="300"/>
      <c r="BA820" s="52"/>
      <c r="BB820" s="304"/>
      <c r="BC820" s="231" t="s">
        <v>12</v>
      </c>
      <c r="BD820" s="232"/>
      <c r="BE820" s="222">
        <f t="shared" si="643"/>
        <v>45887.329861111109</v>
      </c>
      <c r="BF820" s="233">
        <f t="shared" si="644"/>
        <v>-3.3298611111094942</v>
      </c>
      <c r="BG820" s="234">
        <v>45872</v>
      </c>
      <c r="BH820" s="235">
        <v>45884</v>
      </c>
      <c r="BI820" s="234"/>
      <c r="BJ820" s="236"/>
      <c r="BK820" s="222"/>
      <c r="BL820" s="222"/>
      <c r="BM820" s="238"/>
      <c r="BN820" s="222"/>
      <c r="BO820" s="222"/>
      <c r="BP820" s="243"/>
      <c r="BQ820" s="244"/>
      <c r="BR820" s="238"/>
      <c r="BS820" s="68"/>
      <c r="BT820" s="69"/>
      <c r="BU820" s="69"/>
      <c r="BV820" s="69"/>
      <c r="BW820" s="75"/>
      <c r="BX820" s="81"/>
      <c r="BY820" s="66" t="s">
        <v>308</v>
      </c>
      <c r="BZ820" s="944" t="s">
        <v>3848</v>
      </c>
      <c r="CA820" s="42"/>
      <c r="CB820" s="62"/>
      <c r="CC820" s="62"/>
      <c r="CD820" s="42"/>
      <c r="CE820" s="42"/>
      <c r="CF820" s="145">
        <f t="shared" si="541"/>
        <v>-3.3298611111094942</v>
      </c>
      <c r="CG820" s="145"/>
      <c r="CH820" s="443">
        <f t="shared" si="581"/>
        <v>0.28605632716038798</v>
      </c>
      <c r="CI820" s="996">
        <f t="shared" si="582"/>
        <v>0.28605632716038798</v>
      </c>
      <c r="CJ820" s="261">
        <f t="shared" si="583"/>
        <v>-5.5497685185158234E-2</v>
      </c>
      <c r="CK820" s="458" t="str">
        <f t="shared" si="584"/>
        <v/>
      </c>
      <c r="CL820" t="str">
        <f t="shared" si="585"/>
        <v>NON-REV</v>
      </c>
      <c r="CM820" t="str">
        <f t="shared" si="586"/>
        <v/>
      </c>
      <c r="CN820" s="635"/>
      <c r="CO820" s="631"/>
      <c r="CP820" s="629"/>
      <c r="CQ820" s="635"/>
      <c r="CR820" s="697"/>
      <c r="CS820" s="633"/>
      <c r="CT820" s="635"/>
      <c r="CU820" s="631"/>
      <c r="CV820" s="638"/>
      <c r="CW820" s="853"/>
      <c r="CX820" s="856"/>
      <c r="CY820" s="856"/>
    </row>
    <row r="821" spans="1:103" s="359" customFormat="1" ht="15" customHeight="1" x14ac:dyDescent="0.25">
      <c r="A821" s="242">
        <v>45867</v>
      </c>
      <c r="B821" s="222">
        <v>45868</v>
      </c>
      <c r="C821" s="852"/>
      <c r="D821" s="66" t="s">
        <v>320</v>
      </c>
      <c r="E821" s="404" t="s">
        <v>3849</v>
      </c>
      <c r="F821" s="95" t="s">
        <v>3850</v>
      </c>
      <c r="G821" s="95" t="s">
        <v>3851</v>
      </c>
      <c r="H821" s="95" t="s">
        <v>238</v>
      </c>
      <c r="I821" s="95" t="s">
        <v>239</v>
      </c>
      <c r="J821" s="854"/>
      <c r="K821" s="855"/>
      <c r="L821" s="101" t="s">
        <v>242</v>
      </c>
      <c r="M821" s="101" t="s">
        <v>331</v>
      </c>
      <c r="N821" s="442" t="s">
        <v>467</v>
      </c>
      <c r="O821" s="165">
        <v>15.23</v>
      </c>
      <c r="P821" s="165">
        <v>15.23</v>
      </c>
      <c r="Q821" s="157">
        <v>70</v>
      </c>
      <c r="R821" s="109" t="s">
        <v>244</v>
      </c>
      <c r="S821" s="110">
        <v>47339.51</v>
      </c>
      <c r="T821" s="93"/>
      <c r="U821" s="857"/>
      <c r="V821" s="158" t="e">
        <f t="shared" si="645"/>
        <v>#DIV/0!</v>
      </c>
      <c r="W821" s="159">
        <v>45860.65625</v>
      </c>
      <c r="X821" s="159">
        <v>45866.625</v>
      </c>
      <c r="Y821" s="160">
        <v>45868</v>
      </c>
      <c r="Z821" s="470"/>
      <c r="AA821" s="942"/>
      <c r="AB821" s="942"/>
      <c r="AC821" s="161">
        <f t="shared" si="626"/>
        <v>-45860.65625</v>
      </c>
      <c r="AD821" s="161">
        <f t="shared" si="627"/>
        <v>-45866.625</v>
      </c>
      <c r="AE821" s="446">
        <f t="shared" si="628"/>
        <v>0</v>
      </c>
      <c r="AF821" s="160">
        <f t="shared" si="629"/>
        <v>45878.730630165286</v>
      </c>
      <c r="AG821" s="160">
        <f t="shared" si="630"/>
        <v>45887.350464876035</v>
      </c>
      <c r="AH821" s="159">
        <f t="shared" si="631"/>
        <v>45910.65625</v>
      </c>
      <c r="AI821" s="162">
        <f t="shared" si="632"/>
        <v>-1632.0998253676471</v>
      </c>
      <c r="AJ821" s="224">
        <f t="shared" si="633"/>
        <v>0</v>
      </c>
      <c r="AK821" s="225">
        <f t="shared" si="634"/>
        <v>20</v>
      </c>
      <c r="AL821" s="170">
        <f t="shared" si="635"/>
        <v>34</v>
      </c>
      <c r="AM821" s="170">
        <f t="shared" si="636"/>
        <v>21.074380165289259</v>
      </c>
      <c r="AN821" s="170">
        <f t="shared" si="637"/>
        <v>26.694214876033058</v>
      </c>
      <c r="AO821" s="226">
        <f t="shared" si="638"/>
        <v>18.074380165289259</v>
      </c>
      <c r="AP821" s="227">
        <v>60</v>
      </c>
      <c r="AQ821" s="228">
        <f t="shared" si="639"/>
        <v>57</v>
      </c>
      <c r="AR821" s="228">
        <f t="shared" si="640"/>
        <v>52</v>
      </c>
      <c r="AS821" s="229">
        <f t="shared" si="641"/>
        <v>60</v>
      </c>
      <c r="AT821" s="982">
        <f t="shared" ca="1" si="642"/>
        <v>45895</v>
      </c>
      <c r="AU821" s="50"/>
      <c r="AV821" s="51"/>
      <c r="AW821" s="49"/>
      <c r="AX821" s="49"/>
      <c r="AY821" s="49"/>
      <c r="AZ821" s="300"/>
      <c r="BA821" s="52"/>
      <c r="BB821" s="304"/>
      <c r="BC821" s="231"/>
      <c r="BD821" s="232"/>
      <c r="BE821" s="222">
        <f t="shared" si="643"/>
        <v>15</v>
      </c>
      <c r="BF821" s="233">
        <f t="shared" si="644"/>
        <v>0</v>
      </c>
      <c r="BG821" s="234"/>
      <c r="BH821" s="235"/>
      <c r="BI821" s="234"/>
      <c r="BJ821" s="236"/>
      <c r="BK821" s="222"/>
      <c r="BL821" s="222"/>
      <c r="BM821" s="238"/>
      <c r="BN821" s="222"/>
      <c r="BO821" s="222"/>
      <c r="BP821" s="243"/>
      <c r="BQ821" s="244"/>
      <c r="BR821" s="238"/>
      <c r="BS821" s="68"/>
      <c r="BT821" s="69"/>
      <c r="BU821" s="69"/>
      <c r="BV821" s="69"/>
      <c r="BW821" s="75"/>
      <c r="BX821" s="81"/>
      <c r="BY821" s="66" t="s">
        <v>308</v>
      </c>
      <c r="BZ821" s="944" t="s">
        <v>3852</v>
      </c>
      <c r="CA821" s="42"/>
      <c r="CB821" s="62"/>
      <c r="CC821" s="62"/>
      <c r="CD821" s="42"/>
      <c r="CE821" s="42"/>
      <c r="CF821" s="145" t="str">
        <f t="shared" si="541"/>
        <v>0</v>
      </c>
      <c r="CG821" s="145"/>
      <c r="CH821" s="443">
        <f t="shared" si="581"/>
        <v>0.29693933823529406</v>
      </c>
      <c r="CI821" s="996">
        <f t="shared" si="582"/>
        <v>0.29693933823529406</v>
      </c>
      <c r="CJ821" s="261">
        <f t="shared" si="583"/>
        <v>0</v>
      </c>
      <c r="CK821" s="458">
        <f t="shared" si="584"/>
        <v>-4.65625</v>
      </c>
      <c r="CL821" t="str">
        <f t="shared" si="585"/>
        <v>REV</v>
      </c>
      <c r="CM821" t="str">
        <f t="shared" si="586"/>
        <v>0-3 MONTHS</v>
      </c>
      <c r="CN821" s="635"/>
      <c r="CO821" s="631"/>
      <c r="CP821" s="629"/>
      <c r="CQ821" s="635"/>
      <c r="CR821" s="697"/>
      <c r="CS821" s="633"/>
      <c r="CT821" s="635"/>
      <c r="CU821" s="631"/>
      <c r="CV821" s="638"/>
      <c r="CW821" s="853"/>
      <c r="CX821" s="856"/>
      <c r="CY821" s="856"/>
    </row>
    <row r="822" spans="1:103" s="359" customFormat="1" ht="15" customHeight="1" x14ac:dyDescent="0.25">
      <c r="A822" s="242">
        <v>45874</v>
      </c>
      <c r="B822" s="222">
        <v>45868</v>
      </c>
      <c r="C822" s="852"/>
      <c r="D822" s="66" t="s">
        <v>320</v>
      </c>
      <c r="E822" s="404" t="s">
        <v>3853</v>
      </c>
      <c r="F822" s="95" t="s">
        <v>3854</v>
      </c>
      <c r="G822" s="95" t="s">
        <v>3855</v>
      </c>
      <c r="H822" s="95" t="s">
        <v>269</v>
      </c>
      <c r="I822" s="95" t="s">
        <v>239</v>
      </c>
      <c r="J822" s="854"/>
      <c r="K822" s="855"/>
      <c r="L822" s="101" t="s">
        <v>242</v>
      </c>
      <c r="M822" s="101" t="s">
        <v>331</v>
      </c>
      <c r="N822" s="442" t="s">
        <v>467</v>
      </c>
      <c r="O822" s="165">
        <v>70.92</v>
      </c>
      <c r="P822" s="165">
        <v>149.19999999999999</v>
      </c>
      <c r="Q822" s="157">
        <v>54.1</v>
      </c>
      <c r="R822" s="109" t="s">
        <v>548</v>
      </c>
      <c r="S822" s="110">
        <v>414665.83</v>
      </c>
      <c r="T822" s="93"/>
      <c r="U822" s="857"/>
      <c r="V822" s="158" t="e">
        <f t="shared" si="645"/>
        <v>#DIV/0!</v>
      </c>
      <c r="W822" s="159">
        <v>45859.522916666669</v>
      </c>
      <c r="X822" s="159">
        <v>45866.621527777781</v>
      </c>
      <c r="Y822" s="160">
        <v>45868</v>
      </c>
      <c r="Z822" s="470"/>
      <c r="AA822" s="942"/>
      <c r="AB822" s="942"/>
      <c r="AC822" s="161">
        <f t="shared" si="626"/>
        <v>-45859.522916666669</v>
      </c>
      <c r="AD822" s="161">
        <f t="shared" si="627"/>
        <v>-45866.621527777781</v>
      </c>
      <c r="AE822" s="446">
        <f t="shared" si="628"/>
        <v>0</v>
      </c>
      <c r="AF822" s="160">
        <f t="shared" si="629"/>
        <v>45879.867987089201</v>
      </c>
      <c r="AG822" s="160">
        <f t="shared" si="630"/>
        <v>45889.093339201878</v>
      </c>
      <c r="AH822" s="159">
        <f t="shared" si="631"/>
        <v>45909.522916666669</v>
      </c>
      <c r="AI822" s="162">
        <f t="shared" si="632"/>
        <v>-1473.3149896304676</v>
      </c>
      <c r="AJ822" s="224">
        <f t="shared" si="633"/>
        <v>0</v>
      </c>
      <c r="AK822" s="225">
        <f t="shared" si="634"/>
        <v>26</v>
      </c>
      <c r="AL822" s="170">
        <f t="shared" si="635"/>
        <v>34</v>
      </c>
      <c r="AM822" s="170">
        <f t="shared" si="636"/>
        <v>23.345070422535212</v>
      </c>
      <c r="AN822" s="170">
        <f t="shared" si="637"/>
        <v>29.570422535211268</v>
      </c>
      <c r="AO822" s="226">
        <f t="shared" si="638"/>
        <v>20.345070422535212</v>
      </c>
      <c r="AP822" s="227">
        <v>60</v>
      </c>
      <c r="AQ822" s="228">
        <f t="shared" si="639"/>
        <v>57</v>
      </c>
      <c r="AR822" s="228">
        <f t="shared" si="640"/>
        <v>52</v>
      </c>
      <c r="AS822" s="229">
        <f t="shared" si="641"/>
        <v>60</v>
      </c>
      <c r="AT822" s="982">
        <f t="shared" ca="1" si="642"/>
        <v>45895</v>
      </c>
      <c r="AU822" s="50"/>
      <c r="AV822" s="51"/>
      <c r="AW822" s="49"/>
      <c r="AX822" s="49"/>
      <c r="AY822" s="49"/>
      <c r="AZ822" s="300"/>
      <c r="BA822" s="52"/>
      <c r="BB822" s="304"/>
      <c r="BC822" s="231"/>
      <c r="BD822" s="232"/>
      <c r="BE822" s="222">
        <f t="shared" si="643"/>
        <v>15</v>
      </c>
      <c r="BF822" s="233">
        <f t="shared" si="644"/>
        <v>0</v>
      </c>
      <c r="BG822" s="234"/>
      <c r="BH822" s="235"/>
      <c r="BI822" s="234"/>
      <c r="BJ822" s="236"/>
      <c r="BK822" s="222"/>
      <c r="BL822" s="222"/>
      <c r="BM822" s="238"/>
      <c r="BN822" s="222"/>
      <c r="BO822" s="222"/>
      <c r="BP822" s="243"/>
      <c r="BQ822" s="244"/>
      <c r="BR822" s="238"/>
      <c r="BS822" s="68"/>
      <c r="BT822" s="69"/>
      <c r="BU822" s="69"/>
      <c r="BV822" s="69"/>
      <c r="BW822" s="75"/>
      <c r="BX822" s="81"/>
      <c r="BY822" s="66">
        <v>45868</v>
      </c>
      <c r="BZ822" s="944" t="s">
        <v>3856</v>
      </c>
      <c r="CA822" s="42"/>
      <c r="CB822" s="62"/>
      <c r="CC822" s="62"/>
      <c r="CD822" s="42"/>
      <c r="CE822" s="42"/>
      <c r="CF822" s="145" t="str">
        <f t="shared" si="541"/>
        <v>0</v>
      </c>
      <c r="CG822" s="145"/>
      <c r="CH822" s="443">
        <f t="shared" si="581"/>
        <v>0.30446738310702665</v>
      </c>
      <c r="CI822" s="996">
        <f t="shared" si="582"/>
        <v>0.30446738310702665</v>
      </c>
      <c r="CJ822" s="261">
        <f t="shared" si="583"/>
        <v>0</v>
      </c>
      <c r="CK822" s="458">
        <f t="shared" si="584"/>
        <v>-3.5229166666686069</v>
      </c>
      <c r="CL822" t="str">
        <f t="shared" si="585"/>
        <v>NON-REV</v>
      </c>
      <c r="CM822" t="str">
        <f t="shared" si="586"/>
        <v>0-3 MONTHS</v>
      </c>
      <c r="CN822" s="635"/>
      <c r="CO822" s="631"/>
      <c r="CP822" s="629"/>
      <c r="CQ822" s="635"/>
      <c r="CR822" s="697"/>
      <c r="CS822" s="633"/>
      <c r="CT822" s="635"/>
      <c r="CU822" s="631"/>
      <c r="CV822" s="638"/>
      <c r="CW822" s="853"/>
      <c r="CX822" s="856"/>
      <c r="CY822" s="856"/>
    </row>
    <row r="823" spans="1:103" s="359" customFormat="1" ht="15" customHeight="1" x14ac:dyDescent="0.25">
      <c r="A823" s="242">
        <v>45867</v>
      </c>
      <c r="B823" s="222">
        <v>45868</v>
      </c>
      <c r="C823" s="852"/>
      <c r="D823" s="66" t="s">
        <v>320</v>
      </c>
      <c r="E823" s="404" t="s">
        <v>3857</v>
      </c>
      <c r="F823" s="95" t="s">
        <v>3858</v>
      </c>
      <c r="G823" s="95" t="s">
        <v>3859</v>
      </c>
      <c r="H823" s="95" t="s">
        <v>238</v>
      </c>
      <c r="I823" s="95" t="s">
        <v>239</v>
      </c>
      <c r="J823" s="854" t="s">
        <v>3860</v>
      </c>
      <c r="K823" s="855"/>
      <c r="L823" s="101" t="s">
        <v>5</v>
      </c>
      <c r="M823" s="101" t="s">
        <v>331</v>
      </c>
      <c r="N823" s="442" t="s">
        <v>403</v>
      </c>
      <c r="O823" s="165">
        <v>68</v>
      </c>
      <c r="P823" s="165">
        <v>146.28</v>
      </c>
      <c r="Q823" s="157">
        <v>23</v>
      </c>
      <c r="R823" s="109" t="s">
        <v>548</v>
      </c>
      <c r="S823" s="110">
        <v>328877.96999999997</v>
      </c>
      <c r="T823" s="93">
        <v>58428.66</v>
      </c>
      <c r="U823" s="857"/>
      <c r="V823" s="158">
        <f t="shared" si="645"/>
        <v>0</v>
      </c>
      <c r="W823" s="159">
        <v>45859.739583333336</v>
      </c>
      <c r="X823" s="159">
        <v>45866.631944444445</v>
      </c>
      <c r="Y823" s="160">
        <v>45868</v>
      </c>
      <c r="Z823" s="470"/>
      <c r="AA823" s="942"/>
      <c r="AB823" s="942"/>
      <c r="AC823" s="161">
        <f t="shared" si="626"/>
        <v>-45859.739583333336</v>
      </c>
      <c r="AD823" s="161">
        <f t="shared" si="627"/>
        <v>-45866.631944444445</v>
      </c>
      <c r="AE823" s="446">
        <f t="shared" si="628"/>
        <v>0</v>
      </c>
      <c r="AF823" s="160">
        <f t="shared" si="629"/>
        <v>45880.94647988506</v>
      </c>
      <c r="AG823" s="160">
        <f t="shared" si="630"/>
        <v>45890.401652298853</v>
      </c>
      <c r="AH823" s="159">
        <f t="shared" si="631"/>
        <v>45909.739583333336</v>
      </c>
      <c r="AI823" s="162">
        <f t="shared" si="632"/>
        <v>-1420.8679999109686</v>
      </c>
      <c r="AJ823" s="224">
        <f t="shared" si="633"/>
        <v>0</v>
      </c>
      <c r="AK823" s="225">
        <f t="shared" si="634"/>
        <v>26</v>
      </c>
      <c r="AL823" s="170">
        <f t="shared" si="635"/>
        <v>36</v>
      </c>
      <c r="AM823" s="170">
        <f t="shared" si="636"/>
        <v>24.206896551724139</v>
      </c>
      <c r="AN823" s="170">
        <f t="shared" si="637"/>
        <v>30.662068965517239</v>
      </c>
      <c r="AO823" s="226">
        <f t="shared" si="638"/>
        <v>21.206896551724139</v>
      </c>
      <c r="AP823" s="227">
        <v>60</v>
      </c>
      <c r="AQ823" s="228">
        <f t="shared" si="639"/>
        <v>57</v>
      </c>
      <c r="AR823" s="228">
        <f t="shared" si="640"/>
        <v>52</v>
      </c>
      <c r="AS823" s="229">
        <f t="shared" si="641"/>
        <v>60</v>
      </c>
      <c r="AT823" s="982">
        <f t="shared" ca="1" si="642"/>
        <v>45895</v>
      </c>
      <c r="AU823" s="50"/>
      <c r="AV823" s="51"/>
      <c r="AW823" s="49"/>
      <c r="AX823" s="49"/>
      <c r="AY823" s="49"/>
      <c r="AZ823" s="300"/>
      <c r="BA823" s="52"/>
      <c r="BB823" s="304"/>
      <c r="BC823" s="231"/>
      <c r="BD823" s="232"/>
      <c r="BE823" s="222">
        <f t="shared" si="643"/>
        <v>15</v>
      </c>
      <c r="BF823" s="233">
        <f t="shared" si="644"/>
        <v>0</v>
      </c>
      <c r="BG823" s="234"/>
      <c r="BH823" s="235"/>
      <c r="BI823" s="234"/>
      <c r="BJ823" s="236"/>
      <c r="BK823" s="222"/>
      <c r="BL823" s="222"/>
      <c r="BM823" s="238"/>
      <c r="BN823" s="222"/>
      <c r="BO823" s="222"/>
      <c r="BP823" s="243"/>
      <c r="BQ823" s="244"/>
      <c r="BR823" s="238"/>
      <c r="BS823" s="68"/>
      <c r="BT823" s="69"/>
      <c r="BU823" s="69"/>
      <c r="BV823" s="69"/>
      <c r="BW823" s="75"/>
      <c r="BX823" s="81"/>
      <c r="BY823" s="66">
        <v>45868</v>
      </c>
      <c r="BZ823" s="944" t="s">
        <v>3861</v>
      </c>
      <c r="CA823" s="42"/>
      <c r="CB823" s="62"/>
      <c r="CC823" s="62"/>
      <c r="CD823" s="42"/>
      <c r="CE823" s="42"/>
      <c r="CF823" s="145" t="str">
        <f t="shared" si="541"/>
        <v>0</v>
      </c>
      <c r="CG823" s="145"/>
      <c r="CH823" s="443">
        <f t="shared" si="581"/>
        <v>0.28691461894579379</v>
      </c>
      <c r="CI823" s="996">
        <f t="shared" si="582"/>
        <v>0.28691461894579379</v>
      </c>
      <c r="CJ823" s="261">
        <f t="shared" si="583"/>
        <v>0</v>
      </c>
      <c r="CK823" s="458">
        <f t="shared" si="584"/>
        <v>-3.7395833333357587</v>
      </c>
      <c r="CL823" t="str">
        <f t="shared" si="585"/>
        <v>NON-REV</v>
      </c>
      <c r="CM823" t="str">
        <f t="shared" si="586"/>
        <v>0-3 MONTHS</v>
      </c>
      <c r="CN823" s="635"/>
      <c r="CO823" s="631"/>
      <c r="CP823" s="629"/>
      <c r="CQ823" s="635"/>
      <c r="CR823" s="697"/>
      <c r="CS823" s="633"/>
      <c r="CT823" s="635"/>
      <c r="CU823" s="631"/>
      <c r="CV823" s="638"/>
      <c r="CW823" s="853"/>
      <c r="CX823" s="856"/>
      <c r="CY823" s="856"/>
    </row>
    <row r="824" spans="1:103" s="359" customFormat="1" ht="15" customHeight="1" x14ac:dyDescent="0.25">
      <c r="A824" s="242">
        <v>45874</v>
      </c>
      <c r="B824" s="222">
        <v>45868</v>
      </c>
      <c r="C824" s="852"/>
      <c r="D824" s="66" t="s">
        <v>284</v>
      </c>
      <c r="E824" s="404" t="s">
        <v>3862</v>
      </c>
      <c r="F824" s="95" t="s">
        <v>3863</v>
      </c>
      <c r="G824" s="95" t="s">
        <v>3864</v>
      </c>
      <c r="H824" s="95" t="s">
        <v>238</v>
      </c>
      <c r="I824" s="95" t="s">
        <v>239</v>
      </c>
      <c r="J824" s="854"/>
      <c r="K824" s="855"/>
      <c r="L824" s="101" t="s">
        <v>5</v>
      </c>
      <c r="M824" s="101" t="s">
        <v>331</v>
      </c>
      <c r="N824" s="442" t="s">
        <v>403</v>
      </c>
      <c r="O824" s="165">
        <v>18.93</v>
      </c>
      <c r="P824" s="165">
        <v>18.93</v>
      </c>
      <c r="Q824" s="157">
        <v>0</v>
      </c>
      <c r="R824" s="109" t="s">
        <v>319</v>
      </c>
      <c r="S824" s="110">
        <v>24125.77</v>
      </c>
      <c r="T824" s="93">
        <v>16273.72</v>
      </c>
      <c r="U824" s="857"/>
      <c r="V824" s="158">
        <f t="shared" si="645"/>
        <v>0</v>
      </c>
      <c r="W824" s="159">
        <v>45860.654166666667</v>
      </c>
      <c r="X824" s="159">
        <v>45866.62777777778</v>
      </c>
      <c r="Y824" s="160">
        <v>45868</v>
      </c>
      <c r="Z824" s="470"/>
      <c r="AA824" s="942"/>
      <c r="AB824" s="942"/>
      <c r="AC824" s="161">
        <f t="shared" si="626"/>
        <v>-45860.654166666667</v>
      </c>
      <c r="AD824" s="161">
        <f t="shared" si="627"/>
        <v>-45866.62777777778</v>
      </c>
      <c r="AE824" s="446">
        <f t="shared" si="628"/>
        <v>0</v>
      </c>
      <c r="AF824" s="160">
        <f t="shared" si="629"/>
        <v>45879.428360215054</v>
      </c>
      <c r="AG824" s="160">
        <f t="shared" si="630"/>
        <v>45888.234811827955</v>
      </c>
      <c r="AH824" s="159">
        <f t="shared" si="631"/>
        <v>45910.654166666667</v>
      </c>
      <c r="AI824" s="162">
        <f t="shared" si="632"/>
        <v>-1579.6447546296295</v>
      </c>
      <c r="AJ824" s="224">
        <f t="shared" si="633"/>
        <v>0</v>
      </c>
      <c r="AK824" s="225">
        <f t="shared" si="634"/>
        <v>20</v>
      </c>
      <c r="AL824" s="170">
        <f t="shared" si="635"/>
        <v>36</v>
      </c>
      <c r="AM824" s="170">
        <f t="shared" si="636"/>
        <v>21.774193548387096</v>
      </c>
      <c r="AN824" s="170">
        <f t="shared" si="637"/>
        <v>27.58064516129032</v>
      </c>
      <c r="AO824" s="226">
        <f t="shared" si="638"/>
        <v>18.774193548387096</v>
      </c>
      <c r="AP824" s="227">
        <v>60</v>
      </c>
      <c r="AQ824" s="228">
        <f t="shared" si="639"/>
        <v>57</v>
      </c>
      <c r="AR824" s="228">
        <f t="shared" si="640"/>
        <v>52</v>
      </c>
      <c r="AS824" s="229">
        <f t="shared" si="641"/>
        <v>60</v>
      </c>
      <c r="AT824" s="982">
        <f t="shared" ca="1" si="642"/>
        <v>45895</v>
      </c>
      <c r="AU824" s="50"/>
      <c r="AV824" s="51"/>
      <c r="AW824" s="49"/>
      <c r="AX824" s="49"/>
      <c r="AY824" s="49"/>
      <c r="AZ824" s="300"/>
      <c r="BA824" s="52"/>
      <c r="BB824" s="304"/>
      <c r="BC824" s="231"/>
      <c r="BD824" s="232"/>
      <c r="BE824" s="222">
        <f t="shared" si="643"/>
        <v>15</v>
      </c>
      <c r="BF824" s="233">
        <f t="shared" si="644"/>
        <v>0</v>
      </c>
      <c r="BG824" s="234"/>
      <c r="BH824" s="235"/>
      <c r="BI824" s="234"/>
      <c r="BJ824" s="236"/>
      <c r="BK824" s="222"/>
      <c r="BL824" s="222"/>
      <c r="BM824" s="238"/>
      <c r="BN824" s="222"/>
      <c r="BO824" s="222"/>
      <c r="BP824" s="243"/>
      <c r="BQ824" s="244"/>
      <c r="BR824" s="238"/>
      <c r="BS824" s="68"/>
      <c r="BT824" s="69"/>
      <c r="BU824" s="69"/>
      <c r="BV824" s="69"/>
      <c r="BW824" s="75"/>
      <c r="BX824" s="81"/>
      <c r="BY824" s="66" t="s">
        <v>308</v>
      </c>
      <c r="BZ824" s="66" t="s">
        <v>308</v>
      </c>
      <c r="CA824" s="42"/>
      <c r="CB824" s="62"/>
      <c r="CC824" s="62"/>
      <c r="CD824" s="42"/>
      <c r="CE824" s="42"/>
      <c r="CF824" s="145" t="str">
        <f t="shared" si="541"/>
        <v>0</v>
      </c>
      <c r="CG824" s="145"/>
      <c r="CH824" s="443">
        <f t="shared" si="581"/>
        <v>0.28746759259257587</v>
      </c>
      <c r="CI824" s="996">
        <f t="shared" si="582"/>
        <v>0.28746759259257587</v>
      </c>
      <c r="CJ824" s="261">
        <f t="shared" si="583"/>
        <v>0</v>
      </c>
      <c r="CK824" s="458">
        <f t="shared" si="584"/>
        <v>-4.6541666666671517</v>
      </c>
      <c r="CL824" t="str">
        <f t="shared" si="585"/>
        <v>NON-REV</v>
      </c>
      <c r="CM824" t="str">
        <f t="shared" si="586"/>
        <v>0-3 MONTHS</v>
      </c>
      <c r="CN824" s="635"/>
      <c r="CO824" s="631"/>
      <c r="CP824" s="629"/>
      <c r="CQ824" s="635"/>
      <c r="CR824" s="697"/>
      <c r="CS824" s="633"/>
      <c r="CT824" s="635"/>
      <c r="CU824" s="631"/>
      <c r="CV824" s="638"/>
      <c r="CW824" s="853"/>
      <c r="CX824" s="856"/>
      <c r="CY824" s="856"/>
    </row>
    <row r="825" spans="1:103" s="1103" customFormat="1" ht="15" customHeight="1" x14ac:dyDescent="0.2">
      <c r="A825" s="242">
        <v>45874</v>
      </c>
      <c r="B825" s="222">
        <v>45868</v>
      </c>
      <c r="C825" s="852"/>
      <c r="D825" s="66" t="s">
        <v>284</v>
      </c>
      <c r="E825" s="404" t="s">
        <v>3865</v>
      </c>
      <c r="F825" s="95" t="s">
        <v>3866</v>
      </c>
      <c r="G825" s="95" t="s">
        <v>3867</v>
      </c>
      <c r="H825" s="95" t="s">
        <v>269</v>
      </c>
      <c r="I825" s="95" t="s">
        <v>239</v>
      </c>
      <c r="J825" s="1134" t="s">
        <v>3638</v>
      </c>
      <c r="K825" s="855"/>
      <c r="L825" s="101" t="s">
        <v>255</v>
      </c>
      <c r="M825" s="101" t="s">
        <v>331</v>
      </c>
      <c r="N825" s="442" t="s">
        <v>403</v>
      </c>
      <c r="O825" s="165">
        <v>176.64</v>
      </c>
      <c r="P825" s="165">
        <v>486.97</v>
      </c>
      <c r="Q825" s="157">
        <v>20</v>
      </c>
      <c r="R825" s="109" t="s">
        <v>244</v>
      </c>
      <c r="S825" s="110">
        <v>782151.87</v>
      </c>
      <c r="T825" s="1133">
        <v>151772.07999999999</v>
      </c>
      <c r="U825" s="857"/>
      <c r="V825" s="158">
        <f t="shared" si="645"/>
        <v>0</v>
      </c>
      <c r="W825" s="159">
        <v>45860.696527777778</v>
      </c>
      <c r="X825" s="159">
        <v>45866.630555555559</v>
      </c>
      <c r="Y825" s="160">
        <v>45868</v>
      </c>
      <c r="Z825" s="470"/>
      <c r="AA825" s="942"/>
      <c r="AB825" s="942"/>
      <c r="AC825" s="161">
        <f t="shared" si="626"/>
        <v>-45860.696527777778</v>
      </c>
      <c r="AD825" s="161">
        <f t="shared" si="627"/>
        <v>-45866.630555555559</v>
      </c>
      <c r="AE825" s="446">
        <f t="shared" si="628"/>
        <v>0</v>
      </c>
      <c r="AF825" s="160">
        <f t="shared" si="629"/>
        <v>45883.720624163318</v>
      </c>
      <c r="AG825" s="160">
        <f t="shared" si="630"/>
        <v>45893.660383199465</v>
      </c>
      <c r="AH825" s="159">
        <f t="shared" si="631"/>
        <v>45910.696527777778</v>
      </c>
      <c r="AI825" s="162">
        <f t="shared" si="632"/>
        <v>-1321.6797957658177</v>
      </c>
      <c r="AJ825" s="224">
        <f t="shared" si="633"/>
        <v>0</v>
      </c>
      <c r="AK825" s="225">
        <f t="shared" si="634"/>
        <v>32</v>
      </c>
      <c r="AL825" s="170">
        <f t="shared" si="635"/>
        <v>36</v>
      </c>
      <c r="AM825" s="170">
        <f t="shared" si="636"/>
        <v>26.024096385542165</v>
      </c>
      <c r="AN825" s="170">
        <f t="shared" si="637"/>
        <v>32.963855421686745</v>
      </c>
      <c r="AO825" s="226">
        <f t="shared" si="638"/>
        <v>23.024096385542165</v>
      </c>
      <c r="AP825" s="227">
        <v>60</v>
      </c>
      <c r="AQ825" s="228">
        <f t="shared" si="639"/>
        <v>57</v>
      </c>
      <c r="AR825" s="228">
        <f t="shared" si="640"/>
        <v>52</v>
      </c>
      <c r="AS825" s="229">
        <f t="shared" si="641"/>
        <v>60</v>
      </c>
      <c r="AT825" s="982">
        <f t="shared" ca="1" si="642"/>
        <v>45895</v>
      </c>
      <c r="AU825" s="1077"/>
      <c r="AV825" s="1092"/>
      <c r="AW825" s="1079"/>
      <c r="AX825" s="1079"/>
      <c r="AY825" s="1079"/>
      <c r="AZ825" s="1080"/>
      <c r="BA825" s="1101"/>
      <c r="BB825" s="1091"/>
      <c r="BC825" s="231"/>
      <c r="BD825" s="232"/>
      <c r="BE825" s="222">
        <f t="shared" si="643"/>
        <v>15</v>
      </c>
      <c r="BF825" s="233">
        <f t="shared" si="644"/>
        <v>0</v>
      </c>
      <c r="BG825" s="234"/>
      <c r="BH825" s="235"/>
      <c r="BI825" s="234"/>
      <c r="BJ825" s="236"/>
      <c r="BK825" s="222"/>
      <c r="BL825" s="222"/>
      <c r="BM825" s="238"/>
      <c r="BN825" s="222"/>
      <c r="BO825" s="222"/>
      <c r="BP825" s="243"/>
      <c r="BQ825" s="244"/>
      <c r="BR825" s="238"/>
      <c r="BS825" s="68"/>
      <c r="BT825" s="69"/>
      <c r="BU825" s="69"/>
      <c r="BV825" s="69"/>
      <c r="BW825" s="75"/>
      <c r="BX825" s="81"/>
      <c r="BY825" s="66">
        <v>45868</v>
      </c>
      <c r="BZ825" s="944" t="s">
        <v>3868</v>
      </c>
      <c r="CA825" s="42"/>
      <c r="CB825" s="62"/>
      <c r="CC825" s="62"/>
      <c r="CD825" s="42"/>
      <c r="CE825" s="42"/>
      <c r="CF825" s="1059" t="str">
        <f t="shared" si="541"/>
        <v>0</v>
      </c>
      <c r="CG825" s="1059"/>
      <c r="CH825" s="1082">
        <f t="shared" si="581"/>
        <v>0.23930145640431166</v>
      </c>
      <c r="CI825" s="1083">
        <f t="shared" si="582"/>
        <v>0.23930145640431166</v>
      </c>
      <c r="CJ825" s="1084">
        <f t="shared" si="583"/>
        <v>0</v>
      </c>
      <c r="CK825" s="1085">
        <f t="shared" si="584"/>
        <v>-4.6965277777781012</v>
      </c>
      <c r="CL825" s="1057" t="str">
        <f t="shared" si="585"/>
        <v>REV</v>
      </c>
      <c r="CM825" s="1057" t="str">
        <f t="shared" si="586"/>
        <v>0-3 MONTHS</v>
      </c>
      <c r="CN825" s="1086"/>
      <c r="CO825" s="1087"/>
      <c r="CP825" s="629"/>
      <c r="CQ825" s="1086"/>
      <c r="CR825" s="1088"/>
      <c r="CS825" s="1089"/>
      <c r="CT825" s="1086"/>
      <c r="CU825" s="1087"/>
      <c r="CV825" s="1090"/>
      <c r="CW825" s="853"/>
      <c r="CX825" s="856"/>
      <c r="CY825" s="856"/>
    </row>
    <row r="826" spans="1:103" s="359" customFormat="1" ht="15" customHeight="1" x14ac:dyDescent="0.25">
      <c r="A826" s="222" t="s">
        <v>308</v>
      </c>
      <c r="B826" s="222" t="s">
        <v>308</v>
      </c>
      <c r="C826" s="852"/>
      <c r="D826" s="66" t="s">
        <v>234</v>
      </c>
      <c r="E826" s="404" t="s">
        <v>3869</v>
      </c>
      <c r="F826" s="95" t="s">
        <v>926</v>
      </c>
      <c r="G826" s="95" t="s">
        <v>3870</v>
      </c>
      <c r="H826" s="95" t="s">
        <v>318</v>
      </c>
      <c r="I826" s="95" t="s">
        <v>239</v>
      </c>
      <c r="J826" s="1134" t="s">
        <v>3638</v>
      </c>
      <c r="K826" s="855"/>
      <c r="L826" s="101" t="s">
        <v>1957</v>
      </c>
      <c r="M826" s="101" t="s">
        <v>331</v>
      </c>
      <c r="N826" s="442" t="s">
        <v>3375</v>
      </c>
      <c r="O826" s="165">
        <v>17.14</v>
      </c>
      <c r="P826" s="165">
        <v>17.14</v>
      </c>
      <c r="Q826" s="157">
        <v>22</v>
      </c>
      <c r="R826" s="109" t="s">
        <v>244</v>
      </c>
      <c r="S826" s="110">
        <v>194170.53</v>
      </c>
      <c r="T826" s="93"/>
      <c r="U826" s="857"/>
      <c r="V826" s="158" t="e">
        <f t="shared" si="645"/>
        <v>#DIV/0!</v>
      </c>
      <c r="W826" s="159">
        <v>45859.57708333333</v>
      </c>
      <c r="X826" s="159">
        <v>45866.620138888888</v>
      </c>
      <c r="Y826" s="160" t="s">
        <v>308</v>
      </c>
      <c r="Z826" s="470"/>
      <c r="AA826" s="942"/>
      <c r="AB826" s="942"/>
      <c r="AC826" s="161">
        <f t="shared" si="626"/>
        <v>-45859.57708333333</v>
      </c>
      <c r="AD826" s="161">
        <f t="shared" si="627"/>
        <v>-45866.620138888888</v>
      </c>
      <c r="AE826" s="446">
        <f t="shared" si="628"/>
        <v>0</v>
      </c>
      <c r="AF826" s="160">
        <f t="shared" si="629"/>
        <v>45878.351276881716</v>
      </c>
      <c r="AG826" s="160">
        <f t="shared" si="630"/>
        <v>45887.157728494618</v>
      </c>
      <c r="AH826" s="159">
        <f t="shared" si="631"/>
        <v>45909.57708333333</v>
      </c>
      <c r="AI826" s="162">
        <f t="shared" si="632"/>
        <v>-1579.6076550925923</v>
      </c>
      <c r="AJ826" s="224">
        <f t="shared" si="633"/>
        <v>0</v>
      </c>
      <c r="AK826" s="225">
        <f t="shared" si="634"/>
        <v>20</v>
      </c>
      <c r="AL826" s="170">
        <f t="shared" si="635"/>
        <v>36</v>
      </c>
      <c r="AM826" s="170">
        <f t="shared" si="636"/>
        <v>21.774193548387096</v>
      </c>
      <c r="AN826" s="170">
        <f t="shared" si="637"/>
        <v>27.58064516129032</v>
      </c>
      <c r="AO826" s="226">
        <f t="shared" si="638"/>
        <v>18.774193548387096</v>
      </c>
      <c r="AP826" s="227">
        <v>60</v>
      </c>
      <c r="AQ826" s="228">
        <f t="shared" si="639"/>
        <v>57</v>
      </c>
      <c r="AR826" s="228">
        <f t="shared" si="640"/>
        <v>52</v>
      </c>
      <c r="AS826" s="229">
        <f t="shared" si="641"/>
        <v>60</v>
      </c>
      <c r="AT826" s="982">
        <f t="shared" ca="1" si="642"/>
        <v>45895</v>
      </c>
      <c r="AU826" s="50"/>
      <c r="AV826" s="51"/>
      <c r="AW826" s="49"/>
      <c r="AX826" s="49"/>
      <c r="AY826" s="49"/>
      <c r="AZ826" s="300"/>
      <c r="BA826" s="52"/>
      <c r="BB826" s="304"/>
      <c r="BC826" s="231"/>
      <c r="BD826" s="232"/>
      <c r="BE826" s="222">
        <f t="shared" si="643"/>
        <v>15</v>
      </c>
      <c r="BF826" s="233">
        <f t="shared" si="644"/>
        <v>0</v>
      </c>
      <c r="BG826" s="234"/>
      <c r="BH826" s="235"/>
      <c r="BI826" s="234"/>
      <c r="BJ826" s="236"/>
      <c r="BK826" s="222"/>
      <c r="BL826" s="222"/>
      <c r="BM826" s="238"/>
      <c r="BN826" s="222"/>
      <c r="BO826" s="222"/>
      <c r="BP826" s="243"/>
      <c r="BQ826" s="244"/>
      <c r="BR826" s="238"/>
      <c r="BS826" s="68"/>
      <c r="BT826" s="69"/>
      <c r="BU826" s="69"/>
      <c r="BV826" s="69"/>
      <c r="BW826" s="75"/>
      <c r="BX826" s="81"/>
      <c r="BY826" s="66"/>
      <c r="BZ826" s="944"/>
      <c r="CA826" s="42"/>
      <c r="CB826" s="62"/>
      <c r="CC826" s="62"/>
      <c r="CD826" s="42"/>
      <c r="CE826" s="42"/>
      <c r="CF826" s="145" t="str">
        <f t="shared" si="541"/>
        <v>0</v>
      </c>
      <c r="CG826" s="145"/>
      <c r="CH826" s="443">
        <f t="shared" si="581"/>
        <v>0.32456712962974654</v>
      </c>
      <c r="CI826" s="996">
        <f t="shared" si="582"/>
        <v>0.32456712962974654</v>
      </c>
      <c r="CJ826" s="261">
        <f t="shared" si="583"/>
        <v>0</v>
      </c>
      <c r="CK826" s="458">
        <f t="shared" si="584"/>
        <v>-3.5770833333299379</v>
      </c>
      <c r="CL826" t="str">
        <f t="shared" si="585"/>
        <v>REV</v>
      </c>
      <c r="CM826" t="str">
        <f t="shared" si="586"/>
        <v>0-3 MONTHS</v>
      </c>
      <c r="CN826" s="635"/>
      <c r="CO826" s="631"/>
      <c r="CP826" s="629"/>
      <c r="CQ826" s="635"/>
      <c r="CR826" s="697"/>
      <c r="CS826" s="633"/>
      <c r="CT826" s="635"/>
      <c r="CU826" s="631"/>
      <c r="CV826" s="638"/>
      <c r="CW826" s="853"/>
      <c r="CX826" s="856"/>
      <c r="CY826" s="856"/>
    </row>
    <row r="827" spans="1:103" s="359" customFormat="1" ht="15" customHeight="1" x14ac:dyDescent="0.25">
      <c r="A827" s="222" t="s">
        <v>308</v>
      </c>
      <c r="B827" s="222" t="s">
        <v>308</v>
      </c>
      <c r="C827" s="852" t="s">
        <v>247</v>
      </c>
      <c r="D827" s="66" t="s">
        <v>284</v>
      </c>
      <c r="E827" s="404" t="s">
        <v>3871</v>
      </c>
      <c r="F827" s="95" t="s">
        <v>3872</v>
      </c>
      <c r="G827" s="95" t="s">
        <v>3873</v>
      </c>
      <c r="H827" s="95" t="s">
        <v>253</v>
      </c>
      <c r="I827" s="95" t="s">
        <v>254</v>
      </c>
      <c r="J827" s="1134" t="s">
        <v>3638</v>
      </c>
      <c r="K827" s="855"/>
      <c r="L827" s="101" t="s">
        <v>1945</v>
      </c>
      <c r="M827" s="101" t="s">
        <v>272</v>
      </c>
      <c r="N827" s="442" t="s">
        <v>1946</v>
      </c>
      <c r="O827" s="165">
        <v>11.8</v>
      </c>
      <c r="P827" s="165">
        <v>11.8</v>
      </c>
      <c r="Q827" s="157">
        <v>33</v>
      </c>
      <c r="R827" s="109" t="s">
        <v>244</v>
      </c>
      <c r="S827" s="110">
        <v>184304.08</v>
      </c>
      <c r="T827" s="93"/>
      <c r="U827" s="857"/>
      <c r="V827" s="158" t="e">
        <f t="shared" si="645"/>
        <v>#DIV/0!</v>
      </c>
      <c r="W827" s="159">
        <v>45861.646527777775</v>
      </c>
      <c r="X827" s="159">
        <v>45863.286805555559</v>
      </c>
      <c r="Y827" s="160" t="s">
        <v>308</v>
      </c>
      <c r="Z827" s="470"/>
      <c r="AA827" s="942">
        <v>45872</v>
      </c>
      <c r="AB827" s="942"/>
      <c r="AC827" s="161">
        <f t="shared" si="626"/>
        <v>10.353472222224809</v>
      </c>
      <c r="AD827" s="161">
        <f t="shared" si="627"/>
        <v>8.7131944444408873</v>
      </c>
      <c r="AE827" s="446">
        <f t="shared" si="628"/>
        <v>-45872</v>
      </c>
      <c r="AF827" s="160">
        <f t="shared" si="629"/>
        <v>45880.420721326162</v>
      </c>
      <c r="AG827" s="160">
        <f t="shared" si="630"/>
        <v>45889.227172939063</v>
      </c>
      <c r="AH827" s="159">
        <f t="shared" si="631"/>
        <v>45911.646527777775</v>
      </c>
      <c r="AI827" s="162">
        <f t="shared" si="632"/>
        <v>0.35661959876552118</v>
      </c>
      <c r="AJ827" s="224">
        <f t="shared" si="633"/>
        <v>-764.5333333333333</v>
      </c>
      <c r="AK827" s="225">
        <f t="shared" si="634"/>
        <v>20</v>
      </c>
      <c r="AL827" s="170">
        <f t="shared" si="635"/>
        <v>36</v>
      </c>
      <c r="AM827" s="170">
        <f t="shared" si="636"/>
        <v>21.774193548387096</v>
      </c>
      <c r="AN827" s="170">
        <f t="shared" si="637"/>
        <v>27.58064516129032</v>
      </c>
      <c r="AO827" s="226">
        <f t="shared" si="638"/>
        <v>18.774193548387096</v>
      </c>
      <c r="AP827" s="227">
        <v>60</v>
      </c>
      <c r="AQ827" s="228">
        <f t="shared" si="639"/>
        <v>57</v>
      </c>
      <c r="AR827" s="228">
        <f t="shared" si="640"/>
        <v>52</v>
      </c>
      <c r="AS827" s="229">
        <f t="shared" si="641"/>
        <v>45932</v>
      </c>
      <c r="AT827" s="982">
        <f t="shared" ca="1" si="642"/>
        <v>23</v>
      </c>
      <c r="AU827" s="50"/>
      <c r="AV827" s="51"/>
      <c r="AW827" s="49"/>
      <c r="AX827" s="49"/>
      <c r="AY827" s="49"/>
      <c r="AZ827" s="300"/>
      <c r="BA827" s="52"/>
      <c r="BB827" s="304"/>
      <c r="BC827" s="231" t="s">
        <v>13</v>
      </c>
      <c r="BD827" s="232"/>
      <c r="BE827" s="222">
        <f t="shared" si="643"/>
        <v>45887</v>
      </c>
      <c r="BF827" s="233" t="e">
        <f t="shared" si="644"/>
        <v>#VALUE!</v>
      </c>
      <c r="BG827" s="234"/>
      <c r="BH827" s="235"/>
      <c r="BI827" s="234"/>
      <c r="BJ827" s="236"/>
      <c r="BK827" s="222"/>
      <c r="BL827" s="222"/>
      <c r="BM827" s="238"/>
      <c r="BN827" s="222"/>
      <c r="BO827" s="222"/>
      <c r="BP827" s="243"/>
      <c r="BQ827" s="244"/>
      <c r="BR827" s="238"/>
      <c r="BS827" s="68"/>
      <c r="BT827" s="69"/>
      <c r="BU827" s="69"/>
      <c r="BV827" s="69"/>
      <c r="BW827" s="75"/>
      <c r="BX827" s="81"/>
      <c r="BY827" s="66"/>
      <c r="BZ827" s="944"/>
      <c r="CA827" s="42"/>
      <c r="CB827" s="62"/>
      <c r="CC827" s="62"/>
      <c r="CD827" s="42"/>
      <c r="CE827" s="42"/>
      <c r="CF827" s="145">
        <f t="shared" si="541"/>
        <v>-3</v>
      </c>
      <c r="CG827" s="145"/>
      <c r="CH827" s="443">
        <f t="shared" si="581"/>
        <v>0.25328626543218785</v>
      </c>
      <c r="CI827" s="996">
        <f t="shared" si="582"/>
        <v>0.25328626543218785</v>
      </c>
      <c r="CJ827" s="261">
        <f t="shared" si="583"/>
        <v>-0.05</v>
      </c>
      <c r="CK827" s="458" t="str">
        <f t="shared" si="584"/>
        <v/>
      </c>
      <c r="CL827" t="str">
        <f t="shared" si="585"/>
        <v>REV</v>
      </c>
      <c r="CM827" t="str">
        <f t="shared" si="586"/>
        <v/>
      </c>
      <c r="CN827" s="635"/>
      <c r="CO827" s="631"/>
      <c r="CP827" s="629"/>
      <c r="CQ827" s="635"/>
      <c r="CR827" s="697"/>
      <c r="CS827" s="633"/>
      <c r="CT827" s="635"/>
      <c r="CU827" s="631"/>
      <c r="CV827" s="638"/>
      <c r="CW827" s="853"/>
      <c r="CX827" s="856"/>
      <c r="CY827" s="856"/>
    </row>
    <row r="828" spans="1:103" s="359" customFormat="1" ht="15" customHeight="1" x14ac:dyDescent="0.25">
      <c r="A828" s="242">
        <v>45867</v>
      </c>
      <c r="B828" s="222">
        <v>45868</v>
      </c>
      <c r="C828" s="852" t="s">
        <v>247</v>
      </c>
      <c r="D828" s="66" t="s">
        <v>234</v>
      </c>
      <c r="E828" s="404" t="s">
        <v>3874</v>
      </c>
      <c r="F828" s="95" t="s">
        <v>3875</v>
      </c>
      <c r="G828" s="95" t="s">
        <v>1720</v>
      </c>
      <c r="H828" s="95" t="s">
        <v>378</v>
      </c>
      <c r="I828" s="95" t="s">
        <v>239</v>
      </c>
      <c r="J828" s="1134" t="s">
        <v>3638</v>
      </c>
      <c r="K828" s="855"/>
      <c r="L828" s="101" t="s">
        <v>5</v>
      </c>
      <c r="M828" s="101" t="s">
        <v>272</v>
      </c>
      <c r="N828" s="442" t="s">
        <v>403</v>
      </c>
      <c r="O828" s="165">
        <v>348.26</v>
      </c>
      <c r="P828" s="165">
        <v>504.02</v>
      </c>
      <c r="Q828" s="157">
        <v>668</v>
      </c>
      <c r="R828" s="109" t="s">
        <v>548</v>
      </c>
      <c r="S828" s="110">
        <v>2295683.71</v>
      </c>
      <c r="T828" s="93">
        <v>299388.10000000003</v>
      </c>
      <c r="U828" s="857"/>
      <c r="V828" s="158">
        <f t="shared" si="645"/>
        <v>0</v>
      </c>
      <c r="W828" s="159">
        <v>45863.345833333333</v>
      </c>
      <c r="X828" s="159">
        <v>45863.581250000003</v>
      </c>
      <c r="Y828" s="160">
        <v>45868</v>
      </c>
      <c r="Z828" s="470"/>
      <c r="AA828" s="942">
        <v>45878.369444444441</v>
      </c>
      <c r="AB828" s="942"/>
      <c r="AC828" s="161">
        <f t="shared" si="626"/>
        <v>15.023611111108039</v>
      </c>
      <c r="AD828" s="161">
        <f t="shared" si="627"/>
        <v>14.788194444437977</v>
      </c>
      <c r="AE828" s="446">
        <f t="shared" si="628"/>
        <v>-45878.369444444441</v>
      </c>
      <c r="AF828" s="160">
        <f t="shared" si="629"/>
        <v>45880.116606972304</v>
      </c>
      <c r="AG828" s="160">
        <f t="shared" si="630"/>
        <v>45888.388813276026</v>
      </c>
      <c r="AH828" s="159">
        <f t="shared" si="631"/>
        <v>45913.345833333333</v>
      </c>
      <c r="AI828" s="162">
        <f t="shared" si="632"/>
        <v>0.56991742149746805</v>
      </c>
      <c r="AJ828" s="224">
        <f t="shared" si="633"/>
        <v>-764.63949074074071</v>
      </c>
      <c r="AK828" s="225">
        <f t="shared" si="634"/>
        <v>40</v>
      </c>
      <c r="AL828" s="170">
        <f t="shared" si="635"/>
        <v>23</v>
      </c>
      <c r="AM828" s="170">
        <f t="shared" si="636"/>
        <v>19.770773638968482</v>
      </c>
      <c r="AN828" s="170">
        <f t="shared" si="637"/>
        <v>25.04297994269341</v>
      </c>
      <c r="AO828" s="226">
        <f t="shared" si="638"/>
        <v>16.770773638968482</v>
      </c>
      <c r="AP828" s="227">
        <v>60</v>
      </c>
      <c r="AQ828" s="228">
        <f t="shared" si="639"/>
        <v>57</v>
      </c>
      <c r="AR828" s="228">
        <f t="shared" si="640"/>
        <v>52</v>
      </c>
      <c r="AS828" s="229">
        <f t="shared" si="641"/>
        <v>45938.369444444441</v>
      </c>
      <c r="AT828" s="982">
        <f t="shared" ca="1" si="642"/>
        <v>16.630555555559113</v>
      </c>
      <c r="AU828" s="50"/>
      <c r="AV828" s="51"/>
      <c r="AW828" s="49"/>
      <c r="AX828" s="49"/>
      <c r="AY828" s="49"/>
      <c r="AZ828" s="300"/>
      <c r="BA828" s="52"/>
      <c r="BB828" s="304"/>
      <c r="BC828" s="231" t="s">
        <v>13</v>
      </c>
      <c r="BD828" s="232"/>
      <c r="BE828" s="222">
        <f t="shared" si="643"/>
        <v>45893.369444444441</v>
      </c>
      <c r="BF828" s="233" t="e">
        <f t="shared" si="644"/>
        <v>#VALUE!</v>
      </c>
      <c r="BG828" s="234"/>
      <c r="BH828" s="235"/>
      <c r="BI828" s="234"/>
      <c r="BJ828" s="236"/>
      <c r="BK828" s="222"/>
      <c r="BL828" s="222"/>
      <c r="BM828" s="238"/>
      <c r="BN828" s="222"/>
      <c r="BO828" s="222"/>
      <c r="BP828" s="243"/>
      <c r="BQ828" s="244" t="s">
        <v>247</v>
      </c>
      <c r="BR828" s="238">
        <v>45873</v>
      </c>
      <c r="BS828" s="68"/>
      <c r="BT828" s="69"/>
      <c r="BU828" s="69"/>
      <c r="BV828" s="69"/>
      <c r="BW828" s="75"/>
      <c r="BX828" s="81"/>
      <c r="BY828" s="66">
        <v>45868</v>
      </c>
      <c r="BZ828" s="944" t="s">
        <v>3876</v>
      </c>
      <c r="CA828" s="42"/>
      <c r="CB828" s="62"/>
      <c r="CC828" s="62"/>
      <c r="CD828" s="42"/>
      <c r="CE828" s="42"/>
      <c r="CF828" s="145">
        <f t="shared" si="541"/>
        <v>-9.3694444444408873</v>
      </c>
      <c r="CG828" s="145"/>
      <c r="CH828" s="443">
        <f t="shared" si="581"/>
        <v>0.21448958333335172</v>
      </c>
      <c r="CI828" s="996">
        <f t="shared" si="582"/>
        <v>0.21448958333335172</v>
      </c>
      <c r="CJ828" s="261">
        <f t="shared" si="583"/>
        <v>-0.15615740740734813</v>
      </c>
      <c r="CK828" s="458" t="str">
        <f t="shared" si="584"/>
        <v/>
      </c>
      <c r="CL828" t="str">
        <f t="shared" si="585"/>
        <v>NON-REV</v>
      </c>
      <c r="CM828" t="str">
        <f t="shared" si="586"/>
        <v/>
      </c>
      <c r="CN828" s="635"/>
      <c r="CO828" s="631"/>
      <c r="CP828" s="629"/>
      <c r="CQ828" s="635"/>
      <c r="CR828" s="697"/>
      <c r="CS828" s="633"/>
      <c r="CT828" s="635"/>
      <c r="CU828" s="631"/>
      <c r="CV828" s="638"/>
      <c r="CW828" s="853"/>
      <c r="CX828" s="856"/>
      <c r="CY828" s="856"/>
    </row>
    <row r="829" spans="1:103" s="359" customFormat="1" ht="15" customHeight="1" x14ac:dyDescent="0.25">
      <c r="A829" s="242">
        <v>45874</v>
      </c>
      <c r="B829" s="222">
        <v>45874</v>
      </c>
      <c r="C829" s="852" t="s">
        <v>247</v>
      </c>
      <c r="D829" s="66" t="s">
        <v>284</v>
      </c>
      <c r="E829" s="404" t="s">
        <v>3877</v>
      </c>
      <c r="F829" s="95" t="s">
        <v>3878</v>
      </c>
      <c r="G829" s="95" t="s">
        <v>3879</v>
      </c>
      <c r="H829" s="95" t="s">
        <v>253</v>
      </c>
      <c r="I829" s="95" t="s">
        <v>254</v>
      </c>
      <c r="J829" s="1134" t="s">
        <v>3638</v>
      </c>
      <c r="K829" s="855"/>
      <c r="L829" s="101" t="s">
        <v>5</v>
      </c>
      <c r="M829" s="101" t="s">
        <v>272</v>
      </c>
      <c r="N829" s="442" t="s">
        <v>403</v>
      </c>
      <c r="O829" s="165">
        <v>165.83</v>
      </c>
      <c r="P829" s="165">
        <v>186.11</v>
      </c>
      <c r="Q829" s="157">
        <v>276</v>
      </c>
      <c r="R829" s="109" t="s">
        <v>244</v>
      </c>
      <c r="S829" s="110">
        <v>1109918.06</v>
      </c>
      <c r="T829" s="93">
        <v>142509.27000000008</v>
      </c>
      <c r="U829" s="857"/>
      <c r="V829" s="158">
        <f t="shared" si="645"/>
        <v>0</v>
      </c>
      <c r="W829" s="159">
        <v>45862.621527777781</v>
      </c>
      <c r="X829" s="159">
        <v>45868.321527777778</v>
      </c>
      <c r="Y829" s="160">
        <v>45874</v>
      </c>
      <c r="Z829" s="470"/>
      <c r="AA829" s="942">
        <v>45878.37222222222</v>
      </c>
      <c r="AB829" s="942"/>
      <c r="AC829" s="161">
        <f t="shared" si="626"/>
        <v>15.750694444439432</v>
      </c>
      <c r="AD829" s="161">
        <f t="shared" si="627"/>
        <v>10.050694444442343</v>
      </c>
      <c r="AE829" s="446">
        <f t="shared" si="628"/>
        <v>-45878.37222222222</v>
      </c>
      <c r="AF829" s="160">
        <f t="shared" si="629"/>
        <v>45881.128880718956</v>
      </c>
      <c r="AG829" s="160">
        <f t="shared" si="630"/>
        <v>45889.864174836606</v>
      </c>
      <c r="AH829" s="159">
        <f t="shared" si="631"/>
        <v>45912.621527777781</v>
      </c>
      <c r="AI829" s="162">
        <f t="shared" si="632"/>
        <v>0.54925498575481102</v>
      </c>
      <c r="AJ829" s="224">
        <f t="shared" si="633"/>
        <v>-764.63953703703703</v>
      </c>
      <c r="AK829" s="225">
        <f t="shared" si="634"/>
        <v>26</v>
      </c>
      <c r="AL829" s="170">
        <f t="shared" si="635"/>
        <v>30</v>
      </c>
      <c r="AM829" s="170">
        <f t="shared" si="636"/>
        <v>21.507352941176471</v>
      </c>
      <c r="AN829" s="170">
        <f t="shared" si="637"/>
        <v>27.242647058823529</v>
      </c>
      <c r="AO829" s="226">
        <f t="shared" si="638"/>
        <v>18.507352941176471</v>
      </c>
      <c r="AP829" s="227">
        <v>60</v>
      </c>
      <c r="AQ829" s="228">
        <f t="shared" si="639"/>
        <v>57</v>
      </c>
      <c r="AR829" s="228">
        <f t="shared" si="640"/>
        <v>52</v>
      </c>
      <c r="AS829" s="229">
        <f t="shared" si="641"/>
        <v>45938.37222222222</v>
      </c>
      <c r="AT829" s="982">
        <f t="shared" ca="1" si="642"/>
        <v>16.627777777779556</v>
      </c>
      <c r="AU829" s="50"/>
      <c r="AV829" s="51"/>
      <c r="AW829" s="49"/>
      <c r="AX829" s="49"/>
      <c r="AY829" s="49"/>
      <c r="AZ829" s="300"/>
      <c r="BA829" s="52"/>
      <c r="BB829" s="304"/>
      <c r="BC829" s="231" t="s">
        <v>13</v>
      </c>
      <c r="BD829" s="232"/>
      <c r="BE829" s="222">
        <f t="shared" si="643"/>
        <v>45893.37222222222</v>
      </c>
      <c r="BF829" s="233" t="e">
        <f t="shared" si="644"/>
        <v>#VALUE!</v>
      </c>
      <c r="BG829" s="234"/>
      <c r="BH829" s="235"/>
      <c r="BI829" s="234"/>
      <c r="BJ829" s="236"/>
      <c r="BK829" s="222"/>
      <c r="BL829" s="222"/>
      <c r="BM829" s="238"/>
      <c r="BN829" s="222"/>
      <c r="BO829" s="222"/>
      <c r="BP829" s="243"/>
      <c r="BQ829" s="244"/>
      <c r="BR829" s="238"/>
      <c r="BS829" s="68"/>
      <c r="BT829" s="69"/>
      <c r="BU829" s="69"/>
      <c r="BV829" s="69"/>
      <c r="BW829" s="75"/>
      <c r="BX829" s="81"/>
      <c r="BY829" s="66">
        <v>45868</v>
      </c>
      <c r="BZ829" s="944" t="s">
        <v>3880</v>
      </c>
      <c r="CA829" s="42"/>
      <c r="CB829" s="62"/>
      <c r="CC829" s="62"/>
      <c r="CD829" s="42"/>
      <c r="CE829" s="42"/>
      <c r="CF829" s="145">
        <f t="shared" si="541"/>
        <v>-9.3722222222204437</v>
      </c>
      <c r="CG829" s="145"/>
      <c r="CH829" s="443">
        <f t="shared" si="581"/>
        <v>0.22242877492866214</v>
      </c>
      <c r="CI829" s="996">
        <f t="shared" si="582"/>
        <v>0.22242877492866214</v>
      </c>
      <c r="CJ829" s="261">
        <f t="shared" si="583"/>
        <v>-0.15620370370367406</v>
      </c>
      <c r="CK829" s="458" t="str">
        <f t="shared" si="584"/>
        <v/>
      </c>
      <c r="CL829" t="str">
        <f t="shared" si="585"/>
        <v>REV</v>
      </c>
      <c r="CM829" t="str">
        <f t="shared" si="586"/>
        <v/>
      </c>
      <c r="CN829" s="635"/>
      <c r="CO829" s="631"/>
      <c r="CP829" s="629"/>
      <c r="CQ829" s="635"/>
      <c r="CR829" s="697"/>
      <c r="CS829" s="633"/>
      <c r="CT829" s="635"/>
      <c r="CU829" s="631"/>
      <c r="CV829" s="638"/>
      <c r="CW829" s="853"/>
      <c r="CX829" s="856"/>
      <c r="CY829" s="856"/>
    </row>
    <row r="830" spans="1:103" s="1103" customFormat="1" ht="15" customHeight="1" x14ac:dyDescent="0.2">
      <c r="A830" s="242">
        <v>45874</v>
      </c>
      <c r="B830" s="222">
        <v>45874</v>
      </c>
      <c r="C830" s="852"/>
      <c r="D830" s="66" t="s">
        <v>284</v>
      </c>
      <c r="E830" s="404" t="s">
        <v>3881</v>
      </c>
      <c r="F830" s="95" t="s">
        <v>3882</v>
      </c>
      <c r="G830" s="95" t="s">
        <v>3378</v>
      </c>
      <c r="H830" s="95" t="s">
        <v>269</v>
      </c>
      <c r="I830" s="95" t="s">
        <v>239</v>
      </c>
      <c r="J830" s="1134" t="s">
        <v>3638</v>
      </c>
      <c r="K830" s="855"/>
      <c r="L830" s="101" t="s">
        <v>255</v>
      </c>
      <c r="M830" s="101" t="s">
        <v>331</v>
      </c>
      <c r="N830" s="442" t="s">
        <v>403</v>
      </c>
      <c r="O830" s="165">
        <v>23.45</v>
      </c>
      <c r="P830" s="165">
        <v>23.45</v>
      </c>
      <c r="Q830" s="157">
        <v>54</v>
      </c>
      <c r="R830" s="109" t="s">
        <v>244</v>
      </c>
      <c r="S830" s="110">
        <v>64438.01</v>
      </c>
      <c r="T830" s="1133">
        <v>20148.810000000001</v>
      </c>
      <c r="U830" s="857"/>
      <c r="V830" s="158">
        <f t="shared" si="645"/>
        <v>0</v>
      </c>
      <c r="W830" s="159">
        <v>45863.527777777781</v>
      </c>
      <c r="X830" s="159">
        <v>45870.619444444441</v>
      </c>
      <c r="Y830" s="160">
        <v>45874</v>
      </c>
      <c r="Z830" s="470"/>
      <c r="AA830" s="942"/>
      <c r="AB830" s="942"/>
      <c r="AC830" s="161">
        <f t="shared" si="626"/>
        <v>-45863.527777777781</v>
      </c>
      <c r="AD830" s="161">
        <f t="shared" si="627"/>
        <v>-45870.619444444441</v>
      </c>
      <c r="AE830" s="446">
        <f t="shared" si="628"/>
        <v>0</v>
      </c>
      <c r="AF830" s="160">
        <f t="shared" si="629"/>
        <v>45881.602157943067</v>
      </c>
      <c r="AG830" s="160">
        <f t="shared" si="630"/>
        <v>45890.221992653816</v>
      </c>
      <c r="AH830" s="159">
        <f t="shared" si="631"/>
        <v>45913.527777777781</v>
      </c>
      <c r="AI830" s="162">
        <f t="shared" si="632"/>
        <v>-1632.2020179738561</v>
      </c>
      <c r="AJ830" s="224">
        <f t="shared" si="633"/>
        <v>0</v>
      </c>
      <c r="AK830" s="225">
        <f t="shared" si="634"/>
        <v>20</v>
      </c>
      <c r="AL830" s="170">
        <f t="shared" si="635"/>
        <v>34</v>
      </c>
      <c r="AM830" s="170">
        <f t="shared" si="636"/>
        <v>21.074380165289259</v>
      </c>
      <c r="AN830" s="170">
        <f t="shared" si="637"/>
        <v>26.694214876033058</v>
      </c>
      <c r="AO830" s="226">
        <f t="shared" si="638"/>
        <v>18.074380165289259</v>
      </c>
      <c r="AP830" s="227">
        <v>60</v>
      </c>
      <c r="AQ830" s="228">
        <f t="shared" si="639"/>
        <v>57</v>
      </c>
      <c r="AR830" s="228">
        <f t="shared" si="640"/>
        <v>52</v>
      </c>
      <c r="AS830" s="229">
        <f t="shared" si="641"/>
        <v>60</v>
      </c>
      <c r="AT830" s="982">
        <f t="shared" ca="1" si="642"/>
        <v>45895</v>
      </c>
      <c r="AU830" s="1077"/>
      <c r="AV830" s="1092"/>
      <c r="AW830" s="1079"/>
      <c r="AX830" s="1079"/>
      <c r="AY830" s="1079"/>
      <c r="AZ830" s="1080"/>
      <c r="BA830" s="1101"/>
      <c r="BB830" s="1091"/>
      <c r="BC830" s="231"/>
      <c r="BD830" s="232"/>
      <c r="BE830" s="222">
        <f t="shared" si="643"/>
        <v>15</v>
      </c>
      <c r="BF830" s="233">
        <f t="shared" si="644"/>
        <v>0</v>
      </c>
      <c r="BG830" s="234"/>
      <c r="BH830" s="235"/>
      <c r="BI830" s="234"/>
      <c r="BJ830" s="236"/>
      <c r="BK830" s="222"/>
      <c r="BL830" s="222"/>
      <c r="BM830" s="238"/>
      <c r="BN830" s="222"/>
      <c r="BO830" s="222"/>
      <c r="BP830" s="243"/>
      <c r="BQ830" s="244"/>
      <c r="BR830" s="238"/>
      <c r="BS830" s="68"/>
      <c r="BT830" s="69"/>
      <c r="BU830" s="69"/>
      <c r="BV830" s="69"/>
      <c r="BW830" s="75"/>
      <c r="BX830" s="81"/>
      <c r="BY830" s="66" t="s">
        <v>308</v>
      </c>
      <c r="BZ830" s="944" t="s">
        <v>3883</v>
      </c>
      <c r="CA830" s="42"/>
      <c r="CB830" s="62"/>
      <c r="CC830" s="62"/>
      <c r="CD830" s="42"/>
      <c r="CE830" s="42"/>
      <c r="CF830" s="1059" t="str">
        <f t="shared" si="541"/>
        <v>0</v>
      </c>
      <c r="CG830" s="1059"/>
      <c r="CH830" s="1082">
        <f t="shared" si="581"/>
        <v>0.19474673202602871</v>
      </c>
      <c r="CI830" s="1083">
        <f t="shared" si="582"/>
        <v>0.19474673202602871</v>
      </c>
      <c r="CJ830" s="1084">
        <f t="shared" si="583"/>
        <v>0</v>
      </c>
      <c r="CK830" s="1085">
        <f t="shared" si="584"/>
        <v>-7.5277777777810115</v>
      </c>
      <c r="CL830" s="1057" t="str">
        <f t="shared" si="585"/>
        <v>REV</v>
      </c>
      <c r="CM830" s="1057" t="str">
        <f t="shared" si="586"/>
        <v>0-3 MONTHS</v>
      </c>
      <c r="CN830" s="1086"/>
      <c r="CO830" s="1087"/>
      <c r="CP830" s="629"/>
      <c r="CQ830" s="1086"/>
      <c r="CR830" s="1088"/>
      <c r="CS830" s="1089"/>
      <c r="CT830" s="1086"/>
      <c r="CU830" s="1087"/>
      <c r="CV830" s="1090"/>
      <c r="CW830" s="853"/>
      <c r="CX830" s="856"/>
      <c r="CY830" s="856"/>
    </row>
    <row r="831" spans="1:103" s="359" customFormat="1" ht="15" customHeight="1" x14ac:dyDescent="0.25">
      <c r="A831" s="242">
        <v>45874</v>
      </c>
      <c r="B831" s="222">
        <v>45874</v>
      </c>
      <c r="C831" s="852"/>
      <c r="D831" s="66" t="s">
        <v>320</v>
      </c>
      <c r="E831" s="404" t="s">
        <v>3884</v>
      </c>
      <c r="F831" s="95" t="s">
        <v>3885</v>
      </c>
      <c r="G831" s="95" t="s">
        <v>3886</v>
      </c>
      <c r="H831" s="95" t="s">
        <v>238</v>
      </c>
      <c r="I831" s="95" t="s">
        <v>239</v>
      </c>
      <c r="J831" s="163" t="s">
        <v>2775</v>
      </c>
      <c r="K831" s="855"/>
      <c r="L831" s="101" t="s">
        <v>288</v>
      </c>
      <c r="M831" s="101" t="s">
        <v>331</v>
      </c>
      <c r="N831" s="442" t="s">
        <v>381</v>
      </c>
      <c r="O831" s="165">
        <v>364.75</v>
      </c>
      <c r="P831" s="165">
        <v>466.16</v>
      </c>
      <c r="Q831" s="157">
        <v>474</v>
      </c>
      <c r="R831" s="109" t="s">
        <v>244</v>
      </c>
      <c r="S831" s="110">
        <v>1680101.75</v>
      </c>
      <c r="T831" s="93"/>
      <c r="U831" s="857"/>
      <c r="V831" s="158" t="e">
        <f t="shared" si="645"/>
        <v>#DIV/0!</v>
      </c>
      <c r="W831" s="159">
        <v>45862.668749999997</v>
      </c>
      <c r="X831" s="159">
        <v>45870.617361111108</v>
      </c>
      <c r="Y831" s="160">
        <v>45874</v>
      </c>
      <c r="Z831" s="470"/>
      <c r="AA831" s="942"/>
      <c r="AB831" s="942"/>
      <c r="AC831" s="161">
        <f t="shared" si="626"/>
        <v>-45862.668749999997</v>
      </c>
      <c r="AD831" s="161">
        <f t="shared" si="627"/>
        <v>-45870.617361111108</v>
      </c>
      <c r="AE831" s="446">
        <f t="shared" si="628"/>
        <v>0</v>
      </c>
      <c r="AF831" s="160">
        <f t="shared" si="629"/>
        <v>45880.331001655628</v>
      </c>
      <c r="AG831" s="160">
        <f t="shared" si="630"/>
        <v>45888.84093543046</v>
      </c>
      <c r="AH831" s="159">
        <f t="shared" si="631"/>
        <v>45912.668749999997</v>
      </c>
      <c r="AI831" s="162">
        <f t="shared" si="632"/>
        <v>-1664.7266781850958</v>
      </c>
      <c r="AJ831" s="224">
        <f t="shared" si="633"/>
        <v>0</v>
      </c>
      <c r="AK831" s="225">
        <f t="shared" si="634"/>
        <v>32</v>
      </c>
      <c r="AL831" s="170">
        <f t="shared" si="635"/>
        <v>26</v>
      </c>
      <c r="AM831" s="170">
        <f t="shared" si="636"/>
        <v>20.662251655629142</v>
      </c>
      <c r="AN831" s="170">
        <f t="shared" si="637"/>
        <v>26.172185430463578</v>
      </c>
      <c r="AO831" s="226">
        <f t="shared" si="638"/>
        <v>17.662251655629142</v>
      </c>
      <c r="AP831" s="227">
        <v>60</v>
      </c>
      <c r="AQ831" s="228">
        <f t="shared" si="639"/>
        <v>57</v>
      </c>
      <c r="AR831" s="228">
        <f t="shared" si="640"/>
        <v>52</v>
      </c>
      <c r="AS831" s="229">
        <f t="shared" si="641"/>
        <v>60</v>
      </c>
      <c r="AT831" s="982">
        <f t="shared" ca="1" si="642"/>
        <v>45895</v>
      </c>
      <c r="AU831" s="50"/>
      <c r="AV831" s="51"/>
      <c r="AW831" s="49"/>
      <c r="AX831" s="49"/>
      <c r="AY831" s="49"/>
      <c r="AZ831" s="300"/>
      <c r="BA831" s="52"/>
      <c r="BB831" s="304"/>
      <c r="BC831" s="231"/>
      <c r="BD831" s="232"/>
      <c r="BE831" s="222">
        <f t="shared" si="643"/>
        <v>15</v>
      </c>
      <c r="BF831" s="233">
        <f t="shared" si="644"/>
        <v>0</v>
      </c>
      <c r="BG831" s="234"/>
      <c r="BH831" s="235"/>
      <c r="BI831" s="234"/>
      <c r="BJ831" s="236"/>
      <c r="BK831" s="222"/>
      <c r="BL831" s="222"/>
      <c r="BM831" s="238"/>
      <c r="BN831" s="222"/>
      <c r="BO831" s="222"/>
      <c r="BP831" s="243"/>
      <c r="BQ831" s="244"/>
      <c r="BR831" s="238"/>
      <c r="BS831" s="68"/>
      <c r="BT831" s="69"/>
      <c r="BU831" s="69"/>
      <c r="BV831" s="69"/>
      <c r="BW831" s="75"/>
      <c r="BX831" s="81"/>
      <c r="BY831" s="66">
        <v>45868</v>
      </c>
      <c r="BZ831" s="944" t="s">
        <v>3887</v>
      </c>
      <c r="CA831" s="42"/>
      <c r="CB831" s="62"/>
      <c r="CC831" s="62"/>
      <c r="CD831" s="42"/>
      <c r="CE831" s="42"/>
      <c r="CF831" s="145" t="str">
        <f t="shared" si="541"/>
        <v>0</v>
      </c>
      <c r="CG831" s="145"/>
      <c r="CH831" s="443">
        <f t="shared" si="581"/>
        <v>0.2298121995193364</v>
      </c>
      <c r="CI831" s="996">
        <f t="shared" si="582"/>
        <v>0.2298121995193364</v>
      </c>
      <c r="CJ831" s="261">
        <f t="shared" si="583"/>
        <v>0</v>
      </c>
      <c r="CK831" s="458">
        <f t="shared" si="584"/>
        <v>-6.6687499999970896</v>
      </c>
      <c r="CL831" t="str">
        <f t="shared" si="585"/>
        <v>REV</v>
      </c>
      <c r="CM831" t="str">
        <f t="shared" si="586"/>
        <v>0-3 MONTHS</v>
      </c>
      <c r="CN831" s="635"/>
      <c r="CO831" s="631"/>
      <c r="CP831" s="629"/>
      <c r="CQ831" s="635"/>
      <c r="CR831" s="697"/>
      <c r="CS831" s="633"/>
      <c r="CT831" s="635"/>
      <c r="CU831" s="631"/>
      <c r="CV831" s="638"/>
      <c r="CW831" s="853"/>
      <c r="CX831" s="856"/>
      <c r="CY831" s="856"/>
    </row>
    <row r="832" spans="1:103" s="359" customFormat="1" ht="15" customHeight="1" x14ac:dyDescent="0.25">
      <c r="A832" s="242">
        <v>45874</v>
      </c>
      <c r="B832" s="222">
        <v>45874</v>
      </c>
      <c r="C832" s="852"/>
      <c r="D832" s="66" t="s">
        <v>320</v>
      </c>
      <c r="E832" s="404" t="s">
        <v>3888</v>
      </c>
      <c r="F832" s="95" t="s">
        <v>3885</v>
      </c>
      <c r="G832" s="95" t="s">
        <v>3886</v>
      </c>
      <c r="H832" s="95" t="s">
        <v>238</v>
      </c>
      <c r="I832" s="95" t="s">
        <v>239</v>
      </c>
      <c r="J832" s="163" t="s">
        <v>2775</v>
      </c>
      <c r="K832" s="855"/>
      <c r="L832" s="101" t="s">
        <v>288</v>
      </c>
      <c r="M832" s="101" t="s">
        <v>331</v>
      </c>
      <c r="N832" s="442" t="s">
        <v>381</v>
      </c>
      <c r="O832" s="165">
        <v>225.89</v>
      </c>
      <c r="P832" s="165">
        <v>245.37</v>
      </c>
      <c r="Q832" s="157">
        <v>740</v>
      </c>
      <c r="R832" s="109" t="s">
        <v>244</v>
      </c>
      <c r="S832" s="110">
        <v>1521529.47</v>
      </c>
      <c r="T832" s="93"/>
      <c r="U832" s="857"/>
      <c r="V832" s="158" t="e">
        <f t="shared" si="645"/>
        <v>#DIV/0!</v>
      </c>
      <c r="W832" s="159">
        <v>45862.67083333333</v>
      </c>
      <c r="X832" s="159">
        <v>45870.616666666669</v>
      </c>
      <c r="Y832" s="160">
        <v>45874</v>
      </c>
      <c r="Z832" s="470"/>
      <c r="AA832" s="942"/>
      <c r="AB832" s="942"/>
      <c r="AC832" s="161">
        <f t="shared" si="626"/>
        <v>-45862.67083333333</v>
      </c>
      <c r="AD832" s="161">
        <f t="shared" si="627"/>
        <v>-45870.616666666669</v>
      </c>
      <c r="AE832" s="446">
        <f t="shared" si="628"/>
        <v>0</v>
      </c>
      <c r="AF832" s="160">
        <f t="shared" si="629"/>
        <v>45877.897248427667</v>
      </c>
      <c r="AG832" s="160">
        <f t="shared" si="630"/>
        <v>45885.757625786158</v>
      </c>
      <c r="AH832" s="159">
        <f t="shared" si="631"/>
        <v>45912.67083333333</v>
      </c>
      <c r="AI832" s="162">
        <f t="shared" si="632"/>
        <v>-1887.2061755952377</v>
      </c>
      <c r="AJ832" s="224">
        <f t="shared" si="633"/>
        <v>0</v>
      </c>
      <c r="AK832" s="225">
        <f t="shared" si="634"/>
        <v>28</v>
      </c>
      <c r="AL832" s="170">
        <f t="shared" si="635"/>
        <v>23</v>
      </c>
      <c r="AM832" s="170">
        <f t="shared" si="636"/>
        <v>18.226415094339625</v>
      </c>
      <c r="AN832" s="170">
        <f t="shared" si="637"/>
        <v>23.086792452830192</v>
      </c>
      <c r="AO832" s="226">
        <f t="shared" si="638"/>
        <v>15.226415094339625</v>
      </c>
      <c r="AP832" s="227">
        <v>60</v>
      </c>
      <c r="AQ832" s="228">
        <f t="shared" si="639"/>
        <v>57</v>
      </c>
      <c r="AR832" s="228">
        <f t="shared" si="640"/>
        <v>52</v>
      </c>
      <c r="AS832" s="229">
        <f t="shared" si="641"/>
        <v>60</v>
      </c>
      <c r="AT832" s="982">
        <f t="shared" ca="1" si="642"/>
        <v>45895</v>
      </c>
      <c r="AU832" s="50"/>
      <c r="AV832" s="51"/>
      <c r="AW832" s="49"/>
      <c r="AX832" s="49"/>
      <c r="AY832" s="49"/>
      <c r="AZ832" s="300"/>
      <c r="BA832" s="52"/>
      <c r="BB832" s="304"/>
      <c r="BC832" s="231"/>
      <c r="BD832" s="232"/>
      <c r="BE832" s="222">
        <f t="shared" si="643"/>
        <v>15</v>
      </c>
      <c r="BF832" s="233">
        <f t="shared" si="644"/>
        <v>0</v>
      </c>
      <c r="BG832" s="234"/>
      <c r="BH832" s="235"/>
      <c r="BI832" s="234"/>
      <c r="BJ832" s="236"/>
      <c r="BK832" s="222"/>
      <c r="BL832" s="222"/>
      <c r="BM832" s="238"/>
      <c r="BN832" s="222"/>
      <c r="BO832" s="222"/>
      <c r="BP832" s="243"/>
      <c r="BQ832" s="244"/>
      <c r="BR832" s="238"/>
      <c r="BS832" s="68"/>
      <c r="BT832" s="69"/>
      <c r="BU832" s="69"/>
      <c r="BV832" s="69"/>
      <c r="BW832" s="75"/>
      <c r="BX832" s="81"/>
      <c r="BY832" s="66">
        <v>45868</v>
      </c>
      <c r="BZ832" s="944" t="s">
        <v>3889</v>
      </c>
      <c r="CA832" s="42"/>
      <c r="CB832" s="62"/>
      <c r="CC832" s="62"/>
      <c r="CD832" s="42"/>
      <c r="CE832" s="42"/>
      <c r="CF832" s="145" t="str">
        <f t="shared" si="541"/>
        <v>0</v>
      </c>
      <c r="CG832" s="145"/>
      <c r="CH832" s="443">
        <f t="shared" si="581"/>
        <v>0.26043931159434258</v>
      </c>
      <c r="CI832" s="996">
        <f t="shared" si="582"/>
        <v>0.26043931159434258</v>
      </c>
      <c r="CJ832" s="261">
        <f t="shared" si="583"/>
        <v>0</v>
      </c>
      <c r="CK832" s="458">
        <f t="shared" si="584"/>
        <v>-6.6708333333299379</v>
      </c>
      <c r="CL832" t="str">
        <f t="shared" si="585"/>
        <v>REV</v>
      </c>
      <c r="CM832" t="str">
        <f t="shared" si="586"/>
        <v>0-3 MONTHS</v>
      </c>
      <c r="CN832" s="635"/>
      <c r="CO832" s="631"/>
      <c r="CP832" s="629"/>
      <c r="CQ832" s="635"/>
      <c r="CR832" s="697"/>
      <c r="CS832" s="633"/>
      <c r="CT832" s="635"/>
      <c r="CU832" s="631"/>
      <c r="CV832" s="638"/>
      <c r="CW832" s="853"/>
      <c r="CX832" s="856"/>
      <c r="CY832" s="856"/>
    </row>
    <row r="833" spans="1:103" s="359" customFormat="1" ht="15" customHeight="1" x14ac:dyDescent="0.25">
      <c r="A833" s="242">
        <v>45874</v>
      </c>
      <c r="B833" s="222">
        <v>45876</v>
      </c>
      <c r="C833" s="852"/>
      <c r="D833" s="66" t="s">
        <v>320</v>
      </c>
      <c r="E833" s="404" t="s">
        <v>3890</v>
      </c>
      <c r="F833" s="95" t="s">
        <v>3891</v>
      </c>
      <c r="G833" s="95" t="s">
        <v>3892</v>
      </c>
      <c r="H833" s="95" t="s">
        <v>238</v>
      </c>
      <c r="I833" s="95" t="s">
        <v>239</v>
      </c>
      <c r="J833" s="854"/>
      <c r="K833" s="855"/>
      <c r="L833" s="101" t="s">
        <v>242</v>
      </c>
      <c r="M833" s="101" t="s">
        <v>331</v>
      </c>
      <c r="N833" s="442" t="s">
        <v>467</v>
      </c>
      <c r="O833" s="165">
        <v>48.68</v>
      </c>
      <c r="P833" s="165">
        <v>126.96</v>
      </c>
      <c r="Q833" s="157">
        <v>56</v>
      </c>
      <c r="R833" s="109" t="s">
        <v>548</v>
      </c>
      <c r="S833" s="110">
        <v>340190.54</v>
      </c>
      <c r="T833" s="93"/>
      <c r="U833" s="857"/>
      <c r="V833" s="158" t="e">
        <f t="shared" si="645"/>
        <v>#DIV/0!</v>
      </c>
      <c r="W833" s="159">
        <v>45862.672222222223</v>
      </c>
      <c r="X833" s="159">
        <v>45870.593055555553</v>
      </c>
      <c r="Y833" s="160">
        <v>45876</v>
      </c>
      <c r="Z833" s="470"/>
      <c r="AA833" s="942"/>
      <c r="AB833" s="942"/>
      <c r="AC833" s="161">
        <f t="shared" si="626"/>
        <v>-45862.672222222223</v>
      </c>
      <c r="AD833" s="161">
        <f t="shared" si="627"/>
        <v>-45870.593055555553</v>
      </c>
      <c r="AE833" s="446">
        <f t="shared" si="628"/>
        <v>0</v>
      </c>
      <c r="AF833" s="160">
        <f t="shared" si="629"/>
        <v>45883.017292644756</v>
      </c>
      <c r="AG833" s="160">
        <f t="shared" si="630"/>
        <v>45892.242644757433</v>
      </c>
      <c r="AH833" s="159">
        <f t="shared" si="631"/>
        <v>45912.672222222223</v>
      </c>
      <c r="AI833" s="162">
        <f t="shared" si="632"/>
        <v>-1473.4161664152839</v>
      </c>
      <c r="AJ833" s="224">
        <f t="shared" si="633"/>
        <v>0</v>
      </c>
      <c r="AK833" s="225">
        <f t="shared" si="634"/>
        <v>26</v>
      </c>
      <c r="AL833" s="170">
        <f t="shared" si="635"/>
        <v>34</v>
      </c>
      <c r="AM833" s="170">
        <f t="shared" si="636"/>
        <v>23.345070422535212</v>
      </c>
      <c r="AN833" s="170">
        <f t="shared" si="637"/>
        <v>29.570422535211268</v>
      </c>
      <c r="AO833" s="226">
        <f t="shared" si="638"/>
        <v>20.345070422535212</v>
      </c>
      <c r="AP833" s="227">
        <v>60</v>
      </c>
      <c r="AQ833" s="228">
        <f t="shared" si="639"/>
        <v>57</v>
      </c>
      <c r="AR833" s="228">
        <f t="shared" si="640"/>
        <v>52</v>
      </c>
      <c r="AS833" s="229">
        <f t="shared" si="641"/>
        <v>60</v>
      </c>
      <c r="AT833" s="982">
        <f t="shared" ca="1" si="642"/>
        <v>45895</v>
      </c>
      <c r="AU833" s="50"/>
      <c r="AV833" s="51"/>
      <c r="AW833" s="49"/>
      <c r="AX833" s="49"/>
      <c r="AY833" s="49"/>
      <c r="AZ833" s="300"/>
      <c r="BA833" s="52"/>
      <c r="BB833" s="304"/>
      <c r="BC833" s="231"/>
      <c r="BD833" s="232"/>
      <c r="BE833" s="222">
        <f t="shared" si="643"/>
        <v>15</v>
      </c>
      <c r="BF833" s="233">
        <f t="shared" si="644"/>
        <v>0</v>
      </c>
      <c r="BG833" s="234"/>
      <c r="BH833" s="235"/>
      <c r="BI833" s="234"/>
      <c r="BJ833" s="236"/>
      <c r="BK833" s="222"/>
      <c r="BL833" s="222"/>
      <c r="BM833" s="238"/>
      <c r="BN833" s="222"/>
      <c r="BO833" s="222"/>
      <c r="BP833" s="243"/>
      <c r="BQ833" s="244"/>
      <c r="BR833" s="238"/>
      <c r="BS833" s="68"/>
      <c r="BT833" s="69"/>
      <c r="BU833" s="69"/>
      <c r="BV833" s="69"/>
      <c r="BW833" s="75"/>
      <c r="BX833" s="81"/>
      <c r="BY833" s="66">
        <v>45868</v>
      </c>
      <c r="BZ833" s="944" t="s">
        <v>3893</v>
      </c>
      <c r="CA833" s="42"/>
      <c r="CB833" s="62"/>
      <c r="CC833" s="62"/>
      <c r="CD833" s="42"/>
      <c r="CE833" s="42"/>
      <c r="CF833" s="145" t="str">
        <f t="shared" si="541"/>
        <v>0</v>
      </c>
      <c r="CG833" s="145"/>
      <c r="CH833" s="443">
        <f t="shared" si="581"/>
        <v>0.2032905982905619</v>
      </c>
      <c r="CI833" s="996">
        <f t="shared" si="582"/>
        <v>0.2032905982905619</v>
      </c>
      <c r="CJ833" s="261">
        <f t="shared" si="583"/>
        <v>0</v>
      </c>
      <c r="CK833" s="458">
        <f t="shared" si="584"/>
        <v>-6.672222222223354</v>
      </c>
      <c r="CL833" t="str">
        <f t="shared" si="585"/>
        <v>NON-REV</v>
      </c>
      <c r="CM833" t="str">
        <f t="shared" si="586"/>
        <v>0-3 MONTHS</v>
      </c>
      <c r="CN833" s="635"/>
      <c r="CO833" s="631"/>
      <c r="CP833" s="629"/>
      <c r="CQ833" s="635"/>
      <c r="CR833" s="697"/>
      <c r="CS833" s="633"/>
      <c r="CT833" s="635"/>
      <c r="CU833" s="631"/>
      <c r="CV833" s="638"/>
      <c r="CW833" s="853"/>
      <c r="CX833" s="856"/>
      <c r="CY833" s="856"/>
    </row>
    <row r="834" spans="1:103" s="359" customFormat="1" ht="15" customHeight="1" x14ac:dyDescent="0.25">
      <c r="A834" s="242">
        <v>45874</v>
      </c>
      <c r="B834" s="222">
        <v>45876</v>
      </c>
      <c r="C834" s="852"/>
      <c r="D834" s="66" t="s">
        <v>320</v>
      </c>
      <c r="E834" s="404" t="s">
        <v>3894</v>
      </c>
      <c r="F834" s="95" t="s">
        <v>3895</v>
      </c>
      <c r="G834" s="95" t="s">
        <v>3896</v>
      </c>
      <c r="H834" s="95" t="s">
        <v>238</v>
      </c>
      <c r="I834" s="95" t="s">
        <v>239</v>
      </c>
      <c r="J834" s="854"/>
      <c r="K834" s="855"/>
      <c r="L834" s="101" t="s">
        <v>242</v>
      </c>
      <c r="M834" s="101" t="s">
        <v>331</v>
      </c>
      <c r="N834" s="442" t="s">
        <v>467</v>
      </c>
      <c r="O834" s="165">
        <v>99.46</v>
      </c>
      <c r="P834" s="165">
        <v>177.74</v>
      </c>
      <c r="Q834" s="157">
        <v>0</v>
      </c>
      <c r="R834" s="109" t="s">
        <v>327</v>
      </c>
      <c r="S834" s="110">
        <v>262857.87</v>
      </c>
      <c r="T834" s="93"/>
      <c r="U834" s="857"/>
      <c r="V834" s="158" t="e">
        <f t="shared" si="645"/>
        <v>#DIV/0!</v>
      </c>
      <c r="W834" s="159">
        <v>45862.620833333334</v>
      </c>
      <c r="X834" s="159">
        <v>45870.622916666667</v>
      </c>
      <c r="Y834" s="160">
        <v>45876</v>
      </c>
      <c r="Z834" s="470"/>
      <c r="AA834" s="942"/>
      <c r="AB834" s="942"/>
      <c r="AC834" s="161">
        <f t="shared" si="626"/>
        <v>-45862.620833333334</v>
      </c>
      <c r="AD834" s="161">
        <f t="shared" si="627"/>
        <v>-45870.622916666667</v>
      </c>
      <c r="AE834" s="446">
        <f t="shared" si="628"/>
        <v>0</v>
      </c>
      <c r="AF834" s="160">
        <f t="shared" si="629"/>
        <v>45883.827729885059</v>
      </c>
      <c r="AG834" s="160">
        <f t="shared" si="630"/>
        <v>45893.282902298852</v>
      </c>
      <c r="AH834" s="159">
        <f t="shared" si="631"/>
        <v>45912.620833333334</v>
      </c>
      <c r="AI834" s="162">
        <f t="shared" si="632"/>
        <v>-1420.957269408832</v>
      </c>
      <c r="AJ834" s="224">
        <f t="shared" si="633"/>
        <v>0</v>
      </c>
      <c r="AK834" s="225">
        <f t="shared" si="634"/>
        <v>26</v>
      </c>
      <c r="AL834" s="170">
        <f t="shared" si="635"/>
        <v>36</v>
      </c>
      <c r="AM834" s="170">
        <f t="shared" si="636"/>
        <v>24.206896551724139</v>
      </c>
      <c r="AN834" s="170">
        <f t="shared" si="637"/>
        <v>30.662068965517239</v>
      </c>
      <c r="AO834" s="226">
        <f t="shared" si="638"/>
        <v>21.206896551724139</v>
      </c>
      <c r="AP834" s="227">
        <v>60</v>
      </c>
      <c r="AQ834" s="228">
        <f t="shared" si="639"/>
        <v>57</v>
      </c>
      <c r="AR834" s="228">
        <f t="shared" si="640"/>
        <v>52</v>
      </c>
      <c r="AS834" s="229">
        <f t="shared" si="641"/>
        <v>60</v>
      </c>
      <c r="AT834" s="982">
        <f t="shared" ca="1" si="642"/>
        <v>45895</v>
      </c>
      <c r="AU834" s="50"/>
      <c r="AV834" s="51"/>
      <c r="AW834" s="49"/>
      <c r="AX834" s="49"/>
      <c r="AY834" s="49"/>
      <c r="AZ834" s="300"/>
      <c r="BA834" s="52"/>
      <c r="BB834" s="304"/>
      <c r="BC834" s="231"/>
      <c r="BD834" s="232"/>
      <c r="BE834" s="222">
        <f t="shared" si="643"/>
        <v>15</v>
      </c>
      <c r="BF834" s="233">
        <f t="shared" si="644"/>
        <v>0</v>
      </c>
      <c r="BG834" s="234"/>
      <c r="BH834" s="235"/>
      <c r="BI834" s="234"/>
      <c r="BJ834" s="236"/>
      <c r="BK834" s="222"/>
      <c r="BL834" s="222"/>
      <c r="BM834" s="238"/>
      <c r="BN834" s="222"/>
      <c r="BO834" s="222"/>
      <c r="BP834" s="243"/>
      <c r="BQ834" s="244"/>
      <c r="BR834" s="238"/>
      <c r="BS834" s="68"/>
      <c r="BT834" s="69"/>
      <c r="BU834" s="69"/>
      <c r="BV834" s="69"/>
      <c r="BW834" s="75"/>
      <c r="BX834" s="81"/>
      <c r="BY834" s="66">
        <v>45868</v>
      </c>
      <c r="BZ834" s="944" t="s">
        <v>3897</v>
      </c>
      <c r="CA834" s="42"/>
      <c r="CB834" s="62"/>
      <c r="CC834" s="62"/>
      <c r="CD834" s="42"/>
      <c r="CE834" s="42"/>
      <c r="CF834" s="145" t="str">
        <f t="shared" si="541"/>
        <v>0</v>
      </c>
      <c r="CG834" s="145"/>
      <c r="CH834" s="443">
        <f t="shared" si="581"/>
        <v>0.19764512108259102</v>
      </c>
      <c r="CI834" s="996">
        <f t="shared" si="582"/>
        <v>0.19764512108259102</v>
      </c>
      <c r="CJ834" s="261">
        <f t="shared" si="583"/>
        <v>0</v>
      </c>
      <c r="CK834" s="458">
        <f t="shared" si="584"/>
        <v>-6.6208333333343035</v>
      </c>
      <c r="CL834" t="str">
        <f t="shared" si="585"/>
        <v>NON-REV</v>
      </c>
      <c r="CM834" t="str">
        <f t="shared" si="586"/>
        <v>0-3 MONTHS</v>
      </c>
      <c r="CN834" s="635"/>
      <c r="CO834" s="631"/>
      <c r="CP834" s="629"/>
      <c r="CQ834" s="635"/>
      <c r="CR834" s="697"/>
      <c r="CS834" s="633"/>
      <c r="CT834" s="635"/>
      <c r="CU834" s="631"/>
      <c r="CV834" s="638"/>
      <c r="CW834" s="853"/>
      <c r="CX834" s="856"/>
      <c r="CY834" s="856"/>
    </row>
    <row r="835" spans="1:103" s="359" customFormat="1" ht="15" customHeight="1" x14ac:dyDescent="0.25">
      <c r="A835" s="242">
        <v>45874</v>
      </c>
      <c r="B835" s="222">
        <v>45876</v>
      </c>
      <c r="C835" s="852"/>
      <c r="D835" s="66" t="s">
        <v>320</v>
      </c>
      <c r="E835" s="404" t="s">
        <v>3898</v>
      </c>
      <c r="F835" s="95" t="s">
        <v>3899</v>
      </c>
      <c r="G835" s="95" t="s">
        <v>3900</v>
      </c>
      <c r="H835" s="95" t="s">
        <v>269</v>
      </c>
      <c r="I835" s="95" t="s">
        <v>239</v>
      </c>
      <c r="J835" s="854"/>
      <c r="K835" s="855"/>
      <c r="L835" s="101" t="s">
        <v>242</v>
      </c>
      <c r="M835" s="101" t="s">
        <v>331</v>
      </c>
      <c r="N835" s="442" t="s">
        <v>467</v>
      </c>
      <c r="O835" s="165">
        <v>0.6</v>
      </c>
      <c r="P835" s="165">
        <v>0.6</v>
      </c>
      <c r="Q835" s="157">
        <v>1.5</v>
      </c>
      <c r="R835" s="109" t="s">
        <v>244</v>
      </c>
      <c r="S835" s="110">
        <v>15004.94</v>
      </c>
      <c r="T835" s="93"/>
      <c r="U835" s="857"/>
      <c r="V835" s="158" t="e">
        <f t="shared" si="645"/>
        <v>#DIV/0!</v>
      </c>
      <c r="W835" s="159">
        <v>45862.726388888892</v>
      </c>
      <c r="X835" s="159">
        <v>45870.621527777781</v>
      </c>
      <c r="Y835" s="160">
        <v>45876</v>
      </c>
      <c r="Z835" s="470"/>
      <c r="AA835" s="942"/>
      <c r="AB835" s="942"/>
      <c r="AC835" s="161">
        <f t="shared" si="626"/>
        <v>-45862.726388888892</v>
      </c>
      <c r="AD835" s="161">
        <f t="shared" si="627"/>
        <v>-45870.621527777781</v>
      </c>
      <c r="AE835" s="446">
        <f t="shared" si="628"/>
        <v>0</v>
      </c>
      <c r="AF835" s="160">
        <f t="shared" si="629"/>
        <v>45881.500582437278</v>
      </c>
      <c r="AG835" s="160">
        <f t="shared" si="630"/>
        <v>45890.30703405018</v>
      </c>
      <c r="AH835" s="159">
        <f t="shared" si="631"/>
        <v>45912.726388888892</v>
      </c>
      <c r="AI835" s="162">
        <f t="shared" si="632"/>
        <v>-1579.7161311728396</v>
      </c>
      <c r="AJ835" s="224">
        <f t="shared" si="633"/>
        <v>0</v>
      </c>
      <c r="AK835" s="225">
        <f t="shared" si="634"/>
        <v>20</v>
      </c>
      <c r="AL835" s="170">
        <f t="shared" si="635"/>
        <v>36</v>
      </c>
      <c r="AM835" s="170">
        <f t="shared" si="636"/>
        <v>21.774193548387096</v>
      </c>
      <c r="AN835" s="170">
        <f t="shared" si="637"/>
        <v>27.58064516129032</v>
      </c>
      <c r="AO835" s="226">
        <f t="shared" si="638"/>
        <v>18.774193548387096</v>
      </c>
      <c r="AP835" s="227">
        <v>60</v>
      </c>
      <c r="AQ835" s="228">
        <f t="shared" si="639"/>
        <v>57</v>
      </c>
      <c r="AR835" s="228">
        <f t="shared" si="640"/>
        <v>52</v>
      </c>
      <c r="AS835" s="229">
        <f t="shared" si="641"/>
        <v>60</v>
      </c>
      <c r="AT835" s="982">
        <f t="shared" ca="1" si="642"/>
        <v>45895</v>
      </c>
      <c r="AU835" s="50"/>
      <c r="AV835" s="51"/>
      <c r="AW835" s="49"/>
      <c r="AX835" s="49"/>
      <c r="AY835" s="49"/>
      <c r="AZ835" s="300"/>
      <c r="BA835" s="52"/>
      <c r="BB835" s="304"/>
      <c r="BC835" s="231"/>
      <c r="BD835" s="232"/>
      <c r="BE835" s="222">
        <f t="shared" si="643"/>
        <v>15</v>
      </c>
      <c r="BF835" s="233">
        <f t="shared" si="644"/>
        <v>0</v>
      </c>
      <c r="BG835" s="234"/>
      <c r="BH835" s="235"/>
      <c r="BI835" s="234"/>
      <c r="BJ835" s="236"/>
      <c r="BK835" s="222"/>
      <c r="BL835" s="222"/>
      <c r="BM835" s="238"/>
      <c r="BN835" s="222"/>
      <c r="BO835" s="222"/>
      <c r="BP835" s="243"/>
      <c r="BQ835" s="244"/>
      <c r="BR835" s="238"/>
      <c r="BS835" s="68"/>
      <c r="BT835" s="69"/>
      <c r="BU835" s="69"/>
      <c r="BV835" s="69"/>
      <c r="BW835" s="75"/>
      <c r="BX835" s="81"/>
      <c r="BY835" s="66">
        <v>45868</v>
      </c>
      <c r="BZ835" s="944" t="s">
        <v>3901</v>
      </c>
      <c r="CA835" s="42"/>
      <c r="CB835" s="62"/>
      <c r="CC835" s="62"/>
      <c r="CD835" s="42"/>
      <c r="CE835" s="42"/>
      <c r="CF835" s="145" t="str">
        <f t="shared" ref="CF835:CF856" si="646">IF(AA835="","0",$CF$1-AA835)</f>
        <v>0</v>
      </c>
      <c r="CG835" s="145"/>
      <c r="CH835" s="443">
        <f t="shared" si="581"/>
        <v>0.21609104938261026</v>
      </c>
      <c r="CI835" s="996">
        <f t="shared" si="582"/>
        <v>0.21609104938261026</v>
      </c>
      <c r="CJ835" s="261">
        <f t="shared" si="583"/>
        <v>0</v>
      </c>
      <c r="CK835" s="458">
        <f t="shared" si="584"/>
        <v>-6.726388888891961</v>
      </c>
      <c r="CL835" t="str">
        <f t="shared" si="585"/>
        <v>REV</v>
      </c>
      <c r="CM835" t="str">
        <f t="shared" si="586"/>
        <v>0-3 MONTHS</v>
      </c>
      <c r="CN835" s="635"/>
      <c r="CO835" s="631"/>
      <c r="CP835" s="629"/>
      <c r="CQ835" s="635"/>
      <c r="CR835" s="697"/>
      <c r="CS835" s="633"/>
      <c r="CT835" s="635"/>
      <c r="CU835" s="631"/>
      <c r="CV835" s="638"/>
      <c r="CW835" s="853"/>
      <c r="CX835" s="856"/>
      <c r="CY835" s="856"/>
    </row>
    <row r="836" spans="1:103" s="359" customFormat="1" ht="15" customHeight="1" x14ac:dyDescent="0.25">
      <c r="A836" s="242">
        <v>45874</v>
      </c>
      <c r="B836" s="222">
        <v>45874</v>
      </c>
      <c r="C836" s="852"/>
      <c r="D836" s="66" t="s">
        <v>284</v>
      </c>
      <c r="E836" s="404" t="s">
        <v>3902</v>
      </c>
      <c r="F836" s="95" t="s">
        <v>2581</v>
      </c>
      <c r="G836" s="95" t="s">
        <v>2633</v>
      </c>
      <c r="H836" s="95" t="s">
        <v>253</v>
      </c>
      <c r="I836" s="95" t="s">
        <v>254</v>
      </c>
      <c r="J836" s="854"/>
      <c r="K836" s="855"/>
      <c r="L836" s="101" t="s">
        <v>263</v>
      </c>
      <c r="M836" s="101" t="s">
        <v>331</v>
      </c>
      <c r="N836" s="442" t="s">
        <v>467</v>
      </c>
      <c r="O836" s="165">
        <v>2.2400000000000002</v>
      </c>
      <c r="P836" s="165">
        <v>2.2400000000000002</v>
      </c>
      <c r="Q836" s="157">
        <v>0</v>
      </c>
      <c r="R836" s="109" t="s">
        <v>319</v>
      </c>
      <c r="S836" s="110">
        <v>11569.43</v>
      </c>
      <c r="T836" s="93">
        <v>1924.58</v>
      </c>
      <c r="U836" s="857"/>
      <c r="V836" s="158">
        <f t="shared" si="645"/>
        <v>0</v>
      </c>
      <c r="W836" s="159">
        <v>45863.561805555553</v>
      </c>
      <c r="X836" s="159">
        <v>45870.618055555555</v>
      </c>
      <c r="Y836" s="160">
        <v>45874</v>
      </c>
      <c r="Z836" s="470"/>
      <c r="AA836" s="942"/>
      <c r="AB836" s="942"/>
      <c r="AC836" s="161">
        <f t="shared" si="626"/>
        <v>-45863.561805555553</v>
      </c>
      <c r="AD836" s="161">
        <f t="shared" si="627"/>
        <v>-45870.618055555555</v>
      </c>
      <c r="AE836" s="446">
        <f t="shared" si="628"/>
        <v>0</v>
      </c>
      <c r="AF836" s="160">
        <f t="shared" si="629"/>
        <v>45882.33599910394</v>
      </c>
      <c r="AG836" s="160">
        <f t="shared" si="630"/>
        <v>45891.142450716841</v>
      </c>
      <c r="AH836" s="159">
        <f t="shared" si="631"/>
        <v>45913.561805555553</v>
      </c>
      <c r="AI836" s="162">
        <f t="shared" si="632"/>
        <v>-1579.7449066358024</v>
      </c>
      <c r="AJ836" s="224">
        <f t="shared" si="633"/>
        <v>0</v>
      </c>
      <c r="AK836" s="225">
        <f t="shared" si="634"/>
        <v>20</v>
      </c>
      <c r="AL836" s="170">
        <f t="shared" si="635"/>
        <v>36</v>
      </c>
      <c r="AM836" s="170">
        <f t="shared" si="636"/>
        <v>21.774193548387096</v>
      </c>
      <c r="AN836" s="170">
        <f t="shared" si="637"/>
        <v>27.58064516129032</v>
      </c>
      <c r="AO836" s="226">
        <f t="shared" si="638"/>
        <v>18.774193548387096</v>
      </c>
      <c r="AP836" s="227">
        <v>60</v>
      </c>
      <c r="AQ836" s="228">
        <f t="shared" si="639"/>
        <v>57</v>
      </c>
      <c r="AR836" s="228">
        <f t="shared" si="640"/>
        <v>52</v>
      </c>
      <c r="AS836" s="229">
        <f t="shared" si="641"/>
        <v>60</v>
      </c>
      <c r="AT836" s="982">
        <f t="shared" ca="1" si="642"/>
        <v>45895</v>
      </c>
      <c r="AU836" s="50"/>
      <c r="AV836" s="51"/>
      <c r="AW836" s="49"/>
      <c r="AX836" s="49"/>
      <c r="AY836" s="49"/>
      <c r="AZ836" s="300"/>
      <c r="BA836" s="52"/>
      <c r="BB836" s="304"/>
      <c r="BC836" s="231"/>
      <c r="BD836" s="232"/>
      <c r="BE836" s="222">
        <f t="shared" si="643"/>
        <v>15</v>
      </c>
      <c r="BF836" s="233">
        <f t="shared" si="644"/>
        <v>0</v>
      </c>
      <c r="BG836" s="234"/>
      <c r="BH836" s="235"/>
      <c r="BI836" s="234"/>
      <c r="BJ836" s="236"/>
      <c r="BK836" s="222"/>
      <c r="BL836" s="222"/>
      <c r="BM836" s="238"/>
      <c r="BN836" s="222"/>
      <c r="BO836" s="222"/>
      <c r="BP836" s="243"/>
      <c r="BQ836" s="244"/>
      <c r="BR836" s="238"/>
      <c r="BS836" s="68"/>
      <c r="BT836" s="69"/>
      <c r="BU836" s="69"/>
      <c r="BV836" s="69"/>
      <c r="BW836" s="75"/>
      <c r="BX836" s="81"/>
      <c r="BY836" s="66" t="s">
        <v>308</v>
      </c>
      <c r="BZ836" s="944" t="s">
        <v>3903</v>
      </c>
      <c r="CA836" s="42"/>
      <c r="CB836" s="62"/>
      <c r="CC836" s="62"/>
      <c r="CD836" s="42"/>
      <c r="CE836" s="42"/>
      <c r="CF836" s="145" t="str">
        <f t="shared" si="646"/>
        <v>0</v>
      </c>
      <c r="CG836" s="145"/>
      <c r="CH836" s="443">
        <f t="shared" si="581"/>
        <v>0.18731558641983104</v>
      </c>
      <c r="CI836" s="996">
        <f t="shared" si="582"/>
        <v>0.18731558641983104</v>
      </c>
      <c r="CJ836" s="261">
        <f t="shared" si="583"/>
        <v>0</v>
      </c>
      <c r="CK836" s="458">
        <f t="shared" si="584"/>
        <v>-7.5618055555532919</v>
      </c>
      <c r="CL836" t="str">
        <f t="shared" si="585"/>
        <v>NON-REV</v>
      </c>
      <c r="CM836" t="str">
        <f t="shared" si="586"/>
        <v>0-3 MONTHS</v>
      </c>
      <c r="CN836" s="635"/>
      <c r="CO836" s="631"/>
      <c r="CP836" s="629"/>
      <c r="CQ836" s="635"/>
      <c r="CR836" s="697"/>
      <c r="CS836" s="633"/>
      <c r="CT836" s="635"/>
      <c r="CU836" s="631"/>
      <c r="CV836" s="638"/>
      <c r="CW836" s="853"/>
      <c r="CX836" s="856"/>
      <c r="CY836" s="856"/>
    </row>
    <row r="837" spans="1:103" s="359" customFormat="1" ht="15" customHeight="1" x14ac:dyDescent="0.25">
      <c r="A837" s="242">
        <v>45874</v>
      </c>
      <c r="B837" s="222">
        <v>45874</v>
      </c>
      <c r="C837" s="852"/>
      <c r="D837" s="66" t="s">
        <v>320</v>
      </c>
      <c r="E837" s="404" t="s">
        <v>3904</v>
      </c>
      <c r="F837" s="95" t="s">
        <v>3905</v>
      </c>
      <c r="G837" s="95" t="s">
        <v>3906</v>
      </c>
      <c r="H837" s="95" t="s">
        <v>238</v>
      </c>
      <c r="I837" s="95" t="s">
        <v>239</v>
      </c>
      <c r="J837" s="854"/>
      <c r="K837" s="855"/>
      <c r="L837" s="101" t="s">
        <v>5</v>
      </c>
      <c r="M837" s="101" t="s">
        <v>331</v>
      </c>
      <c r="N837" s="442" t="s">
        <v>403</v>
      </c>
      <c r="O837" s="165">
        <v>49.51</v>
      </c>
      <c r="P837" s="165">
        <v>56.71</v>
      </c>
      <c r="Q837" s="157">
        <v>82</v>
      </c>
      <c r="R837" s="109" t="s">
        <v>548</v>
      </c>
      <c r="S837" s="110">
        <v>322164.94</v>
      </c>
      <c r="T837" s="93">
        <v>42564.42</v>
      </c>
      <c r="U837" s="857"/>
      <c r="V837" s="158">
        <f t="shared" si="645"/>
        <v>0</v>
      </c>
      <c r="W837" s="159">
        <v>45863.563194444447</v>
      </c>
      <c r="X837" s="159">
        <v>45870.618750000001</v>
      </c>
      <c r="Y837" s="160">
        <v>45874</v>
      </c>
      <c r="Z837" s="470"/>
      <c r="AA837" s="942"/>
      <c r="AB837" s="942"/>
      <c r="AC837" s="161">
        <f t="shared" si="626"/>
        <v>-45863.563194444447</v>
      </c>
      <c r="AD837" s="161">
        <f t="shared" si="627"/>
        <v>-45870.618750000001</v>
      </c>
      <c r="AE837" s="446">
        <f t="shared" si="628"/>
        <v>0</v>
      </c>
      <c r="AF837" s="160">
        <f t="shared" si="629"/>
        <v>45882.863574672585</v>
      </c>
      <c r="AG837" s="160">
        <f t="shared" si="630"/>
        <v>45891.810342733421</v>
      </c>
      <c r="AH837" s="159">
        <f t="shared" si="631"/>
        <v>45913.563194444447</v>
      </c>
      <c r="AI837" s="162">
        <f t="shared" si="632"/>
        <v>-1542.4702199666099</v>
      </c>
      <c r="AJ837" s="224">
        <f t="shared" si="633"/>
        <v>0</v>
      </c>
      <c r="AK837" s="225">
        <f t="shared" si="634"/>
        <v>23</v>
      </c>
      <c r="AL837" s="170">
        <f t="shared" si="635"/>
        <v>34</v>
      </c>
      <c r="AM837" s="170">
        <f t="shared" si="636"/>
        <v>22.300380228136884</v>
      </c>
      <c r="AN837" s="170">
        <f t="shared" si="637"/>
        <v>28.247148288973385</v>
      </c>
      <c r="AO837" s="226">
        <f t="shared" si="638"/>
        <v>19.300380228136884</v>
      </c>
      <c r="AP837" s="227">
        <v>60</v>
      </c>
      <c r="AQ837" s="228">
        <f t="shared" si="639"/>
        <v>57</v>
      </c>
      <c r="AR837" s="228">
        <f t="shared" si="640"/>
        <v>52</v>
      </c>
      <c r="AS837" s="229">
        <f t="shared" si="641"/>
        <v>60</v>
      </c>
      <c r="AT837" s="982">
        <f t="shared" ca="1" si="642"/>
        <v>45895</v>
      </c>
      <c r="AU837" s="50"/>
      <c r="AV837" s="51"/>
      <c r="AW837" s="49"/>
      <c r="AX837" s="49"/>
      <c r="AY837" s="49"/>
      <c r="AZ837" s="300"/>
      <c r="BA837" s="52"/>
      <c r="BB837" s="304"/>
      <c r="BC837" s="231"/>
      <c r="BD837" s="232"/>
      <c r="BE837" s="222">
        <f t="shared" si="643"/>
        <v>15</v>
      </c>
      <c r="BF837" s="233">
        <f t="shared" si="644"/>
        <v>0</v>
      </c>
      <c r="BG837" s="234"/>
      <c r="BH837" s="235"/>
      <c r="BI837" s="234"/>
      <c r="BJ837" s="236"/>
      <c r="BK837" s="222"/>
      <c r="BL837" s="222"/>
      <c r="BM837" s="238"/>
      <c r="BN837" s="222"/>
      <c r="BO837" s="222"/>
      <c r="BP837" s="243"/>
      <c r="BQ837" s="244"/>
      <c r="BR837" s="238"/>
      <c r="BS837" s="68"/>
      <c r="BT837" s="69"/>
      <c r="BU837" s="69"/>
      <c r="BV837" s="69"/>
      <c r="BW837" s="75"/>
      <c r="BX837" s="81"/>
      <c r="BY837" s="66">
        <v>45874</v>
      </c>
      <c r="BZ837" s="944" t="s">
        <v>3907</v>
      </c>
      <c r="CA837" s="42"/>
      <c r="CB837" s="62"/>
      <c r="CC837" s="62"/>
      <c r="CD837" s="42"/>
      <c r="CE837" s="42"/>
      <c r="CF837" s="145" t="str">
        <f t="shared" si="646"/>
        <v>0</v>
      </c>
      <c r="CG837" s="145"/>
      <c r="CH837" s="443">
        <f t="shared" si="581"/>
        <v>0.18284908709853143</v>
      </c>
      <c r="CI837" s="996">
        <f t="shared" si="582"/>
        <v>0.18284908709853143</v>
      </c>
      <c r="CJ837" s="261">
        <f t="shared" si="583"/>
        <v>0</v>
      </c>
      <c r="CK837" s="458">
        <f t="shared" si="584"/>
        <v>-7.5631944444467081</v>
      </c>
      <c r="CL837" t="str">
        <f t="shared" si="585"/>
        <v>NON-REV</v>
      </c>
      <c r="CM837" t="str">
        <f t="shared" si="586"/>
        <v>0-3 MONTHS</v>
      </c>
      <c r="CN837" s="635"/>
      <c r="CO837" s="631"/>
      <c r="CP837" s="629"/>
      <c r="CQ837" s="635"/>
      <c r="CR837" s="697"/>
      <c r="CS837" s="633"/>
      <c r="CT837" s="635"/>
      <c r="CU837" s="631"/>
      <c r="CV837" s="638"/>
      <c r="CW837" s="853"/>
      <c r="CX837" s="856"/>
      <c r="CY837" s="856"/>
    </row>
    <row r="838" spans="1:103" s="1103" customFormat="1" ht="15" customHeight="1" x14ac:dyDescent="0.2">
      <c r="A838" s="242"/>
      <c r="B838" s="222">
        <v>45876</v>
      </c>
      <c r="C838" s="852"/>
      <c r="D838" s="66" t="s">
        <v>320</v>
      </c>
      <c r="E838" s="404" t="s">
        <v>3908</v>
      </c>
      <c r="F838" s="95" t="s">
        <v>3909</v>
      </c>
      <c r="G838" s="95" t="s">
        <v>3910</v>
      </c>
      <c r="H838" s="95" t="s">
        <v>238</v>
      </c>
      <c r="I838" s="95" t="s">
        <v>239</v>
      </c>
      <c r="J838" s="1134" t="s">
        <v>3638</v>
      </c>
      <c r="K838" s="855"/>
      <c r="L838" s="101" t="s">
        <v>255</v>
      </c>
      <c r="M838" s="101" t="s">
        <v>331</v>
      </c>
      <c r="N838" s="442" t="s">
        <v>403</v>
      </c>
      <c r="O838" s="165">
        <v>107.93</v>
      </c>
      <c r="P838" s="165">
        <v>341.38</v>
      </c>
      <c r="Q838" s="157">
        <v>33</v>
      </c>
      <c r="R838" s="109" t="s">
        <v>548</v>
      </c>
      <c r="S838" s="110">
        <v>585302.24</v>
      </c>
      <c r="T838" s="1133">
        <v>92334.49</v>
      </c>
      <c r="U838" s="857"/>
      <c r="V838" s="158">
        <f t="shared" si="645"/>
        <v>0</v>
      </c>
      <c r="W838" s="159">
        <v>45867.438194444447</v>
      </c>
      <c r="X838" s="159">
        <v>45875.627083333333</v>
      </c>
      <c r="Y838" s="160">
        <v>45876</v>
      </c>
      <c r="Z838" s="470"/>
      <c r="AA838" s="942"/>
      <c r="AB838" s="942"/>
      <c r="AC838" s="161">
        <f t="shared" si="626"/>
        <v>-45867.438194444447</v>
      </c>
      <c r="AD838" s="161">
        <f t="shared" si="627"/>
        <v>-45875.627083333333</v>
      </c>
      <c r="AE838" s="446">
        <f t="shared" si="628"/>
        <v>0</v>
      </c>
      <c r="AF838" s="160">
        <f t="shared" si="629"/>
        <v>45889.909892557655</v>
      </c>
      <c r="AG838" s="160">
        <f t="shared" si="630"/>
        <v>45899.702345387843</v>
      </c>
      <c r="AH838" s="159">
        <f t="shared" si="631"/>
        <v>45917.438194444447</v>
      </c>
      <c r="AI838" s="162">
        <f t="shared" si="632"/>
        <v>-1350.5412357253088</v>
      </c>
      <c r="AJ838" s="224">
        <f t="shared" si="633"/>
        <v>0</v>
      </c>
      <c r="AK838" s="225">
        <f t="shared" si="634"/>
        <v>30</v>
      </c>
      <c r="AL838" s="170">
        <f t="shared" si="635"/>
        <v>36</v>
      </c>
      <c r="AM838" s="170">
        <f t="shared" si="636"/>
        <v>25.471698113207545</v>
      </c>
      <c r="AN838" s="170">
        <f t="shared" si="637"/>
        <v>32.264150943396224</v>
      </c>
      <c r="AO838" s="226">
        <f t="shared" si="638"/>
        <v>22.471698113207545</v>
      </c>
      <c r="AP838" s="227">
        <v>60</v>
      </c>
      <c r="AQ838" s="228">
        <f t="shared" si="639"/>
        <v>57</v>
      </c>
      <c r="AR838" s="228">
        <f t="shared" si="640"/>
        <v>52</v>
      </c>
      <c r="AS838" s="229">
        <f t="shared" si="641"/>
        <v>60</v>
      </c>
      <c r="AT838" s="982">
        <f t="shared" ca="1" si="642"/>
        <v>45895</v>
      </c>
      <c r="AU838" s="1077"/>
      <c r="AV838" s="1092"/>
      <c r="AW838" s="1079"/>
      <c r="AX838" s="1079"/>
      <c r="AY838" s="1079"/>
      <c r="AZ838" s="1080"/>
      <c r="BA838" s="1101"/>
      <c r="BB838" s="1091"/>
      <c r="BC838" s="231"/>
      <c r="BD838" s="232"/>
      <c r="BE838" s="222">
        <f t="shared" si="643"/>
        <v>15</v>
      </c>
      <c r="BF838" s="233">
        <f t="shared" si="644"/>
        <v>0</v>
      </c>
      <c r="BG838" s="234"/>
      <c r="BH838" s="235"/>
      <c r="BI838" s="234"/>
      <c r="BJ838" s="236"/>
      <c r="BK838" s="222"/>
      <c r="BL838" s="222"/>
      <c r="BM838" s="238"/>
      <c r="BN838" s="222"/>
      <c r="BO838" s="222"/>
      <c r="BP838" s="243"/>
      <c r="BQ838" s="244"/>
      <c r="BR838" s="238"/>
      <c r="BS838" s="68"/>
      <c r="BT838" s="69"/>
      <c r="BU838" s="69"/>
      <c r="BV838" s="69"/>
      <c r="BW838" s="75"/>
      <c r="BX838" s="81"/>
      <c r="BY838" s="66">
        <v>45874</v>
      </c>
      <c r="BZ838" s="944" t="s">
        <v>3911</v>
      </c>
      <c r="CA838" s="42"/>
      <c r="CB838" s="62"/>
      <c r="CC838" s="62"/>
      <c r="CD838" s="42"/>
      <c r="CE838" s="42"/>
      <c r="CF838" s="1059" t="str">
        <f t="shared" si="646"/>
        <v>0</v>
      </c>
      <c r="CG838" s="1059"/>
      <c r="CH838" s="1082">
        <f t="shared" si="581"/>
        <v>4.5986496913513593E-2</v>
      </c>
      <c r="CI838" s="1083">
        <f t="shared" si="582"/>
        <v>4.5986496913513593E-2</v>
      </c>
      <c r="CJ838" s="1084">
        <f t="shared" si="583"/>
        <v>0</v>
      </c>
      <c r="CK838" s="1085">
        <f t="shared" si="584"/>
        <v>-11.438194444446708</v>
      </c>
      <c r="CL838" s="1057" t="str">
        <f t="shared" si="585"/>
        <v>NON-REV</v>
      </c>
      <c r="CM838" s="1057" t="str">
        <f t="shared" si="586"/>
        <v>0-3 MONTHS</v>
      </c>
      <c r="CN838" s="1086"/>
      <c r="CO838" s="1087"/>
      <c r="CP838" s="629"/>
      <c r="CQ838" s="1086"/>
      <c r="CR838" s="1088"/>
      <c r="CS838" s="1089"/>
      <c r="CT838" s="1086"/>
      <c r="CU838" s="1087"/>
      <c r="CV838" s="1090"/>
      <c r="CW838" s="853"/>
      <c r="CX838" s="856"/>
      <c r="CY838" s="856"/>
    </row>
    <row r="839" spans="1:103" s="359" customFormat="1" ht="15" customHeight="1" x14ac:dyDescent="0.25">
      <c r="A839" s="242">
        <v>45874</v>
      </c>
      <c r="B839" s="222">
        <v>45874</v>
      </c>
      <c r="C839" s="852"/>
      <c r="D839" s="66" t="s">
        <v>320</v>
      </c>
      <c r="E839" s="404" t="s">
        <v>3912</v>
      </c>
      <c r="F839" s="95" t="s">
        <v>3913</v>
      </c>
      <c r="G839" s="95" t="s">
        <v>2085</v>
      </c>
      <c r="H839" s="95" t="s">
        <v>238</v>
      </c>
      <c r="I839" s="95" t="s">
        <v>239</v>
      </c>
      <c r="J839" s="163" t="s">
        <v>3914</v>
      </c>
      <c r="K839" s="855"/>
      <c r="L839" s="101" t="s">
        <v>288</v>
      </c>
      <c r="M839" s="101" t="s">
        <v>331</v>
      </c>
      <c r="N839" s="442" t="s">
        <v>381</v>
      </c>
      <c r="O839" s="165">
        <v>351.02</v>
      </c>
      <c r="P839" s="165">
        <v>820.71</v>
      </c>
      <c r="Q839" s="157">
        <v>42</v>
      </c>
      <c r="R839" s="109" t="s">
        <v>548</v>
      </c>
      <c r="S839" s="110">
        <v>1578730.37</v>
      </c>
      <c r="T839" s="93"/>
      <c r="U839" s="857"/>
      <c r="V839" s="158" t="e">
        <f t="shared" si="645"/>
        <v>#DIV/0!</v>
      </c>
      <c r="W839" s="159">
        <v>45863.558333333334</v>
      </c>
      <c r="X839" s="159">
        <v>45870.62222222222</v>
      </c>
      <c r="Y839" s="160">
        <v>45874</v>
      </c>
      <c r="Z839" s="470"/>
      <c r="AA839" s="942"/>
      <c r="AB839" s="942"/>
      <c r="AC839" s="161">
        <f t="shared" si="626"/>
        <v>-45863.558333333334</v>
      </c>
      <c r="AD839" s="161">
        <f t="shared" si="627"/>
        <v>-45870.62222222222</v>
      </c>
      <c r="AE839" s="446">
        <f t="shared" si="628"/>
        <v>0</v>
      </c>
      <c r="AF839" s="160">
        <f t="shared" si="629"/>
        <v>45888.393384879724</v>
      </c>
      <c r="AG839" s="160">
        <f t="shared" si="630"/>
        <v>45898.8160652921</v>
      </c>
      <c r="AH839" s="159">
        <f t="shared" si="631"/>
        <v>45913.558333333334</v>
      </c>
      <c r="AI839" s="162">
        <f t="shared" si="632"/>
        <v>-1235.768099537037</v>
      </c>
      <c r="AJ839" s="224">
        <f t="shared" si="633"/>
        <v>0</v>
      </c>
      <c r="AK839" s="225">
        <f t="shared" si="634"/>
        <v>40</v>
      </c>
      <c r="AL839" s="170">
        <f t="shared" si="635"/>
        <v>36</v>
      </c>
      <c r="AM839" s="170">
        <f t="shared" si="636"/>
        <v>27.835051546391753</v>
      </c>
      <c r="AN839" s="170">
        <f t="shared" si="637"/>
        <v>35.257731958762882</v>
      </c>
      <c r="AO839" s="226">
        <f t="shared" si="638"/>
        <v>24.835051546391753</v>
      </c>
      <c r="AP839" s="227">
        <v>60</v>
      </c>
      <c r="AQ839" s="228">
        <f t="shared" si="639"/>
        <v>57</v>
      </c>
      <c r="AR839" s="228">
        <f t="shared" si="640"/>
        <v>52</v>
      </c>
      <c r="AS839" s="229">
        <f t="shared" si="641"/>
        <v>60</v>
      </c>
      <c r="AT839" s="982">
        <f t="shared" ca="1" si="642"/>
        <v>45895</v>
      </c>
      <c r="AU839" s="50"/>
      <c r="AV839" s="51"/>
      <c r="AW839" s="49"/>
      <c r="AX839" s="49"/>
      <c r="AY839" s="49"/>
      <c r="AZ839" s="300"/>
      <c r="BA839" s="52"/>
      <c r="BB839" s="304"/>
      <c r="BC839" s="231"/>
      <c r="BD839" s="232"/>
      <c r="BE839" s="222">
        <f t="shared" si="643"/>
        <v>15</v>
      </c>
      <c r="BF839" s="233">
        <f t="shared" si="644"/>
        <v>0</v>
      </c>
      <c r="BG839" s="234"/>
      <c r="BH839" s="235"/>
      <c r="BI839" s="234"/>
      <c r="BJ839" s="236"/>
      <c r="BK839" s="222"/>
      <c r="BL839" s="222"/>
      <c r="BM839" s="238"/>
      <c r="BN839" s="222"/>
      <c r="BO839" s="222"/>
      <c r="BP839" s="243"/>
      <c r="BQ839" s="244"/>
      <c r="BR839" s="238"/>
      <c r="BS839" s="68"/>
      <c r="BT839" s="69"/>
      <c r="BU839" s="69"/>
      <c r="BV839" s="69"/>
      <c r="BW839" s="75"/>
      <c r="BX839" s="81"/>
      <c r="BY839" s="66">
        <v>45874</v>
      </c>
      <c r="BZ839" s="944" t="s">
        <v>3915</v>
      </c>
      <c r="CA839" s="42"/>
      <c r="CB839" s="62"/>
      <c r="CC839" s="62"/>
      <c r="CD839" s="42"/>
      <c r="CE839" s="42"/>
      <c r="CF839" s="145" t="str">
        <f t="shared" si="646"/>
        <v>0</v>
      </c>
      <c r="CG839" s="145"/>
      <c r="CH839" s="443">
        <f t="shared" si="581"/>
        <v>0.14662268518515903</v>
      </c>
      <c r="CI839" s="996">
        <f t="shared" si="582"/>
        <v>0.14662268518515903</v>
      </c>
      <c r="CJ839" s="261">
        <f t="shared" si="583"/>
        <v>0</v>
      </c>
      <c r="CK839" s="458">
        <f t="shared" si="584"/>
        <v>-7.5583333333343035</v>
      </c>
      <c r="CL839" t="str">
        <f t="shared" si="585"/>
        <v>NON-REV</v>
      </c>
      <c r="CM839" t="str">
        <f t="shared" si="586"/>
        <v>0-3 MONTHS</v>
      </c>
      <c r="CN839" s="635"/>
      <c r="CO839" s="631"/>
      <c r="CP839" s="629"/>
      <c r="CQ839" s="635"/>
      <c r="CR839" s="697"/>
      <c r="CS839" s="633"/>
      <c r="CT839" s="635"/>
      <c r="CU839" s="631"/>
      <c r="CV839" s="638"/>
      <c r="CW839" s="853"/>
      <c r="CX839" s="856"/>
      <c r="CY839" s="856"/>
    </row>
    <row r="840" spans="1:103" s="359" customFormat="1" ht="15" customHeight="1" x14ac:dyDescent="0.25">
      <c r="A840" s="242">
        <v>45874</v>
      </c>
      <c r="B840" s="222">
        <v>45875</v>
      </c>
      <c r="C840" s="852"/>
      <c r="D840" s="66" t="s">
        <v>284</v>
      </c>
      <c r="E840" s="404" t="s">
        <v>3916</v>
      </c>
      <c r="F840" s="95" t="s">
        <v>3917</v>
      </c>
      <c r="G840" s="95" t="s">
        <v>3918</v>
      </c>
      <c r="H840" s="95" t="s">
        <v>269</v>
      </c>
      <c r="I840" s="95" t="s">
        <v>239</v>
      </c>
      <c r="J840" s="854"/>
      <c r="K840" s="855"/>
      <c r="L840" s="101" t="s">
        <v>242</v>
      </c>
      <c r="M840" s="101" t="s">
        <v>272</v>
      </c>
      <c r="N840" s="442" t="s">
        <v>467</v>
      </c>
      <c r="O840" s="165">
        <v>100.08</v>
      </c>
      <c r="P840" s="165">
        <v>178.36</v>
      </c>
      <c r="Q840" s="157">
        <v>139</v>
      </c>
      <c r="R840" s="109" t="s">
        <v>244</v>
      </c>
      <c r="S840" s="110">
        <v>872290.85</v>
      </c>
      <c r="T840" s="93">
        <v>86015.819999999992</v>
      </c>
      <c r="U840" s="857"/>
      <c r="V840" s="158">
        <f t="shared" si="645"/>
        <v>0</v>
      </c>
      <c r="W840" s="159">
        <v>45867.677083333336</v>
      </c>
      <c r="X840" s="159">
        <v>45869.293749999997</v>
      </c>
      <c r="Y840" s="160">
        <v>45875</v>
      </c>
      <c r="Z840" s="470"/>
      <c r="AA840" s="942">
        <v>45876</v>
      </c>
      <c r="AB840" s="942"/>
      <c r="AC840" s="161">
        <f t="shared" ref="AC840:AC847" si="647">AA840-W840</f>
        <v>8.3229166666642413</v>
      </c>
      <c r="AD840" s="161">
        <f t="shared" ref="AD840:AD847" si="648">AA840-X840</f>
        <v>6.7062500000029104</v>
      </c>
      <c r="AE840" s="446">
        <f t="shared" ref="AE840:AE847" si="649">AB840-AA840</f>
        <v>-45876</v>
      </c>
      <c r="AF840" s="160">
        <f t="shared" ref="AF840:AF847" si="650">W840+AO840</f>
        <v>45887.123126498802</v>
      </c>
      <c r="AG840" s="160">
        <f t="shared" ref="AG840:AG847" si="651">W840+AN840</f>
        <v>45896.108738009592</v>
      </c>
      <c r="AH840" s="159">
        <f t="shared" ref="AH840:AH847" si="652">W840+50</f>
        <v>45917.677083333336</v>
      </c>
      <c r="AI840" s="162">
        <f t="shared" ref="AI840:AI847" si="653" xml:space="preserve"> (0.3)*(AC840/AK840)+(0.7)*(AC840/AL840)</f>
        <v>0.27809745592940616</v>
      </c>
      <c r="AJ840" s="224">
        <f t="shared" ref="AJ840:AJ847" si="654">AE840/AP840</f>
        <v>-764.6</v>
      </c>
      <c r="AK840" s="225">
        <f t="shared" ref="AK840:AK847" si="655">IF(P840&lt;51,20,(IF(P840&lt;101,23,(IF(P840&lt;201,26,IF(P840&lt;301,28,IF(P840&lt;401,30,(IF(P840&lt;501,32,(IF(P840&lt;1001,40,50)))))))))))</f>
        <v>26</v>
      </c>
      <c r="AL840" s="170">
        <f t="shared" ref="AL840:AL847" si="656">IF(Q840&lt;51,36,(IF(Q840&lt;101,34,(IF(Q840&lt;201,32,IF(Q840&lt;301,30,IF(Q840&lt;401,28,(IF(Q840&lt;501,26,(IF(Q840&lt;1001,23,20)))))))))))</f>
        <v>32</v>
      </c>
      <c r="AM840" s="170">
        <f t="shared" ref="AM840:AM847" si="657">(0.75)/((0.3/AK840)+(0.7/AL840))</f>
        <v>22.446043165467625</v>
      </c>
      <c r="AN840" s="170">
        <f t="shared" ref="AN840:AN847" si="658">(0.95)/((0.3/AK840)+(0.7/AL840))</f>
        <v>28.431654676258994</v>
      </c>
      <c r="AO840" s="226">
        <f t="shared" ref="AO840:AO847" si="659">AM840-3</f>
        <v>19.446043165467625</v>
      </c>
      <c r="AP840" s="227">
        <v>60</v>
      </c>
      <c r="AQ840" s="228">
        <f t="shared" ref="AQ840:AQ847" si="660">0.95*AP840</f>
        <v>57</v>
      </c>
      <c r="AR840" s="228">
        <f t="shared" ref="AR840:AR847" si="661">AQ840-5</f>
        <v>52</v>
      </c>
      <c r="AS840" s="229">
        <f t="shared" ref="AS840:AS847" si="662">AA840+AP840</f>
        <v>45936</v>
      </c>
      <c r="AT840" s="982">
        <f t="shared" ref="AT840:AT847" ca="1" si="663">IFERROR(TODAY()-AA840,"")</f>
        <v>19</v>
      </c>
      <c r="AU840" s="50"/>
      <c r="AV840" s="51"/>
      <c r="AW840" s="49"/>
      <c r="AX840" s="49"/>
      <c r="AY840" s="49"/>
      <c r="AZ840" s="300"/>
      <c r="BA840" s="52"/>
      <c r="BB840" s="304"/>
      <c r="BC840" s="231" t="s">
        <v>13</v>
      </c>
      <c r="BD840" s="232"/>
      <c r="BE840" s="222">
        <f t="shared" ref="BE840:BE847" si="664">AA840+15</f>
        <v>45891</v>
      </c>
      <c r="BF840" s="233" t="e">
        <f t="shared" ref="BF840:BF847" si="665">IF(ISBLANK(AA840),0,IF(ISBLANK(BH840),(BE840-$L$1),(BH840-BE840)))</f>
        <v>#VALUE!</v>
      </c>
      <c r="BG840" s="234"/>
      <c r="BH840" s="235"/>
      <c r="BI840" s="234"/>
      <c r="BJ840" s="236"/>
      <c r="BK840" s="222"/>
      <c r="BL840" s="222"/>
      <c r="BM840" s="238"/>
      <c r="BN840" s="222"/>
      <c r="BO840" s="222"/>
      <c r="BP840" s="243"/>
      <c r="BQ840" s="244"/>
      <c r="BR840" s="238"/>
      <c r="BS840" s="68"/>
      <c r="BT840" s="69"/>
      <c r="BU840" s="69"/>
      <c r="BV840" s="69"/>
      <c r="BW840" s="75"/>
      <c r="BX840" s="81"/>
      <c r="BY840" s="66">
        <v>45874</v>
      </c>
      <c r="BZ840" s="944" t="s">
        <v>3919</v>
      </c>
      <c r="CA840" s="42"/>
      <c r="CB840" s="62"/>
      <c r="CC840" s="62"/>
      <c r="CD840" s="42"/>
      <c r="CE840" s="42"/>
      <c r="CF840" s="145">
        <f t="shared" si="646"/>
        <v>-7</v>
      </c>
      <c r="CG840" s="145"/>
      <c r="CH840" s="443">
        <f t="shared" si="581"/>
        <v>4.4203225160175372E-2</v>
      </c>
      <c r="CI840" s="996">
        <f t="shared" si="582"/>
        <v>4.4203225160175372E-2</v>
      </c>
      <c r="CJ840" s="261">
        <f t="shared" si="583"/>
        <v>-0.11666666666666667</v>
      </c>
      <c r="CK840" s="458" t="str">
        <f t="shared" si="584"/>
        <v/>
      </c>
      <c r="CL840" t="str">
        <f t="shared" si="585"/>
        <v>REV</v>
      </c>
      <c r="CM840" t="str">
        <f t="shared" si="586"/>
        <v/>
      </c>
      <c r="CN840" s="635"/>
      <c r="CO840" s="631"/>
      <c r="CP840" s="629"/>
      <c r="CQ840" s="635"/>
      <c r="CR840" s="697"/>
      <c r="CS840" s="633"/>
      <c r="CT840" s="635"/>
      <c r="CU840" s="631"/>
      <c r="CV840" s="638"/>
      <c r="CW840" s="853"/>
      <c r="CX840" s="856"/>
      <c r="CY840" s="856"/>
    </row>
    <row r="841" spans="1:103" s="359" customFormat="1" ht="15" customHeight="1" x14ac:dyDescent="0.25">
      <c r="A841" s="222" t="s">
        <v>308</v>
      </c>
      <c r="B841" s="222" t="s">
        <v>308</v>
      </c>
      <c r="C841" s="852"/>
      <c r="D841" s="66" t="s">
        <v>284</v>
      </c>
      <c r="E841" s="404" t="s">
        <v>3920</v>
      </c>
      <c r="F841" s="95" t="s">
        <v>3921</v>
      </c>
      <c r="G841" s="95" t="s">
        <v>1062</v>
      </c>
      <c r="H841" s="95" t="s">
        <v>269</v>
      </c>
      <c r="I841" s="95" t="s">
        <v>239</v>
      </c>
      <c r="J841" s="854"/>
      <c r="K841" s="855"/>
      <c r="L841" s="101" t="s">
        <v>1957</v>
      </c>
      <c r="M841" s="101" t="s">
        <v>272</v>
      </c>
      <c r="N841" s="442" t="s">
        <v>3375</v>
      </c>
      <c r="O841" s="165">
        <v>46.18</v>
      </c>
      <c r="P841" s="165">
        <v>46.18</v>
      </c>
      <c r="Q841" s="157">
        <v>28</v>
      </c>
      <c r="R841" s="109" t="s">
        <v>244</v>
      </c>
      <c r="S841" s="110">
        <v>261681.61</v>
      </c>
      <c r="T841" s="93"/>
      <c r="U841" s="857"/>
      <c r="V841" s="158" t="e">
        <f t="shared" ref="V841:V847" si="666">U841/T841</f>
        <v>#DIV/0!</v>
      </c>
      <c r="W841" s="159">
        <v>45867.419444444444</v>
      </c>
      <c r="X841" s="159">
        <v>45870.625</v>
      </c>
      <c r="Y841" s="160" t="s">
        <v>308</v>
      </c>
      <c r="Z841" s="470"/>
      <c r="AA841" s="942">
        <v>45875.56527777778</v>
      </c>
      <c r="AB841" s="942"/>
      <c r="AC841" s="161">
        <f t="shared" si="647"/>
        <v>8.1458333333357587</v>
      </c>
      <c r="AD841" s="161">
        <f t="shared" si="648"/>
        <v>4.9402777777795563</v>
      </c>
      <c r="AE841" s="446">
        <f t="shared" si="649"/>
        <v>-45875.56527777778</v>
      </c>
      <c r="AF841" s="160">
        <f t="shared" si="650"/>
        <v>45886.19363799283</v>
      </c>
      <c r="AG841" s="160">
        <f t="shared" si="651"/>
        <v>45895.000089605732</v>
      </c>
      <c r="AH841" s="159">
        <f t="shared" si="652"/>
        <v>45917.419444444444</v>
      </c>
      <c r="AI841" s="162">
        <f t="shared" si="653"/>
        <v>0.28057870370378724</v>
      </c>
      <c r="AJ841" s="224">
        <f t="shared" si="654"/>
        <v>-764.59275462962967</v>
      </c>
      <c r="AK841" s="225">
        <f t="shared" si="655"/>
        <v>20</v>
      </c>
      <c r="AL841" s="170">
        <f t="shared" si="656"/>
        <v>36</v>
      </c>
      <c r="AM841" s="170">
        <f t="shared" si="657"/>
        <v>21.774193548387096</v>
      </c>
      <c r="AN841" s="170">
        <f t="shared" si="658"/>
        <v>27.58064516129032</v>
      </c>
      <c r="AO841" s="226">
        <f t="shared" si="659"/>
        <v>18.774193548387096</v>
      </c>
      <c r="AP841" s="227">
        <v>60</v>
      </c>
      <c r="AQ841" s="228">
        <f t="shared" si="660"/>
        <v>57</v>
      </c>
      <c r="AR841" s="228">
        <f t="shared" si="661"/>
        <v>52</v>
      </c>
      <c r="AS841" s="229">
        <f t="shared" si="662"/>
        <v>45935.56527777778</v>
      </c>
      <c r="AT841" s="982">
        <f t="shared" ca="1" si="663"/>
        <v>19.434722222220444</v>
      </c>
      <c r="AU841" s="50"/>
      <c r="AV841" s="51"/>
      <c r="AW841" s="49"/>
      <c r="AX841" s="49"/>
      <c r="AY841" s="49"/>
      <c r="AZ841" s="300"/>
      <c r="BA841" s="52"/>
      <c r="BB841" s="304"/>
      <c r="BC841" s="231" t="s">
        <v>13</v>
      </c>
      <c r="BD841" s="232"/>
      <c r="BE841" s="222">
        <f t="shared" si="664"/>
        <v>45890.56527777778</v>
      </c>
      <c r="BF841" s="233" t="e">
        <f t="shared" si="665"/>
        <v>#VALUE!</v>
      </c>
      <c r="BG841" s="234"/>
      <c r="BH841" s="235"/>
      <c r="BI841" s="234"/>
      <c r="BJ841" s="236"/>
      <c r="BK841" s="222"/>
      <c r="BL841" s="222"/>
      <c r="BM841" s="238"/>
      <c r="BN841" s="222"/>
      <c r="BO841" s="222"/>
      <c r="BP841" s="243"/>
      <c r="BQ841" s="244"/>
      <c r="BR841" s="238"/>
      <c r="BS841" s="68"/>
      <c r="BT841" s="69"/>
      <c r="BU841" s="69"/>
      <c r="BV841" s="69"/>
      <c r="BW841" s="75"/>
      <c r="BX841" s="81"/>
      <c r="BY841" s="66"/>
      <c r="BZ841" s="944"/>
      <c r="CA841" s="42"/>
      <c r="CB841" s="62"/>
      <c r="CC841" s="62"/>
      <c r="CD841" s="42"/>
      <c r="CE841" s="42"/>
      <c r="CF841" s="145">
        <f t="shared" si="646"/>
        <v>-6.5652777777795563</v>
      </c>
      <c r="CG841" s="145"/>
      <c r="CH841" s="443">
        <f t="shared" si="581"/>
        <v>5.4441358024713636E-2</v>
      </c>
      <c r="CI841" s="996">
        <f t="shared" si="582"/>
        <v>5.4441358024713636E-2</v>
      </c>
      <c r="CJ841" s="261">
        <f t="shared" si="583"/>
        <v>-0.10942129629632594</v>
      </c>
      <c r="CK841" s="458" t="str">
        <f t="shared" si="584"/>
        <v/>
      </c>
      <c r="CL841" t="str">
        <f t="shared" si="585"/>
        <v>REV</v>
      </c>
      <c r="CM841" t="str">
        <f t="shared" si="586"/>
        <v/>
      </c>
      <c r="CN841" s="635"/>
      <c r="CO841" s="631"/>
      <c r="CP841" s="629"/>
      <c r="CQ841" s="635"/>
      <c r="CR841" s="697"/>
      <c r="CS841" s="633"/>
      <c r="CT841" s="635"/>
      <c r="CU841" s="631"/>
      <c r="CV841" s="638"/>
      <c r="CW841" s="853"/>
      <c r="CX841" s="856"/>
      <c r="CY841" s="856"/>
    </row>
    <row r="842" spans="1:103" s="359" customFormat="1" ht="15" customHeight="1" x14ac:dyDescent="0.25">
      <c r="A842" s="242">
        <v>45876</v>
      </c>
      <c r="B842" s="222">
        <v>45876</v>
      </c>
      <c r="C842" s="852"/>
      <c r="D842" s="66" t="s">
        <v>320</v>
      </c>
      <c r="E842" s="404" t="s">
        <v>3922</v>
      </c>
      <c r="F842" s="95" t="s">
        <v>3923</v>
      </c>
      <c r="G842" s="95" t="s">
        <v>3924</v>
      </c>
      <c r="H842" s="95" t="s">
        <v>238</v>
      </c>
      <c r="I842" s="95" t="s">
        <v>239</v>
      </c>
      <c r="J842" s="854"/>
      <c r="K842" s="855"/>
      <c r="L842" s="101" t="s">
        <v>242</v>
      </c>
      <c r="M842" s="101" t="s">
        <v>331</v>
      </c>
      <c r="N842" s="442" t="s">
        <v>467</v>
      </c>
      <c r="O842" s="165">
        <v>44.69</v>
      </c>
      <c r="P842" s="165">
        <v>122.97</v>
      </c>
      <c r="Q842" s="157">
        <v>30</v>
      </c>
      <c r="R842" s="109" t="s">
        <v>548</v>
      </c>
      <c r="S842" s="110">
        <v>296458.34000000003</v>
      </c>
      <c r="T842" s="93"/>
      <c r="U842" s="857"/>
      <c r="V842" s="158" t="e">
        <f t="shared" si="666"/>
        <v>#DIV/0!</v>
      </c>
      <c r="W842" s="159">
        <v>45868.761111111111</v>
      </c>
      <c r="X842" s="159">
        <v>45875.632638888892</v>
      </c>
      <c r="Y842" s="160">
        <v>45876</v>
      </c>
      <c r="Z842" s="470"/>
      <c r="AA842" s="942"/>
      <c r="AB842" s="942"/>
      <c r="AC842" s="161">
        <f t="shared" si="647"/>
        <v>-45868.761111111111</v>
      </c>
      <c r="AD842" s="161">
        <f t="shared" si="648"/>
        <v>-45875.632638888892</v>
      </c>
      <c r="AE842" s="446">
        <f t="shared" si="649"/>
        <v>0</v>
      </c>
      <c r="AF842" s="160">
        <f t="shared" si="650"/>
        <v>45889.968007662836</v>
      </c>
      <c r="AG842" s="160">
        <f t="shared" si="651"/>
        <v>45899.423180076628</v>
      </c>
      <c r="AH842" s="159">
        <f t="shared" si="652"/>
        <v>45918.761111111111</v>
      </c>
      <c r="AI842" s="162">
        <f t="shared" si="653"/>
        <v>-1421.1475130579297</v>
      </c>
      <c r="AJ842" s="224">
        <f t="shared" si="654"/>
        <v>0</v>
      </c>
      <c r="AK842" s="225">
        <f t="shared" si="655"/>
        <v>26</v>
      </c>
      <c r="AL842" s="170">
        <f t="shared" si="656"/>
        <v>36</v>
      </c>
      <c r="AM842" s="170">
        <f t="shared" si="657"/>
        <v>24.206896551724139</v>
      </c>
      <c r="AN842" s="170">
        <f t="shared" si="658"/>
        <v>30.662068965517239</v>
      </c>
      <c r="AO842" s="226">
        <f t="shared" si="659"/>
        <v>21.206896551724139</v>
      </c>
      <c r="AP842" s="227">
        <v>60</v>
      </c>
      <c r="AQ842" s="228">
        <f t="shared" si="660"/>
        <v>57</v>
      </c>
      <c r="AR842" s="228">
        <f t="shared" si="661"/>
        <v>52</v>
      </c>
      <c r="AS842" s="229">
        <f t="shared" si="662"/>
        <v>60</v>
      </c>
      <c r="AT842" s="982">
        <f t="shared" ca="1" si="663"/>
        <v>45895</v>
      </c>
      <c r="AU842" s="50"/>
      <c r="AV842" s="51"/>
      <c r="AW842" s="49"/>
      <c r="AX842" s="49"/>
      <c r="AY842" s="49"/>
      <c r="AZ842" s="300"/>
      <c r="BA842" s="52"/>
      <c r="BB842" s="304"/>
      <c r="BC842" s="231"/>
      <c r="BD842" s="232"/>
      <c r="BE842" s="222">
        <f t="shared" si="664"/>
        <v>15</v>
      </c>
      <c r="BF842" s="233">
        <f t="shared" si="665"/>
        <v>0</v>
      </c>
      <c r="BG842" s="234"/>
      <c r="BH842" s="235"/>
      <c r="BI842" s="234"/>
      <c r="BJ842" s="236"/>
      <c r="BK842" s="222"/>
      <c r="BL842" s="222"/>
      <c r="BM842" s="238"/>
      <c r="BN842" s="222"/>
      <c r="BO842" s="222"/>
      <c r="BP842" s="243"/>
      <c r="BQ842" s="244"/>
      <c r="BR842" s="238"/>
      <c r="BS842" s="68"/>
      <c r="BT842" s="69"/>
      <c r="BU842" s="69"/>
      <c r="BV842" s="69"/>
      <c r="BW842" s="75"/>
      <c r="BX842" s="81"/>
      <c r="BY842" s="66">
        <v>45874</v>
      </c>
      <c r="BZ842" s="944" t="s">
        <v>3925</v>
      </c>
      <c r="CA842" s="42"/>
      <c r="CB842" s="62"/>
      <c r="CC842" s="62"/>
      <c r="CD842" s="42"/>
      <c r="CE842" s="42"/>
      <c r="CF842" s="145" t="str">
        <f t="shared" si="646"/>
        <v>0</v>
      </c>
      <c r="CG842" s="145"/>
      <c r="CH842" s="443">
        <f t="shared" si="581"/>
        <v>7.4014719848103268E-3</v>
      </c>
      <c r="CI842" s="996">
        <f t="shared" si="582"/>
        <v>7.4014719848103268E-3</v>
      </c>
      <c r="CJ842" s="261">
        <f t="shared" si="583"/>
        <v>0</v>
      </c>
      <c r="CK842" s="458">
        <f t="shared" si="584"/>
        <v>-12.761111111110949</v>
      </c>
      <c r="CL842" t="str">
        <f t="shared" si="585"/>
        <v>NON-REV</v>
      </c>
      <c r="CM842" t="str">
        <f t="shared" si="586"/>
        <v>0-3 MONTHS</v>
      </c>
      <c r="CN842" s="635"/>
      <c r="CO842" s="631"/>
      <c r="CP842" s="629"/>
      <c r="CQ842" s="635"/>
      <c r="CR842" s="697"/>
      <c r="CS842" s="633"/>
      <c r="CT842" s="635"/>
      <c r="CU842" s="631"/>
      <c r="CV842" s="638"/>
      <c r="CW842" s="853"/>
      <c r="CX842" s="856"/>
      <c r="CY842" s="856"/>
    </row>
    <row r="843" spans="1:103" s="359" customFormat="1" ht="15" customHeight="1" x14ac:dyDescent="0.25">
      <c r="A843" s="242">
        <v>45876</v>
      </c>
      <c r="B843" s="222">
        <v>45876</v>
      </c>
      <c r="C843" s="852"/>
      <c r="D843" s="66" t="s">
        <v>284</v>
      </c>
      <c r="E843" s="404" t="s">
        <v>3926</v>
      </c>
      <c r="F843" s="95" t="s">
        <v>3927</v>
      </c>
      <c r="G843" s="95" t="s">
        <v>1772</v>
      </c>
      <c r="H843" s="95" t="s">
        <v>238</v>
      </c>
      <c r="I843" s="95" t="s">
        <v>239</v>
      </c>
      <c r="J843" s="854"/>
      <c r="K843" s="855"/>
      <c r="L843" s="101" t="s">
        <v>242</v>
      </c>
      <c r="M843" s="101" t="s">
        <v>272</v>
      </c>
      <c r="N843" s="442" t="s">
        <v>467</v>
      </c>
      <c r="O843" s="165">
        <v>36.81</v>
      </c>
      <c r="P843" s="165">
        <v>36.81</v>
      </c>
      <c r="Q843" s="157">
        <v>34.5</v>
      </c>
      <c r="R843" s="109" t="s">
        <v>244</v>
      </c>
      <c r="S843" s="110">
        <v>247888.96</v>
      </c>
      <c r="T843" s="93">
        <v>31631.309999999998</v>
      </c>
      <c r="U843" s="857"/>
      <c r="V843" s="158">
        <f t="shared" si="666"/>
        <v>0</v>
      </c>
      <c r="W843" s="159">
        <v>45868.451388888891</v>
      </c>
      <c r="X843" s="159">
        <v>45875.628472222219</v>
      </c>
      <c r="Y843" s="160">
        <v>45876</v>
      </c>
      <c r="Z843" s="942">
        <v>45881.597916666666</v>
      </c>
      <c r="AA843" s="942">
        <v>45881.597916666666</v>
      </c>
      <c r="AB843" s="942"/>
      <c r="AC843" s="161">
        <f t="shared" si="647"/>
        <v>13.146527777775191</v>
      </c>
      <c r="AD843" s="161">
        <f t="shared" si="648"/>
        <v>5.9694444444467081</v>
      </c>
      <c r="AE843" s="446">
        <f t="shared" si="649"/>
        <v>-45881.597916666666</v>
      </c>
      <c r="AF843" s="160">
        <f t="shared" si="650"/>
        <v>45887.225582437277</v>
      </c>
      <c r="AG843" s="160">
        <f t="shared" si="651"/>
        <v>45896.032034050178</v>
      </c>
      <c r="AH843" s="159">
        <f t="shared" si="652"/>
        <v>45918.451388888891</v>
      </c>
      <c r="AI843" s="162">
        <f t="shared" si="653"/>
        <v>0.45282484567892317</v>
      </c>
      <c r="AJ843" s="224">
        <f t="shared" si="654"/>
        <v>-764.69329861111112</v>
      </c>
      <c r="AK843" s="225">
        <f t="shared" si="655"/>
        <v>20</v>
      </c>
      <c r="AL843" s="170">
        <f t="shared" si="656"/>
        <v>36</v>
      </c>
      <c r="AM843" s="170">
        <f t="shared" si="657"/>
        <v>21.774193548387096</v>
      </c>
      <c r="AN843" s="170">
        <f t="shared" si="658"/>
        <v>27.58064516129032</v>
      </c>
      <c r="AO843" s="226">
        <f t="shared" si="659"/>
        <v>18.774193548387096</v>
      </c>
      <c r="AP843" s="227">
        <v>60</v>
      </c>
      <c r="AQ843" s="228">
        <f t="shared" si="660"/>
        <v>57</v>
      </c>
      <c r="AR843" s="228">
        <f t="shared" si="661"/>
        <v>52</v>
      </c>
      <c r="AS843" s="229">
        <f t="shared" si="662"/>
        <v>45941.597916666666</v>
      </c>
      <c r="AT843" s="982">
        <f t="shared" ca="1" si="663"/>
        <v>13.402083333334303</v>
      </c>
      <c r="AU843" s="50"/>
      <c r="AV843" s="51"/>
      <c r="AW843" s="49"/>
      <c r="AX843" s="49"/>
      <c r="AY843" s="49"/>
      <c r="AZ843" s="300"/>
      <c r="BA843" s="52"/>
      <c r="BB843" s="304"/>
      <c r="BC843" s="231" t="s">
        <v>13</v>
      </c>
      <c r="BD843" s="232"/>
      <c r="BE843" s="222">
        <f t="shared" si="664"/>
        <v>45896.597916666666</v>
      </c>
      <c r="BF843" s="233" t="e">
        <f t="shared" si="665"/>
        <v>#VALUE!</v>
      </c>
      <c r="BG843" s="234"/>
      <c r="BH843" s="235"/>
      <c r="BI843" s="234"/>
      <c r="BJ843" s="236"/>
      <c r="BK843" s="222"/>
      <c r="BL843" s="222"/>
      <c r="BM843" s="238"/>
      <c r="BN843" s="222"/>
      <c r="BO843" s="222"/>
      <c r="BP843" s="243"/>
      <c r="BQ843" s="244"/>
      <c r="BR843" s="238"/>
      <c r="BS843" s="68"/>
      <c r="BT843" s="69"/>
      <c r="BU843" s="69"/>
      <c r="BV843" s="69"/>
      <c r="BW843" s="75"/>
      <c r="BX843" s="81"/>
      <c r="BY843" s="66">
        <v>45874</v>
      </c>
      <c r="BZ843" s="944" t="s">
        <v>3928</v>
      </c>
      <c r="CA843" s="42"/>
      <c r="CB843" s="62"/>
      <c r="CC843" s="62"/>
      <c r="CD843" s="42"/>
      <c r="CE843" s="42"/>
      <c r="CF843" s="145">
        <f t="shared" si="646"/>
        <v>-12.597916666665697</v>
      </c>
      <c r="CG843" s="145"/>
      <c r="CH843" s="443">
        <f t="shared" si="581"/>
        <v>1.8896604938215912E-2</v>
      </c>
      <c r="CI843" s="996">
        <f t="shared" si="582"/>
        <v>1.8896604938215912E-2</v>
      </c>
      <c r="CJ843" s="261">
        <f t="shared" si="583"/>
        <v>-0.20996527777776161</v>
      </c>
      <c r="CK843" s="458" t="str">
        <f t="shared" si="584"/>
        <v/>
      </c>
      <c r="CL843" t="str">
        <f t="shared" si="585"/>
        <v>REV</v>
      </c>
      <c r="CM843" t="str">
        <f t="shared" si="586"/>
        <v/>
      </c>
      <c r="CN843" s="635"/>
      <c r="CO843" s="631"/>
      <c r="CP843" s="629"/>
      <c r="CQ843" s="635"/>
      <c r="CR843" s="697"/>
      <c r="CS843" s="633"/>
      <c r="CT843" s="635"/>
      <c r="CU843" s="631"/>
      <c r="CV843" s="638"/>
      <c r="CW843" s="853"/>
      <c r="CX843" s="856"/>
      <c r="CY843" s="856"/>
    </row>
    <row r="844" spans="1:103" s="359" customFormat="1" ht="15" customHeight="1" x14ac:dyDescent="0.25">
      <c r="A844" s="242">
        <v>45882</v>
      </c>
      <c r="B844" s="222">
        <v>45877</v>
      </c>
      <c r="C844" s="852"/>
      <c r="D844" s="66" t="s">
        <v>320</v>
      </c>
      <c r="E844" s="404" t="s">
        <v>3929</v>
      </c>
      <c r="F844" s="95" t="s">
        <v>3930</v>
      </c>
      <c r="G844" s="95" t="s">
        <v>3931</v>
      </c>
      <c r="H844" s="95" t="s">
        <v>253</v>
      </c>
      <c r="I844" s="95" t="s">
        <v>254</v>
      </c>
      <c r="J844" s="854"/>
      <c r="K844" s="855"/>
      <c r="L844" s="101" t="s">
        <v>263</v>
      </c>
      <c r="M844" s="101" t="s">
        <v>331</v>
      </c>
      <c r="N844" s="442" t="s">
        <v>467</v>
      </c>
      <c r="O844" s="165">
        <v>37.83</v>
      </c>
      <c r="P844" s="165">
        <v>191.59</v>
      </c>
      <c r="Q844" s="157">
        <v>0</v>
      </c>
      <c r="R844" s="109" t="s">
        <v>327</v>
      </c>
      <c r="S844" s="110">
        <v>229981.27</v>
      </c>
      <c r="T844" s="93">
        <v>32504.12</v>
      </c>
      <c r="U844" s="857"/>
      <c r="V844" s="158">
        <f t="shared" si="666"/>
        <v>0</v>
      </c>
      <c r="W844" s="159">
        <v>45869.720833333333</v>
      </c>
      <c r="X844" s="1136">
        <v>45881.631249999999</v>
      </c>
      <c r="Y844" s="160">
        <v>45877</v>
      </c>
      <c r="Z844" s="470"/>
      <c r="AA844" s="942"/>
      <c r="AB844" s="942"/>
      <c r="AC844" s="161">
        <f t="shared" si="647"/>
        <v>-45869.720833333333</v>
      </c>
      <c r="AD844" s="161">
        <f t="shared" si="648"/>
        <v>-45881.631249999999</v>
      </c>
      <c r="AE844" s="446">
        <f t="shared" si="649"/>
        <v>0</v>
      </c>
      <c r="AF844" s="160">
        <f t="shared" si="650"/>
        <v>45890.927729885057</v>
      </c>
      <c r="AG844" s="160">
        <f t="shared" si="651"/>
        <v>45900.38290229885</v>
      </c>
      <c r="AH844" s="159">
        <f t="shared" si="652"/>
        <v>45919.720833333333</v>
      </c>
      <c r="AI844" s="162">
        <f t="shared" si="653"/>
        <v>-1421.1772480413106</v>
      </c>
      <c r="AJ844" s="224">
        <f t="shared" si="654"/>
        <v>0</v>
      </c>
      <c r="AK844" s="225">
        <f t="shared" si="655"/>
        <v>26</v>
      </c>
      <c r="AL844" s="170">
        <f t="shared" si="656"/>
        <v>36</v>
      </c>
      <c r="AM844" s="170">
        <f t="shared" si="657"/>
        <v>24.206896551724139</v>
      </c>
      <c r="AN844" s="170">
        <f t="shared" si="658"/>
        <v>30.662068965517239</v>
      </c>
      <c r="AO844" s="226">
        <f t="shared" si="659"/>
        <v>21.206896551724139</v>
      </c>
      <c r="AP844" s="227">
        <v>60</v>
      </c>
      <c r="AQ844" s="228">
        <f t="shared" si="660"/>
        <v>57</v>
      </c>
      <c r="AR844" s="228">
        <f t="shared" si="661"/>
        <v>52</v>
      </c>
      <c r="AS844" s="229">
        <f t="shared" si="662"/>
        <v>60</v>
      </c>
      <c r="AT844" s="982">
        <f t="shared" ca="1" si="663"/>
        <v>45895</v>
      </c>
      <c r="AU844" s="50"/>
      <c r="AV844" s="51"/>
      <c r="AW844" s="49"/>
      <c r="AX844" s="49"/>
      <c r="AY844" s="49"/>
      <c r="AZ844" s="300"/>
      <c r="BA844" s="52"/>
      <c r="BB844" s="304"/>
      <c r="BC844" s="231"/>
      <c r="BD844" s="232"/>
      <c r="BE844" s="222">
        <f t="shared" si="664"/>
        <v>15</v>
      </c>
      <c r="BF844" s="233">
        <f t="shared" si="665"/>
        <v>0</v>
      </c>
      <c r="BG844" s="234"/>
      <c r="BH844" s="235"/>
      <c r="BI844" s="234"/>
      <c r="BJ844" s="236"/>
      <c r="BK844" s="222"/>
      <c r="BL844" s="222"/>
      <c r="BM844" s="238"/>
      <c r="BN844" s="222"/>
      <c r="BO844" s="222"/>
      <c r="BP844" s="243"/>
      <c r="BQ844" s="244"/>
      <c r="BR844" s="238"/>
      <c r="BS844" s="68"/>
      <c r="BT844" s="69"/>
      <c r="BU844" s="69"/>
      <c r="BV844" s="69"/>
      <c r="BW844" s="75"/>
      <c r="BX844" s="81"/>
      <c r="BY844" s="66">
        <v>45874</v>
      </c>
      <c r="BZ844" s="944" t="s">
        <v>3932</v>
      </c>
      <c r="CA844" s="42"/>
      <c r="CB844" s="62"/>
      <c r="CC844" s="62"/>
      <c r="CD844" s="42"/>
      <c r="CE844" s="42"/>
      <c r="CF844" s="145" t="str">
        <f t="shared" si="646"/>
        <v>0</v>
      </c>
      <c r="CG844" s="145"/>
      <c r="CH844" s="443">
        <f t="shared" si="581"/>
        <v>-2.2333511395996368E-2</v>
      </c>
      <c r="CI844" s="996">
        <f t="shared" si="582"/>
        <v>-2.2333511395996368E-2</v>
      </c>
      <c r="CJ844" s="261">
        <f t="shared" si="583"/>
        <v>0</v>
      </c>
      <c r="CK844" s="458">
        <f t="shared" si="584"/>
        <v>-13.720833333332848</v>
      </c>
      <c r="CL844" t="str">
        <f t="shared" si="585"/>
        <v>NON-REV</v>
      </c>
      <c r="CM844" t="str">
        <f t="shared" si="586"/>
        <v>0-3 MONTHS</v>
      </c>
      <c r="CN844" s="635"/>
      <c r="CO844" s="631"/>
      <c r="CP844" s="629"/>
      <c r="CQ844" s="635"/>
      <c r="CR844" s="697"/>
      <c r="CS844" s="633"/>
      <c r="CT844" s="635"/>
      <c r="CU844" s="631"/>
      <c r="CV844" s="638"/>
      <c r="CW844" s="853"/>
      <c r="CX844" s="856"/>
      <c r="CY844" s="856"/>
    </row>
    <row r="845" spans="1:103" s="1103" customFormat="1" ht="15" customHeight="1" x14ac:dyDescent="0.2">
      <c r="A845" s="242"/>
      <c r="B845" s="222">
        <v>45876</v>
      </c>
      <c r="C845" s="852"/>
      <c r="D845" s="66" t="s">
        <v>320</v>
      </c>
      <c r="E845" s="404" t="s">
        <v>3933</v>
      </c>
      <c r="F845" s="95" t="s">
        <v>3934</v>
      </c>
      <c r="G845" s="95" t="s">
        <v>3935</v>
      </c>
      <c r="H845" s="95" t="s">
        <v>269</v>
      </c>
      <c r="I845" s="95" t="s">
        <v>239</v>
      </c>
      <c r="J845" s="1134" t="s">
        <v>3638</v>
      </c>
      <c r="K845" s="855"/>
      <c r="L845" s="101" t="s">
        <v>255</v>
      </c>
      <c r="M845" s="101" t="s">
        <v>331</v>
      </c>
      <c r="N845" s="442" t="s">
        <v>403</v>
      </c>
      <c r="O845" s="165">
        <v>25.91</v>
      </c>
      <c r="P845" s="165">
        <v>25.91</v>
      </c>
      <c r="Q845" s="157">
        <v>40</v>
      </c>
      <c r="R845" s="109" t="s">
        <v>244</v>
      </c>
      <c r="S845" s="110">
        <v>217753.95</v>
      </c>
      <c r="T845" s="1133">
        <v>22263.84</v>
      </c>
      <c r="U845" s="857"/>
      <c r="V845" s="158">
        <f t="shared" si="666"/>
        <v>0</v>
      </c>
      <c r="W845" s="159">
        <v>45869.708333333336</v>
      </c>
      <c r="X845" s="159">
        <v>45875.634027777778</v>
      </c>
      <c r="Y845" s="160">
        <v>45876</v>
      </c>
      <c r="Z845" s="470"/>
      <c r="AA845" s="942"/>
      <c r="AB845" s="942"/>
      <c r="AC845" s="161">
        <f t="shared" si="647"/>
        <v>-45869.708333333336</v>
      </c>
      <c r="AD845" s="161">
        <f t="shared" si="648"/>
        <v>-45875.634027777778</v>
      </c>
      <c r="AE845" s="446">
        <f t="shared" si="649"/>
        <v>0</v>
      </c>
      <c r="AF845" s="160">
        <f t="shared" si="650"/>
        <v>45888.482526881722</v>
      </c>
      <c r="AG845" s="160">
        <f t="shared" si="651"/>
        <v>45897.288978494624</v>
      </c>
      <c r="AH845" s="159">
        <f t="shared" si="652"/>
        <v>45919.708333333336</v>
      </c>
      <c r="AI845" s="162">
        <f t="shared" si="653"/>
        <v>-1579.9566203703703</v>
      </c>
      <c r="AJ845" s="224">
        <f t="shared" si="654"/>
        <v>0</v>
      </c>
      <c r="AK845" s="225">
        <f t="shared" si="655"/>
        <v>20</v>
      </c>
      <c r="AL845" s="170">
        <f t="shared" si="656"/>
        <v>36</v>
      </c>
      <c r="AM845" s="170">
        <f t="shared" si="657"/>
        <v>21.774193548387096</v>
      </c>
      <c r="AN845" s="170">
        <f t="shared" si="658"/>
        <v>27.58064516129032</v>
      </c>
      <c r="AO845" s="226">
        <f t="shared" si="659"/>
        <v>18.774193548387096</v>
      </c>
      <c r="AP845" s="227">
        <v>60</v>
      </c>
      <c r="AQ845" s="228">
        <f t="shared" si="660"/>
        <v>57</v>
      </c>
      <c r="AR845" s="228">
        <f t="shared" si="661"/>
        <v>52</v>
      </c>
      <c r="AS845" s="229">
        <f t="shared" si="662"/>
        <v>60</v>
      </c>
      <c r="AT845" s="982">
        <f t="shared" ca="1" si="663"/>
        <v>45895</v>
      </c>
      <c r="AU845" s="1077"/>
      <c r="AV845" s="1092"/>
      <c r="AW845" s="1079"/>
      <c r="AX845" s="1079"/>
      <c r="AY845" s="1079"/>
      <c r="AZ845" s="1080"/>
      <c r="BA845" s="1101"/>
      <c r="BB845" s="1091"/>
      <c r="BC845" s="231"/>
      <c r="BD845" s="232"/>
      <c r="BE845" s="222">
        <f t="shared" si="664"/>
        <v>15</v>
      </c>
      <c r="BF845" s="233">
        <f t="shared" si="665"/>
        <v>0</v>
      </c>
      <c r="BG845" s="234"/>
      <c r="BH845" s="235"/>
      <c r="BI845" s="234"/>
      <c r="BJ845" s="236"/>
      <c r="BK845" s="222"/>
      <c r="BL845" s="222"/>
      <c r="BM845" s="238"/>
      <c r="BN845" s="222"/>
      <c r="BO845" s="222"/>
      <c r="BP845" s="243"/>
      <c r="BQ845" s="244"/>
      <c r="BR845" s="238"/>
      <c r="BS845" s="68"/>
      <c r="BT845" s="69"/>
      <c r="BU845" s="69"/>
      <c r="BV845" s="69"/>
      <c r="BW845" s="75"/>
      <c r="BX845" s="81"/>
      <c r="BY845" s="66">
        <v>45874</v>
      </c>
      <c r="BZ845" s="404" t="s">
        <v>3936</v>
      </c>
      <c r="CA845" s="42"/>
      <c r="CB845" s="62"/>
      <c r="CC845" s="62"/>
      <c r="CD845" s="42"/>
      <c r="CE845" s="42"/>
      <c r="CF845" s="1059" t="str">
        <f t="shared" si="646"/>
        <v>0</v>
      </c>
      <c r="CG845" s="1059"/>
      <c r="CH845" s="1082">
        <f t="shared" si="581"/>
        <v>-2.4398148148231685E-2</v>
      </c>
      <c r="CI845" s="1083">
        <f t="shared" si="582"/>
        <v>-2.4398148148231685E-2</v>
      </c>
      <c r="CJ845" s="1084">
        <f t="shared" si="583"/>
        <v>0</v>
      </c>
      <c r="CK845" s="1085">
        <f t="shared" si="584"/>
        <v>-13.708333333335759</v>
      </c>
      <c r="CL845" s="1057" t="str">
        <f t="shared" si="585"/>
        <v>REV</v>
      </c>
      <c r="CM845" s="1057" t="str">
        <f t="shared" si="586"/>
        <v>0-3 MONTHS</v>
      </c>
      <c r="CN845" s="1086"/>
      <c r="CO845" s="1087"/>
      <c r="CP845" s="629"/>
      <c r="CQ845" s="1086"/>
      <c r="CR845" s="1088"/>
      <c r="CS845" s="1089"/>
      <c r="CT845" s="1086"/>
      <c r="CU845" s="1087"/>
      <c r="CV845" s="1090"/>
      <c r="CW845" s="853"/>
      <c r="CX845" s="856"/>
      <c r="CY845" s="856"/>
    </row>
    <row r="846" spans="1:103" s="359" customFormat="1" ht="15" customHeight="1" x14ac:dyDescent="0.25">
      <c r="A846" s="242"/>
      <c r="B846" s="222">
        <v>45876</v>
      </c>
      <c r="C846" s="852"/>
      <c r="D846" s="66" t="s">
        <v>320</v>
      </c>
      <c r="E846" s="404" t="s">
        <v>3937</v>
      </c>
      <c r="F846" s="95" t="s">
        <v>3938</v>
      </c>
      <c r="G846" s="95" t="s">
        <v>3939</v>
      </c>
      <c r="H846" s="95" t="s">
        <v>238</v>
      </c>
      <c r="I846" s="95" t="s">
        <v>239</v>
      </c>
      <c r="J846" s="854" t="s">
        <v>3940</v>
      </c>
      <c r="K846" s="855"/>
      <c r="L846" s="101" t="s">
        <v>5</v>
      </c>
      <c r="M846" s="101" t="s">
        <v>272</v>
      </c>
      <c r="N846" s="442" t="s">
        <v>403</v>
      </c>
      <c r="O846" s="165">
        <v>148.27000000000001</v>
      </c>
      <c r="P846" s="165">
        <v>188.83</v>
      </c>
      <c r="Q846" s="157">
        <v>42</v>
      </c>
      <c r="R846" s="109" t="s">
        <v>244</v>
      </c>
      <c r="S846" s="110">
        <v>527240.99</v>
      </c>
      <c r="T846" s="93">
        <v>127393.09</v>
      </c>
      <c r="U846" s="857"/>
      <c r="V846" s="158">
        <f t="shared" si="666"/>
        <v>0</v>
      </c>
      <c r="W846" s="159">
        <v>45869.555555555555</v>
      </c>
      <c r="X846" s="159">
        <v>45875.634722222225</v>
      </c>
      <c r="Y846" s="160">
        <v>45876</v>
      </c>
      <c r="Z846" s="470"/>
      <c r="AA846" s="942">
        <v>45889.594444444447</v>
      </c>
      <c r="AB846" s="942"/>
      <c r="AC846" s="161">
        <f t="shared" si="647"/>
        <v>20.038888888891961</v>
      </c>
      <c r="AD846" s="161">
        <f t="shared" si="648"/>
        <v>13.959722222221899</v>
      </c>
      <c r="AE846" s="446">
        <f t="shared" si="649"/>
        <v>-45889.594444444447</v>
      </c>
      <c r="AF846" s="160">
        <f t="shared" si="650"/>
        <v>45890.762452107279</v>
      </c>
      <c r="AG846" s="160">
        <f t="shared" si="651"/>
        <v>45900.217624521072</v>
      </c>
      <c r="AH846" s="159">
        <f t="shared" si="652"/>
        <v>45919.555555555555</v>
      </c>
      <c r="AI846" s="162">
        <f t="shared" si="653"/>
        <v>0.62086301044643899</v>
      </c>
      <c r="AJ846" s="224">
        <f t="shared" si="654"/>
        <v>-764.82657407407407</v>
      </c>
      <c r="AK846" s="225">
        <f t="shared" si="655"/>
        <v>26</v>
      </c>
      <c r="AL846" s="170">
        <f t="shared" si="656"/>
        <v>36</v>
      </c>
      <c r="AM846" s="170">
        <f t="shared" si="657"/>
        <v>24.206896551724139</v>
      </c>
      <c r="AN846" s="170">
        <f t="shared" si="658"/>
        <v>30.662068965517239</v>
      </c>
      <c r="AO846" s="226">
        <f t="shared" si="659"/>
        <v>21.206896551724139</v>
      </c>
      <c r="AP846" s="227">
        <v>60</v>
      </c>
      <c r="AQ846" s="228">
        <f t="shared" si="660"/>
        <v>57</v>
      </c>
      <c r="AR846" s="228">
        <f t="shared" si="661"/>
        <v>52</v>
      </c>
      <c r="AS846" s="229">
        <f t="shared" si="662"/>
        <v>45949.594444444447</v>
      </c>
      <c r="AT846" s="982">
        <f t="shared" ca="1" si="663"/>
        <v>5.4055555555532919</v>
      </c>
      <c r="AU846" s="50"/>
      <c r="AV846" s="51"/>
      <c r="AW846" s="49"/>
      <c r="AX846" s="49"/>
      <c r="AY846" s="49"/>
      <c r="AZ846" s="300"/>
      <c r="BA846" s="52"/>
      <c r="BB846" s="304"/>
      <c r="BC846" s="231" t="s">
        <v>13</v>
      </c>
      <c r="BD846" s="232"/>
      <c r="BE846" s="222">
        <f t="shared" si="664"/>
        <v>45904.594444444447</v>
      </c>
      <c r="BF846" s="233" t="e">
        <f>IF(ISBLANK(AA846),0,IF(ISBLANK(BH846),(BE846-$L$1),(BH846-BE846)))</f>
        <v>#VALUE!</v>
      </c>
      <c r="BG846" s="234"/>
      <c r="BH846" s="235"/>
      <c r="BI846" s="234"/>
      <c r="BJ846" s="236"/>
      <c r="BK846" s="222"/>
      <c r="BL846" s="222"/>
      <c r="BM846" s="238"/>
      <c r="BN846" s="222"/>
      <c r="BO846" s="222"/>
      <c r="BP846" s="243"/>
      <c r="BQ846" s="244"/>
      <c r="BR846" s="238"/>
      <c r="BS846" s="68"/>
      <c r="BT846" s="69"/>
      <c r="BU846" s="69"/>
      <c r="BV846" s="69"/>
      <c r="BW846" s="75"/>
      <c r="BX846" s="81"/>
      <c r="BY846" s="66">
        <v>45874</v>
      </c>
      <c r="BZ846" s="944" t="s">
        <v>3941</v>
      </c>
      <c r="CA846" s="42"/>
      <c r="CB846" s="62"/>
      <c r="CC846" s="62"/>
      <c r="CD846" s="42"/>
      <c r="CE846" s="42"/>
      <c r="CF846" s="145">
        <f t="shared" si="646"/>
        <v>-20.594444444446708</v>
      </c>
      <c r="CG846" s="145"/>
      <c r="CH846" s="443">
        <f t="shared" si="581"/>
        <v>-1.7212725546033831E-2</v>
      </c>
      <c r="CI846" s="996">
        <f t="shared" si="582"/>
        <v>-1.7212725546033831E-2</v>
      </c>
      <c r="CJ846" s="261">
        <f t="shared" si="583"/>
        <v>-0.34324074074077848</v>
      </c>
      <c r="CK846" s="458" t="str">
        <f t="shared" si="584"/>
        <v/>
      </c>
      <c r="CL846" t="str">
        <f t="shared" si="585"/>
        <v>REV</v>
      </c>
      <c r="CM846" t="str">
        <f t="shared" si="586"/>
        <v/>
      </c>
      <c r="CN846" s="635"/>
      <c r="CO846" s="631"/>
      <c r="CP846" s="629"/>
      <c r="CQ846" s="635"/>
      <c r="CR846" s="697"/>
      <c r="CS846" s="633"/>
      <c r="CT846" s="635"/>
      <c r="CU846" s="631"/>
      <c r="CV846" s="638"/>
      <c r="CW846" s="853"/>
      <c r="CX846" s="856"/>
      <c r="CY846" s="856"/>
    </row>
    <row r="847" spans="1:103" s="359" customFormat="1" ht="15" customHeight="1" x14ac:dyDescent="0.25">
      <c r="A847" s="242"/>
      <c r="B847" s="222" t="s">
        <v>308</v>
      </c>
      <c r="C847" s="852"/>
      <c r="D847" s="66" t="s">
        <v>320</v>
      </c>
      <c r="E847" s="404" t="s">
        <v>3942</v>
      </c>
      <c r="F847" s="95" t="s">
        <v>3943</v>
      </c>
      <c r="G847" s="95" t="s">
        <v>3944</v>
      </c>
      <c r="H847" s="95" t="s">
        <v>318</v>
      </c>
      <c r="I847" s="95" t="s">
        <v>239</v>
      </c>
      <c r="J847" s="854"/>
      <c r="K847" s="855"/>
      <c r="L847" s="101" t="s">
        <v>1945</v>
      </c>
      <c r="M847" s="101" t="s">
        <v>272</v>
      </c>
      <c r="N847" s="442" t="s">
        <v>1946</v>
      </c>
      <c r="O847" s="165">
        <v>26.83</v>
      </c>
      <c r="P847" s="165">
        <v>26.83</v>
      </c>
      <c r="Q847" s="157">
        <v>53</v>
      </c>
      <c r="R847" s="109" t="s">
        <v>548</v>
      </c>
      <c r="S847" s="110">
        <v>218940.69</v>
      </c>
      <c r="T847" s="93">
        <v>18979.170000000002</v>
      </c>
      <c r="U847" s="857"/>
      <c r="V847" s="158">
        <f t="shared" si="666"/>
        <v>0</v>
      </c>
      <c r="W847" s="159">
        <v>45869.421527777777</v>
      </c>
      <c r="X847" s="159">
        <v>45873.362500000003</v>
      </c>
      <c r="Y847" s="160">
        <v>45876</v>
      </c>
      <c r="Z847" s="470"/>
      <c r="AA847" s="942">
        <v>45877</v>
      </c>
      <c r="AB847" s="942"/>
      <c r="AC847" s="161">
        <f t="shared" si="647"/>
        <v>7.578472222223354</v>
      </c>
      <c r="AD847" s="161">
        <f t="shared" si="648"/>
        <v>3.6374999999970896</v>
      </c>
      <c r="AE847" s="446">
        <f t="shared" si="649"/>
        <v>-45877</v>
      </c>
      <c r="AF847" s="160">
        <f t="shared" si="650"/>
        <v>45887.495907943063</v>
      </c>
      <c r="AG847" s="160">
        <f t="shared" si="651"/>
        <v>45896.115742653812</v>
      </c>
      <c r="AH847" s="159">
        <f t="shared" si="652"/>
        <v>45919.421527777777</v>
      </c>
      <c r="AI847" s="162">
        <f t="shared" si="653"/>
        <v>0.26970445261441933</v>
      </c>
      <c r="AJ847" s="224">
        <f t="shared" si="654"/>
        <v>-764.61666666666667</v>
      </c>
      <c r="AK847" s="225">
        <f t="shared" si="655"/>
        <v>20</v>
      </c>
      <c r="AL847" s="170">
        <f t="shared" si="656"/>
        <v>34</v>
      </c>
      <c r="AM847" s="170">
        <f t="shared" si="657"/>
        <v>21.074380165289259</v>
      </c>
      <c r="AN847" s="170">
        <f t="shared" si="658"/>
        <v>26.694214876033058</v>
      </c>
      <c r="AO847" s="226">
        <f t="shared" si="659"/>
        <v>18.074380165289259</v>
      </c>
      <c r="AP847" s="227">
        <v>60</v>
      </c>
      <c r="AQ847" s="228">
        <f t="shared" si="660"/>
        <v>57</v>
      </c>
      <c r="AR847" s="228">
        <f t="shared" si="661"/>
        <v>52</v>
      </c>
      <c r="AS847" s="229">
        <f t="shared" si="662"/>
        <v>45937</v>
      </c>
      <c r="AT847" s="982">
        <f t="shared" ca="1" si="663"/>
        <v>18</v>
      </c>
      <c r="AU847" s="50"/>
      <c r="AV847" s="51"/>
      <c r="AW847" s="49"/>
      <c r="AX847" s="49"/>
      <c r="AY847" s="49"/>
      <c r="AZ847" s="300"/>
      <c r="BA847" s="52"/>
      <c r="BB847" s="304"/>
      <c r="BC847" s="231" t="s">
        <v>13</v>
      </c>
      <c r="BD847" s="232"/>
      <c r="BE847" s="222">
        <f t="shared" si="664"/>
        <v>45892</v>
      </c>
      <c r="BF847" s="233" t="e">
        <f t="shared" si="665"/>
        <v>#VALUE!</v>
      </c>
      <c r="BG847" s="234"/>
      <c r="BH847" s="235"/>
      <c r="BI847" s="234"/>
      <c r="BJ847" s="236"/>
      <c r="BK847" s="222"/>
      <c r="BL847" s="222"/>
      <c r="BM847" s="238"/>
      <c r="BN847" s="222"/>
      <c r="BO847" s="222"/>
      <c r="BP847" s="243"/>
      <c r="BQ847" s="244"/>
      <c r="BR847" s="238"/>
      <c r="BS847" s="68"/>
      <c r="BT847" s="69"/>
      <c r="BU847" s="69"/>
      <c r="BV847" s="69"/>
      <c r="BW847" s="75"/>
      <c r="BX847" s="81"/>
      <c r="BY847" s="66"/>
      <c r="BZ847" s="944"/>
      <c r="CA847" s="42"/>
      <c r="CB847" s="62"/>
      <c r="CC847" s="62"/>
      <c r="CD847" s="42"/>
      <c r="CE847" s="42"/>
      <c r="CF847" s="145">
        <f t="shared" si="646"/>
        <v>-8</v>
      </c>
      <c r="CG847" s="145"/>
      <c r="CH847" s="443">
        <f t="shared" si="581"/>
        <v>-1.500142973852181E-2</v>
      </c>
      <c r="CI847" s="996">
        <f t="shared" si="582"/>
        <v>-1.500142973852181E-2</v>
      </c>
      <c r="CJ847" s="261">
        <f t="shared" si="583"/>
        <v>-0.13333333333333333</v>
      </c>
      <c r="CK847" s="458" t="str">
        <f t="shared" si="584"/>
        <v/>
      </c>
      <c r="CL847" t="str">
        <f t="shared" si="585"/>
        <v>NON-REV</v>
      </c>
      <c r="CM847" t="str">
        <f t="shared" si="586"/>
        <v/>
      </c>
      <c r="CN847" s="635"/>
      <c r="CO847" s="631"/>
      <c r="CP847" s="629"/>
      <c r="CQ847" s="635"/>
      <c r="CR847" s="697"/>
      <c r="CS847" s="633"/>
      <c r="CT847" s="635"/>
      <c r="CU847" s="631"/>
      <c r="CV847" s="638"/>
      <c r="CW847" s="853"/>
      <c r="CX847" s="856"/>
      <c r="CY847" s="856"/>
    </row>
    <row r="848" spans="1:103" s="1103" customFormat="1" ht="15" customHeight="1" x14ac:dyDescent="0.2">
      <c r="A848" s="242">
        <v>45888</v>
      </c>
      <c r="B848" s="222">
        <v>45876</v>
      </c>
      <c r="C848" s="852"/>
      <c r="D848" s="66" t="s">
        <v>234</v>
      </c>
      <c r="E848" s="404" t="s">
        <v>3945</v>
      </c>
      <c r="F848" s="95" t="s">
        <v>3946</v>
      </c>
      <c r="G848" s="95" t="s">
        <v>3711</v>
      </c>
      <c r="H848" s="95" t="s">
        <v>269</v>
      </c>
      <c r="I848" s="95" t="s">
        <v>239</v>
      </c>
      <c r="J848" s="1134" t="s">
        <v>3638</v>
      </c>
      <c r="K848" s="855"/>
      <c r="L848" s="101" t="s">
        <v>255</v>
      </c>
      <c r="M848" s="101" t="s">
        <v>331</v>
      </c>
      <c r="N848" s="442" t="s">
        <v>403</v>
      </c>
      <c r="O848" s="165">
        <v>5.26</v>
      </c>
      <c r="P848" s="165">
        <v>5.26</v>
      </c>
      <c r="Q848" s="157">
        <v>26</v>
      </c>
      <c r="R848" s="109" t="s">
        <v>244</v>
      </c>
      <c r="S848" s="110">
        <v>32944.83</v>
      </c>
      <c r="T848" s="1133">
        <v>4519.49</v>
      </c>
      <c r="U848" s="857"/>
      <c r="V848" s="158">
        <f t="shared" ref="V848:V856" si="667">U848/T848</f>
        <v>0</v>
      </c>
      <c r="W848" s="159">
        <v>45873.513194444444</v>
      </c>
      <c r="X848" s="159">
        <v>45881.635416666664</v>
      </c>
      <c r="Y848" s="160">
        <v>45876</v>
      </c>
      <c r="Z848" s="470"/>
      <c r="AA848" s="942"/>
      <c r="AB848" s="942"/>
      <c r="AC848" s="161">
        <f t="shared" ref="AC848:AC858" si="668">AA848-W848</f>
        <v>-45873.513194444444</v>
      </c>
      <c r="AD848" s="161">
        <f t="shared" ref="AD848:AD858" si="669">AA848-X848</f>
        <v>-45881.635416666664</v>
      </c>
      <c r="AE848" s="446">
        <f t="shared" ref="AE848:AE858" si="670">AB848-AA848</f>
        <v>0</v>
      </c>
      <c r="AF848" s="160">
        <f t="shared" ref="AF848:AF858" si="671">W848+AO848</f>
        <v>45892.28738799283</v>
      </c>
      <c r="AG848" s="160">
        <f t="shared" ref="AG848:AG858" si="672">W848+AN848</f>
        <v>45901.093839605732</v>
      </c>
      <c r="AH848" s="159">
        <f t="shared" ref="AH848:AH858" si="673">W848+50</f>
        <v>45923.513194444444</v>
      </c>
      <c r="AI848" s="162">
        <f t="shared" ref="AI848:AI858" si="674" xml:space="preserve"> (0.3)*(AC848/AK848)+(0.7)*(AC848/AL848)</f>
        <v>-1580.0876766975307</v>
      </c>
      <c r="AJ848" s="224">
        <f t="shared" ref="AJ848:AJ858" si="675">AE848/AP848</f>
        <v>0</v>
      </c>
      <c r="AK848" s="225">
        <f t="shared" ref="AK848:AK858" si="676">IF(P848&lt;51,20,(IF(P848&lt;101,23,(IF(P848&lt;201,26,IF(P848&lt;301,28,IF(P848&lt;401,30,(IF(P848&lt;501,32,(IF(P848&lt;1001,40,50)))))))))))</f>
        <v>20</v>
      </c>
      <c r="AL848" s="170">
        <f t="shared" ref="AL848:AL858" si="677">IF(Q848&lt;51,36,(IF(Q848&lt;101,34,(IF(Q848&lt;201,32,IF(Q848&lt;301,30,IF(Q848&lt;401,28,(IF(Q848&lt;501,26,(IF(Q848&lt;1001,23,20)))))))))))</f>
        <v>36</v>
      </c>
      <c r="AM848" s="170">
        <f t="shared" ref="AM848:AM858" si="678">(0.75)/((0.3/AK848)+(0.7/AL848))</f>
        <v>21.774193548387096</v>
      </c>
      <c r="AN848" s="170">
        <f t="shared" ref="AN848:AN858" si="679">(0.95)/((0.3/AK848)+(0.7/AL848))</f>
        <v>27.58064516129032</v>
      </c>
      <c r="AO848" s="226">
        <f t="shared" ref="AO848:AO858" si="680">AM848-3</f>
        <v>18.774193548387096</v>
      </c>
      <c r="AP848" s="227">
        <v>60</v>
      </c>
      <c r="AQ848" s="228">
        <f t="shared" ref="AQ848:AQ858" si="681">0.95*AP848</f>
        <v>57</v>
      </c>
      <c r="AR848" s="228">
        <f t="shared" ref="AR848:AR858" si="682">AQ848-5</f>
        <v>52</v>
      </c>
      <c r="AS848" s="229">
        <f t="shared" ref="AS848:AS858" si="683">AA848+AP848</f>
        <v>60</v>
      </c>
      <c r="AT848" s="982">
        <f t="shared" ref="AT848:AT858" ca="1" si="684">IFERROR(TODAY()-AA848,"")</f>
        <v>45895</v>
      </c>
      <c r="AU848" s="1077"/>
      <c r="AV848" s="1092"/>
      <c r="AW848" s="1079"/>
      <c r="AX848" s="1079"/>
      <c r="AY848" s="1079"/>
      <c r="AZ848" s="1080"/>
      <c r="BA848" s="1101"/>
      <c r="BB848" s="1091"/>
      <c r="BC848" s="231"/>
      <c r="BD848" s="232"/>
      <c r="BE848" s="222">
        <f t="shared" ref="BE848:BE858" si="685">AA848+15</f>
        <v>15</v>
      </c>
      <c r="BF848" s="233">
        <f t="shared" ref="BF848:BF858" si="686">IF(ISBLANK(AA848),0,IF(ISBLANK(BH848),(BE848-$L$1),(BH848-BE848)))</f>
        <v>0</v>
      </c>
      <c r="BG848" s="234"/>
      <c r="BH848" s="235"/>
      <c r="BI848" s="234"/>
      <c r="BJ848" s="236"/>
      <c r="BK848" s="222"/>
      <c r="BL848" s="222"/>
      <c r="BM848" s="238"/>
      <c r="BN848" s="222"/>
      <c r="BO848" s="222"/>
      <c r="BP848" s="243"/>
      <c r="BQ848" s="244"/>
      <c r="BR848" s="238"/>
      <c r="BS848" s="68"/>
      <c r="BT848" s="69"/>
      <c r="BU848" s="69"/>
      <c r="BV848" s="69"/>
      <c r="BW848" s="75"/>
      <c r="BX848" s="81"/>
      <c r="BY848" s="66" t="s">
        <v>308</v>
      </c>
      <c r="BZ848" s="944" t="s">
        <v>3947</v>
      </c>
      <c r="CA848" s="42"/>
      <c r="CB848" s="62"/>
      <c r="CC848" s="62"/>
      <c r="CD848" s="42"/>
      <c r="CE848" s="42"/>
      <c r="CF848" s="1059" t="str">
        <f t="shared" si="646"/>
        <v>0</v>
      </c>
      <c r="CG848" s="1059"/>
      <c r="CH848" s="1082">
        <f t="shared" si="581"/>
        <v>-0.15545447530861967</v>
      </c>
      <c r="CI848" s="1083">
        <f t="shared" si="582"/>
        <v>-0.15545447530861967</v>
      </c>
      <c r="CJ848" s="1084">
        <f t="shared" si="583"/>
        <v>0</v>
      </c>
      <c r="CK848" s="1085">
        <f t="shared" si="584"/>
        <v>-17.513194444443798</v>
      </c>
      <c r="CL848" s="1057" t="str">
        <f t="shared" si="585"/>
        <v>REV</v>
      </c>
      <c r="CM848" s="1057" t="str">
        <f t="shared" si="586"/>
        <v>0-3 MONTHS</v>
      </c>
      <c r="CN848" s="1086"/>
      <c r="CO848" s="1087"/>
      <c r="CP848" s="629"/>
      <c r="CQ848" s="1086"/>
      <c r="CR848" s="1088"/>
      <c r="CS848" s="1089"/>
      <c r="CT848" s="1086"/>
      <c r="CU848" s="1087"/>
      <c r="CV848" s="1090"/>
      <c r="CW848" s="853"/>
      <c r="CX848" s="856"/>
      <c r="CY848" s="856"/>
    </row>
    <row r="849" spans="1:103" s="1103" customFormat="1" ht="15" customHeight="1" x14ac:dyDescent="0.2">
      <c r="A849" s="242">
        <v>45882</v>
      </c>
      <c r="B849" s="222">
        <v>45876</v>
      </c>
      <c r="C849" s="852"/>
      <c r="D849" s="66" t="s">
        <v>320</v>
      </c>
      <c r="E849" s="404" t="s">
        <v>3948</v>
      </c>
      <c r="F849" s="95" t="s">
        <v>3949</v>
      </c>
      <c r="G849" s="95" t="s">
        <v>3950</v>
      </c>
      <c r="H849" s="95" t="s">
        <v>238</v>
      </c>
      <c r="I849" s="95" t="s">
        <v>239</v>
      </c>
      <c r="J849" s="1134" t="s">
        <v>3638</v>
      </c>
      <c r="K849" s="855"/>
      <c r="L849" s="101" t="s">
        <v>255</v>
      </c>
      <c r="M849" s="101" t="s">
        <v>331</v>
      </c>
      <c r="N849" s="442" t="s">
        <v>403</v>
      </c>
      <c r="O849" s="165">
        <v>17.88</v>
      </c>
      <c r="P849" s="165">
        <v>17.88</v>
      </c>
      <c r="Q849" s="157">
        <v>40</v>
      </c>
      <c r="R849" s="109" t="s">
        <v>244</v>
      </c>
      <c r="S849" s="110">
        <v>54051.77</v>
      </c>
      <c r="T849" s="1133">
        <v>15365.98</v>
      </c>
      <c r="U849" s="857"/>
      <c r="V849" s="158">
        <f t="shared" si="667"/>
        <v>0</v>
      </c>
      <c r="W849" s="159">
        <v>45870.706944444442</v>
      </c>
      <c r="X849" s="159">
        <v>45881.635416666664</v>
      </c>
      <c r="Y849" s="160">
        <v>45876</v>
      </c>
      <c r="Z849" s="470"/>
      <c r="AA849" s="942"/>
      <c r="AB849" s="942"/>
      <c r="AC849" s="161">
        <f t="shared" si="668"/>
        <v>-45870.706944444442</v>
      </c>
      <c r="AD849" s="161">
        <f t="shared" si="669"/>
        <v>-45881.635416666664</v>
      </c>
      <c r="AE849" s="446">
        <f t="shared" si="670"/>
        <v>0</v>
      </c>
      <c r="AF849" s="160">
        <f t="shared" si="671"/>
        <v>45889.481137992829</v>
      </c>
      <c r="AG849" s="160">
        <f t="shared" si="672"/>
        <v>45898.28758960573</v>
      </c>
      <c r="AH849" s="159">
        <f t="shared" si="673"/>
        <v>45920.706944444442</v>
      </c>
      <c r="AI849" s="162">
        <f t="shared" si="674"/>
        <v>-1579.9910169753084</v>
      </c>
      <c r="AJ849" s="224">
        <f t="shared" si="675"/>
        <v>0</v>
      </c>
      <c r="AK849" s="225">
        <f t="shared" si="676"/>
        <v>20</v>
      </c>
      <c r="AL849" s="170">
        <f t="shared" si="677"/>
        <v>36</v>
      </c>
      <c r="AM849" s="170">
        <f t="shared" si="678"/>
        <v>21.774193548387096</v>
      </c>
      <c r="AN849" s="170">
        <f t="shared" si="679"/>
        <v>27.58064516129032</v>
      </c>
      <c r="AO849" s="226">
        <f t="shared" si="680"/>
        <v>18.774193548387096</v>
      </c>
      <c r="AP849" s="227">
        <v>60</v>
      </c>
      <c r="AQ849" s="228">
        <f t="shared" si="681"/>
        <v>57</v>
      </c>
      <c r="AR849" s="228">
        <f t="shared" si="682"/>
        <v>52</v>
      </c>
      <c r="AS849" s="229">
        <f t="shared" si="683"/>
        <v>60</v>
      </c>
      <c r="AT849" s="982">
        <f t="shared" ca="1" si="684"/>
        <v>45895</v>
      </c>
      <c r="AU849" s="1077"/>
      <c r="AV849" s="1092"/>
      <c r="AW849" s="1079"/>
      <c r="AX849" s="1079"/>
      <c r="AY849" s="1079"/>
      <c r="AZ849" s="1080"/>
      <c r="BA849" s="1101"/>
      <c r="BB849" s="1091"/>
      <c r="BC849" s="231"/>
      <c r="BD849" s="232"/>
      <c r="BE849" s="222">
        <f t="shared" si="685"/>
        <v>15</v>
      </c>
      <c r="BF849" s="233">
        <f t="shared" si="686"/>
        <v>0</v>
      </c>
      <c r="BG849" s="234"/>
      <c r="BH849" s="235"/>
      <c r="BI849" s="234"/>
      <c r="BJ849" s="236"/>
      <c r="BK849" s="222"/>
      <c r="BL849" s="222"/>
      <c r="BM849" s="238"/>
      <c r="BN849" s="222"/>
      <c r="BO849" s="222"/>
      <c r="BP849" s="243"/>
      <c r="BQ849" s="244"/>
      <c r="BR849" s="238"/>
      <c r="BS849" s="68"/>
      <c r="BT849" s="69"/>
      <c r="BU849" s="69"/>
      <c r="BV849" s="69"/>
      <c r="BW849" s="75"/>
      <c r="BX849" s="81"/>
      <c r="BY849" s="66">
        <v>45876</v>
      </c>
      <c r="BZ849" s="944" t="s">
        <v>3951</v>
      </c>
      <c r="CA849" s="42"/>
      <c r="CB849" s="62"/>
      <c r="CC849" s="62"/>
      <c r="CD849" s="42"/>
      <c r="CE849" s="42"/>
      <c r="CF849" s="1059" t="str">
        <f t="shared" si="646"/>
        <v>0</v>
      </c>
      <c r="CG849" s="1059"/>
      <c r="CH849" s="1082">
        <f t="shared" si="581"/>
        <v>-5.8794753086347351E-2</v>
      </c>
      <c r="CI849" s="1083">
        <f t="shared" si="582"/>
        <v>-5.8794753086347351E-2</v>
      </c>
      <c r="CJ849" s="1084">
        <f t="shared" si="583"/>
        <v>0</v>
      </c>
      <c r="CK849" s="1085">
        <f t="shared" si="584"/>
        <v>-14.706944444442343</v>
      </c>
      <c r="CL849" s="1057" t="str">
        <f t="shared" si="585"/>
        <v>REV</v>
      </c>
      <c r="CM849" s="1057" t="str">
        <f t="shared" si="586"/>
        <v>0-3 MONTHS</v>
      </c>
      <c r="CN849" s="1086"/>
      <c r="CO849" s="1087"/>
      <c r="CP849" s="629"/>
      <c r="CQ849" s="1086"/>
      <c r="CR849" s="1088"/>
      <c r="CS849" s="1089"/>
      <c r="CT849" s="1086"/>
      <c r="CU849" s="1087"/>
      <c r="CV849" s="1090"/>
      <c r="CW849" s="853"/>
      <c r="CX849" s="856"/>
      <c r="CY849" s="856"/>
    </row>
    <row r="850" spans="1:103" s="359" customFormat="1" ht="15" customHeight="1" x14ac:dyDescent="0.25">
      <c r="A850" s="242">
        <v>45888</v>
      </c>
      <c r="B850" s="222">
        <v>45876</v>
      </c>
      <c r="C850" s="852"/>
      <c r="D850" s="66" t="s">
        <v>320</v>
      </c>
      <c r="E850" s="404" t="s">
        <v>3952</v>
      </c>
      <c r="F850" s="95" t="s">
        <v>3953</v>
      </c>
      <c r="G850" s="95" t="s">
        <v>3954</v>
      </c>
      <c r="H850" s="95" t="s">
        <v>269</v>
      </c>
      <c r="I850" s="95" t="s">
        <v>239</v>
      </c>
      <c r="J850" s="854" t="s">
        <v>3955</v>
      </c>
      <c r="K850" s="855"/>
      <c r="L850" s="101" t="s">
        <v>5</v>
      </c>
      <c r="M850" s="101" t="s">
        <v>331</v>
      </c>
      <c r="N850" s="442" t="s">
        <v>403</v>
      </c>
      <c r="O850" s="165">
        <v>68.989999999999995</v>
      </c>
      <c r="P850" s="165">
        <v>147.27000000000001</v>
      </c>
      <c r="Q850" s="157">
        <v>75</v>
      </c>
      <c r="R850" s="109" t="s">
        <v>244</v>
      </c>
      <c r="S850" s="110">
        <v>397281.96</v>
      </c>
      <c r="T850" s="93">
        <v>59273.77</v>
      </c>
      <c r="U850" s="857"/>
      <c r="V850" s="158">
        <f t="shared" si="667"/>
        <v>0</v>
      </c>
      <c r="W850" s="159">
        <v>45873.505555555559</v>
      </c>
      <c r="X850" s="159">
        <v>45881.636111111111</v>
      </c>
      <c r="Y850" s="160">
        <v>45876</v>
      </c>
      <c r="Z850" s="470"/>
      <c r="AA850" s="942"/>
      <c r="AB850" s="942"/>
      <c r="AC850" s="161">
        <f t="shared" si="668"/>
        <v>-45873.505555555559</v>
      </c>
      <c r="AD850" s="161">
        <f t="shared" si="669"/>
        <v>-45881.636111111111</v>
      </c>
      <c r="AE850" s="446">
        <f t="shared" si="670"/>
        <v>0</v>
      </c>
      <c r="AF850" s="160">
        <f t="shared" si="671"/>
        <v>45893.850625978092</v>
      </c>
      <c r="AG850" s="160">
        <f t="shared" si="672"/>
        <v>45903.075978090768</v>
      </c>
      <c r="AH850" s="159">
        <f t="shared" si="673"/>
        <v>45923.505555555559</v>
      </c>
      <c r="AI850" s="162">
        <f t="shared" si="674"/>
        <v>-1473.7642056309705</v>
      </c>
      <c r="AJ850" s="224">
        <f t="shared" si="675"/>
        <v>0</v>
      </c>
      <c r="AK850" s="225">
        <f t="shared" si="676"/>
        <v>26</v>
      </c>
      <c r="AL850" s="170">
        <f t="shared" si="677"/>
        <v>34</v>
      </c>
      <c r="AM850" s="170">
        <f t="shared" si="678"/>
        <v>23.345070422535212</v>
      </c>
      <c r="AN850" s="170">
        <f t="shared" si="679"/>
        <v>29.570422535211268</v>
      </c>
      <c r="AO850" s="226">
        <f t="shared" si="680"/>
        <v>20.345070422535212</v>
      </c>
      <c r="AP850" s="227">
        <v>60</v>
      </c>
      <c r="AQ850" s="228">
        <f t="shared" si="681"/>
        <v>57</v>
      </c>
      <c r="AR850" s="228">
        <f t="shared" si="682"/>
        <v>52</v>
      </c>
      <c r="AS850" s="229">
        <f t="shared" si="683"/>
        <v>60</v>
      </c>
      <c r="AT850" s="982">
        <f t="shared" ca="1" si="684"/>
        <v>45895</v>
      </c>
      <c r="AU850" s="50"/>
      <c r="AV850" s="51"/>
      <c r="AW850" s="49"/>
      <c r="AX850" s="49"/>
      <c r="AY850" s="49"/>
      <c r="AZ850" s="300"/>
      <c r="BA850" s="52"/>
      <c r="BB850" s="304"/>
      <c r="BC850" s="231"/>
      <c r="BD850" s="232"/>
      <c r="BE850" s="222">
        <f t="shared" si="685"/>
        <v>15</v>
      </c>
      <c r="BF850" s="233">
        <f t="shared" si="686"/>
        <v>0</v>
      </c>
      <c r="BG850" s="234"/>
      <c r="BH850" s="235"/>
      <c r="BI850" s="234"/>
      <c r="BJ850" s="236"/>
      <c r="BK850" s="222"/>
      <c r="BL850" s="222"/>
      <c r="BM850" s="238"/>
      <c r="BN850" s="222"/>
      <c r="BO850" s="222"/>
      <c r="BP850" s="243"/>
      <c r="BQ850" s="244"/>
      <c r="BR850" s="238"/>
      <c r="BS850" s="68"/>
      <c r="BT850" s="69"/>
      <c r="BU850" s="69"/>
      <c r="BV850" s="69"/>
      <c r="BW850" s="75"/>
      <c r="BX850" s="81"/>
      <c r="BY850" s="66">
        <v>45876</v>
      </c>
      <c r="BZ850" s="944" t="s">
        <v>3956</v>
      </c>
      <c r="CA850" s="42"/>
      <c r="CB850" s="62"/>
      <c r="CC850" s="62"/>
      <c r="CD850" s="42"/>
      <c r="CE850" s="42"/>
      <c r="CF850" s="145" t="str">
        <f t="shared" si="646"/>
        <v>0</v>
      </c>
      <c r="CG850" s="145"/>
      <c r="CH850" s="443">
        <f t="shared" si="581"/>
        <v>-0.14474861739579048</v>
      </c>
      <c r="CI850" s="996">
        <f t="shared" si="582"/>
        <v>-0.14474861739579048</v>
      </c>
      <c r="CJ850" s="261">
        <f t="shared" si="583"/>
        <v>0</v>
      </c>
      <c r="CK850" s="458">
        <f t="shared" si="584"/>
        <v>-17.505555555559113</v>
      </c>
      <c r="CL850" t="str">
        <f t="shared" si="585"/>
        <v>REV</v>
      </c>
      <c r="CM850" t="str">
        <f t="shared" si="586"/>
        <v>0-3 MONTHS</v>
      </c>
      <c r="CN850" s="635"/>
      <c r="CO850" s="631"/>
      <c r="CP850" s="629"/>
      <c r="CQ850" s="635"/>
      <c r="CR850" s="697"/>
      <c r="CS850" s="633"/>
      <c r="CT850" s="635"/>
      <c r="CU850" s="631"/>
      <c r="CV850" s="638"/>
      <c r="CW850" s="853"/>
      <c r="CX850" s="856"/>
      <c r="CY850" s="856"/>
    </row>
    <row r="851" spans="1:103" s="359" customFormat="1" ht="15" customHeight="1" x14ac:dyDescent="0.25">
      <c r="A851" s="242">
        <v>45882</v>
      </c>
      <c r="B851" s="222">
        <v>45876</v>
      </c>
      <c r="C851" s="852"/>
      <c r="D851" s="66" t="s">
        <v>234</v>
      </c>
      <c r="E851" s="404" t="s">
        <v>3957</v>
      </c>
      <c r="F851" s="95" t="s">
        <v>926</v>
      </c>
      <c r="G851" s="95" t="s">
        <v>3958</v>
      </c>
      <c r="H851" s="95" t="s">
        <v>238</v>
      </c>
      <c r="I851" s="95" t="s">
        <v>239</v>
      </c>
      <c r="J851" s="854" t="s">
        <v>3959</v>
      </c>
      <c r="K851" s="855"/>
      <c r="L851" s="101" t="s">
        <v>5</v>
      </c>
      <c r="M851" s="101" t="s">
        <v>331</v>
      </c>
      <c r="N851" s="442" t="s">
        <v>403</v>
      </c>
      <c r="O851" s="165">
        <v>76.22</v>
      </c>
      <c r="P851" s="165">
        <v>96.5</v>
      </c>
      <c r="Q851" s="157">
        <v>23</v>
      </c>
      <c r="R851" s="109" t="s">
        <v>244</v>
      </c>
      <c r="S851" s="110">
        <v>336387.87</v>
      </c>
      <c r="T851" s="93">
        <v>65492.61</v>
      </c>
      <c r="U851" s="857"/>
      <c r="V851" s="158">
        <f t="shared" si="667"/>
        <v>0</v>
      </c>
      <c r="W851" s="159">
        <v>45874.536805555559</v>
      </c>
      <c r="X851" s="159">
        <v>45881.636805555558</v>
      </c>
      <c r="Y851" s="160">
        <v>45876</v>
      </c>
      <c r="Z851" s="470"/>
      <c r="AA851" s="942"/>
      <c r="AB851" s="942"/>
      <c r="AC851" s="161">
        <f t="shared" si="668"/>
        <v>-45874.536805555559</v>
      </c>
      <c r="AD851" s="161">
        <f t="shared" si="669"/>
        <v>-45881.636805555558</v>
      </c>
      <c r="AE851" s="446">
        <f t="shared" si="670"/>
        <v>0</v>
      </c>
      <c r="AF851" s="160">
        <f t="shared" si="671"/>
        <v>45894.622307414298</v>
      </c>
      <c r="AG851" s="160">
        <f t="shared" si="672"/>
        <v>45903.778441243288</v>
      </c>
      <c r="AH851" s="159">
        <f t="shared" si="673"/>
        <v>45924.536805555559</v>
      </c>
      <c r="AI851" s="162">
        <f t="shared" si="674"/>
        <v>-1490.3684058809717</v>
      </c>
      <c r="AJ851" s="224">
        <f t="shared" si="675"/>
        <v>0</v>
      </c>
      <c r="AK851" s="225">
        <f t="shared" si="676"/>
        <v>23</v>
      </c>
      <c r="AL851" s="170">
        <f t="shared" si="677"/>
        <v>36</v>
      </c>
      <c r="AM851" s="170">
        <f t="shared" si="678"/>
        <v>23.085501858736059</v>
      </c>
      <c r="AN851" s="170">
        <f t="shared" si="679"/>
        <v>29.241635687732341</v>
      </c>
      <c r="AO851" s="226">
        <f t="shared" si="680"/>
        <v>20.085501858736059</v>
      </c>
      <c r="AP851" s="227">
        <v>60</v>
      </c>
      <c r="AQ851" s="228">
        <f t="shared" si="681"/>
        <v>57</v>
      </c>
      <c r="AR851" s="228">
        <f t="shared" si="682"/>
        <v>52</v>
      </c>
      <c r="AS851" s="229">
        <f t="shared" si="683"/>
        <v>60</v>
      </c>
      <c r="AT851" s="982">
        <f t="shared" ca="1" si="684"/>
        <v>45895</v>
      </c>
      <c r="AU851" s="50"/>
      <c r="AV851" s="51"/>
      <c r="AW851" s="49"/>
      <c r="AX851" s="49"/>
      <c r="AY851" s="49"/>
      <c r="AZ851" s="300"/>
      <c r="BA851" s="52"/>
      <c r="BB851" s="304"/>
      <c r="BC851" s="231"/>
      <c r="BD851" s="232"/>
      <c r="BE851" s="222">
        <f t="shared" si="685"/>
        <v>15</v>
      </c>
      <c r="BF851" s="233">
        <f t="shared" si="686"/>
        <v>0</v>
      </c>
      <c r="BG851" s="234"/>
      <c r="BH851" s="235"/>
      <c r="BI851" s="234"/>
      <c r="BJ851" s="236"/>
      <c r="BK851" s="222"/>
      <c r="BL851" s="222"/>
      <c r="BM851" s="238"/>
      <c r="BN851" s="222"/>
      <c r="BO851" s="222"/>
      <c r="BP851" s="243"/>
      <c r="BQ851" s="244"/>
      <c r="BR851" s="238"/>
      <c r="BS851" s="68"/>
      <c r="BT851" s="69"/>
      <c r="BU851" s="69"/>
      <c r="BV851" s="69"/>
      <c r="BW851" s="75"/>
      <c r="BX851" s="81"/>
      <c r="BY851" s="66">
        <v>45876</v>
      </c>
      <c r="BZ851" s="944" t="s">
        <v>3960</v>
      </c>
      <c r="CA851" s="42"/>
      <c r="CB851" s="62"/>
      <c r="CC851" s="62"/>
      <c r="CD851" s="42"/>
      <c r="CE851" s="42"/>
      <c r="CF851" s="145" t="str">
        <f t="shared" si="646"/>
        <v>0</v>
      </c>
      <c r="CG851" s="145"/>
      <c r="CH851" s="443">
        <f t="shared" si="581"/>
        <v>-0.17987931092335763</v>
      </c>
      <c r="CI851" s="996">
        <f t="shared" si="582"/>
        <v>-0.17987931092335763</v>
      </c>
      <c r="CJ851" s="261">
        <f t="shared" si="583"/>
        <v>0</v>
      </c>
      <c r="CK851" s="458">
        <f t="shared" si="584"/>
        <v>-18.536805555559113</v>
      </c>
      <c r="CL851" t="str">
        <f t="shared" si="585"/>
        <v>REV</v>
      </c>
      <c r="CM851" t="str">
        <f t="shared" si="586"/>
        <v>0-3 MONTHS</v>
      </c>
      <c r="CN851" s="635"/>
      <c r="CO851" s="631"/>
      <c r="CP851" s="629"/>
      <c r="CQ851" s="635"/>
      <c r="CR851" s="697"/>
      <c r="CS851" s="633"/>
      <c r="CT851" s="635"/>
      <c r="CU851" s="631"/>
      <c r="CV851" s="638"/>
      <c r="CW851" s="853"/>
      <c r="CX851" s="856"/>
      <c r="CY851" s="856"/>
    </row>
    <row r="852" spans="1:103" s="359" customFormat="1" ht="15" customHeight="1" x14ac:dyDescent="0.25">
      <c r="A852" s="242">
        <v>45882</v>
      </c>
      <c r="B852" s="222">
        <v>45877</v>
      </c>
      <c r="C852" s="852"/>
      <c r="D852" s="66" t="s">
        <v>284</v>
      </c>
      <c r="E852" s="404" t="s">
        <v>3961</v>
      </c>
      <c r="F852" s="95" t="s">
        <v>3962</v>
      </c>
      <c r="G852" s="95" t="s">
        <v>2052</v>
      </c>
      <c r="H852" s="95" t="s">
        <v>378</v>
      </c>
      <c r="I852" s="95" t="s">
        <v>239</v>
      </c>
      <c r="J852" s="163" t="s">
        <v>3963</v>
      </c>
      <c r="K852" s="855"/>
      <c r="L852" s="101" t="s">
        <v>288</v>
      </c>
      <c r="M852" s="101" t="s">
        <v>331</v>
      </c>
      <c r="N852" s="442" t="s">
        <v>381</v>
      </c>
      <c r="O852" s="165">
        <v>85.77</v>
      </c>
      <c r="P852" s="165">
        <v>164.05</v>
      </c>
      <c r="Q852" s="157">
        <v>63</v>
      </c>
      <c r="R852" s="109" t="s">
        <v>244</v>
      </c>
      <c r="S852" s="110">
        <v>580376.35</v>
      </c>
      <c r="T852" s="93"/>
      <c r="U852" s="857"/>
      <c r="V852" s="158" t="e">
        <f t="shared" si="667"/>
        <v>#DIV/0!</v>
      </c>
      <c r="W852" s="159">
        <v>45873.617361111108</v>
      </c>
      <c r="X852" s="159">
        <v>45881.640277777777</v>
      </c>
      <c r="Y852" s="160">
        <v>45877</v>
      </c>
      <c r="Z852" s="470"/>
      <c r="AA852" s="942"/>
      <c r="AB852" s="942"/>
      <c r="AC852" s="161">
        <f t="shared" si="668"/>
        <v>-45873.617361111108</v>
      </c>
      <c r="AD852" s="161">
        <f t="shared" si="669"/>
        <v>-45881.640277777777</v>
      </c>
      <c r="AE852" s="446">
        <f t="shared" si="670"/>
        <v>0</v>
      </c>
      <c r="AF852" s="160">
        <f t="shared" si="671"/>
        <v>45893.96243153364</v>
      </c>
      <c r="AG852" s="160">
        <f t="shared" si="672"/>
        <v>45903.187783646317</v>
      </c>
      <c r="AH852" s="159">
        <f t="shared" si="673"/>
        <v>45923.617361111108</v>
      </c>
      <c r="AI852" s="162">
        <f t="shared" si="674"/>
        <v>-1473.7677975741576</v>
      </c>
      <c r="AJ852" s="224">
        <f t="shared" si="675"/>
        <v>0</v>
      </c>
      <c r="AK852" s="225">
        <f t="shared" si="676"/>
        <v>26</v>
      </c>
      <c r="AL852" s="170">
        <f t="shared" si="677"/>
        <v>34</v>
      </c>
      <c r="AM852" s="170">
        <f t="shared" si="678"/>
        <v>23.345070422535212</v>
      </c>
      <c r="AN852" s="170">
        <f t="shared" si="679"/>
        <v>29.570422535211268</v>
      </c>
      <c r="AO852" s="226">
        <f t="shared" si="680"/>
        <v>20.345070422535212</v>
      </c>
      <c r="AP852" s="227">
        <v>60</v>
      </c>
      <c r="AQ852" s="228">
        <f t="shared" si="681"/>
        <v>57</v>
      </c>
      <c r="AR852" s="228">
        <f t="shared" si="682"/>
        <v>52</v>
      </c>
      <c r="AS852" s="229">
        <f t="shared" si="683"/>
        <v>60</v>
      </c>
      <c r="AT852" s="982">
        <f t="shared" ca="1" si="684"/>
        <v>45895</v>
      </c>
      <c r="AU852" s="50"/>
      <c r="AV852" s="51"/>
      <c r="AW852" s="49"/>
      <c r="AX852" s="49"/>
      <c r="AY852" s="49"/>
      <c r="AZ852" s="300"/>
      <c r="BA852" s="52"/>
      <c r="BB852" s="304"/>
      <c r="BC852" s="231"/>
      <c r="BD852" s="232"/>
      <c r="BE852" s="222">
        <f t="shared" si="685"/>
        <v>15</v>
      </c>
      <c r="BF852" s="233">
        <f t="shared" si="686"/>
        <v>0</v>
      </c>
      <c r="BG852" s="234"/>
      <c r="BH852" s="235"/>
      <c r="BI852" s="234"/>
      <c r="BJ852" s="236"/>
      <c r="BK852" s="222"/>
      <c r="BL852" s="222"/>
      <c r="BM852" s="238"/>
      <c r="BN852" s="222"/>
      <c r="BO852" s="222"/>
      <c r="BP852" s="243"/>
      <c r="BQ852" s="244"/>
      <c r="BR852" s="238"/>
      <c r="BS852" s="68"/>
      <c r="BT852" s="69"/>
      <c r="BU852" s="69"/>
      <c r="BV852" s="69"/>
      <c r="BW852" s="75"/>
      <c r="BX852" s="81"/>
      <c r="BY852" s="66">
        <v>45876</v>
      </c>
      <c r="BZ852" s="944" t="s">
        <v>3964</v>
      </c>
      <c r="CA852" s="42"/>
      <c r="CB852" s="62"/>
      <c r="CC852" s="62"/>
      <c r="CD852" s="42"/>
      <c r="CE852" s="42"/>
      <c r="CF852" s="145" t="str">
        <f t="shared" si="646"/>
        <v>0</v>
      </c>
      <c r="CG852" s="145"/>
      <c r="CH852" s="443">
        <f t="shared" si="581"/>
        <v>-0.14834056058310896</v>
      </c>
      <c r="CI852" s="996">
        <f t="shared" si="582"/>
        <v>-0.14834056058310896</v>
      </c>
      <c r="CJ852" s="261">
        <f t="shared" si="583"/>
        <v>0</v>
      </c>
      <c r="CK852" s="458">
        <f t="shared" si="584"/>
        <v>-17.617361111108039</v>
      </c>
      <c r="CL852" t="str">
        <f t="shared" si="585"/>
        <v>REV</v>
      </c>
      <c r="CM852" t="str">
        <f t="shared" si="586"/>
        <v>0-3 MONTHS</v>
      </c>
      <c r="CN852" s="635"/>
      <c r="CO852" s="631"/>
      <c r="CP852" s="629"/>
      <c r="CQ852" s="635"/>
      <c r="CR852" s="697"/>
      <c r="CS852" s="633"/>
      <c r="CT852" s="635"/>
      <c r="CU852" s="631"/>
      <c r="CV852" s="638"/>
      <c r="CW852" s="853"/>
      <c r="CX852" s="856"/>
      <c r="CY852" s="856"/>
    </row>
    <row r="853" spans="1:103" s="359" customFormat="1" ht="15" customHeight="1" x14ac:dyDescent="0.25">
      <c r="A853" s="242">
        <v>45882</v>
      </c>
      <c r="B853" s="222">
        <v>45877</v>
      </c>
      <c r="C853" s="852"/>
      <c r="D853" s="66" t="s">
        <v>320</v>
      </c>
      <c r="E853" s="404" t="s">
        <v>3965</v>
      </c>
      <c r="F853" s="95" t="s">
        <v>2250</v>
      </c>
      <c r="G853" s="95" t="s">
        <v>3191</v>
      </c>
      <c r="H853" s="95" t="s">
        <v>378</v>
      </c>
      <c r="I853" s="95" t="s">
        <v>239</v>
      </c>
      <c r="J853" s="854"/>
      <c r="K853" s="855"/>
      <c r="L853" s="101" t="s">
        <v>288</v>
      </c>
      <c r="M853" s="101" t="s">
        <v>272</v>
      </c>
      <c r="N853" s="442" t="s">
        <v>381</v>
      </c>
      <c r="O853" s="165">
        <v>0.73</v>
      </c>
      <c r="P853" s="165">
        <v>0.73</v>
      </c>
      <c r="Q853" s="157">
        <v>1.5</v>
      </c>
      <c r="R853" s="109" t="s">
        <v>244</v>
      </c>
      <c r="S853" s="110">
        <v>15258.91</v>
      </c>
      <c r="T853" s="93">
        <v>627.25</v>
      </c>
      <c r="U853" s="857"/>
      <c r="V853" s="158">
        <f t="shared" si="667"/>
        <v>0</v>
      </c>
      <c r="W853" s="159">
        <v>45874.511111111111</v>
      </c>
      <c r="X853" s="159">
        <v>45881.409722222219</v>
      </c>
      <c r="Y853" s="160">
        <v>45877</v>
      </c>
      <c r="Z853" s="470"/>
      <c r="AA853" s="942">
        <v>45881.409722222219</v>
      </c>
      <c r="AB853" s="942"/>
      <c r="AC853" s="161">
        <f t="shared" si="668"/>
        <v>6.898611111108039</v>
      </c>
      <c r="AD853" s="161">
        <f t="shared" si="669"/>
        <v>0</v>
      </c>
      <c r="AE853" s="446">
        <f t="shared" si="670"/>
        <v>-45881.409722222219</v>
      </c>
      <c r="AF853" s="160">
        <f t="shared" si="671"/>
        <v>45893.285304659497</v>
      </c>
      <c r="AG853" s="160">
        <f t="shared" si="672"/>
        <v>45902.091756272399</v>
      </c>
      <c r="AH853" s="159">
        <f t="shared" si="673"/>
        <v>45924.511111111111</v>
      </c>
      <c r="AI853" s="162">
        <f t="shared" si="674"/>
        <v>0.23761882716038801</v>
      </c>
      <c r="AJ853" s="224">
        <f t="shared" si="675"/>
        <v>-764.690162037037</v>
      </c>
      <c r="AK853" s="225">
        <f t="shared" si="676"/>
        <v>20</v>
      </c>
      <c r="AL853" s="170">
        <f t="shared" si="677"/>
        <v>36</v>
      </c>
      <c r="AM853" s="170">
        <f t="shared" si="678"/>
        <v>21.774193548387096</v>
      </c>
      <c r="AN853" s="170">
        <f t="shared" si="679"/>
        <v>27.58064516129032</v>
      </c>
      <c r="AO853" s="226">
        <f t="shared" si="680"/>
        <v>18.774193548387096</v>
      </c>
      <c r="AP853" s="227">
        <v>60</v>
      </c>
      <c r="AQ853" s="228">
        <f t="shared" si="681"/>
        <v>57</v>
      </c>
      <c r="AR853" s="228">
        <f t="shared" si="682"/>
        <v>52</v>
      </c>
      <c r="AS853" s="229">
        <f t="shared" si="683"/>
        <v>45941.409722222219</v>
      </c>
      <c r="AT853" s="982">
        <f t="shared" ca="1" si="684"/>
        <v>13.590277777781012</v>
      </c>
      <c r="AU853" s="50"/>
      <c r="AV853" s="51"/>
      <c r="AW853" s="49"/>
      <c r="AX853" s="49"/>
      <c r="AY853" s="49"/>
      <c r="AZ853" s="300"/>
      <c r="BA853" s="52"/>
      <c r="BB853" s="304"/>
      <c r="BC853" s="231" t="s">
        <v>13</v>
      </c>
      <c r="BD853" s="232"/>
      <c r="BE853" s="222">
        <f t="shared" si="685"/>
        <v>45896.409722222219</v>
      </c>
      <c r="BF853" s="233" t="e">
        <f t="shared" si="686"/>
        <v>#VALUE!</v>
      </c>
      <c r="BG853" s="234"/>
      <c r="BH853" s="235"/>
      <c r="BI853" s="234"/>
      <c r="BJ853" s="236"/>
      <c r="BK853" s="222"/>
      <c r="BL853" s="222"/>
      <c r="BM853" s="238"/>
      <c r="BN853" s="222"/>
      <c r="BO853" s="222"/>
      <c r="BP853" s="243"/>
      <c r="BQ853" s="244"/>
      <c r="BR853" s="238"/>
      <c r="BS853" s="68"/>
      <c r="BT853" s="69"/>
      <c r="BU853" s="69"/>
      <c r="BV853" s="69"/>
      <c r="BW853" s="75"/>
      <c r="BX853" s="81"/>
      <c r="BY853" s="66">
        <v>45876</v>
      </c>
      <c r="BZ853" s="944" t="s">
        <v>3966</v>
      </c>
      <c r="CA853" s="42"/>
      <c r="CB853" s="62"/>
      <c r="CC853" s="62"/>
      <c r="CD853" s="42"/>
      <c r="CE853" s="42"/>
      <c r="CF853" s="145">
        <f t="shared" si="646"/>
        <v>-12.409722222218988</v>
      </c>
      <c r="CG853" s="145"/>
      <c r="CH853" s="443">
        <f t="shared" si="581"/>
        <v>-0.18982716049382159</v>
      </c>
      <c r="CI853" s="996">
        <f t="shared" si="582"/>
        <v>-0.18982716049382159</v>
      </c>
      <c r="CJ853" s="261">
        <f t="shared" si="583"/>
        <v>-0.20682870370364981</v>
      </c>
      <c r="CK853" s="458" t="str">
        <f t="shared" si="584"/>
        <v/>
      </c>
      <c r="CL853" t="str">
        <f t="shared" si="585"/>
        <v>REV</v>
      </c>
      <c r="CM853" t="str">
        <f t="shared" si="586"/>
        <v/>
      </c>
      <c r="CN853" s="635"/>
      <c r="CO853" s="631"/>
      <c r="CP853" s="629"/>
      <c r="CQ853" s="635"/>
      <c r="CR853" s="697"/>
      <c r="CS853" s="633"/>
      <c r="CT853" s="635"/>
      <c r="CU853" s="631"/>
      <c r="CV853" s="638"/>
      <c r="CW853" s="853"/>
      <c r="CX853" s="856"/>
      <c r="CY853" s="856"/>
    </row>
    <row r="854" spans="1:103" s="359" customFormat="1" ht="15" customHeight="1" x14ac:dyDescent="0.25">
      <c r="A854" s="242">
        <v>45888</v>
      </c>
      <c r="B854" s="222">
        <v>45877</v>
      </c>
      <c r="C854" s="852"/>
      <c r="D854" s="66" t="s">
        <v>234</v>
      </c>
      <c r="E854" s="404" t="s">
        <v>3967</v>
      </c>
      <c r="F854" s="95" t="s">
        <v>3968</v>
      </c>
      <c r="G854" s="95" t="s">
        <v>1533</v>
      </c>
      <c r="H854" s="95" t="s">
        <v>378</v>
      </c>
      <c r="I854" s="95" t="s">
        <v>239</v>
      </c>
      <c r="J854" s="163" t="s">
        <v>3177</v>
      </c>
      <c r="K854" s="855"/>
      <c r="L854" s="101" t="s">
        <v>288</v>
      </c>
      <c r="M854" s="101" t="s">
        <v>272</v>
      </c>
      <c r="N854" s="442" t="s">
        <v>381</v>
      </c>
      <c r="O854" s="165">
        <v>11.3</v>
      </c>
      <c r="P854" s="165">
        <v>11.3</v>
      </c>
      <c r="Q854" s="157">
        <v>22</v>
      </c>
      <c r="R854" s="109" t="s">
        <v>244</v>
      </c>
      <c r="S854" s="110">
        <v>146931.81</v>
      </c>
      <c r="T854" s="93"/>
      <c r="U854" s="857"/>
      <c r="V854" s="158" t="e">
        <f t="shared" si="667"/>
        <v>#DIV/0!</v>
      </c>
      <c r="W854" s="159">
        <v>45874.703472222223</v>
      </c>
      <c r="X854" s="159">
        <v>45881.637499999997</v>
      </c>
      <c r="Y854" s="160">
        <v>45877</v>
      </c>
      <c r="Z854" s="470"/>
      <c r="AA854" s="942">
        <v>45882</v>
      </c>
      <c r="AB854" s="942"/>
      <c r="AC854" s="161">
        <f t="shared" si="668"/>
        <v>7.296527777776646</v>
      </c>
      <c r="AD854" s="161">
        <f t="shared" si="669"/>
        <v>0.36250000000291038</v>
      </c>
      <c r="AE854" s="446">
        <f t="shared" si="670"/>
        <v>-45882</v>
      </c>
      <c r="AF854" s="160">
        <f t="shared" si="671"/>
        <v>45893.47766577061</v>
      </c>
      <c r="AG854" s="160">
        <f t="shared" si="672"/>
        <v>45902.284117383511</v>
      </c>
      <c r="AH854" s="159">
        <f t="shared" si="673"/>
        <v>45924.703472222223</v>
      </c>
      <c r="AI854" s="162">
        <f t="shared" si="674"/>
        <v>0.25132484567897334</v>
      </c>
      <c r="AJ854" s="224">
        <f t="shared" si="675"/>
        <v>-764.7</v>
      </c>
      <c r="AK854" s="225">
        <f t="shared" si="676"/>
        <v>20</v>
      </c>
      <c r="AL854" s="170">
        <f t="shared" si="677"/>
        <v>36</v>
      </c>
      <c r="AM854" s="170">
        <f t="shared" si="678"/>
        <v>21.774193548387096</v>
      </c>
      <c r="AN854" s="170">
        <f t="shared" si="679"/>
        <v>27.58064516129032</v>
      </c>
      <c r="AO854" s="226">
        <f t="shared" si="680"/>
        <v>18.774193548387096</v>
      </c>
      <c r="AP854" s="227">
        <v>60</v>
      </c>
      <c r="AQ854" s="228">
        <f t="shared" si="681"/>
        <v>57</v>
      </c>
      <c r="AR854" s="228">
        <f t="shared" si="682"/>
        <v>52</v>
      </c>
      <c r="AS854" s="229">
        <f t="shared" si="683"/>
        <v>45942</v>
      </c>
      <c r="AT854" s="982">
        <f t="shared" ca="1" si="684"/>
        <v>13</v>
      </c>
      <c r="AU854" s="50"/>
      <c r="AV854" s="51"/>
      <c r="AW854" s="49"/>
      <c r="AX854" s="49"/>
      <c r="AY854" s="49"/>
      <c r="AZ854" s="300"/>
      <c r="BA854" s="52"/>
      <c r="BB854" s="304"/>
      <c r="BC854" s="231" t="s">
        <v>13</v>
      </c>
      <c r="BD854" s="232"/>
      <c r="BE854" s="222">
        <f t="shared" si="685"/>
        <v>45897</v>
      </c>
      <c r="BF854" s="233" t="e">
        <f t="shared" si="686"/>
        <v>#VALUE!</v>
      </c>
      <c r="BG854" s="234"/>
      <c r="BH854" s="235"/>
      <c r="BI854" s="234"/>
      <c r="BJ854" s="236"/>
      <c r="BK854" s="222"/>
      <c r="BL854" s="222"/>
      <c r="BM854" s="238"/>
      <c r="BN854" s="222"/>
      <c r="BO854" s="222"/>
      <c r="BP854" s="243"/>
      <c r="BQ854" s="244"/>
      <c r="BR854" s="238"/>
      <c r="BS854" s="68"/>
      <c r="BT854" s="69"/>
      <c r="BU854" s="69"/>
      <c r="BV854" s="69"/>
      <c r="BW854" s="75"/>
      <c r="BX854" s="81"/>
      <c r="BY854" s="66">
        <v>45876</v>
      </c>
      <c r="BZ854" s="944" t="s">
        <v>3969</v>
      </c>
      <c r="CA854" s="42"/>
      <c r="CB854" s="62"/>
      <c r="CC854" s="62"/>
      <c r="CD854" s="42"/>
      <c r="CE854" s="42"/>
      <c r="CF854" s="145">
        <f t="shared" si="646"/>
        <v>-13</v>
      </c>
      <c r="CG854" s="145"/>
      <c r="CH854" s="443">
        <f t="shared" ref="CH854:CH856" si="687" xml:space="preserve"> (0.3)*(($CF$1-W854)/AK854)+(0.7)*(($CF$1-W854)/AL854)</f>
        <v>-0.19645293209880441</v>
      </c>
      <c r="CI854" s="996">
        <f t="shared" ref="CI854:CI856" si="688">CH854-CG854</f>
        <v>-0.19645293209880441</v>
      </c>
      <c r="CJ854" s="261">
        <f t="shared" ref="CJ854:CJ856" si="689">CF854/AP854</f>
        <v>-0.21666666666666667</v>
      </c>
      <c r="CK854" s="458" t="str">
        <f t="shared" ref="CK854:CK856" si="690">IF(AA854&gt;0,"",$CK$1-W854)</f>
        <v/>
      </c>
      <c r="CL854" t="str">
        <f t="shared" ref="CL854:CL856" si="691">IF(R854="NEW","REV","NON-REV")</f>
        <v>REV</v>
      </c>
      <c r="CM854" t="str">
        <f t="shared" ref="CM854:CM856" si="692">IF(CK854="","",IF(CK854&lt;91,"0-3 MONTHS",(IF(CK854&lt;181,"4-6 MONTHS",(IF(CK854&lt;271,"7-9 MONTHS",IF(CK854&gt;270,"10 MONTHS AND ABOVE",)))))))</f>
        <v/>
      </c>
      <c r="CN854" s="635"/>
      <c r="CO854" s="631"/>
      <c r="CP854" s="629"/>
      <c r="CQ854" s="635"/>
      <c r="CR854" s="697"/>
      <c r="CS854" s="633"/>
      <c r="CT854" s="635"/>
      <c r="CU854" s="631"/>
      <c r="CV854" s="638"/>
      <c r="CW854" s="853"/>
      <c r="CX854" s="856"/>
      <c r="CY854" s="856"/>
    </row>
    <row r="855" spans="1:103" s="359" customFormat="1" ht="15" customHeight="1" x14ac:dyDescent="0.25">
      <c r="A855" s="242">
        <v>45882</v>
      </c>
      <c r="B855" s="222">
        <v>45882</v>
      </c>
      <c r="C855" s="852"/>
      <c r="D855" s="66" t="s">
        <v>320</v>
      </c>
      <c r="E855" s="404" t="s">
        <v>3970</v>
      </c>
      <c r="F855" s="95" t="s">
        <v>3971</v>
      </c>
      <c r="G855" s="95" t="s">
        <v>3972</v>
      </c>
      <c r="H855" s="95" t="s">
        <v>238</v>
      </c>
      <c r="I855" s="95" t="s">
        <v>239</v>
      </c>
      <c r="J855" s="854"/>
      <c r="K855" s="855"/>
      <c r="L855" s="101" t="s">
        <v>242</v>
      </c>
      <c r="M855" s="101" t="s">
        <v>331</v>
      </c>
      <c r="N855" s="442" t="s">
        <v>467</v>
      </c>
      <c r="O855" s="165">
        <v>79.489999999999995</v>
      </c>
      <c r="P855" s="165">
        <v>157.77000000000001</v>
      </c>
      <c r="Q855" s="157">
        <v>46</v>
      </c>
      <c r="R855" s="109" t="s">
        <v>548</v>
      </c>
      <c r="S855" s="110">
        <v>408580.46</v>
      </c>
      <c r="T855" s="93"/>
      <c r="U855" s="857"/>
      <c r="V855" s="158" t="e">
        <f t="shared" si="667"/>
        <v>#DIV/0!</v>
      </c>
      <c r="W855" s="159">
        <v>45874.320138888892</v>
      </c>
      <c r="X855" s="159">
        <v>45881.63958333333</v>
      </c>
      <c r="Y855" s="160">
        <v>45882</v>
      </c>
      <c r="Z855" s="470"/>
      <c r="AA855" s="942"/>
      <c r="AB855" s="942"/>
      <c r="AC855" s="161">
        <f t="shared" si="668"/>
        <v>-45874.320138888892</v>
      </c>
      <c r="AD855" s="161">
        <f t="shared" si="669"/>
        <v>-45881.63958333333</v>
      </c>
      <c r="AE855" s="446">
        <f t="shared" si="670"/>
        <v>0</v>
      </c>
      <c r="AF855" s="160">
        <f t="shared" si="671"/>
        <v>45895.527035440617</v>
      </c>
      <c r="AG855" s="160">
        <f t="shared" si="672"/>
        <v>45904.982207854409</v>
      </c>
      <c r="AH855" s="159">
        <f t="shared" si="673"/>
        <v>45924.320138888892</v>
      </c>
      <c r="AI855" s="162">
        <f t="shared" si="674"/>
        <v>-1421.3197478929251</v>
      </c>
      <c r="AJ855" s="224">
        <f t="shared" si="675"/>
        <v>0</v>
      </c>
      <c r="AK855" s="225">
        <f t="shared" si="676"/>
        <v>26</v>
      </c>
      <c r="AL855" s="170">
        <f t="shared" si="677"/>
        <v>36</v>
      </c>
      <c r="AM855" s="170">
        <f t="shared" si="678"/>
        <v>24.206896551724139</v>
      </c>
      <c r="AN855" s="170">
        <f t="shared" si="679"/>
        <v>30.662068965517239</v>
      </c>
      <c r="AO855" s="226">
        <f t="shared" si="680"/>
        <v>21.206896551724139</v>
      </c>
      <c r="AP855" s="227">
        <v>60</v>
      </c>
      <c r="AQ855" s="228">
        <f t="shared" si="681"/>
        <v>57</v>
      </c>
      <c r="AR855" s="228">
        <f t="shared" si="682"/>
        <v>52</v>
      </c>
      <c r="AS855" s="229">
        <f t="shared" si="683"/>
        <v>60</v>
      </c>
      <c r="AT855" s="982">
        <f t="shared" ca="1" si="684"/>
        <v>45895</v>
      </c>
      <c r="AU855" s="50"/>
      <c r="AV855" s="51"/>
      <c r="AW855" s="49"/>
      <c r="AX855" s="49"/>
      <c r="AY855" s="49"/>
      <c r="AZ855" s="300"/>
      <c r="BA855" s="52"/>
      <c r="BB855" s="304"/>
      <c r="BC855" s="231"/>
      <c r="BD855" s="232"/>
      <c r="BE855" s="222">
        <f t="shared" si="685"/>
        <v>15</v>
      </c>
      <c r="BF855" s="233">
        <f t="shared" si="686"/>
        <v>0</v>
      </c>
      <c r="BG855" s="234"/>
      <c r="BH855" s="235"/>
      <c r="BI855" s="234"/>
      <c r="BJ855" s="236"/>
      <c r="BK855" s="222"/>
      <c r="BL855" s="222"/>
      <c r="BM855" s="238"/>
      <c r="BN855" s="222"/>
      <c r="BO855" s="222"/>
      <c r="BP855" s="243"/>
      <c r="BQ855" s="244"/>
      <c r="BR855" s="238"/>
      <c r="BS855" s="68"/>
      <c r="BT855" s="69"/>
      <c r="BU855" s="69"/>
      <c r="BV855" s="69"/>
      <c r="BW855" s="75"/>
      <c r="BX855" s="81"/>
      <c r="BY855" s="66">
        <v>45876</v>
      </c>
      <c r="BZ855" s="944" t="s">
        <v>3973</v>
      </c>
      <c r="CA855" s="42"/>
      <c r="CB855" s="62"/>
      <c r="CC855" s="62"/>
      <c r="CD855" s="42"/>
      <c r="CE855" s="42"/>
      <c r="CF855" s="145" t="str">
        <f t="shared" si="646"/>
        <v>0</v>
      </c>
      <c r="CG855" s="145"/>
      <c r="CH855" s="443">
        <f t="shared" si="687"/>
        <v>-0.16483336301054152</v>
      </c>
      <c r="CI855" s="996">
        <f t="shared" si="688"/>
        <v>-0.16483336301054152</v>
      </c>
      <c r="CJ855" s="261">
        <f t="shared" si="689"/>
        <v>0</v>
      </c>
      <c r="CK855" s="458">
        <f t="shared" si="690"/>
        <v>-18.320138888891961</v>
      </c>
      <c r="CL855" t="str">
        <f t="shared" si="691"/>
        <v>NON-REV</v>
      </c>
      <c r="CM855" t="str">
        <f t="shared" si="692"/>
        <v>0-3 MONTHS</v>
      </c>
      <c r="CN855" s="635"/>
      <c r="CO855" s="631"/>
      <c r="CP855" s="629"/>
      <c r="CQ855" s="635"/>
      <c r="CR855" s="697"/>
      <c r="CS855" s="633"/>
      <c r="CT855" s="635"/>
      <c r="CU855" s="631"/>
      <c r="CV855" s="638"/>
      <c r="CW855" s="853"/>
      <c r="CX855" s="856"/>
      <c r="CY855" s="856"/>
    </row>
    <row r="856" spans="1:103" s="359" customFormat="1" ht="15" customHeight="1" x14ac:dyDescent="0.25">
      <c r="A856" s="242"/>
      <c r="B856" s="222">
        <v>45882</v>
      </c>
      <c r="C856" s="852"/>
      <c r="D856" s="66" t="s">
        <v>284</v>
      </c>
      <c r="E856" s="404" t="s">
        <v>3974</v>
      </c>
      <c r="F856" s="95" t="s">
        <v>3975</v>
      </c>
      <c r="G856" s="95" t="s">
        <v>3976</v>
      </c>
      <c r="H856" s="95" t="s">
        <v>238</v>
      </c>
      <c r="I856" s="95" t="s">
        <v>239</v>
      </c>
      <c r="J856" s="854"/>
      <c r="K856" s="855"/>
      <c r="L856" s="101" t="s">
        <v>242</v>
      </c>
      <c r="M856" s="101" t="s">
        <v>331</v>
      </c>
      <c r="N856" s="442" t="s">
        <v>467</v>
      </c>
      <c r="O856" s="165">
        <v>59.26</v>
      </c>
      <c r="P856" s="165">
        <v>210.63</v>
      </c>
      <c r="Q856" s="157">
        <v>0</v>
      </c>
      <c r="R856" s="109" t="s">
        <v>327</v>
      </c>
      <c r="S856" s="110">
        <v>267327.02</v>
      </c>
      <c r="T856" s="93"/>
      <c r="U856" s="857"/>
      <c r="V856" s="158" t="e">
        <f t="shared" si="667"/>
        <v>#DIV/0!</v>
      </c>
      <c r="W856" s="159">
        <v>45873.618055555555</v>
      </c>
      <c r="X856" s="159">
        <v>45889.367361111108</v>
      </c>
      <c r="Y856" s="160">
        <v>45882</v>
      </c>
      <c r="Z856" s="470"/>
      <c r="AA856" s="942"/>
      <c r="AB856" s="942"/>
      <c r="AC856" s="161">
        <f t="shared" si="668"/>
        <v>-45873.618055555555</v>
      </c>
      <c r="AD856" s="161">
        <f t="shared" si="669"/>
        <v>-45889.367361111108</v>
      </c>
      <c r="AE856" s="446">
        <f t="shared" si="670"/>
        <v>0</v>
      </c>
      <c r="AF856" s="160">
        <f t="shared" si="671"/>
        <v>45895.486476608188</v>
      </c>
      <c r="AG856" s="160">
        <f t="shared" si="672"/>
        <v>45905.118055555555</v>
      </c>
      <c r="AH856" s="159">
        <f t="shared" si="673"/>
        <v>45923.618055555555</v>
      </c>
      <c r="AI856" s="162">
        <f t="shared" si="674"/>
        <v>-1383.4900683421515</v>
      </c>
      <c r="AJ856" s="224">
        <f t="shared" si="675"/>
        <v>0</v>
      </c>
      <c r="AK856" s="225">
        <f t="shared" si="676"/>
        <v>28</v>
      </c>
      <c r="AL856" s="170">
        <f t="shared" si="677"/>
        <v>36</v>
      </c>
      <c r="AM856" s="170">
        <f t="shared" si="678"/>
        <v>24.868421052631579</v>
      </c>
      <c r="AN856" s="170">
        <f t="shared" si="679"/>
        <v>31.499999999999996</v>
      </c>
      <c r="AO856" s="226">
        <f t="shared" si="680"/>
        <v>21.868421052631579</v>
      </c>
      <c r="AP856" s="227">
        <v>60</v>
      </c>
      <c r="AQ856" s="228">
        <f t="shared" si="681"/>
        <v>57</v>
      </c>
      <c r="AR856" s="228">
        <f t="shared" si="682"/>
        <v>52</v>
      </c>
      <c r="AS856" s="229">
        <f t="shared" si="683"/>
        <v>60</v>
      </c>
      <c r="AT856" s="982">
        <f t="shared" ca="1" si="684"/>
        <v>45895</v>
      </c>
      <c r="AU856" s="50"/>
      <c r="AV856" s="51"/>
      <c r="AW856" s="49"/>
      <c r="AX856" s="49"/>
      <c r="AY856" s="49"/>
      <c r="AZ856" s="300"/>
      <c r="BA856" s="52"/>
      <c r="BB856" s="304"/>
      <c r="BC856" s="231"/>
      <c r="BD856" s="232"/>
      <c r="BE856" s="222">
        <f t="shared" si="685"/>
        <v>15</v>
      </c>
      <c r="BF856" s="233">
        <f t="shared" si="686"/>
        <v>0</v>
      </c>
      <c r="BG856" s="234"/>
      <c r="BH856" s="235"/>
      <c r="BI856" s="234"/>
      <c r="BJ856" s="236"/>
      <c r="BK856" s="222"/>
      <c r="BL856" s="222"/>
      <c r="BM856" s="238"/>
      <c r="BN856" s="222"/>
      <c r="BO856" s="222"/>
      <c r="BP856" s="243"/>
      <c r="BQ856" s="244"/>
      <c r="BR856" s="238"/>
      <c r="BS856" s="68"/>
      <c r="BT856" s="69"/>
      <c r="BU856" s="69"/>
      <c r="BV856" s="69"/>
      <c r="BW856" s="75"/>
      <c r="BX856" s="81"/>
      <c r="BY856" s="66">
        <v>45876</v>
      </c>
      <c r="BZ856" s="944" t="s">
        <v>3977</v>
      </c>
      <c r="CA856" s="42"/>
      <c r="CB856" s="62"/>
      <c r="CC856" s="62"/>
      <c r="CD856" s="42"/>
      <c r="CE856" s="42"/>
      <c r="CF856" s="145" t="str">
        <f t="shared" si="646"/>
        <v>0</v>
      </c>
      <c r="CG856" s="145"/>
      <c r="CH856" s="443">
        <f t="shared" si="687"/>
        <v>-0.1392746913580003</v>
      </c>
      <c r="CI856" s="996">
        <f t="shared" si="688"/>
        <v>-0.1392746913580003</v>
      </c>
      <c r="CJ856" s="261">
        <f t="shared" si="689"/>
        <v>0</v>
      </c>
      <c r="CK856" s="458">
        <f t="shared" si="690"/>
        <v>-17.618055555554747</v>
      </c>
      <c r="CL856" t="str">
        <f t="shared" si="691"/>
        <v>NON-REV</v>
      </c>
      <c r="CM856" t="str">
        <f t="shared" si="692"/>
        <v>0-3 MONTHS</v>
      </c>
      <c r="CN856" s="635"/>
      <c r="CO856" s="631"/>
      <c r="CP856" s="629"/>
      <c r="CQ856" s="635"/>
      <c r="CR856" s="697"/>
      <c r="CS856" s="633"/>
      <c r="CT856" s="635"/>
      <c r="CU856" s="631"/>
      <c r="CV856" s="638"/>
      <c r="CW856" s="853"/>
      <c r="CX856" s="856"/>
      <c r="CY856" s="856"/>
    </row>
    <row r="857" spans="1:103" s="359" customFormat="1" ht="15" customHeight="1" x14ac:dyDescent="0.25">
      <c r="A857" s="242"/>
      <c r="B857" s="222">
        <v>45882</v>
      </c>
      <c r="C857" s="852"/>
      <c r="D857" s="66" t="s">
        <v>284</v>
      </c>
      <c r="E857" s="404" t="s">
        <v>3978</v>
      </c>
      <c r="F857" s="95" t="s">
        <v>1985</v>
      </c>
      <c r="G857" s="95" t="s">
        <v>1772</v>
      </c>
      <c r="H857" s="95" t="s">
        <v>238</v>
      </c>
      <c r="I857" s="95" t="s">
        <v>239</v>
      </c>
      <c r="J857" s="854" t="s">
        <v>3979</v>
      </c>
      <c r="K857" s="855"/>
      <c r="L857" s="101" t="s">
        <v>242</v>
      </c>
      <c r="M857" s="101" t="s">
        <v>272</v>
      </c>
      <c r="N857" s="442" t="s">
        <v>467</v>
      </c>
      <c r="O857" s="165">
        <v>1.91</v>
      </c>
      <c r="P857" s="165">
        <v>1.91</v>
      </c>
      <c r="Q857" s="157">
        <v>4.5</v>
      </c>
      <c r="R857" s="109" t="s">
        <v>244</v>
      </c>
      <c r="S857" s="110">
        <v>12949.55</v>
      </c>
      <c r="T857" s="93">
        <v>1641.1</v>
      </c>
      <c r="U857" s="857"/>
      <c r="V857" s="158">
        <f t="shared" ref="V857:V864" si="693">U857/T857</f>
        <v>0</v>
      </c>
      <c r="W857" s="159">
        <v>45877.612500000003</v>
      </c>
      <c r="X857" s="159">
        <v>45877.62222222222</v>
      </c>
      <c r="Y857" s="160">
        <v>45882</v>
      </c>
      <c r="Z857" s="470"/>
      <c r="AA857" s="942">
        <v>45881.598611111112</v>
      </c>
      <c r="AB857" s="942"/>
      <c r="AC857" s="161">
        <f t="shared" si="668"/>
        <v>3.9861111111094942</v>
      </c>
      <c r="AD857" s="161">
        <f t="shared" si="669"/>
        <v>3.976388888891961</v>
      </c>
      <c r="AE857" s="446">
        <f t="shared" si="670"/>
        <v>-45881.598611111112</v>
      </c>
      <c r="AF857" s="160">
        <f t="shared" si="671"/>
        <v>45896.386693548389</v>
      </c>
      <c r="AG857" s="160">
        <f t="shared" si="672"/>
        <v>45905.193145161291</v>
      </c>
      <c r="AH857" s="159">
        <f t="shared" si="673"/>
        <v>45927.612500000003</v>
      </c>
      <c r="AI857" s="162">
        <f t="shared" si="674"/>
        <v>0.13729938271599368</v>
      </c>
      <c r="AJ857" s="224">
        <f t="shared" si="675"/>
        <v>-764.69331018518517</v>
      </c>
      <c r="AK857" s="225">
        <f t="shared" si="676"/>
        <v>20</v>
      </c>
      <c r="AL857" s="170">
        <f t="shared" si="677"/>
        <v>36</v>
      </c>
      <c r="AM857" s="170">
        <f t="shared" si="678"/>
        <v>21.774193548387096</v>
      </c>
      <c r="AN857" s="170">
        <f t="shared" si="679"/>
        <v>27.58064516129032</v>
      </c>
      <c r="AO857" s="226">
        <f t="shared" si="680"/>
        <v>18.774193548387096</v>
      </c>
      <c r="AP857" s="227">
        <v>60</v>
      </c>
      <c r="AQ857" s="228">
        <f t="shared" si="681"/>
        <v>57</v>
      </c>
      <c r="AR857" s="228">
        <f t="shared" si="682"/>
        <v>52</v>
      </c>
      <c r="AS857" s="229">
        <f t="shared" si="683"/>
        <v>45941.598611111112</v>
      </c>
      <c r="AT857" s="982">
        <f t="shared" ca="1" si="684"/>
        <v>13.401388888887595</v>
      </c>
      <c r="AU857" s="50"/>
      <c r="AV857" s="51"/>
      <c r="AW857" s="49"/>
      <c r="AX857" s="49"/>
      <c r="AY857" s="49"/>
      <c r="AZ857" s="300"/>
      <c r="BA857" s="52"/>
      <c r="BB857" s="304"/>
      <c r="BC857" s="231" t="s">
        <v>13</v>
      </c>
      <c r="BD857" s="232"/>
      <c r="BE857" s="222">
        <f t="shared" si="685"/>
        <v>45896.598611111112</v>
      </c>
      <c r="BF857" s="233" t="e">
        <f t="shared" si="686"/>
        <v>#VALUE!</v>
      </c>
      <c r="BG857" s="234"/>
      <c r="BH857" s="235"/>
      <c r="BI857" s="234"/>
      <c r="BJ857" s="236"/>
      <c r="BK857" s="222"/>
      <c r="BL857" s="222"/>
      <c r="BM857" s="238"/>
      <c r="BN857" s="222"/>
      <c r="BO857" s="222"/>
      <c r="BP857" s="243"/>
      <c r="BQ857" s="244"/>
      <c r="BR857" s="238"/>
      <c r="BS857" s="68"/>
      <c r="BT857" s="69"/>
      <c r="BU857" s="69"/>
      <c r="BV857" s="69"/>
      <c r="BW857" s="75"/>
      <c r="BX857" s="81"/>
      <c r="BY857" s="66" t="s">
        <v>308</v>
      </c>
      <c r="BZ857" s="944" t="s">
        <v>3980</v>
      </c>
      <c r="CA857" s="42"/>
      <c r="CB857" s="62"/>
      <c r="CC857" s="62"/>
      <c r="CD857" s="42"/>
      <c r="CE857" s="42"/>
      <c r="CF857" s="145"/>
      <c r="CG857" s="145"/>
      <c r="CH857" s="443"/>
      <c r="CI857" s="996"/>
      <c r="CJ857" s="261"/>
      <c r="CK857" s="458"/>
      <c r="CL857"/>
      <c r="CM857"/>
      <c r="CN857" s="635"/>
      <c r="CO857" s="631"/>
      <c r="CP857" s="629"/>
      <c r="CQ857" s="635"/>
      <c r="CR857" s="697"/>
      <c r="CS857" s="633"/>
      <c r="CT857" s="635"/>
      <c r="CU857" s="631"/>
      <c r="CV857" s="638"/>
      <c r="CW857" s="853"/>
      <c r="CX857" s="856"/>
      <c r="CY857" s="856"/>
    </row>
    <row r="858" spans="1:103" s="359" customFormat="1" ht="15" customHeight="1" x14ac:dyDescent="0.25">
      <c r="A858" s="242"/>
      <c r="B858" s="222">
        <v>45884</v>
      </c>
      <c r="C858" s="852"/>
      <c r="D858" s="66" t="s">
        <v>234</v>
      </c>
      <c r="E858" s="404" t="s">
        <v>3981</v>
      </c>
      <c r="F858" s="95" t="s">
        <v>2430</v>
      </c>
      <c r="G858" s="95" t="s">
        <v>3982</v>
      </c>
      <c r="H858" s="95" t="s">
        <v>378</v>
      </c>
      <c r="I858" s="95" t="s">
        <v>239</v>
      </c>
      <c r="J858" s="854"/>
      <c r="K858" s="855"/>
      <c r="L858" s="101" t="s">
        <v>3983</v>
      </c>
      <c r="M858" s="101" t="s">
        <v>331</v>
      </c>
      <c r="N858" s="442" t="s">
        <v>381</v>
      </c>
      <c r="O858" s="165"/>
      <c r="P858" s="165">
        <v>115.19</v>
      </c>
      <c r="Q858" s="157">
        <v>4250</v>
      </c>
      <c r="R858" s="109" t="s">
        <v>244</v>
      </c>
      <c r="S858" s="110">
        <v>240487.38</v>
      </c>
      <c r="T858" s="93"/>
      <c r="U858" s="857"/>
      <c r="V858" s="158" t="e">
        <f t="shared" si="693"/>
        <v>#DIV/0!</v>
      </c>
      <c r="W858" s="159">
        <v>45877.397916666669</v>
      </c>
      <c r="X858" s="159">
        <v>45889.368750000001</v>
      </c>
      <c r="Y858" s="160">
        <v>45884</v>
      </c>
      <c r="Z858" s="470"/>
      <c r="AA858" s="942"/>
      <c r="AB858" s="942"/>
      <c r="AC858" s="161">
        <f t="shared" si="668"/>
        <v>-45877.397916666669</v>
      </c>
      <c r="AD858" s="161">
        <f t="shared" si="669"/>
        <v>-45889.368750000001</v>
      </c>
      <c r="AE858" s="446">
        <f t="shared" si="670"/>
        <v>0</v>
      </c>
      <c r="AF858" s="160">
        <f t="shared" si="671"/>
        <v>45890.513619146004</v>
      </c>
      <c r="AG858" s="160">
        <f t="shared" si="672"/>
        <v>45897.811139807163</v>
      </c>
      <c r="AH858" s="159">
        <f t="shared" si="673"/>
        <v>45927.397916666669</v>
      </c>
      <c r="AI858" s="162">
        <f t="shared" si="674"/>
        <v>-2135.063518429487</v>
      </c>
      <c r="AJ858" s="224">
        <f t="shared" si="675"/>
        <v>0</v>
      </c>
      <c r="AK858" s="225">
        <f t="shared" si="676"/>
        <v>26</v>
      </c>
      <c r="AL858" s="170">
        <f t="shared" si="677"/>
        <v>20</v>
      </c>
      <c r="AM858" s="170">
        <f t="shared" si="678"/>
        <v>16.115702479338843</v>
      </c>
      <c r="AN858" s="170">
        <f t="shared" si="679"/>
        <v>20.41322314049587</v>
      </c>
      <c r="AO858" s="226">
        <f t="shared" si="680"/>
        <v>13.115702479338843</v>
      </c>
      <c r="AP858" s="227">
        <v>60</v>
      </c>
      <c r="AQ858" s="228">
        <f t="shared" si="681"/>
        <v>57</v>
      </c>
      <c r="AR858" s="228">
        <f t="shared" si="682"/>
        <v>52</v>
      </c>
      <c r="AS858" s="229">
        <f t="shared" si="683"/>
        <v>60</v>
      </c>
      <c r="AT858" s="982">
        <f t="shared" ca="1" si="684"/>
        <v>45895</v>
      </c>
      <c r="AU858" s="50"/>
      <c r="AV858" s="51"/>
      <c r="AW858" s="49"/>
      <c r="AX858" s="49"/>
      <c r="AY858" s="49"/>
      <c r="AZ858" s="300"/>
      <c r="BA858" s="52"/>
      <c r="BB858" s="304"/>
      <c r="BC858" s="231"/>
      <c r="BD858" s="232"/>
      <c r="BE858" s="222">
        <f t="shared" si="685"/>
        <v>15</v>
      </c>
      <c r="BF858" s="233">
        <f t="shared" si="686"/>
        <v>0</v>
      </c>
      <c r="BG858" s="234"/>
      <c r="BH858" s="235"/>
      <c r="BI858" s="234"/>
      <c r="BJ858" s="236"/>
      <c r="BK858" s="222"/>
      <c r="BL858" s="222"/>
      <c r="BM858" s="238"/>
      <c r="BN858" s="222"/>
      <c r="BO858" s="222"/>
      <c r="BP858" s="243"/>
      <c r="BQ858" s="244"/>
      <c r="BR858" s="238"/>
      <c r="BS858" s="68"/>
      <c r="BT858" s="69"/>
      <c r="BU858" s="69"/>
      <c r="BV858" s="69"/>
      <c r="BW858" s="75"/>
      <c r="BX858" s="81"/>
      <c r="BY858" s="66">
        <v>45882</v>
      </c>
      <c r="BZ858" s="944" t="s">
        <v>3984</v>
      </c>
      <c r="CA858" s="42"/>
      <c r="CB858" s="62"/>
      <c r="CC858" s="62"/>
      <c r="CD858" s="42"/>
      <c r="CE858" s="42"/>
      <c r="CF858" s="145"/>
      <c r="CG858" s="145"/>
      <c r="CH858" s="443"/>
      <c r="CI858" s="996"/>
      <c r="CJ858" s="261"/>
      <c r="CK858" s="458"/>
      <c r="CL858"/>
      <c r="CM858"/>
      <c r="CN858" s="635"/>
      <c r="CO858" s="631"/>
      <c r="CP858" s="629"/>
      <c r="CQ858" s="635"/>
      <c r="CR858" s="697"/>
      <c r="CS858" s="633"/>
      <c r="CT858" s="635"/>
      <c r="CU858" s="631"/>
      <c r="CV858" s="638"/>
      <c r="CW858" s="853"/>
      <c r="CX858" s="856"/>
      <c r="CY858" s="856"/>
    </row>
    <row r="859" spans="1:103" s="359" customFormat="1" ht="15" customHeight="1" x14ac:dyDescent="0.25">
      <c r="A859" s="242"/>
      <c r="B859" s="222">
        <v>45884</v>
      </c>
      <c r="C859" s="852"/>
      <c r="D859" s="66" t="s">
        <v>320</v>
      </c>
      <c r="E859" s="404" t="s">
        <v>3985</v>
      </c>
      <c r="F859" s="95" t="s">
        <v>3986</v>
      </c>
      <c r="G859" s="95" t="s">
        <v>3987</v>
      </c>
      <c r="H859" s="95" t="s">
        <v>238</v>
      </c>
      <c r="I859" s="95" t="s">
        <v>239</v>
      </c>
      <c r="J859" s="854"/>
      <c r="K859" s="855"/>
      <c r="L859" s="101" t="s">
        <v>3983</v>
      </c>
      <c r="M859" s="101" t="s">
        <v>331</v>
      </c>
      <c r="N859" s="442" t="s">
        <v>381</v>
      </c>
      <c r="O859" s="165"/>
      <c r="P859" s="165">
        <v>706.06</v>
      </c>
      <c r="Q859" s="157">
        <v>102</v>
      </c>
      <c r="R859" s="109" t="s">
        <v>548</v>
      </c>
      <c r="S859" s="110">
        <v>1263037.77</v>
      </c>
      <c r="T859" s="93"/>
      <c r="U859" s="857"/>
      <c r="V859" s="158" t="e">
        <f t="shared" si="693"/>
        <v>#DIV/0!</v>
      </c>
      <c r="W859" s="159">
        <v>45877.665277777778</v>
      </c>
      <c r="X859" s="159">
        <v>45889.368055555555</v>
      </c>
      <c r="Y859" s="160">
        <v>45884</v>
      </c>
      <c r="Z859" s="470"/>
      <c r="AA859" s="942"/>
      <c r="AB859" s="942"/>
      <c r="AC859" s="161">
        <f t="shared" ref="AC859:AC864" si="694">AA859-W859</f>
        <v>-45877.665277777778</v>
      </c>
      <c r="AD859" s="161">
        <f t="shared" ref="AD859:AD864" si="695">AA859-X859</f>
        <v>-45889.368055555555</v>
      </c>
      <c r="AE859" s="446">
        <f t="shared" ref="AE859:AE864" si="696">AB859-AA859</f>
        <v>0</v>
      </c>
      <c r="AF859" s="160">
        <f t="shared" ref="AF859:AF864" si="697">W859+AO859</f>
        <v>45900.197192671396</v>
      </c>
      <c r="AG859" s="160">
        <f t="shared" ref="AG859:AG864" si="698">W859+AN859</f>
        <v>45910.005703309696</v>
      </c>
      <c r="AH859" s="159">
        <f t="shared" ref="AH859:AH864" si="699">W859+50</f>
        <v>45927.665277777778</v>
      </c>
      <c r="AI859" s="162">
        <f t="shared" ref="AI859:AI864" si="700" xml:space="preserve"> (0.3)*(AC859/AK859)+(0.7)*(AC859/AL859)</f>
        <v>-1347.6564175347221</v>
      </c>
      <c r="AJ859" s="224">
        <f t="shared" ref="AJ859:AJ864" si="701">AE859/AP859</f>
        <v>0</v>
      </c>
      <c r="AK859" s="225">
        <f t="shared" ref="AK859:AK864" si="702">IF(P859&lt;51,20,(IF(P859&lt;101,23,(IF(P859&lt;201,26,IF(P859&lt;301,28,IF(P859&lt;401,30,(IF(P859&lt;501,32,(IF(P859&lt;1001,40,50)))))))))))</f>
        <v>40</v>
      </c>
      <c r="AL859" s="170">
        <f t="shared" ref="AL859:AL864" si="703">IF(Q859&lt;51,36,(IF(Q859&lt;101,34,(IF(Q859&lt;201,32,IF(Q859&lt;301,30,IF(Q859&lt;401,28,(IF(Q859&lt;501,26,(IF(Q859&lt;1001,23,20)))))))))))</f>
        <v>32</v>
      </c>
      <c r="AM859" s="170">
        <f t="shared" ref="AM859:AM864" si="704">(0.75)/((0.3/AK859)+(0.7/AL859))</f>
        <v>25.531914893617024</v>
      </c>
      <c r="AN859" s="170">
        <f t="shared" ref="AN859:AN864" si="705">(0.95)/((0.3/AK859)+(0.7/AL859))</f>
        <v>32.340425531914896</v>
      </c>
      <c r="AO859" s="226">
        <f t="shared" ref="AO859:AO864" si="706">AM859-3</f>
        <v>22.531914893617024</v>
      </c>
      <c r="AP859" s="227">
        <v>60</v>
      </c>
      <c r="AQ859" s="228">
        <f t="shared" ref="AQ859:AQ864" si="707">0.95*AP859</f>
        <v>57</v>
      </c>
      <c r="AR859" s="228">
        <f t="shared" ref="AR859:AR864" si="708">AQ859-5</f>
        <v>52</v>
      </c>
      <c r="AS859" s="229">
        <f t="shared" ref="AS859:AS864" si="709">AA859+AP859</f>
        <v>60</v>
      </c>
      <c r="AT859" s="982">
        <f t="shared" ref="AT859:AT864" ca="1" si="710">IFERROR(TODAY()-AA859,"")</f>
        <v>45895</v>
      </c>
      <c r="AU859" s="50"/>
      <c r="AV859" s="51"/>
      <c r="AW859" s="49"/>
      <c r="AX859" s="49"/>
      <c r="AY859" s="49"/>
      <c r="AZ859" s="300"/>
      <c r="BA859" s="52"/>
      <c r="BB859" s="304"/>
      <c r="BC859" s="231"/>
      <c r="BD859" s="232"/>
      <c r="BE859" s="222">
        <f t="shared" ref="BE859:BE864" si="711">AA859+15</f>
        <v>15</v>
      </c>
      <c r="BF859" s="233">
        <f t="shared" ref="BF859:BF864" si="712">IF(ISBLANK(AA859),0,IF(ISBLANK(BH859),(BE859-$L$1),(BH859-BE859)))</f>
        <v>0</v>
      </c>
      <c r="BG859" s="234"/>
      <c r="BH859" s="235"/>
      <c r="BI859" s="234"/>
      <c r="BJ859" s="236"/>
      <c r="BK859" s="222"/>
      <c r="BL859" s="222"/>
      <c r="BM859" s="238"/>
      <c r="BN859" s="222"/>
      <c r="BO859" s="222"/>
      <c r="BP859" s="243"/>
      <c r="BQ859" s="244"/>
      <c r="BR859" s="238"/>
      <c r="BS859" s="68"/>
      <c r="BT859" s="69"/>
      <c r="BU859" s="69"/>
      <c r="BV859" s="69"/>
      <c r="BW859" s="75"/>
      <c r="BX859" s="81"/>
      <c r="BY859" s="66">
        <v>45882</v>
      </c>
      <c r="BZ859" s="944" t="s">
        <v>3988</v>
      </c>
      <c r="CA859" s="42"/>
      <c r="CB859" s="62"/>
      <c r="CC859" s="62"/>
      <c r="CD859" s="42"/>
      <c r="CE859" s="42"/>
      <c r="CF859" s="145"/>
      <c r="CG859" s="145"/>
      <c r="CH859" s="443"/>
      <c r="CI859" s="996"/>
      <c r="CJ859" s="261"/>
      <c r="CK859" s="458"/>
      <c r="CL859"/>
      <c r="CM859"/>
      <c r="CN859" s="635"/>
      <c r="CO859" s="631"/>
      <c r="CP859" s="629"/>
      <c r="CQ859" s="635"/>
      <c r="CR859" s="697"/>
      <c r="CS859" s="633"/>
      <c r="CT859" s="635"/>
      <c r="CU859" s="631"/>
      <c r="CV859" s="638"/>
      <c r="CW859" s="853"/>
      <c r="CX859" s="856"/>
      <c r="CY859" s="856"/>
    </row>
    <row r="860" spans="1:103" s="359" customFormat="1" ht="15" customHeight="1" x14ac:dyDescent="0.25">
      <c r="A860" s="242"/>
      <c r="B860" s="222">
        <v>45882</v>
      </c>
      <c r="C860" s="852"/>
      <c r="D860" s="66" t="s">
        <v>234</v>
      </c>
      <c r="E860" s="404" t="s">
        <v>3989</v>
      </c>
      <c r="F860" s="95" t="s">
        <v>926</v>
      </c>
      <c r="G860" s="95" t="s">
        <v>3103</v>
      </c>
      <c r="H860" s="95" t="s">
        <v>318</v>
      </c>
      <c r="I860" s="95" t="s">
        <v>239</v>
      </c>
      <c r="J860" s="854" t="s">
        <v>3990</v>
      </c>
      <c r="K860" s="855"/>
      <c r="L860" s="101" t="s">
        <v>3991</v>
      </c>
      <c r="M860" s="101" t="s">
        <v>331</v>
      </c>
      <c r="N860" s="442" t="s">
        <v>403</v>
      </c>
      <c r="O860" s="165"/>
      <c r="P860" s="165">
        <v>89.35</v>
      </c>
      <c r="Q860" s="157">
        <v>22</v>
      </c>
      <c r="R860" s="109" t="s">
        <v>244</v>
      </c>
      <c r="S860" s="110">
        <v>419897.84</v>
      </c>
      <c r="T860" s="93">
        <v>59352.45</v>
      </c>
      <c r="U860" s="857"/>
      <c r="V860" s="158">
        <f t="shared" si="693"/>
        <v>0</v>
      </c>
      <c r="W860" s="159">
        <v>45880.460416666669</v>
      </c>
      <c r="X860" s="159">
        <v>45889.371527777781</v>
      </c>
      <c r="Y860" s="160">
        <v>45882</v>
      </c>
      <c r="Z860" s="470"/>
      <c r="AA860" s="942"/>
      <c r="AB860" s="942"/>
      <c r="AC860" s="161">
        <f t="shared" si="694"/>
        <v>-45880.460416666669</v>
      </c>
      <c r="AD860" s="161">
        <f t="shared" si="695"/>
        <v>-45889.371527777781</v>
      </c>
      <c r="AE860" s="446">
        <f t="shared" si="696"/>
        <v>0</v>
      </c>
      <c r="AF860" s="160">
        <f t="shared" si="697"/>
        <v>45900.545918525408</v>
      </c>
      <c r="AG860" s="160">
        <f t="shared" si="698"/>
        <v>45909.702052354398</v>
      </c>
      <c r="AH860" s="159">
        <f t="shared" si="699"/>
        <v>45930.460416666669</v>
      </c>
      <c r="AI860" s="162">
        <f t="shared" si="700"/>
        <v>-1490.5608517008857</v>
      </c>
      <c r="AJ860" s="224">
        <f t="shared" si="701"/>
        <v>0</v>
      </c>
      <c r="AK860" s="225">
        <f t="shared" si="702"/>
        <v>23</v>
      </c>
      <c r="AL860" s="170">
        <f t="shared" si="703"/>
        <v>36</v>
      </c>
      <c r="AM860" s="170">
        <f t="shared" si="704"/>
        <v>23.085501858736059</v>
      </c>
      <c r="AN860" s="170">
        <f t="shared" si="705"/>
        <v>29.241635687732341</v>
      </c>
      <c r="AO860" s="226">
        <f t="shared" si="706"/>
        <v>20.085501858736059</v>
      </c>
      <c r="AP860" s="227">
        <v>60</v>
      </c>
      <c r="AQ860" s="228">
        <f t="shared" si="707"/>
        <v>57</v>
      </c>
      <c r="AR860" s="228">
        <f t="shared" si="708"/>
        <v>52</v>
      </c>
      <c r="AS860" s="229">
        <f t="shared" si="709"/>
        <v>60</v>
      </c>
      <c r="AT860" s="982">
        <f t="shared" ca="1" si="710"/>
        <v>45895</v>
      </c>
      <c r="AU860" s="50"/>
      <c r="AV860" s="51"/>
      <c r="AW860" s="49"/>
      <c r="AX860" s="49"/>
      <c r="AY860" s="49"/>
      <c r="AZ860" s="300"/>
      <c r="BA860" s="52"/>
      <c r="BB860" s="304"/>
      <c r="BC860" s="231"/>
      <c r="BD860" s="232"/>
      <c r="BE860" s="222">
        <f t="shared" si="711"/>
        <v>15</v>
      </c>
      <c r="BF860" s="233">
        <f t="shared" si="712"/>
        <v>0</v>
      </c>
      <c r="BG860" s="234"/>
      <c r="BH860" s="235"/>
      <c r="BI860" s="234"/>
      <c r="BJ860" s="236"/>
      <c r="BK860" s="222"/>
      <c r="BL860" s="222"/>
      <c r="BM860" s="238"/>
      <c r="BN860" s="222"/>
      <c r="BO860" s="222"/>
      <c r="BP860" s="243"/>
      <c r="BQ860" s="244"/>
      <c r="BR860" s="238"/>
      <c r="BS860" s="68"/>
      <c r="BT860" s="69"/>
      <c r="BU860" s="69"/>
      <c r="BV860" s="69"/>
      <c r="BW860" s="75"/>
      <c r="BX860" s="81"/>
      <c r="BY860" s="66">
        <v>45882</v>
      </c>
      <c r="BZ860" s="944" t="s">
        <v>3992</v>
      </c>
      <c r="CA860" s="42"/>
      <c r="CB860" s="62"/>
      <c r="CC860" s="62"/>
      <c r="CD860" s="42"/>
      <c r="CE860" s="42"/>
      <c r="CF860" s="145"/>
      <c r="CG860" s="145"/>
      <c r="CH860" s="443"/>
      <c r="CI860" s="996"/>
      <c r="CJ860" s="261"/>
      <c r="CK860" s="458"/>
      <c r="CL860"/>
      <c r="CM860"/>
      <c r="CN860" s="635"/>
      <c r="CO860" s="631"/>
      <c r="CP860" s="629"/>
      <c r="CQ860" s="635"/>
      <c r="CR860" s="697"/>
      <c r="CS860" s="633"/>
      <c r="CT860" s="635"/>
      <c r="CU860" s="631"/>
      <c r="CV860" s="638"/>
      <c r="CW860" s="853"/>
      <c r="CX860" s="856"/>
      <c r="CY860" s="856"/>
    </row>
    <row r="861" spans="1:103" s="359" customFormat="1" ht="15" customHeight="1" x14ac:dyDescent="0.25">
      <c r="A861" s="242"/>
      <c r="B861" s="222">
        <v>45882</v>
      </c>
      <c r="C861" s="852"/>
      <c r="D861" s="66" t="s">
        <v>284</v>
      </c>
      <c r="E861" s="404" t="s">
        <v>3993</v>
      </c>
      <c r="F861" s="95" t="s">
        <v>3994</v>
      </c>
      <c r="G861" s="95" t="s">
        <v>888</v>
      </c>
      <c r="H861" s="95" t="s">
        <v>238</v>
      </c>
      <c r="I861" s="95" t="s">
        <v>239</v>
      </c>
      <c r="J861" s="854"/>
      <c r="K861" s="855"/>
      <c r="L861" s="101" t="s">
        <v>3991</v>
      </c>
      <c r="M861" s="101" t="s">
        <v>331</v>
      </c>
      <c r="N861" s="442" t="s">
        <v>403</v>
      </c>
      <c r="O861" s="165"/>
      <c r="P861" s="165">
        <v>129.12</v>
      </c>
      <c r="Q861" s="157">
        <v>45</v>
      </c>
      <c r="R861" s="109" t="s">
        <v>244</v>
      </c>
      <c r="S861" s="110">
        <v>359556.01</v>
      </c>
      <c r="T861" s="93">
        <v>43707.46</v>
      </c>
      <c r="U861" s="857"/>
      <c r="V861" s="158">
        <f t="shared" si="693"/>
        <v>0</v>
      </c>
      <c r="W861" s="159">
        <v>45880.697222222225</v>
      </c>
      <c r="X861" s="159">
        <v>45889.370833333334</v>
      </c>
      <c r="Y861" s="160">
        <v>45882</v>
      </c>
      <c r="Z861" s="470"/>
      <c r="AA861" s="942"/>
      <c r="AB861" s="942"/>
      <c r="AC861" s="161">
        <f t="shared" si="694"/>
        <v>-45880.697222222225</v>
      </c>
      <c r="AD861" s="161">
        <f t="shared" si="695"/>
        <v>-45889.370833333334</v>
      </c>
      <c r="AE861" s="446">
        <f t="shared" si="696"/>
        <v>0</v>
      </c>
      <c r="AF861" s="160">
        <f t="shared" si="697"/>
        <v>45901.904118773949</v>
      </c>
      <c r="AG861" s="160">
        <f t="shared" si="698"/>
        <v>45911.359291187742</v>
      </c>
      <c r="AH861" s="159">
        <f t="shared" si="699"/>
        <v>45930.697222222225</v>
      </c>
      <c r="AI861" s="162">
        <f t="shared" si="700"/>
        <v>-1421.5173284662869</v>
      </c>
      <c r="AJ861" s="224">
        <f t="shared" si="701"/>
        <v>0</v>
      </c>
      <c r="AK861" s="225">
        <f t="shared" si="702"/>
        <v>26</v>
      </c>
      <c r="AL861" s="170">
        <f t="shared" si="703"/>
        <v>36</v>
      </c>
      <c r="AM861" s="170">
        <f t="shared" si="704"/>
        <v>24.206896551724139</v>
      </c>
      <c r="AN861" s="170">
        <f t="shared" si="705"/>
        <v>30.662068965517239</v>
      </c>
      <c r="AO861" s="226">
        <f t="shared" si="706"/>
        <v>21.206896551724139</v>
      </c>
      <c r="AP861" s="227">
        <v>60</v>
      </c>
      <c r="AQ861" s="228">
        <f t="shared" si="707"/>
        <v>57</v>
      </c>
      <c r="AR861" s="228">
        <f t="shared" si="708"/>
        <v>52</v>
      </c>
      <c r="AS861" s="229">
        <f t="shared" si="709"/>
        <v>60</v>
      </c>
      <c r="AT861" s="982">
        <f t="shared" ca="1" si="710"/>
        <v>45895</v>
      </c>
      <c r="AU861" s="50"/>
      <c r="AV861" s="51"/>
      <c r="AW861" s="49"/>
      <c r="AX861" s="49"/>
      <c r="AY861" s="49"/>
      <c r="AZ861" s="300"/>
      <c r="BA861" s="52"/>
      <c r="BB861" s="304"/>
      <c r="BC861" s="231"/>
      <c r="BD861" s="232"/>
      <c r="BE861" s="222">
        <f t="shared" si="711"/>
        <v>15</v>
      </c>
      <c r="BF861" s="233">
        <f t="shared" si="712"/>
        <v>0</v>
      </c>
      <c r="BG861" s="234"/>
      <c r="BH861" s="235"/>
      <c r="BI861" s="234"/>
      <c r="BJ861" s="236"/>
      <c r="BK861" s="222"/>
      <c r="BL861" s="222"/>
      <c r="BM861" s="238"/>
      <c r="BN861" s="222"/>
      <c r="BO861" s="222"/>
      <c r="BP861" s="243"/>
      <c r="BQ861" s="244"/>
      <c r="BR861" s="238"/>
      <c r="BS861" s="68"/>
      <c r="BT861" s="69"/>
      <c r="BU861" s="69"/>
      <c r="BV861" s="69"/>
      <c r="BW861" s="75"/>
      <c r="BX861" s="81"/>
      <c r="BY861" s="66">
        <v>45882</v>
      </c>
      <c r="BZ861" s="944" t="s">
        <v>3995</v>
      </c>
      <c r="CA861" s="42"/>
      <c r="CB861" s="62"/>
      <c r="CC861" s="62"/>
      <c r="CD861" s="42"/>
      <c r="CE861" s="42"/>
      <c r="CF861" s="145"/>
      <c r="CG861" s="145"/>
      <c r="CH861" s="443"/>
      <c r="CI861" s="996"/>
      <c r="CJ861" s="261"/>
      <c r="CK861" s="458"/>
      <c r="CL861"/>
      <c r="CM861"/>
      <c r="CN861" s="635"/>
      <c r="CO861" s="631"/>
      <c r="CP861" s="629"/>
      <c r="CQ861" s="635"/>
      <c r="CR861" s="697"/>
      <c r="CS861" s="633"/>
      <c r="CT861" s="635"/>
      <c r="CU861" s="631"/>
      <c r="CV861" s="638"/>
      <c r="CW861" s="853"/>
      <c r="CX861" s="856"/>
      <c r="CY861" s="856"/>
    </row>
    <row r="862" spans="1:103" s="1103" customFormat="1" ht="15" customHeight="1" x14ac:dyDescent="0.25">
      <c r="A862" s="242"/>
      <c r="B862" s="222">
        <v>45883</v>
      </c>
      <c r="C862" s="852"/>
      <c r="D862" s="66" t="s">
        <v>320</v>
      </c>
      <c r="E862" s="404" t="s">
        <v>3996</v>
      </c>
      <c r="F862" s="95" t="s">
        <v>3997</v>
      </c>
      <c r="G862" s="95" t="s">
        <v>3998</v>
      </c>
      <c r="H862" s="95" t="s">
        <v>238</v>
      </c>
      <c r="I862" s="95" t="s">
        <v>239</v>
      </c>
      <c r="J862" s="854"/>
      <c r="K862" s="855"/>
      <c r="L862" s="101" t="s">
        <v>3999</v>
      </c>
      <c r="M862" s="101" t="s">
        <v>331</v>
      </c>
      <c r="N862" s="442" t="s">
        <v>403</v>
      </c>
      <c r="O862" s="165"/>
      <c r="P862" s="165">
        <v>13.04</v>
      </c>
      <c r="Q862" s="157">
        <v>23</v>
      </c>
      <c r="R862" s="109" t="s">
        <v>548</v>
      </c>
      <c r="S862" s="110">
        <v>142685.54999999999</v>
      </c>
      <c r="T862" s="1133">
        <v>11207.18</v>
      </c>
      <c r="U862" s="857"/>
      <c r="V862" s="158">
        <f t="shared" si="693"/>
        <v>0</v>
      </c>
      <c r="W862" s="159">
        <v>45881.696527777778</v>
      </c>
      <c r="X862" s="159">
        <v>45889.37222222222</v>
      </c>
      <c r="Y862" s="160">
        <v>45883</v>
      </c>
      <c r="Z862" s="470"/>
      <c r="AA862" s="942"/>
      <c r="AB862" s="942"/>
      <c r="AC862" s="161">
        <f t="shared" si="694"/>
        <v>-45881.696527777778</v>
      </c>
      <c r="AD862" s="161">
        <f t="shared" si="695"/>
        <v>-45889.37222222222</v>
      </c>
      <c r="AE862" s="446">
        <f t="shared" si="696"/>
        <v>0</v>
      </c>
      <c r="AF862" s="160">
        <f t="shared" si="697"/>
        <v>45900.470721326164</v>
      </c>
      <c r="AG862" s="160">
        <f t="shared" si="698"/>
        <v>45909.277172939066</v>
      </c>
      <c r="AH862" s="159">
        <f t="shared" si="699"/>
        <v>45931.696527777778</v>
      </c>
      <c r="AI862" s="162">
        <f t="shared" si="700"/>
        <v>-1580.3695470679013</v>
      </c>
      <c r="AJ862" s="224">
        <f t="shared" si="701"/>
        <v>0</v>
      </c>
      <c r="AK862" s="225">
        <f t="shared" si="702"/>
        <v>20</v>
      </c>
      <c r="AL862" s="170">
        <f t="shared" si="703"/>
        <v>36</v>
      </c>
      <c r="AM862" s="170">
        <f t="shared" si="704"/>
        <v>21.774193548387096</v>
      </c>
      <c r="AN862" s="170">
        <f t="shared" si="705"/>
        <v>27.58064516129032</v>
      </c>
      <c r="AO862" s="226">
        <f t="shared" si="706"/>
        <v>18.774193548387096</v>
      </c>
      <c r="AP862" s="227">
        <v>60</v>
      </c>
      <c r="AQ862" s="228">
        <f t="shared" si="707"/>
        <v>57</v>
      </c>
      <c r="AR862" s="228">
        <f t="shared" si="708"/>
        <v>52</v>
      </c>
      <c r="AS862" s="229">
        <f t="shared" si="709"/>
        <v>60</v>
      </c>
      <c r="AT862" s="982">
        <f t="shared" ca="1" si="710"/>
        <v>45895</v>
      </c>
      <c r="AU862" s="50"/>
      <c r="AV862" s="51"/>
      <c r="AW862" s="49"/>
      <c r="AX862" s="49"/>
      <c r="AY862" s="49"/>
      <c r="AZ862" s="300"/>
      <c r="BA862" s="52"/>
      <c r="BB862" s="304"/>
      <c r="BC862" s="231"/>
      <c r="BD862" s="232"/>
      <c r="BE862" s="222">
        <f t="shared" si="711"/>
        <v>15</v>
      </c>
      <c r="BF862" s="233">
        <f t="shared" si="712"/>
        <v>0</v>
      </c>
      <c r="BG862" s="234"/>
      <c r="BH862" s="235"/>
      <c r="BI862" s="234"/>
      <c r="BJ862" s="236"/>
      <c r="BK862" s="222"/>
      <c r="BL862" s="222"/>
      <c r="BM862" s="238"/>
      <c r="BN862" s="222"/>
      <c r="BO862" s="222"/>
      <c r="BP862" s="243"/>
      <c r="BQ862" s="244"/>
      <c r="BR862" s="238"/>
      <c r="BS862" s="68"/>
      <c r="BT862" s="69"/>
      <c r="BU862" s="69"/>
      <c r="BV862" s="69"/>
      <c r="BW862" s="75"/>
      <c r="BX862" s="81"/>
      <c r="BY862" s="66">
        <v>45882</v>
      </c>
      <c r="BZ862" s="944" t="s">
        <v>4000</v>
      </c>
      <c r="CA862" s="42"/>
      <c r="CB862" s="62"/>
      <c r="CC862" s="62"/>
      <c r="CD862" s="42"/>
      <c r="CE862" s="42"/>
      <c r="CF862" s="1059"/>
      <c r="CG862" s="1059"/>
      <c r="CH862" s="1082"/>
      <c r="CI862" s="1059"/>
      <c r="CJ862" s="1057"/>
      <c r="CK862" s="1085"/>
      <c r="CL862" s="1057"/>
      <c r="CM862" s="1057"/>
      <c r="CN862" s="1086"/>
      <c r="CO862" s="1087"/>
      <c r="CP862" s="629"/>
      <c r="CQ862" s="1086"/>
      <c r="CR862" s="1088"/>
      <c r="CS862" s="1089"/>
      <c r="CT862" s="1086"/>
      <c r="CU862" s="1087"/>
      <c r="CV862" s="1090"/>
      <c r="CW862" s="853"/>
      <c r="CX862" s="856"/>
      <c r="CY862" s="856"/>
    </row>
    <row r="863" spans="1:103" s="1103" customFormat="1" ht="15" customHeight="1" x14ac:dyDescent="0.25">
      <c r="A863" s="242"/>
      <c r="B863" s="222">
        <v>45884</v>
      </c>
      <c r="C863" s="852"/>
      <c r="D863" s="66" t="s">
        <v>320</v>
      </c>
      <c r="E863" s="404" t="s">
        <v>4001</v>
      </c>
      <c r="F863" s="95" t="s">
        <v>4002</v>
      </c>
      <c r="G863" s="95" t="s">
        <v>2998</v>
      </c>
      <c r="H863" s="95" t="s">
        <v>238</v>
      </c>
      <c r="I863" s="95" t="s">
        <v>239</v>
      </c>
      <c r="J863" s="854"/>
      <c r="K863" s="855"/>
      <c r="L863" s="101" t="s">
        <v>4003</v>
      </c>
      <c r="M863" s="101" t="s">
        <v>331</v>
      </c>
      <c r="N863" s="442" t="s">
        <v>467</v>
      </c>
      <c r="O863" s="165">
        <v>526.61</v>
      </c>
      <c r="P863" s="165">
        <v>1165.95</v>
      </c>
      <c r="Q863" s="157">
        <v>42</v>
      </c>
      <c r="R863" s="109" t="s">
        <v>548</v>
      </c>
      <c r="S863" s="110">
        <v>2087885.05</v>
      </c>
      <c r="T863" s="93"/>
      <c r="U863" s="857"/>
      <c r="V863" s="158" t="e">
        <f t="shared" si="693"/>
        <v>#DIV/0!</v>
      </c>
      <c r="W863" s="159">
        <v>45881.630555555559</v>
      </c>
      <c r="X863" s="159">
        <v>45889.373611111114</v>
      </c>
      <c r="Y863" s="160">
        <v>45884</v>
      </c>
      <c r="Z863" s="470"/>
      <c r="AA863" s="942"/>
      <c r="AB863" s="942"/>
      <c r="AC863" s="161">
        <f t="shared" si="694"/>
        <v>-45881.630555555559</v>
      </c>
      <c r="AD863" s="161">
        <f t="shared" si="695"/>
        <v>-45889.373611111114</v>
      </c>
      <c r="AE863" s="446">
        <f t="shared" si="696"/>
        <v>0</v>
      </c>
      <c r="AF863" s="160">
        <f t="shared" si="697"/>
        <v>45908.106538088308</v>
      </c>
      <c r="AG863" s="160">
        <f t="shared" si="698"/>
        <v>45918.966800097041</v>
      </c>
      <c r="AH863" s="159">
        <f t="shared" si="699"/>
        <v>45931.630555555559</v>
      </c>
      <c r="AI863" s="162">
        <f t="shared" si="700"/>
        <v>-1167.4325996913581</v>
      </c>
      <c r="AJ863" s="224">
        <f t="shared" si="701"/>
        <v>0</v>
      </c>
      <c r="AK863" s="225">
        <f t="shared" si="702"/>
        <v>50</v>
      </c>
      <c r="AL863" s="170">
        <f t="shared" si="703"/>
        <v>36</v>
      </c>
      <c r="AM863" s="170">
        <f t="shared" si="704"/>
        <v>29.475982532751093</v>
      </c>
      <c r="AN863" s="170">
        <f t="shared" si="705"/>
        <v>37.336244541484717</v>
      </c>
      <c r="AO863" s="226">
        <f t="shared" si="706"/>
        <v>26.475982532751093</v>
      </c>
      <c r="AP863" s="227">
        <v>60</v>
      </c>
      <c r="AQ863" s="228">
        <f t="shared" si="707"/>
        <v>57</v>
      </c>
      <c r="AR863" s="228">
        <f t="shared" si="708"/>
        <v>52</v>
      </c>
      <c r="AS863" s="229">
        <f t="shared" si="709"/>
        <v>60</v>
      </c>
      <c r="AT863" s="982">
        <f t="shared" ca="1" si="710"/>
        <v>45895</v>
      </c>
      <c r="AU863" s="50"/>
      <c r="AV863" s="51"/>
      <c r="AW863" s="49"/>
      <c r="AX863" s="49"/>
      <c r="AY863" s="49"/>
      <c r="AZ863" s="300"/>
      <c r="BA863" s="52"/>
      <c r="BB863" s="304"/>
      <c r="BC863" s="231"/>
      <c r="BD863" s="232"/>
      <c r="BE863" s="222">
        <f t="shared" si="711"/>
        <v>15</v>
      </c>
      <c r="BF863" s="233">
        <f t="shared" si="712"/>
        <v>0</v>
      </c>
      <c r="BG863" s="234"/>
      <c r="BH863" s="235"/>
      <c r="BI863" s="234"/>
      <c r="BJ863" s="236"/>
      <c r="BK863" s="222"/>
      <c r="BL863" s="222"/>
      <c r="BM863" s="238"/>
      <c r="BN863" s="222"/>
      <c r="BO863" s="222"/>
      <c r="BP863" s="243"/>
      <c r="BQ863" s="244"/>
      <c r="BR863" s="238"/>
      <c r="BS863" s="68"/>
      <c r="BT863" s="69"/>
      <c r="BU863" s="69"/>
      <c r="BV863" s="69"/>
      <c r="BW863" s="75"/>
      <c r="BX863" s="81"/>
      <c r="BY863" s="66">
        <v>45882</v>
      </c>
      <c r="BZ863" s="944" t="s">
        <v>4004</v>
      </c>
      <c r="CA863" s="42"/>
      <c r="CB863" s="62"/>
      <c r="CC863" s="62"/>
      <c r="CD863" s="42"/>
      <c r="CE863" s="42"/>
      <c r="CF863" s="1059"/>
      <c r="CG863" s="1059"/>
      <c r="CH863" s="1082"/>
      <c r="CI863" s="1059"/>
      <c r="CJ863" s="1057"/>
      <c r="CK863" s="1085"/>
      <c r="CL863" s="1057"/>
      <c r="CM863" s="1057"/>
      <c r="CN863" s="1086"/>
      <c r="CO863" s="1087"/>
      <c r="CP863" s="629"/>
      <c r="CQ863" s="1086"/>
      <c r="CR863" s="1088"/>
      <c r="CS863" s="1089"/>
      <c r="CT863" s="1086"/>
      <c r="CU863" s="1087"/>
      <c r="CV863" s="1090"/>
      <c r="CW863" s="853"/>
      <c r="CX863" s="856"/>
      <c r="CY863" s="856"/>
    </row>
    <row r="864" spans="1:103" s="1103" customFormat="1" ht="15" customHeight="1" x14ac:dyDescent="0.25">
      <c r="A864" s="242">
        <v>45884</v>
      </c>
      <c r="B864" s="222" t="s">
        <v>470</v>
      </c>
      <c r="C864" s="852"/>
      <c r="D864" s="66" t="s">
        <v>284</v>
      </c>
      <c r="E864" s="404" t="s">
        <v>4005</v>
      </c>
      <c r="F864" s="95" t="s">
        <v>4006</v>
      </c>
      <c r="G864" s="95" t="s">
        <v>572</v>
      </c>
      <c r="H864" s="95" t="s">
        <v>253</v>
      </c>
      <c r="I864" s="95" t="s">
        <v>254</v>
      </c>
      <c r="J864" s="854"/>
      <c r="K864" s="855"/>
      <c r="L864" s="101" t="s">
        <v>4003</v>
      </c>
      <c r="M864" s="101" t="s">
        <v>331</v>
      </c>
      <c r="N864" s="442" t="s">
        <v>467</v>
      </c>
      <c r="O864" s="165">
        <v>21.88</v>
      </c>
      <c r="P864" s="165">
        <v>21.88</v>
      </c>
      <c r="Q864" s="157">
        <v>64</v>
      </c>
      <c r="R864" s="109" t="s">
        <v>244</v>
      </c>
      <c r="S864" s="110">
        <v>240537.18</v>
      </c>
      <c r="T864" s="93"/>
      <c r="U864" s="857"/>
      <c r="V864" s="158" t="e">
        <f t="shared" si="693"/>
        <v>#DIV/0!</v>
      </c>
      <c r="W864" s="159">
        <v>45875.572916666664</v>
      </c>
      <c r="X864" s="159">
        <v>45882.371527777781</v>
      </c>
      <c r="Y864" s="160">
        <v>45880</v>
      </c>
      <c r="Z864" s="470"/>
      <c r="AA864" s="942"/>
      <c r="AB864" s="942"/>
      <c r="AC864" s="161">
        <f t="shared" si="694"/>
        <v>-45875.572916666664</v>
      </c>
      <c r="AD864" s="161">
        <f t="shared" si="695"/>
        <v>-45882.371527777781</v>
      </c>
      <c r="AE864" s="446">
        <f t="shared" si="696"/>
        <v>0</v>
      </c>
      <c r="AF864" s="160">
        <f t="shared" si="697"/>
        <v>45893.64729683195</v>
      </c>
      <c r="AG864" s="160">
        <f t="shared" si="698"/>
        <v>45902.2671315427</v>
      </c>
      <c r="AH864" s="159">
        <f t="shared" si="699"/>
        <v>45925.572916666664</v>
      </c>
      <c r="AI864" s="162">
        <f t="shared" si="700"/>
        <v>-1632.6306832107841</v>
      </c>
      <c r="AJ864" s="224">
        <f t="shared" si="701"/>
        <v>0</v>
      </c>
      <c r="AK864" s="225">
        <f t="shared" si="702"/>
        <v>20</v>
      </c>
      <c r="AL864" s="170">
        <f t="shared" si="703"/>
        <v>34</v>
      </c>
      <c r="AM864" s="170">
        <f t="shared" si="704"/>
        <v>21.074380165289259</v>
      </c>
      <c r="AN864" s="170">
        <f t="shared" si="705"/>
        <v>26.694214876033058</v>
      </c>
      <c r="AO864" s="226">
        <f t="shared" si="706"/>
        <v>18.074380165289259</v>
      </c>
      <c r="AP864" s="227">
        <v>60</v>
      </c>
      <c r="AQ864" s="228">
        <f t="shared" si="707"/>
        <v>57</v>
      </c>
      <c r="AR864" s="228">
        <f t="shared" si="708"/>
        <v>52</v>
      </c>
      <c r="AS864" s="229">
        <f t="shared" si="709"/>
        <v>60</v>
      </c>
      <c r="AT864" s="982">
        <f t="shared" ca="1" si="710"/>
        <v>45895</v>
      </c>
      <c r="AU864" s="50"/>
      <c r="AV864" s="51"/>
      <c r="AW864" s="49"/>
      <c r="AX864" s="49"/>
      <c r="AY864" s="49"/>
      <c r="AZ864" s="300"/>
      <c r="BA864" s="52"/>
      <c r="BB864" s="304"/>
      <c r="BC864" s="231"/>
      <c r="BD864" s="232"/>
      <c r="BE864" s="222">
        <f t="shared" si="711"/>
        <v>15</v>
      </c>
      <c r="BF864" s="233">
        <f t="shared" si="712"/>
        <v>0</v>
      </c>
      <c r="BG864" s="234"/>
      <c r="BH864" s="235"/>
      <c r="BI864" s="234"/>
      <c r="BJ864" s="236"/>
      <c r="BK864" s="222"/>
      <c r="BL864" s="222"/>
      <c r="BM864" s="238"/>
      <c r="BN864" s="222"/>
      <c r="BO864" s="222"/>
      <c r="BP864" s="243"/>
      <c r="BQ864" s="244"/>
      <c r="BR864" s="238"/>
      <c r="BS864" s="68"/>
      <c r="BT864" s="69"/>
      <c r="BU864" s="69"/>
      <c r="BV864" s="69"/>
      <c r="BW864" s="75"/>
      <c r="BX864" s="81"/>
      <c r="BY864" s="66">
        <v>45882</v>
      </c>
      <c r="BZ864" s="944" t="s">
        <v>4007</v>
      </c>
      <c r="CA864" s="42"/>
      <c r="CB864" s="62"/>
      <c r="CC864" s="62"/>
      <c r="CD864" s="42"/>
      <c r="CE864" s="42"/>
      <c r="CF864" s="1059"/>
      <c r="CG864" s="1059"/>
      <c r="CH864" s="1082"/>
      <c r="CI864" s="1059"/>
      <c r="CJ864" s="1057"/>
      <c r="CK864" s="1085"/>
      <c r="CL864" s="1057"/>
      <c r="CM864" s="1057"/>
      <c r="CN864" s="1086"/>
      <c r="CO864" s="1087"/>
      <c r="CP864" s="629"/>
      <c r="CQ864" s="1086"/>
      <c r="CR864" s="1088"/>
      <c r="CS864" s="1089"/>
      <c r="CT864" s="1086"/>
      <c r="CU864" s="1087"/>
      <c r="CV864" s="1090"/>
      <c r="CW864" s="853"/>
      <c r="CX864" s="856"/>
      <c r="CY864" s="856"/>
    </row>
    <row r="865" spans="1:103" s="1103" customFormat="1" ht="15" customHeight="1" x14ac:dyDescent="0.2">
      <c r="A865" s="242"/>
      <c r="B865" s="222">
        <v>45888</v>
      </c>
      <c r="C865" s="852"/>
      <c r="D865" s="66" t="s">
        <v>4008</v>
      </c>
      <c r="E865" s="404" t="s">
        <v>4009</v>
      </c>
      <c r="F865" s="95" t="s">
        <v>3840</v>
      </c>
      <c r="G865" s="95" t="s">
        <v>2702</v>
      </c>
      <c r="H865" s="95" t="s">
        <v>253</v>
      </c>
      <c r="I865" s="95" t="s">
        <v>254</v>
      </c>
      <c r="J865" s="854"/>
      <c r="K865" s="855"/>
      <c r="L865" s="101" t="s">
        <v>3999</v>
      </c>
      <c r="M865" s="101" t="s">
        <v>331</v>
      </c>
      <c r="N865" s="442" t="s">
        <v>403</v>
      </c>
      <c r="O865" s="165">
        <v>81.790000000000006</v>
      </c>
      <c r="P865" s="165">
        <v>160.07</v>
      </c>
      <c r="Q865" s="157">
        <v>20</v>
      </c>
      <c r="R865" s="109" t="s">
        <v>244</v>
      </c>
      <c r="S865" s="110">
        <v>377857.81</v>
      </c>
      <c r="T865" s="1133">
        <v>70278.399999999994</v>
      </c>
      <c r="U865" s="857"/>
      <c r="V865" s="158">
        <f t="shared" ref="V865:V873" si="713">U865/T865</f>
        <v>0</v>
      </c>
      <c r="W865" s="159">
        <v>45882.685416666667</v>
      </c>
      <c r="X865" s="159">
        <v>45889.377083333333</v>
      </c>
      <c r="Y865" s="160">
        <v>45888</v>
      </c>
      <c r="Z865" s="470"/>
      <c r="AA865" s="942"/>
      <c r="AB865" s="942"/>
      <c r="AC865" s="161">
        <f t="shared" ref="AC865:AC872" si="714">AA865-W865</f>
        <v>-45882.685416666667</v>
      </c>
      <c r="AD865" s="161">
        <f t="shared" ref="AD865:AD872" si="715">AA865-X865</f>
        <v>-45889.377083333333</v>
      </c>
      <c r="AE865" s="446">
        <f t="shared" ref="AE865:AE872" si="716">AB865-AA865</f>
        <v>0</v>
      </c>
      <c r="AF865" s="160">
        <f t="shared" ref="AF865:AF872" si="717">W865+AO865</f>
        <v>45903.892313218392</v>
      </c>
      <c r="AG865" s="160">
        <f t="shared" ref="AG865:AG872" si="718">W865+AN865</f>
        <v>45913.347485632185</v>
      </c>
      <c r="AH865" s="159">
        <f t="shared" ref="AH865:AH872" si="719">W865+50</f>
        <v>45932.685416666667</v>
      </c>
      <c r="AI865" s="162">
        <f t="shared" ref="AI865:AI872" si="720" xml:space="preserve"> (0.3)*(AC865/AK865)+(0.7)*(AC865/AL865)</f>
        <v>-1421.5789285078347</v>
      </c>
      <c r="AJ865" s="224">
        <f t="shared" ref="AJ865:AJ872" si="721">AE865/AP865</f>
        <v>0</v>
      </c>
      <c r="AK865" s="225">
        <f t="shared" ref="AK865:AK872" si="722">IF(P865&lt;51,20,(IF(P865&lt;101,23,(IF(P865&lt;201,26,IF(P865&lt;301,28,IF(P865&lt;401,30,(IF(P865&lt;501,32,(IF(P865&lt;1001,40,50)))))))))))</f>
        <v>26</v>
      </c>
      <c r="AL865" s="170">
        <f t="shared" ref="AL865:AL872" si="723">IF(Q865&lt;51,36,(IF(Q865&lt;101,34,(IF(Q865&lt;201,32,IF(Q865&lt;301,30,IF(Q865&lt;401,28,(IF(Q865&lt;501,26,(IF(Q865&lt;1001,23,20)))))))))))</f>
        <v>36</v>
      </c>
      <c r="AM865" s="170">
        <f t="shared" ref="AM865:AM872" si="724">(0.75)/((0.3/AK865)+(0.7/AL865))</f>
        <v>24.206896551724139</v>
      </c>
      <c r="AN865" s="170">
        <f t="shared" ref="AN865:AN872" si="725">(0.95)/((0.3/AK865)+(0.7/AL865))</f>
        <v>30.662068965517239</v>
      </c>
      <c r="AO865" s="226">
        <f t="shared" ref="AO865:AO872" si="726">AM865-3</f>
        <v>21.206896551724139</v>
      </c>
      <c r="AP865" s="227">
        <v>61</v>
      </c>
      <c r="AQ865" s="228">
        <f t="shared" ref="AQ865:AQ872" si="727">0.95*AP865</f>
        <v>57.949999999999996</v>
      </c>
      <c r="AR865" s="228">
        <f t="shared" ref="AR865:AR872" si="728">AQ865-5</f>
        <v>52.949999999999996</v>
      </c>
      <c r="AS865" s="229">
        <f t="shared" ref="AS865:AS872" si="729">AA865+AP865</f>
        <v>61</v>
      </c>
      <c r="AT865" s="982">
        <f t="shared" ref="AT865:AT872" ca="1" si="730">IFERROR(TODAY()-AA865,"")</f>
        <v>45895</v>
      </c>
      <c r="AU865" s="1077"/>
      <c r="AV865" s="1107"/>
      <c r="AW865" s="1079"/>
      <c r="AX865" s="1079"/>
      <c r="AY865" s="1079"/>
      <c r="AZ865" s="1080"/>
      <c r="BA865" s="1101"/>
      <c r="BB865" s="1091"/>
      <c r="BC865" s="231"/>
      <c r="BD865" s="232"/>
      <c r="BE865" s="222"/>
      <c r="BF865" s="233"/>
      <c r="BG865" s="234"/>
      <c r="BH865" s="235"/>
      <c r="BI865" s="234"/>
      <c r="BJ865" s="236"/>
      <c r="BK865" s="222"/>
      <c r="BL865" s="222"/>
      <c r="BM865" s="238"/>
      <c r="BN865" s="222"/>
      <c r="BO865" s="222"/>
      <c r="BP865" s="243"/>
      <c r="BQ865" s="244"/>
      <c r="BR865" s="238"/>
      <c r="BS865" s="68"/>
      <c r="BT865" s="69"/>
      <c r="BU865" s="69"/>
      <c r="BV865" s="69"/>
      <c r="BW865" s="75"/>
      <c r="BX865" s="81"/>
      <c r="BY865" s="66">
        <v>45888</v>
      </c>
      <c r="BZ865" s="944" t="s">
        <v>4010</v>
      </c>
      <c r="CA865" s="42"/>
      <c r="CB865" s="62"/>
      <c r="CC865" s="62"/>
      <c r="CD865" s="42"/>
      <c r="CE865" s="42"/>
      <c r="CF865" s="1059"/>
      <c r="CG865" s="1059"/>
      <c r="CH865" s="1082"/>
      <c r="CI865" s="1059"/>
      <c r="CJ865" s="1057"/>
      <c r="CK865" s="1085"/>
      <c r="CL865" s="1057"/>
      <c r="CM865" s="1057"/>
      <c r="CN865" s="1086"/>
      <c r="CO865" s="1087"/>
      <c r="CP865" s="629"/>
      <c r="CQ865" s="1086"/>
      <c r="CR865" s="1088"/>
      <c r="CS865" s="1089"/>
      <c r="CT865" s="1086"/>
      <c r="CU865" s="1087"/>
      <c r="CV865" s="1090"/>
      <c r="CW865" s="853"/>
      <c r="CX865" s="856"/>
      <c r="CY865" s="856"/>
    </row>
    <row r="866" spans="1:103" s="1103" customFormat="1" ht="15" customHeight="1" x14ac:dyDescent="0.2">
      <c r="A866" s="242"/>
      <c r="B866" s="222">
        <v>45888</v>
      </c>
      <c r="C866" s="852"/>
      <c r="D866" s="66" t="s">
        <v>320</v>
      </c>
      <c r="E866" s="404" t="s">
        <v>4011</v>
      </c>
      <c r="F866" s="95" t="s">
        <v>4012</v>
      </c>
      <c r="G866" s="95" t="s">
        <v>4013</v>
      </c>
      <c r="H866" s="95" t="s">
        <v>269</v>
      </c>
      <c r="I866" s="95" t="s">
        <v>239</v>
      </c>
      <c r="J866" s="854"/>
      <c r="K866" s="855"/>
      <c r="L866" s="101" t="s">
        <v>3999</v>
      </c>
      <c r="M866" s="101" t="s">
        <v>331</v>
      </c>
      <c r="N866" s="442" t="s">
        <v>403</v>
      </c>
      <c r="O866" s="165"/>
      <c r="P866" s="165">
        <v>4.78</v>
      </c>
      <c r="Q866" s="157">
        <v>1.5</v>
      </c>
      <c r="R866" s="109" t="s">
        <v>244</v>
      </c>
      <c r="S866" s="110">
        <v>26126.5</v>
      </c>
      <c r="T866" s="93">
        <v>4107.1000000000004</v>
      </c>
      <c r="U866" s="857"/>
      <c r="V866" s="158">
        <f t="shared" si="713"/>
        <v>0</v>
      </c>
      <c r="W866" s="159">
        <v>45883.415277777778</v>
      </c>
      <c r="X866" s="159">
        <v>45889.388888888891</v>
      </c>
      <c r="Y866" s="160">
        <v>45888</v>
      </c>
      <c r="Z866" s="470"/>
      <c r="AA866" s="942"/>
      <c r="AB866" s="942"/>
      <c r="AC866" s="161">
        <f t="shared" si="714"/>
        <v>-45883.415277777778</v>
      </c>
      <c r="AD866" s="161">
        <f t="shared" si="715"/>
        <v>-45889.388888888891</v>
      </c>
      <c r="AE866" s="446">
        <f t="shared" si="716"/>
        <v>0</v>
      </c>
      <c r="AF866" s="160">
        <f t="shared" si="717"/>
        <v>45902.189471326164</v>
      </c>
      <c r="AG866" s="160">
        <f t="shared" si="718"/>
        <v>45910.995922939066</v>
      </c>
      <c r="AH866" s="159">
        <f t="shared" si="719"/>
        <v>45933.415277777778</v>
      </c>
      <c r="AI866" s="162">
        <f t="shared" si="720"/>
        <v>-1580.4287484567899</v>
      </c>
      <c r="AJ866" s="224">
        <f t="shared" si="721"/>
        <v>0</v>
      </c>
      <c r="AK866" s="225">
        <f t="shared" si="722"/>
        <v>20</v>
      </c>
      <c r="AL866" s="170">
        <f t="shared" si="723"/>
        <v>36</v>
      </c>
      <c r="AM866" s="170">
        <f t="shared" si="724"/>
        <v>21.774193548387096</v>
      </c>
      <c r="AN866" s="170">
        <f t="shared" si="725"/>
        <v>27.58064516129032</v>
      </c>
      <c r="AO866" s="226">
        <f t="shared" si="726"/>
        <v>18.774193548387096</v>
      </c>
      <c r="AP866" s="227">
        <v>62</v>
      </c>
      <c r="AQ866" s="228">
        <f t="shared" si="727"/>
        <v>58.9</v>
      </c>
      <c r="AR866" s="228">
        <f t="shared" si="728"/>
        <v>53.9</v>
      </c>
      <c r="AS866" s="229">
        <f t="shared" si="729"/>
        <v>62</v>
      </c>
      <c r="AT866" s="982">
        <f t="shared" ca="1" si="730"/>
        <v>45895</v>
      </c>
      <c r="AU866" s="1077"/>
      <c r="AV866" s="1107"/>
      <c r="AW866" s="1079"/>
      <c r="AX866" s="1079"/>
      <c r="AY866" s="1079"/>
      <c r="AZ866" s="1080"/>
      <c r="BA866" s="1101"/>
      <c r="BB866" s="1091"/>
      <c r="BC866" s="231"/>
      <c r="BD866" s="232"/>
      <c r="BE866" s="222"/>
      <c r="BF866" s="233"/>
      <c r="BG866" s="234"/>
      <c r="BH866" s="235"/>
      <c r="BI866" s="234"/>
      <c r="BJ866" s="236"/>
      <c r="BK866" s="222"/>
      <c r="BL866" s="222"/>
      <c r="BM866" s="238"/>
      <c r="BN866" s="222"/>
      <c r="BO866" s="222"/>
      <c r="BP866" s="243"/>
      <c r="BQ866" s="244"/>
      <c r="BR866" s="238"/>
      <c r="BS866" s="68"/>
      <c r="BT866" s="69"/>
      <c r="BU866" s="69"/>
      <c r="BV866" s="69"/>
      <c r="BW866" s="75"/>
      <c r="BX866" s="81"/>
      <c r="BY866" s="66">
        <v>45888</v>
      </c>
      <c r="BZ866" s="944" t="s">
        <v>4014</v>
      </c>
      <c r="CA866" s="42"/>
      <c r="CB866" s="62"/>
      <c r="CC866" s="62"/>
      <c r="CD866" s="42"/>
      <c r="CE866" s="42"/>
      <c r="CF866" s="1059"/>
      <c r="CG866" s="1059"/>
      <c r="CH866" s="1082"/>
      <c r="CI866" s="1059"/>
      <c r="CJ866" s="1057"/>
      <c r="CK866" s="1085"/>
      <c r="CL866" s="1057"/>
      <c r="CM866" s="1057"/>
      <c r="CN866" s="1086"/>
      <c r="CO866" s="1087"/>
      <c r="CP866" s="629"/>
      <c r="CQ866" s="1086"/>
      <c r="CR866" s="1088"/>
      <c r="CS866" s="1089"/>
      <c r="CT866" s="1086"/>
      <c r="CU866" s="1087"/>
      <c r="CV866" s="1090"/>
      <c r="CW866" s="853"/>
      <c r="CX866" s="856"/>
      <c r="CY866" s="856"/>
    </row>
    <row r="867" spans="1:103" s="1103" customFormat="1" ht="15" customHeight="1" x14ac:dyDescent="0.2">
      <c r="A867" s="242"/>
      <c r="B867" s="222">
        <v>45889</v>
      </c>
      <c r="C867" s="852"/>
      <c r="D867" s="66" t="s">
        <v>320</v>
      </c>
      <c r="E867" s="404" t="s">
        <v>4015</v>
      </c>
      <c r="F867" s="95" t="s">
        <v>4016</v>
      </c>
      <c r="G867" s="95" t="s">
        <v>2417</v>
      </c>
      <c r="H867" s="95" t="s">
        <v>269</v>
      </c>
      <c r="I867" s="95" t="s">
        <v>239</v>
      </c>
      <c r="J867" s="854"/>
      <c r="K867" s="855"/>
      <c r="L867" s="101" t="s">
        <v>4003</v>
      </c>
      <c r="M867" s="101" t="s">
        <v>331</v>
      </c>
      <c r="N867" s="442" t="s">
        <v>467</v>
      </c>
      <c r="O867" s="165"/>
      <c r="P867" s="165">
        <v>6.49</v>
      </c>
      <c r="Q867" s="157">
        <v>1.5</v>
      </c>
      <c r="R867" s="109" t="s">
        <v>244</v>
      </c>
      <c r="S867" s="110">
        <v>19743.25</v>
      </c>
      <c r="T867" s="1132">
        <v>5576.37</v>
      </c>
      <c r="U867" s="857"/>
      <c r="V867" s="158">
        <f t="shared" si="713"/>
        <v>0</v>
      </c>
      <c r="W867" s="159">
        <v>45883.51458333333</v>
      </c>
      <c r="X867" s="159">
        <v>45889.387499999997</v>
      </c>
      <c r="Y867" s="160">
        <v>45889</v>
      </c>
      <c r="Z867" s="470"/>
      <c r="AA867" s="942"/>
      <c r="AB867" s="942"/>
      <c r="AC867" s="161">
        <f t="shared" si="714"/>
        <v>-45883.51458333333</v>
      </c>
      <c r="AD867" s="161">
        <f t="shared" si="715"/>
        <v>-45889.387499999997</v>
      </c>
      <c r="AE867" s="446">
        <f t="shared" si="716"/>
        <v>0</v>
      </c>
      <c r="AF867" s="160">
        <f t="shared" si="717"/>
        <v>45902.288776881716</v>
      </c>
      <c r="AG867" s="160">
        <f t="shared" si="718"/>
        <v>45911.095228494618</v>
      </c>
      <c r="AH867" s="159">
        <f t="shared" si="719"/>
        <v>45933.51458333333</v>
      </c>
      <c r="AI867" s="162">
        <f t="shared" si="720"/>
        <v>-1580.4321689814813</v>
      </c>
      <c r="AJ867" s="224">
        <f t="shared" si="721"/>
        <v>0</v>
      </c>
      <c r="AK867" s="225">
        <f t="shared" si="722"/>
        <v>20</v>
      </c>
      <c r="AL867" s="170">
        <f t="shared" si="723"/>
        <v>36</v>
      </c>
      <c r="AM867" s="170">
        <f t="shared" si="724"/>
        <v>21.774193548387096</v>
      </c>
      <c r="AN867" s="170">
        <f t="shared" si="725"/>
        <v>27.58064516129032</v>
      </c>
      <c r="AO867" s="226">
        <f t="shared" si="726"/>
        <v>18.774193548387096</v>
      </c>
      <c r="AP867" s="227">
        <v>63</v>
      </c>
      <c r="AQ867" s="228">
        <f t="shared" si="727"/>
        <v>59.849999999999994</v>
      </c>
      <c r="AR867" s="228">
        <f t="shared" si="728"/>
        <v>54.849999999999994</v>
      </c>
      <c r="AS867" s="229">
        <f t="shared" si="729"/>
        <v>63</v>
      </c>
      <c r="AT867" s="982">
        <f t="shared" ca="1" si="730"/>
        <v>45895</v>
      </c>
      <c r="AU867" s="1077"/>
      <c r="AV867" s="1107"/>
      <c r="AW867" s="1079"/>
      <c r="AX867" s="1079"/>
      <c r="AY867" s="1079"/>
      <c r="AZ867" s="1080"/>
      <c r="BA867" s="1101"/>
      <c r="BB867" s="1091"/>
      <c r="BC867" s="231"/>
      <c r="BD867" s="232"/>
      <c r="BE867" s="222"/>
      <c r="BF867" s="233"/>
      <c r="BG867" s="234"/>
      <c r="BH867" s="235"/>
      <c r="BI867" s="234"/>
      <c r="BJ867" s="236"/>
      <c r="BK867" s="222"/>
      <c r="BL867" s="222"/>
      <c r="BM867" s="238"/>
      <c r="BN867" s="222"/>
      <c r="BO867" s="222"/>
      <c r="BP867" s="243"/>
      <c r="BQ867" s="244"/>
      <c r="BR867" s="238"/>
      <c r="BS867" s="68"/>
      <c r="BT867" s="69"/>
      <c r="BU867" s="69"/>
      <c r="BV867" s="69"/>
      <c r="BW867" s="75"/>
      <c r="BX867" s="81"/>
      <c r="BY867" s="66" t="s">
        <v>308</v>
      </c>
      <c r="BZ867" s="944" t="s">
        <v>4017</v>
      </c>
      <c r="CA867" s="42"/>
      <c r="CB867" s="62"/>
      <c r="CC867" s="62"/>
      <c r="CD867" s="42"/>
      <c r="CE867" s="42"/>
      <c r="CF867" s="1059"/>
      <c r="CG867" s="1059"/>
      <c r="CH867" s="1082"/>
      <c r="CI867" s="1059"/>
      <c r="CJ867" s="1057"/>
      <c r="CK867" s="1085"/>
      <c r="CL867" s="1057"/>
      <c r="CM867" s="1057"/>
      <c r="CN867" s="1086"/>
      <c r="CO867" s="1087"/>
      <c r="CP867" s="629"/>
      <c r="CQ867" s="1086"/>
      <c r="CR867" s="1088"/>
      <c r="CS867" s="1089"/>
      <c r="CT867" s="1086"/>
      <c r="CU867" s="1087"/>
      <c r="CV867" s="1090"/>
      <c r="CW867" s="853"/>
      <c r="CX867" s="856"/>
      <c r="CY867" s="856"/>
    </row>
    <row r="868" spans="1:103" s="1103" customFormat="1" ht="15" customHeight="1" x14ac:dyDescent="0.2">
      <c r="A868" s="242"/>
      <c r="B868" s="222">
        <v>45889</v>
      </c>
      <c r="C868" s="852"/>
      <c r="D868" s="66" t="s">
        <v>4008</v>
      </c>
      <c r="E868" s="404" t="s">
        <v>4018</v>
      </c>
      <c r="F868" s="95" t="s">
        <v>4019</v>
      </c>
      <c r="G868" s="95" t="s">
        <v>3014</v>
      </c>
      <c r="H868" s="95" t="s">
        <v>269</v>
      </c>
      <c r="I868" s="95" t="s">
        <v>239</v>
      </c>
      <c r="J868" s="854"/>
      <c r="K868" s="855"/>
      <c r="L868" s="101" t="s">
        <v>4003</v>
      </c>
      <c r="M868" s="101" t="s">
        <v>331</v>
      </c>
      <c r="N868" s="442" t="s">
        <v>467</v>
      </c>
      <c r="O868" s="165">
        <v>12.95</v>
      </c>
      <c r="P868" s="165">
        <v>12.95</v>
      </c>
      <c r="Q868" s="157">
        <v>18</v>
      </c>
      <c r="R868" s="109" t="s">
        <v>244</v>
      </c>
      <c r="S868" s="110">
        <v>143520.03</v>
      </c>
      <c r="T868" s="1132">
        <v>11127.28</v>
      </c>
      <c r="U868" s="857"/>
      <c r="V868" s="158">
        <f t="shared" si="713"/>
        <v>0</v>
      </c>
      <c r="W868" s="159">
        <v>45883.661111111112</v>
      </c>
      <c r="X868" s="159">
        <v>45889.386111111111</v>
      </c>
      <c r="Y868" s="160">
        <v>45889</v>
      </c>
      <c r="Z868" s="470"/>
      <c r="AA868" s="942"/>
      <c r="AB868" s="942"/>
      <c r="AC868" s="161">
        <f t="shared" si="714"/>
        <v>-45883.661111111112</v>
      </c>
      <c r="AD868" s="161">
        <f t="shared" si="715"/>
        <v>-45889.386111111111</v>
      </c>
      <c r="AE868" s="446">
        <f t="shared" si="716"/>
        <v>0</v>
      </c>
      <c r="AF868" s="160">
        <f t="shared" si="717"/>
        <v>45902.435304659499</v>
      </c>
      <c r="AG868" s="160">
        <f t="shared" si="718"/>
        <v>45911.2417562724</v>
      </c>
      <c r="AH868" s="159">
        <f t="shared" si="719"/>
        <v>45933.661111111112</v>
      </c>
      <c r="AI868" s="162">
        <f t="shared" si="720"/>
        <v>-1580.4372160493826</v>
      </c>
      <c r="AJ868" s="224">
        <f t="shared" si="721"/>
        <v>0</v>
      </c>
      <c r="AK868" s="225">
        <f t="shared" si="722"/>
        <v>20</v>
      </c>
      <c r="AL868" s="170">
        <f t="shared" si="723"/>
        <v>36</v>
      </c>
      <c r="AM868" s="170">
        <f t="shared" si="724"/>
        <v>21.774193548387096</v>
      </c>
      <c r="AN868" s="170">
        <f t="shared" si="725"/>
        <v>27.58064516129032</v>
      </c>
      <c r="AO868" s="226">
        <f t="shared" si="726"/>
        <v>18.774193548387096</v>
      </c>
      <c r="AP868" s="227">
        <v>64</v>
      </c>
      <c r="AQ868" s="228">
        <f t="shared" si="727"/>
        <v>60.8</v>
      </c>
      <c r="AR868" s="228">
        <f t="shared" si="728"/>
        <v>55.8</v>
      </c>
      <c r="AS868" s="229">
        <f t="shared" si="729"/>
        <v>64</v>
      </c>
      <c r="AT868" s="982">
        <f t="shared" ca="1" si="730"/>
        <v>45895</v>
      </c>
      <c r="AU868" s="1077"/>
      <c r="AV868" s="1107"/>
      <c r="AW868" s="1079"/>
      <c r="AX868" s="1079"/>
      <c r="AY868" s="1079"/>
      <c r="AZ868" s="1080"/>
      <c r="BA868" s="1101"/>
      <c r="BB868" s="1091"/>
      <c r="BC868" s="231"/>
      <c r="BD868" s="232"/>
      <c r="BE868" s="222"/>
      <c r="BF868" s="233"/>
      <c r="BG868" s="234"/>
      <c r="BH868" s="235"/>
      <c r="BI868" s="234"/>
      <c r="BJ868" s="236"/>
      <c r="BK868" s="222"/>
      <c r="BL868" s="222"/>
      <c r="BM868" s="238"/>
      <c r="BN868" s="222"/>
      <c r="BO868" s="222"/>
      <c r="BP868" s="243"/>
      <c r="BQ868" s="244"/>
      <c r="BR868" s="238"/>
      <c r="BS868" s="68"/>
      <c r="BT868" s="69"/>
      <c r="BU868" s="69"/>
      <c r="BV868" s="69"/>
      <c r="BW868" s="75"/>
      <c r="BX868" s="81"/>
      <c r="BY868" s="66">
        <v>45888</v>
      </c>
      <c r="BZ868" s="944" t="s">
        <v>4020</v>
      </c>
      <c r="CA868" s="42"/>
      <c r="CB868" s="62"/>
      <c r="CC868" s="62"/>
      <c r="CD868" s="42"/>
      <c r="CE868" s="42"/>
      <c r="CF868" s="1059"/>
      <c r="CG868" s="1059"/>
      <c r="CH868" s="1082"/>
      <c r="CI868" s="1059"/>
      <c r="CJ868" s="1057"/>
      <c r="CK868" s="1085"/>
      <c r="CL868" s="1057"/>
      <c r="CM868" s="1057"/>
      <c r="CN868" s="1086"/>
      <c r="CO868" s="1087"/>
      <c r="CP868" s="629"/>
      <c r="CQ868" s="1086"/>
      <c r="CR868" s="1088"/>
      <c r="CS868" s="1089"/>
      <c r="CT868" s="1086"/>
      <c r="CU868" s="1087"/>
      <c r="CV868" s="1090"/>
      <c r="CW868" s="853"/>
      <c r="CX868" s="856"/>
      <c r="CY868" s="856"/>
    </row>
    <row r="869" spans="1:103" s="1103" customFormat="1" ht="15" customHeight="1" x14ac:dyDescent="0.2">
      <c r="A869" s="242"/>
      <c r="B869" s="222">
        <v>45888</v>
      </c>
      <c r="C869" s="852"/>
      <c r="D869" s="66" t="s">
        <v>4008</v>
      </c>
      <c r="E869" s="404" t="s">
        <v>4021</v>
      </c>
      <c r="F869" s="95" t="s">
        <v>4022</v>
      </c>
      <c r="G869" s="95" t="s">
        <v>4023</v>
      </c>
      <c r="H869" s="95" t="s">
        <v>318</v>
      </c>
      <c r="I869" s="95" t="s">
        <v>239</v>
      </c>
      <c r="J869" s="854" t="s">
        <v>4024</v>
      </c>
      <c r="K869" s="855"/>
      <c r="L869" s="101" t="s">
        <v>3991</v>
      </c>
      <c r="M869" s="101" t="s">
        <v>331</v>
      </c>
      <c r="N869" s="442" t="s">
        <v>403</v>
      </c>
      <c r="O869" s="165">
        <v>151.72999999999999</v>
      </c>
      <c r="P869" s="165">
        <v>230.01</v>
      </c>
      <c r="Q869" s="157">
        <v>216</v>
      </c>
      <c r="R869" s="109" t="s">
        <v>244</v>
      </c>
      <c r="S869" s="110">
        <v>1033789.72</v>
      </c>
      <c r="T869" s="93">
        <v>130379.52</v>
      </c>
      <c r="U869" s="857"/>
      <c r="V869" s="158">
        <f t="shared" si="713"/>
        <v>0</v>
      </c>
      <c r="W869" s="159">
        <v>45882.688888888886</v>
      </c>
      <c r="X869" s="159">
        <v>45889.383333333331</v>
      </c>
      <c r="Y869" s="160">
        <v>45888</v>
      </c>
      <c r="Z869" s="470"/>
      <c r="AA869" s="942"/>
      <c r="AB869" s="942"/>
      <c r="AC869" s="161">
        <f t="shared" si="714"/>
        <v>-45882.688888888886</v>
      </c>
      <c r="AD869" s="161">
        <f t="shared" si="715"/>
        <v>-45889.383333333331</v>
      </c>
      <c r="AE869" s="446">
        <f t="shared" si="716"/>
        <v>0</v>
      </c>
      <c r="AF869" s="160">
        <f t="shared" si="717"/>
        <v>45901.716860916858</v>
      </c>
      <c r="AG869" s="160">
        <f t="shared" si="718"/>
        <v>45910.590986790987</v>
      </c>
      <c r="AH869" s="159">
        <f t="shared" si="719"/>
        <v>45932.688888888886</v>
      </c>
      <c r="AI869" s="162">
        <f t="shared" si="720"/>
        <v>-1562.1963121693118</v>
      </c>
      <c r="AJ869" s="224">
        <f t="shared" si="721"/>
        <v>0</v>
      </c>
      <c r="AK869" s="225">
        <f t="shared" si="722"/>
        <v>28</v>
      </c>
      <c r="AL869" s="170">
        <f t="shared" si="723"/>
        <v>30</v>
      </c>
      <c r="AM869" s="170">
        <f t="shared" si="724"/>
        <v>22.027972027972027</v>
      </c>
      <c r="AN869" s="170">
        <f t="shared" si="725"/>
        <v>27.9020979020979</v>
      </c>
      <c r="AO869" s="226">
        <f t="shared" si="726"/>
        <v>19.027972027972027</v>
      </c>
      <c r="AP869" s="227">
        <v>65</v>
      </c>
      <c r="AQ869" s="228">
        <f t="shared" si="727"/>
        <v>61.75</v>
      </c>
      <c r="AR869" s="228">
        <f t="shared" si="728"/>
        <v>56.75</v>
      </c>
      <c r="AS869" s="229">
        <f t="shared" si="729"/>
        <v>65</v>
      </c>
      <c r="AT869" s="982">
        <f t="shared" ca="1" si="730"/>
        <v>45895</v>
      </c>
      <c r="AU869" s="1077"/>
      <c r="AV869" s="1107"/>
      <c r="AW869" s="1079"/>
      <c r="AX869" s="1079"/>
      <c r="AY869" s="1079"/>
      <c r="AZ869" s="1080"/>
      <c r="BA869" s="1101"/>
      <c r="BB869" s="1091"/>
      <c r="BC869" s="231"/>
      <c r="BD869" s="232"/>
      <c r="BE869" s="222"/>
      <c r="BF869" s="233"/>
      <c r="BG869" s="234"/>
      <c r="BH869" s="235"/>
      <c r="BI869" s="234"/>
      <c r="BJ869" s="236"/>
      <c r="BK869" s="222"/>
      <c r="BL869" s="222"/>
      <c r="BM869" s="238"/>
      <c r="BN869" s="222"/>
      <c r="BO869" s="222"/>
      <c r="BP869" s="243"/>
      <c r="BQ869" s="244"/>
      <c r="BR869" s="238"/>
      <c r="BS869" s="68"/>
      <c r="BT869" s="69"/>
      <c r="BU869" s="69"/>
      <c r="BV869" s="69"/>
      <c r="BW869" s="75"/>
      <c r="BX869" s="81"/>
      <c r="BY869" s="66">
        <v>45888</v>
      </c>
      <c r="BZ869" s="944" t="s">
        <v>4025</v>
      </c>
      <c r="CA869" s="42"/>
      <c r="CB869" s="62"/>
      <c r="CC869" s="62"/>
      <c r="CD869" s="42"/>
      <c r="CE869" s="42"/>
      <c r="CF869" s="1059"/>
      <c r="CG869" s="1059"/>
      <c r="CH869" s="1082"/>
      <c r="CI869" s="1059"/>
      <c r="CJ869" s="1057"/>
      <c r="CK869" s="1085"/>
      <c r="CL869" s="1057"/>
      <c r="CM869" s="1057"/>
      <c r="CN869" s="1086"/>
      <c r="CO869" s="1087"/>
      <c r="CP869" s="629"/>
      <c r="CQ869" s="1086"/>
      <c r="CR869" s="1088"/>
      <c r="CS869" s="1089"/>
      <c r="CT869" s="1086"/>
      <c r="CU869" s="1087"/>
      <c r="CV869" s="1090"/>
      <c r="CW869" s="853"/>
      <c r="CX869" s="856"/>
      <c r="CY869" s="856"/>
    </row>
    <row r="870" spans="1:103" s="1103" customFormat="1" ht="15" customHeight="1" x14ac:dyDescent="0.2">
      <c r="A870" s="242"/>
      <c r="B870" s="222">
        <v>45888</v>
      </c>
      <c r="C870" s="852"/>
      <c r="D870" s="66" t="s">
        <v>4008</v>
      </c>
      <c r="E870" s="404" t="s">
        <v>4026</v>
      </c>
      <c r="F870" s="95" t="s">
        <v>4027</v>
      </c>
      <c r="G870" s="95" t="s">
        <v>2364</v>
      </c>
      <c r="H870" s="95" t="s">
        <v>318</v>
      </c>
      <c r="I870" s="95" t="s">
        <v>239</v>
      </c>
      <c r="J870" s="854"/>
      <c r="K870" s="855"/>
      <c r="L870" s="101" t="s">
        <v>3991</v>
      </c>
      <c r="M870" s="101" t="s">
        <v>331</v>
      </c>
      <c r="N870" s="442" t="s">
        <v>403</v>
      </c>
      <c r="O870" s="165">
        <v>46.13</v>
      </c>
      <c r="P870" s="165">
        <v>46.13</v>
      </c>
      <c r="Q870" s="157">
        <v>43</v>
      </c>
      <c r="R870" s="109" t="s">
        <v>244</v>
      </c>
      <c r="S870" s="110">
        <v>71566.320000000007</v>
      </c>
      <c r="T870" s="93">
        <v>39635.919999999998</v>
      </c>
      <c r="U870" s="857"/>
      <c r="V870" s="158">
        <f t="shared" si="713"/>
        <v>0</v>
      </c>
      <c r="W870" s="159">
        <v>45883.512499999997</v>
      </c>
      <c r="X870" s="159">
        <v>45889.386805555558</v>
      </c>
      <c r="Y870" s="160">
        <v>45888</v>
      </c>
      <c r="Z870" s="470"/>
      <c r="AA870" s="942"/>
      <c r="AB870" s="942"/>
      <c r="AC870" s="161">
        <f t="shared" si="714"/>
        <v>-45883.512499999997</v>
      </c>
      <c r="AD870" s="161">
        <f t="shared" si="715"/>
        <v>-45889.386805555558</v>
      </c>
      <c r="AE870" s="446">
        <f t="shared" si="716"/>
        <v>0</v>
      </c>
      <c r="AF870" s="160">
        <f t="shared" si="717"/>
        <v>45902.286693548383</v>
      </c>
      <c r="AG870" s="160">
        <f t="shared" si="718"/>
        <v>45911.093145161285</v>
      </c>
      <c r="AH870" s="159">
        <f t="shared" si="719"/>
        <v>45933.512499999997</v>
      </c>
      <c r="AI870" s="162">
        <f t="shared" si="720"/>
        <v>-1580.4320972222222</v>
      </c>
      <c r="AJ870" s="224">
        <f t="shared" si="721"/>
        <v>0</v>
      </c>
      <c r="AK870" s="225">
        <f t="shared" si="722"/>
        <v>20</v>
      </c>
      <c r="AL870" s="170">
        <f t="shared" si="723"/>
        <v>36</v>
      </c>
      <c r="AM870" s="170">
        <f t="shared" si="724"/>
        <v>21.774193548387096</v>
      </c>
      <c r="AN870" s="170">
        <f t="shared" si="725"/>
        <v>27.58064516129032</v>
      </c>
      <c r="AO870" s="226">
        <f t="shared" si="726"/>
        <v>18.774193548387096</v>
      </c>
      <c r="AP870" s="227">
        <v>66</v>
      </c>
      <c r="AQ870" s="228">
        <f t="shared" si="727"/>
        <v>62.699999999999996</v>
      </c>
      <c r="AR870" s="228">
        <f t="shared" si="728"/>
        <v>57.699999999999996</v>
      </c>
      <c r="AS870" s="229">
        <f t="shared" si="729"/>
        <v>66</v>
      </c>
      <c r="AT870" s="982">
        <f t="shared" ca="1" si="730"/>
        <v>45895</v>
      </c>
      <c r="AU870" s="1077"/>
      <c r="AV870" s="1107"/>
      <c r="AW870" s="1079"/>
      <c r="AX870" s="1079"/>
      <c r="AY870" s="1079"/>
      <c r="AZ870" s="1080"/>
      <c r="BA870" s="1101"/>
      <c r="BB870" s="1091"/>
      <c r="BC870" s="231"/>
      <c r="BD870" s="232"/>
      <c r="BE870" s="222"/>
      <c r="BF870" s="233"/>
      <c r="BG870" s="234"/>
      <c r="BH870" s="235"/>
      <c r="BI870" s="234"/>
      <c r="BJ870" s="236"/>
      <c r="BK870" s="222"/>
      <c r="BL870" s="222"/>
      <c r="BM870" s="238"/>
      <c r="BN870" s="222"/>
      <c r="BO870" s="222"/>
      <c r="BP870" s="243"/>
      <c r="BQ870" s="244"/>
      <c r="BR870" s="238"/>
      <c r="BS870" s="68"/>
      <c r="BT870" s="69"/>
      <c r="BU870" s="69"/>
      <c r="BV870" s="69"/>
      <c r="BW870" s="75"/>
      <c r="BX870" s="81"/>
      <c r="BY870" s="66" t="s">
        <v>308</v>
      </c>
      <c r="BZ870" s="944" t="s">
        <v>4028</v>
      </c>
      <c r="CA870" s="42"/>
      <c r="CB870" s="62"/>
      <c r="CC870" s="62"/>
      <c r="CD870" s="42"/>
      <c r="CE870" s="42"/>
      <c r="CF870" s="1059"/>
      <c r="CG870" s="1059"/>
      <c r="CH870" s="1082"/>
      <c r="CI870" s="1059"/>
      <c r="CJ870" s="1057"/>
      <c r="CK870" s="1085"/>
      <c r="CL870" s="1057"/>
      <c r="CM870" s="1057"/>
      <c r="CN870" s="1086"/>
      <c r="CO870" s="1087"/>
      <c r="CP870" s="629"/>
      <c r="CQ870" s="1086"/>
      <c r="CR870" s="1088"/>
      <c r="CS870" s="1089"/>
      <c r="CT870" s="1086"/>
      <c r="CU870" s="1087"/>
      <c r="CV870" s="1090"/>
      <c r="CW870" s="853"/>
      <c r="CX870" s="856"/>
      <c r="CY870" s="856"/>
    </row>
    <row r="871" spans="1:103" s="1103" customFormat="1" ht="15" customHeight="1" x14ac:dyDescent="0.2">
      <c r="A871" s="242"/>
      <c r="B871" s="222">
        <v>45888</v>
      </c>
      <c r="C871" s="852"/>
      <c r="D871" s="66" t="s">
        <v>320</v>
      </c>
      <c r="E871" s="404" t="s">
        <v>4029</v>
      </c>
      <c r="F871" s="95" t="s">
        <v>4030</v>
      </c>
      <c r="G871" s="95" t="s">
        <v>4031</v>
      </c>
      <c r="H871" s="95" t="s">
        <v>238</v>
      </c>
      <c r="I871" s="95" t="s">
        <v>239</v>
      </c>
      <c r="J871" s="854" t="s">
        <v>4032</v>
      </c>
      <c r="K871" s="855"/>
      <c r="L871" s="101" t="s">
        <v>3991</v>
      </c>
      <c r="M871" s="101" t="s">
        <v>331</v>
      </c>
      <c r="N871" s="442" t="s">
        <v>403</v>
      </c>
      <c r="O871" s="165">
        <v>273.52</v>
      </c>
      <c r="P871" s="165">
        <v>664.93</v>
      </c>
      <c r="Q871" s="157">
        <v>110</v>
      </c>
      <c r="R871" s="109" t="s">
        <v>548</v>
      </c>
      <c r="S871" s="110">
        <v>1198142.95</v>
      </c>
      <c r="T871" s="93">
        <v>234234.72</v>
      </c>
      <c r="U871" s="857"/>
      <c r="V871" s="158">
        <f t="shared" si="713"/>
        <v>0</v>
      </c>
      <c r="W871" s="159">
        <v>45883.70416666667</v>
      </c>
      <c r="X871" s="159">
        <v>45889.386111111111</v>
      </c>
      <c r="Y871" s="160">
        <v>45888</v>
      </c>
      <c r="Z871" s="470"/>
      <c r="AA871" s="942"/>
      <c r="AB871" s="942"/>
      <c r="AC871" s="161">
        <f t="shared" si="714"/>
        <v>-45883.70416666667</v>
      </c>
      <c r="AD871" s="161">
        <f t="shared" si="715"/>
        <v>-45889.386111111111</v>
      </c>
      <c r="AE871" s="446">
        <f t="shared" si="716"/>
        <v>0</v>
      </c>
      <c r="AF871" s="160">
        <f t="shared" si="717"/>
        <v>45906.236081560288</v>
      </c>
      <c r="AG871" s="160">
        <f t="shared" si="718"/>
        <v>45916.044592198588</v>
      </c>
      <c r="AH871" s="159">
        <f t="shared" si="719"/>
        <v>45933.70416666667</v>
      </c>
      <c r="AI871" s="162">
        <f t="shared" si="720"/>
        <v>-1347.8338098958334</v>
      </c>
      <c r="AJ871" s="224">
        <f t="shared" si="721"/>
        <v>0</v>
      </c>
      <c r="AK871" s="225">
        <f t="shared" si="722"/>
        <v>40</v>
      </c>
      <c r="AL871" s="170">
        <f t="shared" si="723"/>
        <v>32</v>
      </c>
      <c r="AM871" s="170">
        <f t="shared" si="724"/>
        <v>25.531914893617024</v>
      </c>
      <c r="AN871" s="170">
        <f t="shared" si="725"/>
        <v>32.340425531914896</v>
      </c>
      <c r="AO871" s="226">
        <f t="shared" si="726"/>
        <v>22.531914893617024</v>
      </c>
      <c r="AP871" s="227">
        <v>67</v>
      </c>
      <c r="AQ871" s="228">
        <f t="shared" si="727"/>
        <v>63.65</v>
      </c>
      <c r="AR871" s="228">
        <f t="shared" si="728"/>
        <v>58.65</v>
      </c>
      <c r="AS871" s="229">
        <f t="shared" si="729"/>
        <v>67</v>
      </c>
      <c r="AT871" s="982">
        <f t="shared" ca="1" si="730"/>
        <v>45895</v>
      </c>
      <c r="AU871" s="1077"/>
      <c r="AV871" s="1107"/>
      <c r="AW871" s="1079"/>
      <c r="AX871" s="1079"/>
      <c r="AY871" s="1079"/>
      <c r="AZ871" s="1080"/>
      <c r="BA871" s="1101"/>
      <c r="BB871" s="1091"/>
      <c r="BC871" s="231"/>
      <c r="BD871" s="232"/>
      <c r="BE871" s="222"/>
      <c r="BF871" s="233"/>
      <c r="BG871" s="234"/>
      <c r="BH871" s="235"/>
      <c r="BI871" s="234"/>
      <c r="BJ871" s="236"/>
      <c r="BK871" s="222"/>
      <c r="BL871" s="222"/>
      <c r="BM871" s="238"/>
      <c r="BN871" s="222"/>
      <c r="BO871" s="222"/>
      <c r="BP871" s="243"/>
      <c r="BQ871" s="244"/>
      <c r="BR871" s="238"/>
      <c r="BS871" s="68"/>
      <c r="BT871" s="69"/>
      <c r="BU871" s="69"/>
      <c r="BV871" s="69"/>
      <c r="BW871" s="75"/>
      <c r="BX871" s="81"/>
      <c r="BY871" s="66">
        <v>45888</v>
      </c>
      <c r="BZ871" s="944" t="s">
        <v>4033</v>
      </c>
      <c r="CA871" s="42"/>
      <c r="CB871" s="62"/>
      <c r="CC871" s="62"/>
      <c r="CD871" s="42"/>
      <c r="CE871" s="42"/>
      <c r="CF871" s="1059"/>
      <c r="CG871" s="1059"/>
      <c r="CH871" s="1082"/>
      <c r="CI871" s="1059"/>
      <c r="CJ871" s="1057"/>
      <c r="CK871" s="1085"/>
      <c r="CL871" s="1057"/>
      <c r="CM871" s="1057"/>
      <c r="CN871" s="1086"/>
      <c r="CO871" s="1087"/>
      <c r="CP871" s="629"/>
      <c r="CQ871" s="1086"/>
      <c r="CR871" s="1088"/>
      <c r="CS871" s="1089"/>
      <c r="CT871" s="1086"/>
      <c r="CU871" s="1087"/>
      <c r="CV871" s="1090"/>
      <c r="CW871" s="853"/>
      <c r="CX871" s="856"/>
      <c r="CY871" s="856"/>
    </row>
    <row r="872" spans="1:103" s="1103" customFormat="1" ht="15" customHeight="1" x14ac:dyDescent="0.2">
      <c r="A872" s="242"/>
      <c r="B872" s="222">
        <v>45888</v>
      </c>
      <c r="C872" s="852"/>
      <c r="D872" s="66" t="s">
        <v>234</v>
      </c>
      <c r="E872" s="404" t="s">
        <v>4034</v>
      </c>
      <c r="F872" s="95" t="s">
        <v>598</v>
      </c>
      <c r="G872" s="95" t="s">
        <v>1772</v>
      </c>
      <c r="H872" s="95" t="s">
        <v>238</v>
      </c>
      <c r="I872" s="95" t="s">
        <v>239</v>
      </c>
      <c r="J872" s="854"/>
      <c r="K872" s="855"/>
      <c r="L872" s="101" t="s">
        <v>3983</v>
      </c>
      <c r="M872" s="101" t="s">
        <v>331</v>
      </c>
      <c r="N872" s="442" t="s">
        <v>381</v>
      </c>
      <c r="O872" s="165">
        <v>76.08</v>
      </c>
      <c r="P872" s="165">
        <v>83.61</v>
      </c>
      <c r="Q872" s="157">
        <v>0</v>
      </c>
      <c r="R872" s="109" t="s">
        <v>327</v>
      </c>
      <c r="S872" s="110">
        <v>152509.65</v>
      </c>
      <c r="T872" s="93"/>
      <c r="U872" s="857"/>
      <c r="V872" s="158" t="e">
        <f t="shared" si="713"/>
        <v>#DIV/0!</v>
      </c>
      <c r="W872" s="159">
        <v>45882.492361111108</v>
      </c>
      <c r="X872" s="159">
        <v>45889.384722222225</v>
      </c>
      <c r="Y872" s="160">
        <v>45888</v>
      </c>
      <c r="Z872" s="470"/>
      <c r="AA872" s="942"/>
      <c r="AB872" s="942"/>
      <c r="AC872" s="161">
        <f t="shared" si="714"/>
        <v>-45882.492361111108</v>
      </c>
      <c r="AD872" s="161">
        <f t="shared" si="715"/>
        <v>-45889.384722222225</v>
      </c>
      <c r="AE872" s="446">
        <f t="shared" si="716"/>
        <v>0</v>
      </c>
      <c r="AF872" s="160">
        <f t="shared" si="717"/>
        <v>45902.577862969847</v>
      </c>
      <c r="AG872" s="160">
        <f t="shared" si="718"/>
        <v>45911.733996798837</v>
      </c>
      <c r="AH872" s="159">
        <f t="shared" si="719"/>
        <v>45932.492361111108</v>
      </c>
      <c r="AI872" s="162">
        <f t="shared" si="720"/>
        <v>-1490.6268653549382</v>
      </c>
      <c r="AJ872" s="224">
        <f t="shared" si="721"/>
        <v>0</v>
      </c>
      <c r="AK872" s="225">
        <f t="shared" si="722"/>
        <v>23</v>
      </c>
      <c r="AL872" s="170">
        <f t="shared" si="723"/>
        <v>36</v>
      </c>
      <c r="AM872" s="170">
        <f t="shared" si="724"/>
        <v>23.085501858736059</v>
      </c>
      <c r="AN872" s="170">
        <f t="shared" si="725"/>
        <v>29.241635687732341</v>
      </c>
      <c r="AO872" s="226">
        <f t="shared" si="726"/>
        <v>20.085501858736059</v>
      </c>
      <c r="AP872" s="227">
        <v>68</v>
      </c>
      <c r="AQ872" s="228">
        <f t="shared" si="727"/>
        <v>64.599999999999994</v>
      </c>
      <c r="AR872" s="228">
        <f t="shared" si="728"/>
        <v>59.599999999999994</v>
      </c>
      <c r="AS872" s="229">
        <f t="shared" si="729"/>
        <v>68</v>
      </c>
      <c r="AT872" s="982">
        <f t="shared" ca="1" si="730"/>
        <v>45895</v>
      </c>
      <c r="AU872" s="1077"/>
      <c r="AV872" s="1107"/>
      <c r="AW872" s="1079"/>
      <c r="AX872" s="1079"/>
      <c r="AY872" s="1079"/>
      <c r="AZ872" s="1080"/>
      <c r="BA872" s="1101"/>
      <c r="BB872" s="1091"/>
      <c r="BC872" s="231"/>
      <c r="BD872" s="232"/>
      <c r="BE872" s="222"/>
      <c r="BF872" s="233"/>
      <c r="BG872" s="234"/>
      <c r="BH872" s="235"/>
      <c r="BI872" s="234"/>
      <c r="BJ872" s="236"/>
      <c r="BK872" s="222"/>
      <c r="BL872" s="222"/>
      <c r="BM872" s="238"/>
      <c r="BN872" s="222"/>
      <c r="BO872" s="222"/>
      <c r="BP872" s="243"/>
      <c r="BQ872" s="244"/>
      <c r="BR872" s="238"/>
      <c r="BS872" s="68"/>
      <c r="BT872" s="69"/>
      <c r="BU872" s="69"/>
      <c r="BV872" s="69"/>
      <c r="BW872" s="75"/>
      <c r="BX872" s="81"/>
      <c r="BY872" s="66">
        <v>45888</v>
      </c>
      <c r="BZ872" s="944" t="s">
        <v>4035</v>
      </c>
      <c r="CA872" s="42"/>
      <c r="CB872" s="62"/>
      <c r="CC872" s="62"/>
      <c r="CD872" s="42"/>
      <c r="CE872" s="42"/>
      <c r="CF872" s="1059"/>
      <c r="CG872" s="1059"/>
      <c r="CH872" s="1082"/>
      <c r="CI872" s="1059"/>
      <c r="CJ872" s="1057"/>
      <c r="CK872" s="1085"/>
      <c r="CL872" s="1057"/>
      <c r="CM872" s="1057"/>
      <c r="CN872" s="1086"/>
      <c r="CO872" s="1087"/>
      <c r="CP872" s="629"/>
      <c r="CQ872" s="1086"/>
      <c r="CR872" s="1088"/>
      <c r="CS872" s="1089"/>
      <c r="CT872" s="1086"/>
      <c r="CU872" s="1087"/>
      <c r="CV872" s="1090"/>
      <c r="CW872" s="853"/>
      <c r="CX872" s="856"/>
      <c r="CY872" s="856"/>
    </row>
    <row r="873" spans="1:103" s="1103" customFormat="1" ht="15" customHeight="1" x14ac:dyDescent="0.2">
      <c r="A873" s="242"/>
      <c r="B873" s="222">
        <v>45888</v>
      </c>
      <c r="C873" s="852"/>
      <c r="D873" s="66" t="s">
        <v>320</v>
      </c>
      <c r="E873" s="404" t="s">
        <v>4036</v>
      </c>
      <c r="F873" s="95" t="s">
        <v>4037</v>
      </c>
      <c r="G873" s="95" t="s">
        <v>4038</v>
      </c>
      <c r="H873" s="95" t="s">
        <v>238</v>
      </c>
      <c r="I873" s="95" t="s">
        <v>239</v>
      </c>
      <c r="J873" s="854"/>
      <c r="K873" s="855"/>
      <c r="L873" s="101" t="s">
        <v>3983</v>
      </c>
      <c r="M873" s="101" t="s">
        <v>331</v>
      </c>
      <c r="N873" s="442" t="s">
        <v>381</v>
      </c>
      <c r="O873" s="165">
        <v>47.17</v>
      </c>
      <c r="P873" s="165">
        <v>125.45</v>
      </c>
      <c r="Q873" s="157">
        <v>42</v>
      </c>
      <c r="R873" s="109" t="s">
        <v>548</v>
      </c>
      <c r="S873" s="110">
        <v>364226</v>
      </c>
      <c r="T873" s="93"/>
      <c r="U873" s="857"/>
      <c r="V873" s="158" t="e">
        <f t="shared" si="713"/>
        <v>#DIV/0!</v>
      </c>
      <c r="W873" s="159">
        <v>45883.701388888891</v>
      </c>
      <c r="X873" s="159">
        <v>45889.385416666664</v>
      </c>
      <c r="Y873" s="160">
        <v>45888</v>
      </c>
      <c r="Z873" s="470"/>
      <c r="AA873" s="942"/>
      <c r="AB873" s="942"/>
      <c r="AC873" s="161">
        <f t="shared" ref="AC873:AC883" si="731">AA873-W873</f>
        <v>-45883.701388888891</v>
      </c>
      <c r="AD873" s="161">
        <f t="shared" ref="AD873:AD883" si="732">AA873-X873</f>
        <v>-45889.385416666664</v>
      </c>
      <c r="AE873" s="446">
        <f t="shared" ref="AE873:AE883" si="733">AB873-AA873</f>
        <v>0</v>
      </c>
      <c r="AF873" s="160">
        <f t="shared" ref="AF873:AF883" si="734">W873+AO873</f>
        <v>45904.908285440615</v>
      </c>
      <c r="AG873" s="160">
        <f t="shared" ref="AG873:AG883" si="735">W873+AN873</f>
        <v>45914.363457854408</v>
      </c>
      <c r="AH873" s="159">
        <f t="shared" ref="AH873:AH883" si="736">W873+50</f>
        <v>45933.701388888891</v>
      </c>
      <c r="AI873" s="162">
        <f t="shared" ref="AI873:AI883" si="737" xml:space="preserve"> (0.3)*(AC873/AK873)+(0.7)*(AC873/AL873)</f>
        <v>-1421.6104062796771</v>
      </c>
      <c r="AJ873" s="224">
        <f t="shared" ref="AJ873:AJ883" si="738">AE873/AP873</f>
        <v>0</v>
      </c>
      <c r="AK873" s="225">
        <f t="shared" ref="AK873:AK883" si="739">IF(P873&lt;51,20,(IF(P873&lt;101,23,(IF(P873&lt;201,26,IF(P873&lt;301,28,IF(P873&lt;401,30,(IF(P873&lt;501,32,(IF(P873&lt;1001,40,50)))))))))))</f>
        <v>26</v>
      </c>
      <c r="AL873" s="170">
        <f t="shared" ref="AL873:AL883" si="740">IF(Q873&lt;51,36,(IF(Q873&lt;101,34,(IF(Q873&lt;201,32,IF(Q873&lt;301,30,IF(Q873&lt;401,28,(IF(Q873&lt;501,26,(IF(Q873&lt;1001,23,20)))))))))))</f>
        <v>36</v>
      </c>
      <c r="AM873" s="170">
        <f t="shared" ref="AM873:AM883" si="741">(0.75)/((0.3/AK873)+(0.7/AL873))</f>
        <v>24.206896551724139</v>
      </c>
      <c r="AN873" s="170">
        <f t="shared" ref="AN873:AN883" si="742">(0.95)/((0.3/AK873)+(0.7/AL873))</f>
        <v>30.662068965517239</v>
      </c>
      <c r="AO873" s="226">
        <f t="shared" ref="AO873:AO883" si="743">AM873-3</f>
        <v>21.206896551724139</v>
      </c>
      <c r="AP873" s="227">
        <v>68</v>
      </c>
      <c r="AQ873" s="228">
        <f t="shared" ref="AQ873:AQ883" si="744">0.95*AP873</f>
        <v>64.599999999999994</v>
      </c>
      <c r="AR873" s="228">
        <f t="shared" ref="AR873:AR883" si="745">AQ873-5</f>
        <v>59.599999999999994</v>
      </c>
      <c r="AS873" s="229">
        <f t="shared" ref="AS873:AS883" si="746">AA873+AP873</f>
        <v>68</v>
      </c>
      <c r="AT873" s="982">
        <f t="shared" ref="AT873:AT883" ca="1" si="747">IFERROR(TODAY()-AA873,"")</f>
        <v>45895</v>
      </c>
      <c r="AU873" s="1077"/>
      <c r="AV873" s="1107"/>
      <c r="AW873" s="1079"/>
      <c r="AX873" s="1079"/>
      <c r="AY873" s="1079"/>
      <c r="AZ873" s="1080"/>
      <c r="BA873" s="1101"/>
      <c r="BB873" s="1091"/>
      <c r="BC873" s="231"/>
      <c r="BD873" s="232"/>
      <c r="BE873" s="222"/>
      <c r="BF873" s="233"/>
      <c r="BG873" s="234"/>
      <c r="BH873" s="235"/>
      <c r="BI873" s="234"/>
      <c r="BJ873" s="236"/>
      <c r="BK873" s="222"/>
      <c r="BL873" s="222"/>
      <c r="BM873" s="238"/>
      <c r="BN873" s="222"/>
      <c r="BO873" s="222"/>
      <c r="BP873" s="243"/>
      <c r="BQ873" s="244"/>
      <c r="BR873" s="238"/>
      <c r="BS873" s="68"/>
      <c r="BT873" s="69"/>
      <c r="BU873" s="69"/>
      <c r="BV873" s="69"/>
      <c r="BW873" s="75"/>
      <c r="BX873" s="81"/>
      <c r="BY873" s="66">
        <v>45888</v>
      </c>
      <c r="BZ873" s="944" t="s">
        <v>4039</v>
      </c>
      <c r="CA873" s="42"/>
      <c r="CB873" s="62"/>
      <c r="CC873" s="62"/>
      <c r="CD873" s="42"/>
      <c r="CE873" s="42"/>
      <c r="CF873" s="1059"/>
      <c r="CG873" s="1059"/>
      <c r="CH873" s="1082"/>
      <c r="CI873" s="1059"/>
      <c r="CJ873" s="1057"/>
      <c r="CK873" s="1085"/>
      <c r="CL873" s="1057"/>
      <c r="CM873" s="1057"/>
      <c r="CN873" s="1086"/>
      <c r="CO873" s="1087"/>
      <c r="CP873" s="629"/>
      <c r="CQ873" s="1086"/>
      <c r="CR873" s="1088"/>
      <c r="CS873" s="1089"/>
      <c r="CT873" s="1086"/>
      <c r="CU873" s="1087"/>
      <c r="CV873" s="1090"/>
      <c r="CW873" s="853"/>
      <c r="CX873" s="856"/>
      <c r="CY873" s="856"/>
    </row>
    <row r="874" spans="1:103" s="1103" customFormat="1" ht="15" customHeight="1" x14ac:dyDescent="0.2">
      <c r="A874" s="242"/>
      <c r="B874" s="222">
        <v>45891</v>
      </c>
      <c r="C874" s="852"/>
      <c r="D874" s="66" t="s">
        <v>234</v>
      </c>
      <c r="E874" s="404" t="s">
        <v>4040</v>
      </c>
      <c r="F874" s="95" t="s">
        <v>926</v>
      </c>
      <c r="G874" s="95" t="s">
        <v>4041</v>
      </c>
      <c r="H874" s="95" t="s">
        <v>318</v>
      </c>
      <c r="I874" s="95" t="s">
        <v>239</v>
      </c>
      <c r="J874" s="854"/>
      <c r="K874" s="855"/>
      <c r="L874" s="101" t="s">
        <v>3991</v>
      </c>
      <c r="M874" s="101" t="s">
        <v>4042</v>
      </c>
      <c r="N874" s="442" t="s">
        <v>403</v>
      </c>
      <c r="O874" s="165">
        <v>36.369999999999997</v>
      </c>
      <c r="P874" s="165">
        <v>36.369999999999997</v>
      </c>
      <c r="Q874" s="157">
        <v>31</v>
      </c>
      <c r="R874" s="109" t="s">
        <v>244</v>
      </c>
      <c r="S874" s="110">
        <v>263703.95</v>
      </c>
      <c r="T874" s="93"/>
      <c r="U874" s="857"/>
      <c r="V874" s="158" t="e">
        <f t="shared" ref="V874:V881" si="748">U874/T874</f>
        <v>#DIV/0!</v>
      </c>
      <c r="W874" s="159">
        <v>45884.361805555556</v>
      </c>
      <c r="X874" s="159"/>
      <c r="Y874" s="160">
        <v>45891</v>
      </c>
      <c r="Z874" s="470"/>
      <c r="AA874" s="942"/>
      <c r="AB874" s="942"/>
      <c r="AC874" s="161">
        <f t="shared" si="731"/>
        <v>-45884.361805555556</v>
      </c>
      <c r="AD874" s="161">
        <f t="shared" si="732"/>
        <v>0</v>
      </c>
      <c r="AE874" s="446">
        <f t="shared" si="733"/>
        <v>0</v>
      </c>
      <c r="AF874" s="160">
        <f t="shared" si="734"/>
        <v>45903.135999103943</v>
      </c>
      <c r="AG874" s="160">
        <f t="shared" si="735"/>
        <v>45911.942450716844</v>
      </c>
      <c r="AH874" s="159">
        <f t="shared" si="736"/>
        <v>45934.361805555556</v>
      </c>
      <c r="AI874" s="162">
        <f t="shared" si="737"/>
        <v>-1580.4613510802469</v>
      </c>
      <c r="AJ874" s="224">
        <f t="shared" si="738"/>
        <v>0</v>
      </c>
      <c r="AK874" s="225">
        <f t="shared" si="739"/>
        <v>20</v>
      </c>
      <c r="AL874" s="170">
        <f t="shared" si="740"/>
        <v>36</v>
      </c>
      <c r="AM874" s="170">
        <f t="shared" si="741"/>
        <v>21.774193548387096</v>
      </c>
      <c r="AN874" s="170">
        <f t="shared" si="742"/>
        <v>27.58064516129032</v>
      </c>
      <c r="AO874" s="226">
        <f t="shared" si="743"/>
        <v>18.774193548387096</v>
      </c>
      <c r="AP874" s="227">
        <v>68</v>
      </c>
      <c r="AQ874" s="228">
        <f t="shared" si="744"/>
        <v>64.599999999999994</v>
      </c>
      <c r="AR874" s="228">
        <f t="shared" si="745"/>
        <v>59.599999999999994</v>
      </c>
      <c r="AS874" s="229">
        <f t="shared" si="746"/>
        <v>68</v>
      </c>
      <c r="AT874" s="982">
        <f t="shared" ca="1" si="747"/>
        <v>45895</v>
      </c>
      <c r="AU874" s="1077"/>
      <c r="AV874" s="1107"/>
      <c r="AW874" s="1079"/>
      <c r="AX874" s="1079"/>
      <c r="AY874" s="1079"/>
      <c r="AZ874" s="1080"/>
      <c r="BA874" s="1101"/>
      <c r="BB874" s="1091"/>
      <c r="BC874" s="231"/>
      <c r="BD874" s="232"/>
      <c r="BE874" s="222"/>
      <c r="BF874" s="233"/>
      <c r="BG874" s="234"/>
      <c r="BH874" s="235"/>
      <c r="BI874" s="234"/>
      <c r="BJ874" s="236"/>
      <c r="BK874" s="222"/>
      <c r="BL874" s="222"/>
      <c r="BM874" s="238"/>
      <c r="BN874" s="222"/>
      <c r="BO874" s="222"/>
      <c r="BP874" s="243"/>
      <c r="BQ874" s="244"/>
      <c r="BR874" s="238"/>
      <c r="BS874" s="68"/>
      <c r="BT874" s="69"/>
      <c r="BU874" s="69"/>
      <c r="BV874" s="69"/>
      <c r="BW874" s="75"/>
      <c r="BX874" s="81"/>
      <c r="BY874" s="66" t="s">
        <v>308</v>
      </c>
      <c r="BZ874" s="944" t="s">
        <v>4043</v>
      </c>
      <c r="CA874" s="42"/>
      <c r="CB874" s="62"/>
      <c r="CC874" s="62"/>
      <c r="CD874" s="42"/>
      <c r="CE874" s="42"/>
      <c r="CF874" s="1059"/>
      <c r="CG874" s="1059"/>
      <c r="CH874" s="1082"/>
      <c r="CI874" s="1059"/>
      <c r="CJ874" s="1057"/>
      <c r="CK874" s="1085"/>
      <c r="CL874" s="1057"/>
      <c r="CM874" s="1057"/>
      <c r="CN874" s="1086"/>
      <c r="CO874" s="1087"/>
      <c r="CP874" s="629"/>
      <c r="CQ874" s="1086"/>
      <c r="CR874" s="1088"/>
      <c r="CS874" s="1089"/>
      <c r="CT874" s="1086"/>
      <c r="CU874" s="1087"/>
      <c r="CV874" s="1090"/>
      <c r="CW874" s="853"/>
      <c r="CX874" s="856"/>
      <c r="CY874" s="856"/>
    </row>
    <row r="875" spans="1:103" s="1103" customFormat="1" ht="15" customHeight="1" x14ac:dyDescent="0.2">
      <c r="A875" s="242"/>
      <c r="B875" s="222">
        <v>45891</v>
      </c>
      <c r="C875" s="852"/>
      <c r="D875" s="66" t="s">
        <v>320</v>
      </c>
      <c r="E875" s="404" t="s">
        <v>4044</v>
      </c>
      <c r="F875" s="95" t="s">
        <v>4045</v>
      </c>
      <c r="G875" s="95" t="s">
        <v>4046</v>
      </c>
      <c r="H875" s="95" t="s">
        <v>318</v>
      </c>
      <c r="I875" s="95" t="s">
        <v>239</v>
      </c>
      <c r="J875" s="854"/>
      <c r="K875" s="855"/>
      <c r="L875" s="101" t="s">
        <v>3991</v>
      </c>
      <c r="M875" s="101" t="s">
        <v>4042</v>
      </c>
      <c r="N875" s="442" t="s">
        <v>403</v>
      </c>
      <c r="O875" s="165">
        <v>41.44</v>
      </c>
      <c r="P875" s="165">
        <v>41.44</v>
      </c>
      <c r="Q875" s="157">
        <v>80</v>
      </c>
      <c r="R875" s="109" t="s">
        <v>548</v>
      </c>
      <c r="S875" s="110">
        <v>288094.92</v>
      </c>
      <c r="T875" s="93"/>
      <c r="U875" s="857"/>
      <c r="V875" s="158" t="e">
        <f t="shared" si="748"/>
        <v>#DIV/0!</v>
      </c>
      <c r="W875" s="159">
        <v>45888.352083333331</v>
      </c>
      <c r="X875" s="159"/>
      <c r="Y875" s="160">
        <v>45891</v>
      </c>
      <c r="Z875" s="470"/>
      <c r="AA875" s="942"/>
      <c r="AB875" s="942"/>
      <c r="AC875" s="161">
        <f t="shared" si="731"/>
        <v>-45888.352083333331</v>
      </c>
      <c r="AD875" s="161">
        <f t="shared" si="732"/>
        <v>0</v>
      </c>
      <c r="AE875" s="446">
        <f t="shared" si="733"/>
        <v>0</v>
      </c>
      <c r="AF875" s="160">
        <f t="shared" si="734"/>
        <v>45906.426463498618</v>
      </c>
      <c r="AG875" s="160">
        <f t="shared" si="735"/>
        <v>45915.046298209367</v>
      </c>
      <c r="AH875" s="159">
        <f t="shared" si="736"/>
        <v>45938.352083333331</v>
      </c>
      <c r="AI875" s="162">
        <f t="shared" si="737"/>
        <v>-1633.08547120098</v>
      </c>
      <c r="AJ875" s="224">
        <f t="shared" si="738"/>
        <v>0</v>
      </c>
      <c r="AK875" s="225">
        <f t="shared" si="739"/>
        <v>20</v>
      </c>
      <c r="AL875" s="170">
        <f t="shared" si="740"/>
        <v>34</v>
      </c>
      <c r="AM875" s="170">
        <f t="shared" si="741"/>
        <v>21.074380165289259</v>
      </c>
      <c r="AN875" s="170">
        <f t="shared" si="742"/>
        <v>26.694214876033058</v>
      </c>
      <c r="AO875" s="226">
        <f t="shared" si="743"/>
        <v>18.074380165289259</v>
      </c>
      <c r="AP875" s="227">
        <v>68</v>
      </c>
      <c r="AQ875" s="228">
        <f t="shared" si="744"/>
        <v>64.599999999999994</v>
      </c>
      <c r="AR875" s="228">
        <f t="shared" si="745"/>
        <v>59.599999999999994</v>
      </c>
      <c r="AS875" s="229">
        <f t="shared" si="746"/>
        <v>68</v>
      </c>
      <c r="AT875" s="982">
        <f t="shared" ca="1" si="747"/>
        <v>45895</v>
      </c>
      <c r="AU875" s="1077"/>
      <c r="AV875" s="1107"/>
      <c r="AW875" s="1079"/>
      <c r="AX875" s="1079"/>
      <c r="AY875" s="1079"/>
      <c r="AZ875" s="1080"/>
      <c r="BA875" s="1101"/>
      <c r="BB875" s="1091"/>
      <c r="BC875" s="231"/>
      <c r="BD875" s="232"/>
      <c r="BE875" s="222"/>
      <c r="BF875" s="233"/>
      <c r="BG875" s="234"/>
      <c r="BH875" s="235"/>
      <c r="BI875" s="234"/>
      <c r="BJ875" s="236"/>
      <c r="BK875" s="222"/>
      <c r="BL875" s="222"/>
      <c r="BM875" s="238"/>
      <c r="BN875" s="222"/>
      <c r="BO875" s="222"/>
      <c r="BP875" s="243"/>
      <c r="BQ875" s="244"/>
      <c r="BR875" s="238"/>
      <c r="BS875" s="68"/>
      <c r="BT875" s="69"/>
      <c r="BU875" s="69"/>
      <c r="BV875" s="69"/>
      <c r="BW875" s="75"/>
      <c r="BX875" s="81"/>
      <c r="BY875" s="66">
        <v>45891</v>
      </c>
      <c r="BZ875" s="944" t="s">
        <v>4047</v>
      </c>
      <c r="CA875" s="42"/>
      <c r="CB875" s="62"/>
      <c r="CC875" s="62"/>
      <c r="CD875" s="42"/>
      <c r="CE875" s="42"/>
      <c r="CF875" s="1059"/>
      <c r="CG875" s="1059"/>
      <c r="CH875" s="1082"/>
      <c r="CI875" s="1059"/>
      <c r="CJ875" s="1057"/>
      <c r="CK875" s="1085"/>
      <c r="CL875" s="1057"/>
      <c r="CM875" s="1057"/>
      <c r="CN875" s="1086"/>
      <c r="CO875" s="1087"/>
      <c r="CP875" s="629"/>
      <c r="CQ875" s="1086"/>
      <c r="CR875" s="1088"/>
      <c r="CS875" s="1089"/>
      <c r="CT875" s="1086"/>
      <c r="CU875" s="1087"/>
      <c r="CV875" s="1090"/>
      <c r="CW875" s="853"/>
      <c r="CX875" s="856"/>
      <c r="CY875" s="856"/>
    </row>
    <row r="876" spans="1:103" s="1103" customFormat="1" ht="15" customHeight="1" x14ac:dyDescent="0.2">
      <c r="A876" s="242"/>
      <c r="B876" s="222">
        <v>45891</v>
      </c>
      <c r="C876" s="852"/>
      <c r="D876" s="66" t="s">
        <v>284</v>
      </c>
      <c r="E876" s="404" t="s">
        <v>4048</v>
      </c>
      <c r="F876" s="95" t="s">
        <v>4049</v>
      </c>
      <c r="G876" s="95" t="s">
        <v>1772</v>
      </c>
      <c r="H876" s="95" t="s">
        <v>238</v>
      </c>
      <c r="I876" s="95" t="s">
        <v>239</v>
      </c>
      <c r="J876" s="854"/>
      <c r="K876" s="855"/>
      <c r="L876" s="101" t="s">
        <v>3999</v>
      </c>
      <c r="M876" s="101" t="s">
        <v>4042</v>
      </c>
      <c r="N876" s="442" t="s">
        <v>403</v>
      </c>
      <c r="O876" s="165">
        <v>27.46</v>
      </c>
      <c r="P876" s="165">
        <v>105.75</v>
      </c>
      <c r="Q876" s="157">
        <v>72</v>
      </c>
      <c r="R876" s="109" t="s">
        <v>244</v>
      </c>
      <c r="S876" s="110">
        <v>156666.35999999999</v>
      </c>
      <c r="T876" s="93"/>
      <c r="U876" s="857"/>
      <c r="V876" s="158" t="e">
        <f t="shared" si="748"/>
        <v>#DIV/0!</v>
      </c>
      <c r="W876" s="159">
        <v>45887.506249999999</v>
      </c>
      <c r="X876" s="159"/>
      <c r="Y876" s="160">
        <v>45891</v>
      </c>
      <c r="Z876" s="470"/>
      <c r="AA876" s="942"/>
      <c r="AB876" s="942"/>
      <c r="AC876" s="161">
        <f t="shared" si="731"/>
        <v>-45887.506249999999</v>
      </c>
      <c r="AD876" s="161">
        <f t="shared" si="732"/>
        <v>0</v>
      </c>
      <c r="AE876" s="446">
        <f t="shared" si="733"/>
        <v>0</v>
      </c>
      <c r="AF876" s="160">
        <f t="shared" si="734"/>
        <v>45907.851320422531</v>
      </c>
      <c r="AG876" s="160">
        <f t="shared" si="735"/>
        <v>45917.076672535208</v>
      </c>
      <c r="AH876" s="159">
        <f t="shared" si="736"/>
        <v>45937.506249999999</v>
      </c>
      <c r="AI876" s="162">
        <f t="shared" si="737"/>
        <v>-1474.2140016968326</v>
      </c>
      <c r="AJ876" s="224">
        <f t="shared" si="738"/>
        <v>0</v>
      </c>
      <c r="AK876" s="225">
        <f t="shared" si="739"/>
        <v>26</v>
      </c>
      <c r="AL876" s="170">
        <f t="shared" si="740"/>
        <v>34</v>
      </c>
      <c r="AM876" s="170">
        <f t="shared" si="741"/>
        <v>23.345070422535212</v>
      </c>
      <c r="AN876" s="170">
        <f t="shared" si="742"/>
        <v>29.570422535211268</v>
      </c>
      <c r="AO876" s="226">
        <f t="shared" si="743"/>
        <v>20.345070422535212</v>
      </c>
      <c r="AP876" s="227">
        <v>68</v>
      </c>
      <c r="AQ876" s="228">
        <f t="shared" si="744"/>
        <v>64.599999999999994</v>
      </c>
      <c r="AR876" s="228">
        <f t="shared" si="745"/>
        <v>59.599999999999994</v>
      </c>
      <c r="AS876" s="229">
        <f t="shared" si="746"/>
        <v>68</v>
      </c>
      <c r="AT876" s="982">
        <f t="shared" ca="1" si="747"/>
        <v>45895</v>
      </c>
      <c r="AU876" s="1077"/>
      <c r="AV876" s="1107"/>
      <c r="AW876" s="1079"/>
      <c r="AX876" s="1079"/>
      <c r="AY876" s="1079"/>
      <c r="AZ876" s="1080"/>
      <c r="BA876" s="1101"/>
      <c r="BB876" s="1091"/>
      <c r="BC876" s="231"/>
      <c r="BD876" s="232"/>
      <c r="BE876" s="222"/>
      <c r="BF876" s="233"/>
      <c r="BG876" s="234"/>
      <c r="BH876" s="235"/>
      <c r="BI876" s="234"/>
      <c r="BJ876" s="236"/>
      <c r="BK876" s="222"/>
      <c r="BL876" s="222"/>
      <c r="BM876" s="238"/>
      <c r="BN876" s="222"/>
      <c r="BO876" s="222"/>
      <c r="BP876" s="243"/>
      <c r="BQ876" s="244"/>
      <c r="BR876" s="238"/>
      <c r="BS876" s="68"/>
      <c r="BT876" s="69"/>
      <c r="BU876" s="69"/>
      <c r="BV876" s="69"/>
      <c r="BW876" s="75"/>
      <c r="BX876" s="81"/>
      <c r="BY876" s="66">
        <v>45891</v>
      </c>
      <c r="BZ876" s="944" t="s">
        <v>4050</v>
      </c>
      <c r="CA876" s="42"/>
      <c r="CB876" s="62"/>
      <c r="CC876" s="62"/>
      <c r="CD876" s="42"/>
      <c r="CE876" s="42"/>
      <c r="CF876" s="1059"/>
      <c r="CG876" s="1059"/>
      <c r="CH876" s="1082"/>
      <c r="CI876" s="1059"/>
      <c r="CJ876" s="1057"/>
      <c r="CK876" s="1085"/>
      <c r="CL876" s="1057"/>
      <c r="CM876" s="1057"/>
      <c r="CN876" s="1086"/>
      <c r="CO876" s="1087"/>
      <c r="CP876" s="629"/>
      <c r="CQ876" s="1086"/>
      <c r="CR876" s="1088"/>
      <c r="CS876" s="1089"/>
      <c r="CT876" s="1086"/>
      <c r="CU876" s="1087"/>
      <c r="CV876" s="1090"/>
      <c r="CW876" s="853"/>
      <c r="CX876" s="856"/>
      <c r="CY876" s="856"/>
    </row>
    <row r="877" spans="1:103" s="1103" customFormat="1" ht="15" customHeight="1" x14ac:dyDescent="0.2">
      <c r="A877" s="242"/>
      <c r="B877" s="222" t="s">
        <v>308</v>
      </c>
      <c r="C877" s="852"/>
      <c r="D877" s="66" t="s">
        <v>284</v>
      </c>
      <c r="E877" s="404" t="s">
        <v>4051</v>
      </c>
      <c r="F877" s="95" t="s">
        <v>4052</v>
      </c>
      <c r="G877" s="95" t="s">
        <v>1772</v>
      </c>
      <c r="H877" s="95" t="s">
        <v>238</v>
      </c>
      <c r="I877" s="95" t="s">
        <v>239</v>
      </c>
      <c r="J877" s="854"/>
      <c r="K877" s="855"/>
      <c r="L877" s="101" t="s">
        <v>337</v>
      </c>
      <c r="M877" s="101" t="s">
        <v>4042</v>
      </c>
      <c r="N877" s="442" t="s">
        <v>338</v>
      </c>
      <c r="O877" s="165"/>
      <c r="P877" s="165">
        <v>186.48</v>
      </c>
      <c r="Q877" s="157">
        <v>72</v>
      </c>
      <c r="R877" s="109" t="s">
        <v>244</v>
      </c>
      <c r="S877" s="110">
        <v>892024.52</v>
      </c>
      <c r="T877" s="93"/>
      <c r="U877" s="857"/>
      <c r="V877" s="158" t="e">
        <f t="shared" si="748"/>
        <v>#DIV/0!</v>
      </c>
      <c r="W877" s="159">
        <v>45887.507638888892</v>
      </c>
      <c r="X877" s="159"/>
      <c r="Y877" s="160" t="s">
        <v>308</v>
      </c>
      <c r="Z877" s="470"/>
      <c r="AA877" s="942"/>
      <c r="AB877" s="942"/>
      <c r="AC877" s="161">
        <f t="shared" si="731"/>
        <v>-45887.507638888892</v>
      </c>
      <c r="AD877" s="161">
        <f t="shared" si="732"/>
        <v>0</v>
      </c>
      <c r="AE877" s="446">
        <f t="shared" si="733"/>
        <v>0</v>
      </c>
      <c r="AF877" s="160">
        <f t="shared" si="734"/>
        <v>45907.852709311424</v>
      </c>
      <c r="AG877" s="160">
        <f t="shared" si="735"/>
        <v>45917.078061424101</v>
      </c>
      <c r="AH877" s="159">
        <f t="shared" si="736"/>
        <v>45937.507638888892</v>
      </c>
      <c r="AI877" s="162">
        <f t="shared" si="737"/>
        <v>-1474.214046317245</v>
      </c>
      <c r="AJ877" s="224">
        <f t="shared" si="738"/>
        <v>0</v>
      </c>
      <c r="AK877" s="225">
        <f t="shared" si="739"/>
        <v>26</v>
      </c>
      <c r="AL877" s="170">
        <f t="shared" si="740"/>
        <v>34</v>
      </c>
      <c r="AM877" s="170">
        <f t="shared" si="741"/>
        <v>23.345070422535212</v>
      </c>
      <c r="AN877" s="170">
        <f t="shared" si="742"/>
        <v>29.570422535211268</v>
      </c>
      <c r="AO877" s="226">
        <f t="shared" si="743"/>
        <v>20.345070422535212</v>
      </c>
      <c r="AP877" s="227">
        <v>68</v>
      </c>
      <c r="AQ877" s="228">
        <f t="shared" si="744"/>
        <v>64.599999999999994</v>
      </c>
      <c r="AR877" s="228">
        <f t="shared" si="745"/>
        <v>59.599999999999994</v>
      </c>
      <c r="AS877" s="229">
        <f t="shared" si="746"/>
        <v>68</v>
      </c>
      <c r="AT877" s="982">
        <f t="shared" ca="1" si="747"/>
        <v>45895</v>
      </c>
      <c r="AU877" s="1077"/>
      <c r="AV877" s="1107"/>
      <c r="AW877" s="1079"/>
      <c r="AX877" s="1079"/>
      <c r="AY877" s="1079"/>
      <c r="AZ877" s="1080"/>
      <c r="BA877" s="1101"/>
      <c r="BB877" s="1091"/>
      <c r="BC877" s="231"/>
      <c r="BD877" s="232"/>
      <c r="BE877" s="222"/>
      <c r="BF877" s="233"/>
      <c r="BG877" s="234"/>
      <c r="BH877" s="235"/>
      <c r="BI877" s="234"/>
      <c r="BJ877" s="236"/>
      <c r="BK877" s="222"/>
      <c r="BL877" s="222"/>
      <c r="BM877" s="238"/>
      <c r="BN877" s="222"/>
      <c r="BO877" s="222"/>
      <c r="BP877" s="243"/>
      <c r="BQ877" s="244"/>
      <c r="BR877" s="238"/>
      <c r="BS877" s="68"/>
      <c r="BT877" s="69"/>
      <c r="BU877" s="69"/>
      <c r="BV877" s="69"/>
      <c r="BW877" s="75"/>
      <c r="BX877" s="81"/>
      <c r="BY877" s="66" t="s">
        <v>308</v>
      </c>
      <c r="BZ877" s="944" t="s">
        <v>4053</v>
      </c>
      <c r="CA877" s="42"/>
      <c r="CB877" s="62"/>
      <c r="CC877" s="62"/>
      <c r="CD877" s="42"/>
      <c r="CE877" s="42"/>
      <c r="CF877" s="1059"/>
      <c r="CG877" s="1059"/>
      <c r="CH877" s="1082"/>
      <c r="CI877" s="1059"/>
      <c r="CJ877" s="1057"/>
      <c r="CK877" s="1085"/>
      <c r="CL877" s="1057"/>
      <c r="CM877" s="1057"/>
      <c r="CN877" s="1086"/>
      <c r="CO877" s="1087"/>
      <c r="CP877" s="629"/>
      <c r="CQ877" s="1086"/>
      <c r="CR877" s="1088"/>
      <c r="CS877" s="1089"/>
      <c r="CT877" s="1086"/>
      <c r="CU877" s="1087"/>
      <c r="CV877" s="1090"/>
      <c r="CW877" s="853"/>
      <c r="CX877" s="856"/>
      <c r="CY877" s="856"/>
    </row>
    <row r="878" spans="1:103" s="1103" customFormat="1" ht="15" customHeight="1" x14ac:dyDescent="0.2">
      <c r="A878" s="242"/>
      <c r="B878" s="222">
        <v>45891</v>
      </c>
      <c r="C878" s="852"/>
      <c r="D878" s="66" t="s">
        <v>320</v>
      </c>
      <c r="E878" s="404" t="s">
        <v>4054</v>
      </c>
      <c r="F878" s="95" t="s">
        <v>2920</v>
      </c>
      <c r="G878" s="95" t="s">
        <v>297</v>
      </c>
      <c r="H878" s="95" t="s">
        <v>238</v>
      </c>
      <c r="I878" s="95" t="s">
        <v>239</v>
      </c>
      <c r="J878" s="854"/>
      <c r="K878" s="855"/>
      <c r="L878" s="101" t="s">
        <v>3983</v>
      </c>
      <c r="M878" s="101" t="s">
        <v>4042</v>
      </c>
      <c r="N878" s="442" t="s">
        <v>381</v>
      </c>
      <c r="O878" s="165">
        <v>86.41</v>
      </c>
      <c r="P878" s="165">
        <v>164.69</v>
      </c>
      <c r="Q878" s="157">
        <v>80</v>
      </c>
      <c r="R878" s="109" t="s">
        <v>244</v>
      </c>
      <c r="S878" s="110">
        <v>570005.56000000006</v>
      </c>
      <c r="T878" s="93"/>
      <c r="U878" s="857"/>
      <c r="V878" s="158" t="e">
        <f t="shared" si="748"/>
        <v>#DIV/0!</v>
      </c>
      <c r="W878" s="159">
        <v>45887.676388888889</v>
      </c>
      <c r="X878" s="159"/>
      <c r="Y878" s="160">
        <v>45891</v>
      </c>
      <c r="Z878" s="470"/>
      <c r="AA878" s="942"/>
      <c r="AB878" s="942"/>
      <c r="AC878" s="161">
        <f t="shared" si="731"/>
        <v>-45887.676388888889</v>
      </c>
      <c r="AD878" s="161">
        <f t="shared" si="732"/>
        <v>0</v>
      </c>
      <c r="AE878" s="446">
        <f t="shared" si="733"/>
        <v>0</v>
      </c>
      <c r="AF878" s="160">
        <f t="shared" si="734"/>
        <v>45908.021459311421</v>
      </c>
      <c r="AG878" s="160">
        <f t="shared" si="735"/>
        <v>45917.246811424098</v>
      </c>
      <c r="AH878" s="159">
        <f t="shared" si="736"/>
        <v>45937.676388888889</v>
      </c>
      <c r="AI878" s="162">
        <f t="shared" si="737"/>
        <v>-1474.2194676973354</v>
      </c>
      <c r="AJ878" s="224">
        <f t="shared" si="738"/>
        <v>0</v>
      </c>
      <c r="AK878" s="225">
        <f t="shared" si="739"/>
        <v>26</v>
      </c>
      <c r="AL878" s="170">
        <f t="shared" si="740"/>
        <v>34</v>
      </c>
      <c r="AM878" s="170">
        <f t="shared" si="741"/>
        <v>23.345070422535212</v>
      </c>
      <c r="AN878" s="170">
        <f t="shared" si="742"/>
        <v>29.570422535211268</v>
      </c>
      <c r="AO878" s="226">
        <f t="shared" si="743"/>
        <v>20.345070422535212</v>
      </c>
      <c r="AP878" s="227">
        <v>68</v>
      </c>
      <c r="AQ878" s="228">
        <f t="shared" si="744"/>
        <v>64.599999999999994</v>
      </c>
      <c r="AR878" s="228">
        <f t="shared" si="745"/>
        <v>59.599999999999994</v>
      </c>
      <c r="AS878" s="229">
        <f t="shared" si="746"/>
        <v>68</v>
      </c>
      <c r="AT878" s="982">
        <f t="shared" ca="1" si="747"/>
        <v>45895</v>
      </c>
      <c r="AU878" s="1077"/>
      <c r="AV878" s="1107"/>
      <c r="AW878" s="1079"/>
      <c r="AX878" s="1079"/>
      <c r="AY878" s="1079"/>
      <c r="AZ878" s="1080"/>
      <c r="BA878" s="1101"/>
      <c r="BB878" s="1091"/>
      <c r="BC878" s="231"/>
      <c r="BD878" s="232"/>
      <c r="BE878" s="222"/>
      <c r="BF878" s="233"/>
      <c r="BG878" s="234"/>
      <c r="BH878" s="235"/>
      <c r="BI878" s="234"/>
      <c r="BJ878" s="236"/>
      <c r="BK878" s="222"/>
      <c r="BL878" s="222"/>
      <c r="BM878" s="238"/>
      <c r="BN878" s="222"/>
      <c r="BO878" s="222"/>
      <c r="BP878" s="243"/>
      <c r="BQ878" s="244"/>
      <c r="BR878" s="238"/>
      <c r="BS878" s="68"/>
      <c r="BT878" s="69"/>
      <c r="BU878" s="69"/>
      <c r="BV878" s="69"/>
      <c r="BW878" s="75"/>
      <c r="BX878" s="81"/>
      <c r="BY878" s="66">
        <v>45891</v>
      </c>
      <c r="BZ878" s="944" t="s">
        <v>4055</v>
      </c>
      <c r="CA878" s="42"/>
      <c r="CB878" s="62"/>
      <c r="CC878" s="62"/>
      <c r="CD878" s="42"/>
      <c r="CE878" s="42"/>
      <c r="CF878" s="1059"/>
      <c r="CG878" s="1059"/>
      <c r="CH878" s="1082"/>
      <c r="CI878" s="1059"/>
      <c r="CJ878" s="1057"/>
      <c r="CK878" s="1085"/>
      <c r="CL878" s="1057"/>
      <c r="CM878" s="1057"/>
      <c r="CN878" s="1086"/>
      <c r="CO878" s="1087"/>
      <c r="CP878" s="629"/>
      <c r="CQ878" s="1086"/>
      <c r="CR878" s="1088"/>
      <c r="CS878" s="1089"/>
      <c r="CT878" s="1086"/>
      <c r="CU878" s="1087"/>
      <c r="CV878" s="1090"/>
      <c r="CW878" s="853"/>
      <c r="CX878" s="856"/>
      <c r="CY878" s="856"/>
    </row>
    <row r="879" spans="1:103" s="1103" customFormat="1" ht="15" customHeight="1" x14ac:dyDescent="0.2">
      <c r="A879" s="242"/>
      <c r="B879" s="222">
        <v>45891</v>
      </c>
      <c r="C879" s="852"/>
      <c r="D879" s="66" t="s">
        <v>320</v>
      </c>
      <c r="E879" s="404" t="s">
        <v>4056</v>
      </c>
      <c r="F879" s="95" t="s">
        <v>4057</v>
      </c>
      <c r="G879" s="95" t="s">
        <v>4058</v>
      </c>
      <c r="H879" s="95" t="s">
        <v>238</v>
      </c>
      <c r="I879" s="95" t="s">
        <v>239</v>
      </c>
      <c r="J879" s="854"/>
      <c r="K879" s="855"/>
      <c r="L879" s="101" t="s">
        <v>3983</v>
      </c>
      <c r="M879" s="101" t="s">
        <v>4042</v>
      </c>
      <c r="N879" s="442" t="s">
        <v>381</v>
      </c>
      <c r="O879" s="165">
        <v>91.34</v>
      </c>
      <c r="P879" s="165">
        <v>247.91</v>
      </c>
      <c r="Q879" s="157">
        <v>44</v>
      </c>
      <c r="R879" s="109" t="s">
        <v>244</v>
      </c>
      <c r="S879" s="110">
        <v>519550.13</v>
      </c>
      <c r="T879" s="93"/>
      <c r="U879" s="857"/>
      <c r="V879" s="158" t="e">
        <f t="shared" si="748"/>
        <v>#DIV/0!</v>
      </c>
      <c r="W879" s="159">
        <v>45885.352083333331</v>
      </c>
      <c r="X879" s="159"/>
      <c r="Y879" s="160">
        <v>45891</v>
      </c>
      <c r="Z879" s="470"/>
      <c r="AA879" s="942"/>
      <c r="AB879" s="942"/>
      <c r="AC879" s="161">
        <f t="shared" si="731"/>
        <v>-45885.352083333331</v>
      </c>
      <c r="AD879" s="161">
        <f t="shared" si="732"/>
        <v>0</v>
      </c>
      <c r="AE879" s="446">
        <f t="shared" si="733"/>
        <v>0</v>
      </c>
      <c r="AF879" s="160">
        <f t="shared" si="734"/>
        <v>45907.220504385965</v>
      </c>
      <c r="AG879" s="160">
        <f t="shared" si="735"/>
        <v>45916.852083333331</v>
      </c>
      <c r="AH879" s="159">
        <f t="shared" si="736"/>
        <v>45935.352083333331</v>
      </c>
      <c r="AI879" s="162">
        <f t="shared" si="737"/>
        <v>-1383.8439517195766</v>
      </c>
      <c r="AJ879" s="224">
        <f t="shared" si="738"/>
        <v>0</v>
      </c>
      <c r="AK879" s="225">
        <f t="shared" si="739"/>
        <v>28</v>
      </c>
      <c r="AL879" s="170">
        <f t="shared" si="740"/>
        <v>36</v>
      </c>
      <c r="AM879" s="170">
        <f t="shared" si="741"/>
        <v>24.868421052631579</v>
      </c>
      <c r="AN879" s="170">
        <f t="shared" si="742"/>
        <v>31.499999999999996</v>
      </c>
      <c r="AO879" s="226">
        <f t="shared" si="743"/>
        <v>21.868421052631579</v>
      </c>
      <c r="AP879" s="227">
        <v>68</v>
      </c>
      <c r="AQ879" s="228">
        <f t="shared" si="744"/>
        <v>64.599999999999994</v>
      </c>
      <c r="AR879" s="228">
        <f t="shared" si="745"/>
        <v>59.599999999999994</v>
      </c>
      <c r="AS879" s="229">
        <f t="shared" si="746"/>
        <v>68</v>
      </c>
      <c r="AT879" s="982">
        <f t="shared" ca="1" si="747"/>
        <v>45895</v>
      </c>
      <c r="AU879" s="1077"/>
      <c r="AV879" s="1107"/>
      <c r="AW879" s="1079"/>
      <c r="AX879" s="1079"/>
      <c r="AY879" s="1079"/>
      <c r="AZ879" s="1080"/>
      <c r="BA879" s="1101"/>
      <c r="BB879" s="1091"/>
      <c r="BC879" s="231"/>
      <c r="BD879" s="232"/>
      <c r="BE879" s="222"/>
      <c r="BF879" s="233"/>
      <c r="BG879" s="234"/>
      <c r="BH879" s="235"/>
      <c r="BI879" s="234"/>
      <c r="BJ879" s="236"/>
      <c r="BK879" s="222"/>
      <c r="BL879" s="222"/>
      <c r="BM879" s="238"/>
      <c r="BN879" s="222"/>
      <c r="BO879" s="222"/>
      <c r="BP879" s="243"/>
      <c r="BQ879" s="244"/>
      <c r="BR879" s="238"/>
      <c r="BS879" s="68"/>
      <c r="BT879" s="69"/>
      <c r="BU879" s="69"/>
      <c r="BV879" s="69"/>
      <c r="BW879" s="75"/>
      <c r="BX879" s="81"/>
      <c r="BY879" s="66">
        <v>45891</v>
      </c>
      <c r="BZ879" s="944" t="s">
        <v>4059</v>
      </c>
      <c r="CA879" s="42"/>
      <c r="CB879" s="62"/>
      <c r="CC879" s="62"/>
      <c r="CD879" s="42"/>
      <c r="CE879" s="42"/>
      <c r="CF879" s="1059"/>
      <c r="CG879" s="1059"/>
      <c r="CH879" s="1082"/>
      <c r="CI879" s="1059"/>
      <c r="CJ879" s="1057"/>
      <c r="CK879" s="1085"/>
      <c r="CL879" s="1057"/>
      <c r="CM879" s="1057"/>
      <c r="CN879" s="1086"/>
      <c r="CO879" s="1087"/>
      <c r="CP879" s="629"/>
      <c r="CQ879" s="1086"/>
      <c r="CR879" s="1088"/>
      <c r="CS879" s="1089"/>
      <c r="CT879" s="1086"/>
      <c r="CU879" s="1087"/>
      <c r="CV879" s="1090"/>
      <c r="CW879" s="853"/>
      <c r="CX879" s="856"/>
      <c r="CY879" s="856"/>
    </row>
    <row r="880" spans="1:103" s="1103" customFormat="1" ht="15" customHeight="1" x14ac:dyDescent="0.2">
      <c r="A880" s="242"/>
      <c r="B880" s="222" t="s">
        <v>470</v>
      </c>
      <c r="C880" s="852"/>
      <c r="D880" s="66" t="s">
        <v>320</v>
      </c>
      <c r="E880" s="404" t="s">
        <v>4060</v>
      </c>
      <c r="F880" s="95" t="s">
        <v>4061</v>
      </c>
      <c r="G880" s="95" t="s">
        <v>4062</v>
      </c>
      <c r="H880" s="95" t="s">
        <v>238</v>
      </c>
      <c r="I880" s="95" t="s">
        <v>239</v>
      </c>
      <c r="J880" s="854"/>
      <c r="K880" s="855"/>
      <c r="L880" s="101" t="s">
        <v>4003</v>
      </c>
      <c r="M880" s="101" t="s">
        <v>4042</v>
      </c>
      <c r="N880" s="442" t="s">
        <v>467</v>
      </c>
      <c r="O880" s="165">
        <v>90.92</v>
      </c>
      <c r="P880" s="165">
        <v>111.2</v>
      </c>
      <c r="Q880" s="157">
        <v>90</v>
      </c>
      <c r="R880" s="109" t="s">
        <v>244</v>
      </c>
      <c r="S880" s="110">
        <v>397607.89</v>
      </c>
      <c r="T880" s="93"/>
      <c r="U880" s="857"/>
      <c r="V880" s="158" t="e">
        <f t="shared" si="748"/>
        <v>#DIV/0!</v>
      </c>
      <c r="W880" s="159">
        <v>45887.640277777777</v>
      </c>
      <c r="X880" s="159"/>
      <c r="Y880" s="160"/>
      <c r="Z880" s="470"/>
      <c r="AA880" s="942"/>
      <c r="AB880" s="942"/>
      <c r="AC880" s="161">
        <f t="shared" si="731"/>
        <v>-45887.640277777777</v>
      </c>
      <c r="AD880" s="161">
        <f t="shared" si="732"/>
        <v>0</v>
      </c>
      <c r="AE880" s="446">
        <f t="shared" si="733"/>
        <v>0</v>
      </c>
      <c r="AF880" s="160">
        <f t="shared" si="734"/>
        <v>45907.985348200309</v>
      </c>
      <c r="AG880" s="160">
        <f t="shared" si="735"/>
        <v>45917.210700312986</v>
      </c>
      <c r="AH880" s="159">
        <f t="shared" si="736"/>
        <v>45937.640277777777</v>
      </c>
      <c r="AI880" s="162">
        <f t="shared" si="737"/>
        <v>-1474.2183075666162</v>
      </c>
      <c r="AJ880" s="224">
        <f t="shared" si="738"/>
        <v>0</v>
      </c>
      <c r="AK880" s="225">
        <f t="shared" si="739"/>
        <v>26</v>
      </c>
      <c r="AL880" s="170">
        <f t="shared" si="740"/>
        <v>34</v>
      </c>
      <c r="AM880" s="170">
        <f t="shared" si="741"/>
        <v>23.345070422535212</v>
      </c>
      <c r="AN880" s="170">
        <f t="shared" si="742"/>
        <v>29.570422535211268</v>
      </c>
      <c r="AO880" s="226">
        <f t="shared" si="743"/>
        <v>20.345070422535212</v>
      </c>
      <c r="AP880" s="227">
        <v>68</v>
      </c>
      <c r="AQ880" s="228">
        <f t="shared" si="744"/>
        <v>64.599999999999994</v>
      </c>
      <c r="AR880" s="228">
        <f t="shared" si="745"/>
        <v>59.599999999999994</v>
      </c>
      <c r="AS880" s="229">
        <f t="shared" si="746"/>
        <v>68</v>
      </c>
      <c r="AT880" s="982">
        <f t="shared" ca="1" si="747"/>
        <v>45895</v>
      </c>
      <c r="AU880" s="1077"/>
      <c r="AV880" s="1107"/>
      <c r="AW880" s="1079"/>
      <c r="AX880" s="1079"/>
      <c r="AY880" s="1079"/>
      <c r="AZ880" s="1080"/>
      <c r="BA880" s="1101"/>
      <c r="BB880" s="1091"/>
      <c r="BC880" s="231"/>
      <c r="BD880" s="232"/>
      <c r="BE880" s="222"/>
      <c r="BF880" s="233"/>
      <c r="BG880" s="234"/>
      <c r="BH880" s="235"/>
      <c r="BI880" s="234"/>
      <c r="BJ880" s="236"/>
      <c r="BK880" s="222"/>
      <c r="BL880" s="222"/>
      <c r="BM880" s="238"/>
      <c r="BN880" s="222"/>
      <c r="BO880" s="222"/>
      <c r="BP880" s="243"/>
      <c r="BQ880" s="244"/>
      <c r="BR880" s="238"/>
      <c r="BS880" s="68"/>
      <c r="BT880" s="69"/>
      <c r="BU880" s="69"/>
      <c r="BV880" s="69"/>
      <c r="BW880" s="75"/>
      <c r="BX880" s="81"/>
      <c r="BY880" s="66">
        <v>45891</v>
      </c>
      <c r="BZ880" s="944" t="s">
        <v>4063</v>
      </c>
      <c r="CA880" s="42"/>
      <c r="CB880" s="62"/>
      <c r="CC880" s="62"/>
      <c r="CD880" s="42"/>
      <c r="CE880" s="42"/>
      <c r="CF880" s="1059"/>
      <c r="CG880" s="1059"/>
      <c r="CH880" s="1082"/>
      <c r="CI880" s="1059"/>
      <c r="CJ880" s="1057"/>
      <c r="CK880" s="1085"/>
      <c r="CL880" s="1057"/>
      <c r="CM880" s="1057"/>
      <c r="CN880" s="1086"/>
      <c r="CO880" s="1087"/>
      <c r="CP880" s="629"/>
      <c r="CQ880" s="1086"/>
      <c r="CR880" s="1088"/>
      <c r="CS880" s="1089"/>
      <c r="CT880" s="1086"/>
      <c r="CU880" s="1087"/>
      <c r="CV880" s="1090"/>
      <c r="CW880" s="853"/>
      <c r="CX880" s="856"/>
      <c r="CY880" s="856"/>
    </row>
    <row r="881" spans="1:103" s="1103" customFormat="1" ht="15" customHeight="1" x14ac:dyDescent="0.2">
      <c r="A881" s="242"/>
      <c r="B881" s="222" t="s">
        <v>470</v>
      </c>
      <c r="C881" s="852"/>
      <c r="D881" s="66" t="s">
        <v>320</v>
      </c>
      <c r="E881" s="404" t="s">
        <v>4064</v>
      </c>
      <c r="F881" s="95" t="s">
        <v>4065</v>
      </c>
      <c r="G881" s="95" t="s">
        <v>516</v>
      </c>
      <c r="H881" s="95" t="s">
        <v>253</v>
      </c>
      <c r="I881" s="95" t="s">
        <v>254</v>
      </c>
      <c r="J881" s="854"/>
      <c r="K881" s="855"/>
      <c r="L881" s="101" t="s">
        <v>4003</v>
      </c>
      <c r="M881" s="101" t="s">
        <v>4042</v>
      </c>
      <c r="N881" s="442" t="s">
        <v>467</v>
      </c>
      <c r="O881" s="165">
        <v>58.18</v>
      </c>
      <c r="P881" s="165">
        <v>137.27000000000001</v>
      </c>
      <c r="Q881" s="157">
        <v>65</v>
      </c>
      <c r="R881" s="109" t="s">
        <v>244</v>
      </c>
      <c r="S881" s="110">
        <v>428434.7</v>
      </c>
      <c r="T881" s="93"/>
      <c r="U881" s="857"/>
      <c r="V881" s="158" t="e">
        <f t="shared" si="748"/>
        <v>#DIV/0!</v>
      </c>
      <c r="W881" s="159">
        <v>45884.676388888889</v>
      </c>
      <c r="X881" s="159"/>
      <c r="Y881" s="160"/>
      <c r="Z881" s="470"/>
      <c r="AA881" s="942"/>
      <c r="AB881" s="942"/>
      <c r="AC881" s="161">
        <f t="shared" si="731"/>
        <v>-45884.676388888889</v>
      </c>
      <c r="AD881" s="161">
        <f t="shared" si="732"/>
        <v>0</v>
      </c>
      <c r="AE881" s="446">
        <f t="shared" si="733"/>
        <v>0</v>
      </c>
      <c r="AF881" s="160">
        <f t="shared" si="734"/>
        <v>45905.021459311421</v>
      </c>
      <c r="AG881" s="160">
        <f t="shared" si="735"/>
        <v>45914.246811424098</v>
      </c>
      <c r="AH881" s="159">
        <f t="shared" si="736"/>
        <v>45934.676388888889</v>
      </c>
      <c r="AI881" s="162">
        <f t="shared" si="737"/>
        <v>-1474.1230876068375</v>
      </c>
      <c r="AJ881" s="224">
        <f t="shared" si="738"/>
        <v>0</v>
      </c>
      <c r="AK881" s="225">
        <f t="shared" si="739"/>
        <v>26</v>
      </c>
      <c r="AL881" s="170">
        <f t="shared" si="740"/>
        <v>34</v>
      </c>
      <c r="AM881" s="170">
        <f t="shared" si="741"/>
        <v>23.345070422535212</v>
      </c>
      <c r="AN881" s="170">
        <f t="shared" si="742"/>
        <v>29.570422535211268</v>
      </c>
      <c r="AO881" s="226">
        <f t="shared" si="743"/>
        <v>20.345070422535212</v>
      </c>
      <c r="AP881" s="227">
        <v>68</v>
      </c>
      <c r="AQ881" s="228">
        <f t="shared" si="744"/>
        <v>64.599999999999994</v>
      </c>
      <c r="AR881" s="228">
        <f t="shared" si="745"/>
        <v>59.599999999999994</v>
      </c>
      <c r="AS881" s="229">
        <f t="shared" si="746"/>
        <v>68</v>
      </c>
      <c r="AT881" s="982">
        <f t="shared" ca="1" si="747"/>
        <v>45895</v>
      </c>
      <c r="AU881" s="1077"/>
      <c r="AV881" s="1107"/>
      <c r="AW881" s="1079"/>
      <c r="AX881" s="1079"/>
      <c r="AY881" s="1079"/>
      <c r="AZ881" s="1080"/>
      <c r="BA881" s="1101"/>
      <c r="BB881" s="1091"/>
      <c r="BC881" s="231"/>
      <c r="BD881" s="232"/>
      <c r="BE881" s="222"/>
      <c r="BF881" s="233"/>
      <c r="BG881" s="234"/>
      <c r="BH881" s="235"/>
      <c r="BI881" s="234"/>
      <c r="BJ881" s="236"/>
      <c r="BK881" s="222"/>
      <c r="BL881" s="222"/>
      <c r="BM881" s="238"/>
      <c r="BN881" s="222"/>
      <c r="BO881" s="222"/>
      <c r="BP881" s="243"/>
      <c r="BQ881" s="244"/>
      <c r="BR881" s="238"/>
      <c r="BS881" s="68"/>
      <c r="BT881" s="69"/>
      <c r="BU881" s="69"/>
      <c r="BV881" s="69"/>
      <c r="BW881" s="75"/>
      <c r="BX881" s="81"/>
      <c r="BY881" s="66">
        <v>45891</v>
      </c>
      <c r="BZ881" s="944" t="s">
        <v>4066</v>
      </c>
      <c r="CA881" s="42"/>
      <c r="CB881" s="62"/>
      <c r="CC881" s="62"/>
      <c r="CD881" s="42"/>
      <c r="CE881" s="42"/>
      <c r="CF881" s="1059"/>
      <c r="CG881" s="1059"/>
      <c r="CH881" s="1082"/>
      <c r="CI881" s="1059"/>
      <c r="CJ881" s="1057"/>
      <c r="CK881" s="1085"/>
      <c r="CL881" s="1057"/>
      <c r="CM881" s="1057"/>
      <c r="CN881" s="1086"/>
      <c r="CO881" s="1087"/>
      <c r="CP881" s="629"/>
      <c r="CQ881" s="1086"/>
      <c r="CR881" s="1088"/>
      <c r="CS881" s="1089"/>
      <c r="CT881" s="1086"/>
      <c r="CU881" s="1087"/>
      <c r="CV881" s="1090"/>
      <c r="CW881" s="853"/>
      <c r="CX881" s="856"/>
      <c r="CY881" s="856"/>
    </row>
    <row r="882" spans="1:103" s="1103" customFormat="1" ht="15" customHeight="1" x14ac:dyDescent="0.2">
      <c r="A882" s="242"/>
      <c r="B882" s="222"/>
      <c r="C882" s="852"/>
      <c r="D882" s="66"/>
      <c r="E882" s="404"/>
      <c r="F882" s="95"/>
      <c r="G882" s="95"/>
      <c r="H882" s="95"/>
      <c r="I882" s="95"/>
      <c r="J882" s="854"/>
      <c r="K882" s="855"/>
      <c r="L882" s="101"/>
      <c r="M882" s="101"/>
      <c r="N882" s="442"/>
      <c r="O882" s="165"/>
      <c r="P882" s="165"/>
      <c r="Q882" s="157"/>
      <c r="R882" s="109"/>
      <c r="S882" s="110"/>
      <c r="T882" s="93"/>
      <c r="U882" s="857"/>
      <c r="V882" s="158"/>
      <c r="W882" s="159"/>
      <c r="X882" s="159"/>
      <c r="Y882" s="160"/>
      <c r="Z882" s="470"/>
      <c r="AA882" s="942"/>
      <c r="AB882" s="942"/>
      <c r="AC882" s="161">
        <f t="shared" si="731"/>
        <v>0</v>
      </c>
      <c r="AD882" s="161">
        <f t="shared" si="732"/>
        <v>0</v>
      </c>
      <c r="AE882" s="446">
        <f t="shared" si="733"/>
        <v>0</v>
      </c>
      <c r="AF882" s="160">
        <f t="shared" si="734"/>
        <v>18.774193548387096</v>
      </c>
      <c r="AG882" s="160">
        <f t="shared" si="735"/>
        <v>27.58064516129032</v>
      </c>
      <c r="AH882" s="159">
        <f t="shared" si="736"/>
        <v>50</v>
      </c>
      <c r="AI882" s="162">
        <f t="shared" si="737"/>
        <v>0</v>
      </c>
      <c r="AJ882" s="224">
        <f t="shared" si="738"/>
        <v>0</v>
      </c>
      <c r="AK882" s="225">
        <f t="shared" si="739"/>
        <v>20</v>
      </c>
      <c r="AL882" s="170">
        <f t="shared" si="740"/>
        <v>36</v>
      </c>
      <c r="AM882" s="170">
        <f t="shared" si="741"/>
        <v>21.774193548387096</v>
      </c>
      <c r="AN882" s="170">
        <f t="shared" si="742"/>
        <v>27.58064516129032</v>
      </c>
      <c r="AO882" s="226">
        <f t="shared" si="743"/>
        <v>18.774193548387096</v>
      </c>
      <c r="AP882" s="227">
        <v>68</v>
      </c>
      <c r="AQ882" s="228">
        <f t="shared" si="744"/>
        <v>64.599999999999994</v>
      </c>
      <c r="AR882" s="228">
        <f t="shared" si="745"/>
        <v>59.599999999999994</v>
      </c>
      <c r="AS882" s="229">
        <f t="shared" si="746"/>
        <v>68</v>
      </c>
      <c r="AT882" s="982">
        <f t="shared" ca="1" si="747"/>
        <v>45895</v>
      </c>
      <c r="AU882" s="1077"/>
      <c r="AV882" s="1107"/>
      <c r="AW882" s="1079"/>
      <c r="AX882" s="1079"/>
      <c r="AY882" s="1079"/>
      <c r="AZ882" s="1080"/>
      <c r="BA882" s="1101"/>
      <c r="BB882" s="1091"/>
      <c r="BC882" s="231"/>
      <c r="BD882" s="232"/>
      <c r="BE882" s="222"/>
      <c r="BF882" s="233"/>
      <c r="BG882" s="234"/>
      <c r="BH882" s="235"/>
      <c r="BI882" s="234"/>
      <c r="BJ882" s="236"/>
      <c r="BK882" s="222"/>
      <c r="BL882" s="222"/>
      <c r="BM882" s="238"/>
      <c r="BN882" s="222"/>
      <c r="BO882" s="222"/>
      <c r="BP882" s="243"/>
      <c r="BQ882" s="244"/>
      <c r="BR882" s="238"/>
      <c r="BS882" s="68"/>
      <c r="BT882" s="69"/>
      <c r="BU882" s="69"/>
      <c r="BV882" s="69"/>
      <c r="BW882" s="75"/>
      <c r="BX882" s="81"/>
      <c r="BY882" s="66"/>
      <c r="BZ882" s="944"/>
      <c r="CA882" s="42"/>
      <c r="CB882" s="62"/>
      <c r="CC882" s="62"/>
      <c r="CD882" s="42"/>
      <c r="CE882" s="42"/>
      <c r="CF882" s="1059"/>
      <c r="CG882" s="1059"/>
      <c r="CH882" s="1082"/>
      <c r="CI882" s="1059"/>
      <c r="CJ882" s="1057"/>
      <c r="CK882" s="1085"/>
      <c r="CL882" s="1057"/>
      <c r="CM882" s="1057"/>
      <c r="CN882" s="1086"/>
      <c r="CO882" s="1087"/>
      <c r="CP882" s="629"/>
      <c r="CQ882" s="1086"/>
      <c r="CR882" s="1088"/>
      <c r="CS882" s="1089"/>
      <c r="CT882" s="1086"/>
      <c r="CU882" s="1087"/>
      <c r="CV882" s="1090"/>
      <c r="CW882" s="853"/>
      <c r="CX882" s="856"/>
      <c r="CY882" s="856"/>
    </row>
    <row r="883" spans="1:103" s="1103" customFormat="1" ht="15" customHeight="1" x14ac:dyDescent="0.2">
      <c r="A883" s="242"/>
      <c r="B883" s="222"/>
      <c r="C883" s="852"/>
      <c r="D883" s="66"/>
      <c r="E883" s="404"/>
      <c r="F883" s="95"/>
      <c r="G883" s="95"/>
      <c r="H883" s="95"/>
      <c r="I883" s="95"/>
      <c r="J883" s="854"/>
      <c r="K883" s="855"/>
      <c r="L883" s="101"/>
      <c r="M883" s="101"/>
      <c r="N883" s="442"/>
      <c r="O883" s="165"/>
      <c r="P883" s="165"/>
      <c r="Q883" s="157"/>
      <c r="R883" s="109"/>
      <c r="S883" s="110"/>
      <c r="T883" s="93"/>
      <c r="U883" s="857"/>
      <c r="V883" s="158"/>
      <c r="W883" s="159"/>
      <c r="X883" s="159"/>
      <c r="Y883" s="160"/>
      <c r="Z883" s="470"/>
      <c r="AA883" s="942"/>
      <c r="AB883" s="942"/>
      <c r="AC883" s="161">
        <f t="shared" si="731"/>
        <v>0</v>
      </c>
      <c r="AD883" s="161">
        <f t="shared" si="732"/>
        <v>0</v>
      </c>
      <c r="AE883" s="446">
        <f t="shared" si="733"/>
        <v>0</v>
      </c>
      <c r="AF883" s="160">
        <f t="shared" si="734"/>
        <v>18.774193548387096</v>
      </c>
      <c r="AG883" s="160">
        <f t="shared" si="735"/>
        <v>27.58064516129032</v>
      </c>
      <c r="AH883" s="159">
        <f t="shared" si="736"/>
        <v>50</v>
      </c>
      <c r="AI883" s="162">
        <f t="shared" si="737"/>
        <v>0</v>
      </c>
      <c r="AJ883" s="224">
        <f t="shared" si="738"/>
        <v>0</v>
      </c>
      <c r="AK883" s="225">
        <f t="shared" si="739"/>
        <v>20</v>
      </c>
      <c r="AL883" s="170">
        <f t="shared" si="740"/>
        <v>36</v>
      </c>
      <c r="AM883" s="170">
        <f t="shared" si="741"/>
        <v>21.774193548387096</v>
      </c>
      <c r="AN883" s="170">
        <f t="shared" si="742"/>
        <v>27.58064516129032</v>
      </c>
      <c r="AO883" s="226">
        <f t="shared" si="743"/>
        <v>18.774193548387096</v>
      </c>
      <c r="AP883" s="227">
        <v>68</v>
      </c>
      <c r="AQ883" s="228">
        <f t="shared" si="744"/>
        <v>64.599999999999994</v>
      </c>
      <c r="AR883" s="228">
        <f t="shared" si="745"/>
        <v>59.599999999999994</v>
      </c>
      <c r="AS883" s="229">
        <f t="shared" si="746"/>
        <v>68</v>
      </c>
      <c r="AT883" s="982">
        <f t="shared" ca="1" si="747"/>
        <v>45895</v>
      </c>
      <c r="AU883" s="1077"/>
      <c r="AV883" s="1107"/>
      <c r="AW883" s="1079"/>
      <c r="AX883" s="1079"/>
      <c r="AY883" s="1079"/>
      <c r="AZ883" s="1080"/>
      <c r="BA883" s="1101"/>
      <c r="BB883" s="1091"/>
      <c r="BC883" s="231"/>
      <c r="BD883" s="232"/>
      <c r="BE883" s="222"/>
      <c r="BF883" s="233"/>
      <c r="BG883" s="234"/>
      <c r="BH883" s="235"/>
      <c r="BI883" s="234"/>
      <c r="BJ883" s="236"/>
      <c r="BK883" s="222"/>
      <c r="BL883" s="222"/>
      <c r="BM883" s="238"/>
      <c r="BN883" s="222"/>
      <c r="BO883" s="222"/>
      <c r="BP883" s="243"/>
      <c r="BQ883" s="244"/>
      <c r="BR883" s="238"/>
      <c r="BS883" s="68"/>
      <c r="BT883" s="69"/>
      <c r="BU883" s="69"/>
      <c r="BV883" s="69"/>
      <c r="BW883" s="75"/>
      <c r="BX883" s="81"/>
      <c r="BY883" s="66"/>
      <c r="BZ883" s="944"/>
      <c r="CA883" s="42"/>
      <c r="CB883" s="62"/>
      <c r="CC883" s="62"/>
      <c r="CD883" s="42"/>
      <c r="CE883" s="42"/>
      <c r="CF883" s="1059"/>
      <c r="CG883" s="1059"/>
      <c r="CH883" s="1082"/>
      <c r="CI883" s="1059"/>
      <c r="CJ883" s="1057"/>
      <c r="CK883" s="1085"/>
      <c r="CL883" s="1057"/>
      <c r="CM883" s="1057"/>
      <c r="CN883" s="1086"/>
      <c r="CO883" s="1087"/>
      <c r="CP883" s="629"/>
      <c r="CQ883" s="1086"/>
      <c r="CR883" s="1088"/>
      <c r="CS883" s="1089"/>
      <c r="CT883" s="1086"/>
      <c r="CU883" s="1087"/>
      <c r="CV883" s="1090"/>
      <c r="CW883" s="853"/>
      <c r="CX883" s="856"/>
      <c r="CY883" s="856"/>
    </row>
    <row r="884" spans="1:103" s="1103" customFormat="1" ht="15" customHeight="1" x14ac:dyDescent="0.2">
      <c r="A884" s="242"/>
      <c r="B884" s="222"/>
      <c r="C884" s="852"/>
      <c r="D884" s="66"/>
      <c r="E884" s="404"/>
      <c r="F884" s="95"/>
      <c r="G884" s="95"/>
      <c r="H884" s="95"/>
      <c r="I884" s="95"/>
      <c r="J884" s="854"/>
      <c r="K884" s="855"/>
      <c r="L884" s="101"/>
      <c r="M884" s="101"/>
      <c r="N884" s="442"/>
      <c r="O884" s="165"/>
      <c r="P884" s="165"/>
      <c r="Q884" s="157"/>
      <c r="R884" s="109"/>
      <c r="S884" s="110"/>
      <c r="T884" s="93"/>
      <c r="U884" s="857"/>
      <c r="V884" s="158"/>
      <c r="W884" s="159"/>
      <c r="X884" s="159"/>
      <c r="Y884" s="160"/>
      <c r="Z884" s="470"/>
      <c r="AA884" s="942"/>
      <c r="AB884" s="942"/>
      <c r="AC884" s="161"/>
      <c r="AD884" s="161"/>
      <c r="AE884" s="446"/>
      <c r="AF884" s="160"/>
      <c r="AG884" s="160"/>
      <c r="AH884" s="159"/>
      <c r="AI884" s="162"/>
      <c r="AJ884" s="224"/>
      <c r="AK884" s="926"/>
      <c r="AL884" s="927"/>
      <c r="AM884" s="927"/>
      <c r="AN884" s="928"/>
      <c r="AO884" s="929"/>
      <c r="AP884" s="930"/>
      <c r="AQ884" s="228"/>
      <c r="AR884" s="228"/>
      <c r="AS884" s="229"/>
      <c r="AT884" s="981"/>
      <c r="AU884" s="1077"/>
      <c r="AV884" s="1107"/>
      <c r="AW884" s="1079"/>
      <c r="AX884" s="1079"/>
      <c r="AY884" s="1079"/>
      <c r="AZ884" s="1080"/>
      <c r="BA884" s="1101"/>
      <c r="BB884" s="1091"/>
      <c r="BC884" s="231"/>
      <c r="BD884" s="232"/>
      <c r="BE884" s="222"/>
      <c r="BF884" s="233"/>
      <c r="BG884" s="234"/>
      <c r="BH884" s="235"/>
      <c r="BI884" s="234"/>
      <c r="BJ884" s="236"/>
      <c r="BK884" s="222"/>
      <c r="BL884" s="222"/>
      <c r="BM884" s="238"/>
      <c r="BN884" s="222"/>
      <c r="BO884" s="222"/>
      <c r="BP884" s="243"/>
      <c r="BQ884" s="244"/>
      <c r="BR884" s="238"/>
      <c r="BS884" s="68"/>
      <c r="BT884" s="69"/>
      <c r="BU884" s="69"/>
      <c r="BV884" s="69"/>
      <c r="BW884" s="75"/>
      <c r="BX884" s="81"/>
      <c r="BY884" s="66"/>
      <c r="BZ884" s="944"/>
      <c r="CA884" s="42"/>
      <c r="CB884" s="62"/>
      <c r="CC884" s="62"/>
      <c r="CD884" s="42"/>
      <c r="CE884" s="42"/>
      <c r="CF884" s="1059"/>
      <c r="CG884" s="1059"/>
      <c r="CH884" s="1082"/>
      <c r="CI884" s="1059"/>
      <c r="CJ884" s="1057"/>
      <c r="CK884" s="1085"/>
      <c r="CL884" s="1057"/>
      <c r="CM884" s="1057"/>
      <c r="CN884" s="1086"/>
      <c r="CO884" s="1087"/>
      <c r="CP884" s="629"/>
      <c r="CQ884" s="1086"/>
      <c r="CR884" s="1088"/>
      <c r="CS884" s="1089"/>
      <c r="CT884" s="1086"/>
      <c r="CU884" s="1087"/>
      <c r="CV884" s="1090"/>
      <c r="CW884" s="853"/>
      <c r="CX884" s="856"/>
      <c r="CY884" s="856"/>
    </row>
    <row r="885" spans="1:103" s="1103" customFormat="1" ht="15" customHeight="1" x14ac:dyDescent="0.2">
      <c r="A885" s="242"/>
      <c r="B885" s="222"/>
      <c r="C885" s="852"/>
      <c r="D885" s="66"/>
      <c r="E885" s="404"/>
      <c r="F885" s="95"/>
      <c r="G885" s="95"/>
      <c r="H885" s="95"/>
      <c r="I885" s="95"/>
      <c r="J885" s="854"/>
      <c r="K885" s="855"/>
      <c r="L885" s="101"/>
      <c r="M885" s="101"/>
      <c r="N885" s="442"/>
      <c r="O885" s="165"/>
      <c r="P885" s="165"/>
      <c r="Q885" s="157"/>
      <c r="R885" s="109"/>
      <c r="S885" s="110"/>
      <c r="T885" s="93"/>
      <c r="U885" s="857"/>
      <c r="V885" s="158"/>
      <c r="W885" s="159"/>
      <c r="X885" s="159"/>
      <c r="Y885" s="160"/>
      <c r="Z885" s="470"/>
      <c r="AA885" s="942"/>
      <c r="AB885" s="942"/>
      <c r="AC885" s="161"/>
      <c r="AD885" s="161"/>
      <c r="AE885" s="446"/>
      <c r="AF885" s="160"/>
      <c r="AG885" s="160"/>
      <c r="AH885" s="159"/>
      <c r="AI885" s="162"/>
      <c r="AJ885" s="224"/>
      <c r="AK885" s="926"/>
      <c r="AL885" s="927"/>
      <c r="AM885" s="927"/>
      <c r="AN885" s="928"/>
      <c r="AO885" s="929"/>
      <c r="AP885" s="930"/>
      <c r="AQ885" s="228"/>
      <c r="AR885" s="228"/>
      <c r="AS885" s="229"/>
      <c r="AT885" s="981"/>
      <c r="AU885" s="1077"/>
      <c r="AV885" s="1107"/>
      <c r="AW885" s="1079"/>
      <c r="AX885" s="1079"/>
      <c r="AY885" s="1079"/>
      <c r="AZ885" s="1080"/>
      <c r="BA885" s="1101"/>
      <c r="BB885" s="1091"/>
      <c r="BC885" s="231"/>
      <c r="BD885" s="232"/>
      <c r="BE885" s="222"/>
      <c r="BF885" s="233"/>
      <c r="BG885" s="234"/>
      <c r="BH885" s="235"/>
      <c r="BI885" s="234"/>
      <c r="BJ885" s="236"/>
      <c r="BK885" s="222"/>
      <c r="BL885" s="222"/>
      <c r="BM885" s="238"/>
      <c r="BN885" s="222"/>
      <c r="BO885" s="222"/>
      <c r="BP885" s="243"/>
      <c r="BQ885" s="244"/>
      <c r="BR885" s="238"/>
      <c r="BS885" s="68"/>
      <c r="BT885" s="69"/>
      <c r="BU885" s="69"/>
      <c r="BV885" s="69"/>
      <c r="BW885" s="75"/>
      <c r="BX885" s="81"/>
      <c r="BY885" s="66"/>
      <c r="BZ885" s="944"/>
      <c r="CA885" s="42"/>
      <c r="CB885" s="62"/>
      <c r="CC885" s="62"/>
      <c r="CD885" s="42"/>
      <c r="CE885" s="42"/>
      <c r="CF885" s="1059"/>
      <c r="CG885" s="1059"/>
      <c r="CH885" s="1082"/>
      <c r="CI885" s="1059"/>
      <c r="CJ885" s="1057"/>
      <c r="CK885" s="1085"/>
      <c r="CL885" s="1057"/>
      <c r="CM885" s="1057"/>
      <c r="CN885" s="1086"/>
      <c r="CO885" s="1087"/>
      <c r="CP885" s="629"/>
      <c r="CQ885" s="1086"/>
      <c r="CR885" s="1088"/>
      <c r="CS885" s="1089"/>
      <c r="CT885" s="1086"/>
      <c r="CU885" s="1087"/>
      <c r="CV885" s="1090"/>
      <c r="CW885" s="853"/>
      <c r="CX885" s="856"/>
      <c r="CY885" s="856"/>
    </row>
    <row r="886" spans="1:103" s="1103" customFormat="1" ht="15" customHeight="1" x14ac:dyDescent="0.2">
      <c r="A886" s="242"/>
      <c r="B886" s="222"/>
      <c r="C886" s="852"/>
      <c r="D886" s="66"/>
      <c r="E886" s="404"/>
      <c r="F886" s="95"/>
      <c r="G886" s="95"/>
      <c r="H886" s="95"/>
      <c r="I886" s="95"/>
      <c r="J886" s="854"/>
      <c r="K886" s="855"/>
      <c r="L886" s="101"/>
      <c r="M886" s="101"/>
      <c r="N886" s="442"/>
      <c r="O886" s="165"/>
      <c r="P886" s="165"/>
      <c r="Q886" s="157"/>
      <c r="R886" s="109"/>
      <c r="S886" s="110"/>
      <c r="T886" s="93"/>
      <c r="U886" s="857"/>
      <c r="V886" s="158"/>
      <c r="W886" s="159"/>
      <c r="X886" s="159"/>
      <c r="Y886" s="160"/>
      <c r="Z886" s="470"/>
      <c r="AA886" s="942"/>
      <c r="AB886" s="942"/>
      <c r="AC886" s="161"/>
      <c r="AD886" s="161"/>
      <c r="AE886" s="446"/>
      <c r="AF886" s="160"/>
      <c r="AG886" s="160"/>
      <c r="AH886" s="159"/>
      <c r="AI886" s="162"/>
      <c r="AJ886" s="224"/>
      <c r="AK886" s="926"/>
      <c r="AL886" s="927"/>
      <c r="AM886" s="927"/>
      <c r="AN886" s="928"/>
      <c r="AO886" s="929"/>
      <c r="AP886" s="930"/>
      <c r="AQ886" s="228"/>
      <c r="AR886" s="228"/>
      <c r="AS886" s="229"/>
      <c r="AT886" s="981"/>
      <c r="AU886" s="1077"/>
      <c r="AV886" s="1107"/>
      <c r="AW886" s="1079"/>
      <c r="AX886" s="1079"/>
      <c r="AY886" s="1079"/>
      <c r="AZ886" s="1080"/>
      <c r="BA886" s="1101"/>
      <c r="BB886" s="1091"/>
      <c r="BC886" s="231"/>
      <c r="BD886" s="232"/>
      <c r="BE886" s="222"/>
      <c r="BF886" s="233"/>
      <c r="BG886" s="234"/>
      <c r="BH886" s="235"/>
      <c r="BI886" s="234"/>
      <c r="BJ886" s="236"/>
      <c r="BK886" s="222"/>
      <c r="BL886" s="222"/>
      <c r="BM886" s="238"/>
      <c r="BN886" s="222"/>
      <c r="BO886" s="222"/>
      <c r="BP886" s="243"/>
      <c r="BQ886" s="244"/>
      <c r="BR886" s="238"/>
      <c r="BS886" s="68"/>
      <c r="BT886" s="69"/>
      <c r="BU886" s="69"/>
      <c r="BV886" s="69"/>
      <c r="BW886" s="75"/>
      <c r="BX886" s="81"/>
      <c r="BY886" s="66"/>
      <c r="BZ886" s="944"/>
      <c r="CA886" s="42"/>
      <c r="CB886" s="62"/>
      <c r="CC886" s="62"/>
      <c r="CD886" s="42"/>
      <c r="CE886" s="42"/>
      <c r="CF886" s="1059"/>
      <c r="CG886" s="1059"/>
      <c r="CH886" s="1082"/>
      <c r="CI886" s="1059"/>
      <c r="CJ886" s="1057"/>
      <c r="CK886" s="1085"/>
      <c r="CL886" s="1057"/>
      <c r="CM886" s="1057"/>
      <c r="CN886" s="1086"/>
      <c r="CO886" s="1087"/>
      <c r="CP886" s="629"/>
      <c r="CQ886" s="1086"/>
      <c r="CR886" s="1088"/>
      <c r="CS886" s="1089"/>
      <c r="CT886" s="1086"/>
      <c r="CU886" s="1087"/>
      <c r="CV886" s="1090"/>
      <c r="CW886" s="853"/>
      <c r="CX886" s="856"/>
      <c r="CY886" s="856"/>
    </row>
    <row r="887" spans="1:103" s="1103" customFormat="1" ht="15" customHeight="1" x14ac:dyDescent="0.2">
      <c r="A887" s="242"/>
      <c r="B887" s="222"/>
      <c r="C887" s="852"/>
      <c r="D887" s="66"/>
      <c r="E887" s="404"/>
      <c r="F887" s="95"/>
      <c r="G887" s="95"/>
      <c r="H887" s="95"/>
      <c r="I887" s="95"/>
      <c r="J887" s="854"/>
      <c r="K887" s="855"/>
      <c r="L887" s="101"/>
      <c r="M887" s="101"/>
      <c r="N887" s="442"/>
      <c r="O887" s="165"/>
      <c r="P887" s="165"/>
      <c r="Q887" s="157"/>
      <c r="R887" s="109"/>
      <c r="S887" s="110"/>
      <c r="T887" s="93"/>
      <c r="U887" s="857"/>
      <c r="V887" s="158"/>
      <c r="W887" s="159"/>
      <c r="X887" s="159"/>
      <c r="Y887" s="160"/>
      <c r="Z887" s="470"/>
      <c r="AA887" s="942"/>
      <c r="AB887" s="942"/>
      <c r="AC887" s="161"/>
      <c r="AD887" s="161"/>
      <c r="AE887" s="446"/>
      <c r="AF887" s="160"/>
      <c r="AG887" s="160"/>
      <c r="AH887" s="159"/>
      <c r="AI887" s="162"/>
      <c r="AJ887" s="224"/>
      <c r="AK887" s="926"/>
      <c r="AL887" s="927"/>
      <c r="AM887" s="927"/>
      <c r="AN887" s="928"/>
      <c r="AO887" s="929"/>
      <c r="AP887" s="930"/>
      <c r="AQ887" s="228"/>
      <c r="AR887" s="228"/>
      <c r="AS887" s="229"/>
      <c r="AT887" s="981"/>
      <c r="AU887" s="1077"/>
      <c r="AV887" s="1107"/>
      <c r="AW887" s="1079"/>
      <c r="AX887" s="1079"/>
      <c r="AY887" s="1079"/>
      <c r="AZ887" s="1080"/>
      <c r="BA887" s="1101"/>
      <c r="BB887" s="1091"/>
      <c r="BC887" s="231"/>
      <c r="BD887" s="232"/>
      <c r="BE887" s="222"/>
      <c r="BF887" s="233"/>
      <c r="BG887" s="234"/>
      <c r="BH887" s="235"/>
      <c r="BI887" s="234"/>
      <c r="BJ887" s="236"/>
      <c r="BK887" s="222"/>
      <c r="BL887" s="222"/>
      <c r="BM887" s="238"/>
      <c r="BN887" s="222"/>
      <c r="BO887" s="222"/>
      <c r="BP887" s="243"/>
      <c r="BQ887" s="244"/>
      <c r="BR887" s="238"/>
      <c r="BS887" s="68"/>
      <c r="BT887" s="69"/>
      <c r="BU887" s="69"/>
      <c r="BV887" s="69"/>
      <c r="BW887" s="75"/>
      <c r="BX887" s="81"/>
      <c r="BY887" s="66"/>
      <c r="BZ887" s="944"/>
      <c r="CA887" s="42"/>
      <c r="CB887" s="62"/>
      <c r="CC887" s="62"/>
      <c r="CD887" s="42"/>
      <c r="CE887" s="42"/>
      <c r="CF887" s="1059"/>
      <c r="CG887" s="1059"/>
      <c r="CH887" s="1082"/>
      <c r="CI887" s="1059"/>
      <c r="CJ887" s="1057"/>
      <c r="CK887" s="1085"/>
      <c r="CL887" s="1057"/>
      <c r="CM887" s="1057"/>
      <c r="CN887" s="1086"/>
      <c r="CO887" s="1087"/>
      <c r="CP887" s="629"/>
      <c r="CQ887" s="1086"/>
      <c r="CR887" s="1088"/>
      <c r="CS887" s="1089"/>
      <c r="CT887" s="1086"/>
      <c r="CU887" s="1087"/>
      <c r="CV887" s="1090"/>
      <c r="CW887" s="853"/>
      <c r="CX887" s="856"/>
      <c r="CY887" s="856"/>
    </row>
    <row r="888" spans="1:103" s="1103" customFormat="1" ht="15" customHeight="1" x14ac:dyDescent="0.2">
      <c r="A888" s="242"/>
      <c r="B888" s="222"/>
      <c r="C888" s="852"/>
      <c r="D888" s="66"/>
      <c r="E888" s="404"/>
      <c r="F888" s="95"/>
      <c r="G888" s="95"/>
      <c r="H888" s="95"/>
      <c r="I888" s="95"/>
      <c r="J888" s="854"/>
      <c r="K888" s="855"/>
      <c r="L888" s="101"/>
      <c r="M888" s="101"/>
      <c r="N888" s="442"/>
      <c r="O888" s="165"/>
      <c r="P888" s="165"/>
      <c r="Q888" s="157"/>
      <c r="R888" s="109"/>
      <c r="S888" s="110"/>
      <c r="T888" s="93"/>
      <c r="U888" s="857"/>
      <c r="V888" s="158"/>
      <c r="W888" s="159"/>
      <c r="X888" s="159"/>
      <c r="Y888" s="160"/>
      <c r="Z888" s="470"/>
      <c r="AA888" s="942"/>
      <c r="AB888" s="942"/>
      <c r="AC888" s="161"/>
      <c r="AD888" s="161"/>
      <c r="AE888" s="446"/>
      <c r="AF888" s="160"/>
      <c r="AG888" s="160"/>
      <c r="AH888" s="159"/>
      <c r="AI888" s="162"/>
      <c r="AJ888" s="224"/>
      <c r="AK888" s="926"/>
      <c r="AL888" s="927"/>
      <c r="AM888" s="927"/>
      <c r="AN888" s="928"/>
      <c r="AO888" s="929"/>
      <c r="AP888" s="930"/>
      <c r="AQ888" s="228"/>
      <c r="AR888" s="228"/>
      <c r="AS888" s="229"/>
      <c r="AT888" s="981"/>
      <c r="AU888" s="1077"/>
      <c r="AV888" s="1107"/>
      <c r="AW888" s="1079"/>
      <c r="AX888" s="1079"/>
      <c r="AY888" s="1079"/>
      <c r="AZ888" s="1080"/>
      <c r="BA888" s="1101"/>
      <c r="BB888" s="1091"/>
      <c r="BC888" s="231"/>
      <c r="BD888" s="232"/>
      <c r="BE888" s="222"/>
      <c r="BF888" s="233"/>
      <c r="BG888" s="234"/>
      <c r="BH888" s="235"/>
      <c r="BI888" s="234"/>
      <c r="BJ888" s="236"/>
      <c r="BK888" s="222"/>
      <c r="BL888" s="222"/>
      <c r="BM888" s="238"/>
      <c r="BN888" s="222"/>
      <c r="BO888" s="222"/>
      <c r="BP888" s="243"/>
      <c r="BQ888" s="244"/>
      <c r="BR888" s="238"/>
      <c r="BS888" s="68"/>
      <c r="BT888" s="69"/>
      <c r="BU888" s="69"/>
      <c r="BV888" s="69"/>
      <c r="BW888" s="75"/>
      <c r="BX888" s="81"/>
      <c r="BY888" s="66"/>
      <c r="BZ888" s="944"/>
      <c r="CA888" s="42"/>
      <c r="CB888" s="62"/>
      <c r="CC888" s="62"/>
      <c r="CD888" s="42"/>
      <c r="CE888" s="42"/>
      <c r="CF888" s="1059"/>
      <c r="CG888" s="1059"/>
      <c r="CH888" s="1082"/>
      <c r="CI888" s="1059"/>
      <c r="CJ888" s="1057"/>
      <c r="CK888" s="1085"/>
      <c r="CL888" s="1057"/>
      <c r="CM888" s="1057"/>
      <c r="CN888" s="1086"/>
      <c r="CO888" s="1087"/>
      <c r="CP888" s="629"/>
      <c r="CQ888" s="1086"/>
      <c r="CR888" s="1088"/>
      <c r="CS888" s="1089"/>
      <c r="CT888" s="1086"/>
      <c r="CU888" s="1087"/>
      <c r="CV888" s="1090"/>
      <c r="CW888" s="853"/>
      <c r="CX888" s="856"/>
      <c r="CY888" s="856"/>
    </row>
    <row r="889" spans="1:103" s="1103" customFormat="1" ht="15" customHeight="1" x14ac:dyDescent="0.2">
      <c r="A889" s="242"/>
      <c r="B889" s="222"/>
      <c r="C889" s="852"/>
      <c r="D889" s="66"/>
      <c r="E889" s="404"/>
      <c r="F889" s="95"/>
      <c r="G889" s="95"/>
      <c r="H889" s="95"/>
      <c r="I889" s="95"/>
      <c r="J889" s="854"/>
      <c r="K889" s="855"/>
      <c r="L889" s="101"/>
      <c r="M889" s="101"/>
      <c r="N889" s="442"/>
      <c r="O889" s="165"/>
      <c r="P889" s="165"/>
      <c r="Q889" s="157"/>
      <c r="R889" s="109"/>
      <c r="S889" s="110"/>
      <c r="T889" s="93"/>
      <c r="U889" s="857"/>
      <c r="V889" s="158"/>
      <c r="W889" s="159"/>
      <c r="X889" s="159"/>
      <c r="Y889" s="160"/>
      <c r="Z889" s="470"/>
      <c r="AA889" s="942"/>
      <c r="AB889" s="942"/>
      <c r="AC889" s="161"/>
      <c r="AD889" s="161"/>
      <c r="AE889" s="446"/>
      <c r="AF889" s="160"/>
      <c r="AG889" s="160"/>
      <c r="AH889" s="159"/>
      <c r="AI889" s="162"/>
      <c r="AJ889" s="224"/>
      <c r="AK889" s="926"/>
      <c r="AL889" s="927"/>
      <c r="AM889" s="927"/>
      <c r="AN889" s="928"/>
      <c r="AO889" s="929"/>
      <c r="AP889" s="930"/>
      <c r="AQ889" s="228"/>
      <c r="AR889" s="228"/>
      <c r="AS889" s="229"/>
      <c r="AT889" s="981"/>
      <c r="AU889" s="1077"/>
      <c r="AV889" s="1107"/>
      <c r="AW889" s="1079"/>
      <c r="AX889" s="1079"/>
      <c r="AY889" s="1079"/>
      <c r="AZ889" s="1080"/>
      <c r="BA889" s="1101"/>
      <c r="BB889" s="1091"/>
      <c r="BC889" s="231"/>
      <c r="BD889" s="232"/>
      <c r="BE889" s="222"/>
      <c r="BF889" s="233"/>
      <c r="BG889" s="234"/>
      <c r="BH889" s="235"/>
      <c r="BI889" s="234"/>
      <c r="BJ889" s="236"/>
      <c r="BK889" s="222"/>
      <c r="BL889" s="222"/>
      <c r="BM889" s="238"/>
      <c r="BN889" s="222"/>
      <c r="BO889" s="222"/>
      <c r="BP889" s="243"/>
      <c r="BQ889" s="244"/>
      <c r="BR889" s="238"/>
      <c r="BS889" s="68"/>
      <c r="BT889" s="69"/>
      <c r="BU889" s="69"/>
      <c r="BV889" s="69"/>
      <c r="BW889" s="75"/>
      <c r="BX889" s="81"/>
      <c r="BY889" s="66"/>
      <c r="BZ889" s="944"/>
      <c r="CA889" s="42"/>
      <c r="CB889" s="62"/>
      <c r="CC889" s="62"/>
      <c r="CD889" s="42"/>
      <c r="CE889" s="42"/>
      <c r="CF889" s="1059"/>
      <c r="CG889" s="1059"/>
      <c r="CH889" s="1082"/>
      <c r="CI889" s="1059"/>
      <c r="CJ889" s="1057"/>
      <c r="CK889" s="1085"/>
      <c r="CL889" s="1057"/>
      <c r="CM889" s="1057"/>
      <c r="CN889" s="1086"/>
      <c r="CO889" s="1087"/>
      <c r="CP889" s="629"/>
      <c r="CQ889" s="1086"/>
      <c r="CR889" s="1088"/>
      <c r="CS889" s="1089"/>
      <c r="CT889" s="1086"/>
      <c r="CU889" s="1087"/>
      <c r="CV889" s="1090"/>
      <c r="CW889" s="853"/>
      <c r="CX889" s="856"/>
      <c r="CY889" s="856"/>
    </row>
    <row r="890" spans="1:103" s="1103" customFormat="1" ht="15" customHeight="1" x14ac:dyDescent="0.2">
      <c r="A890" s="242"/>
      <c r="B890" s="222"/>
      <c r="C890" s="852"/>
      <c r="D890" s="66"/>
      <c r="E890" s="404"/>
      <c r="F890" s="95"/>
      <c r="G890" s="95"/>
      <c r="H890" s="95"/>
      <c r="I890" s="95"/>
      <c r="J890" s="854"/>
      <c r="K890" s="855"/>
      <c r="L890" s="101"/>
      <c r="M890" s="101"/>
      <c r="N890" s="442"/>
      <c r="O890" s="165"/>
      <c r="P890" s="165"/>
      <c r="Q890" s="157"/>
      <c r="R890" s="109"/>
      <c r="S890" s="110"/>
      <c r="T890" s="93"/>
      <c r="U890" s="857"/>
      <c r="V890" s="158"/>
      <c r="W890" s="159"/>
      <c r="X890" s="159"/>
      <c r="Y890" s="160"/>
      <c r="Z890" s="470"/>
      <c r="AA890" s="942"/>
      <c r="AB890" s="942"/>
      <c r="AC890" s="161"/>
      <c r="AD890" s="161"/>
      <c r="AE890" s="446"/>
      <c r="AF890" s="160"/>
      <c r="AG890" s="160"/>
      <c r="AH890" s="159"/>
      <c r="AI890" s="162"/>
      <c r="AJ890" s="224"/>
      <c r="AK890" s="926"/>
      <c r="AL890" s="927"/>
      <c r="AM890" s="927"/>
      <c r="AN890" s="928"/>
      <c r="AO890" s="929"/>
      <c r="AP890" s="930"/>
      <c r="AQ890" s="228"/>
      <c r="AR890" s="228"/>
      <c r="AS890" s="229"/>
      <c r="AT890" s="981"/>
      <c r="AU890" s="1077"/>
      <c r="AV890" s="1107"/>
      <c r="AW890" s="1079"/>
      <c r="AX890" s="1079"/>
      <c r="AY890" s="1079"/>
      <c r="AZ890" s="1080"/>
      <c r="BA890" s="1101"/>
      <c r="BB890" s="1091"/>
      <c r="BC890" s="231"/>
      <c r="BD890" s="232"/>
      <c r="BE890" s="222"/>
      <c r="BF890" s="233"/>
      <c r="BG890" s="234"/>
      <c r="BH890" s="235"/>
      <c r="BI890" s="234"/>
      <c r="BJ890" s="236"/>
      <c r="BK890" s="222"/>
      <c r="BL890" s="222"/>
      <c r="BM890" s="238"/>
      <c r="BN890" s="222"/>
      <c r="BO890" s="222"/>
      <c r="BP890" s="243"/>
      <c r="BQ890" s="244"/>
      <c r="BR890" s="238"/>
      <c r="BS890" s="68"/>
      <c r="BT890" s="69"/>
      <c r="BU890" s="69"/>
      <c r="BV890" s="69"/>
      <c r="BW890" s="75"/>
      <c r="BX890" s="81"/>
      <c r="BY890" s="66"/>
      <c r="BZ890" s="944"/>
      <c r="CA890" s="42"/>
      <c r="CB890" s="62"/>
      <c r="CC890" s="62"/>
      <c r="CD890" s="42"/>
      <c r="CE890" s="42"/>
      <c r="CF890" s="1059"/>
      <c r="CG890" s="1059"/>
      <c r="CH890" s="1082"/>
      <c r="CI890" s="1059"/>
      <c r="CJ890" s="1057"/>
      <c r="CK890" s="1085"/>
      <c r="CL890" s="1057"/>
      <c r="CM890" s="1057"/>
      <c r="CN890" s="1086"/>
      <c r="CO890" s="1087"/>
      <c r="CP890" s="629"/>
      <c r="CQ890" s="1086"/>
      <c r="CR890" s="1088"/>
      <c r="CS890" s="1089"/>
      <c r="CT890" s="1086"/>
      <c r="CU890" s="1087"/>
      <c r="CV890" s="1090"/>
      <c r="CW890" s="853"/>
      <c r="CX890" s="856"/>
      <c r="CY890" s="856"/>
    </row>
    <row r="891" spans="1:103" s="1103" customFormat="1" ht="15" customHeight="1" x14ac:dyDescent="0.2">
      <c r="A891" s="242"/>
      <c r="B891" s="222"/>
      <c r="C891" s="852"/>
      <c r="D891" s="66"/>
      <c r="E891" s="404"/>
      <c r="F891" s="95"/>
      <c r="G891" s="95"/>
      <c r="H891" s="95"/>
      <c r="I891" s="95"/>
      <c r="J891" s="854"/>
      <c r="K891" s="855"/>
      <c r="L891" s="101"/>
      <c r="M891" s="101"/>
      <c r="N891" s="442"/>
      <c r="O891" s="165"/>
      <c r="P891" s="165"/>
      <c r="Q891" s="157"/>
      <c r="R891" s="109"/>
      <c r="S891" s="110"/>
      <c r="T891" s="93"/>
      <c r="U891" s="857"/>
      <c r="V891" s="158"/>
      <c r="W891" s="159"/>
      <c r="X891" s="159"/>
      <c r="Y891" s="160"/>
      <c r="Z891" s="470"/>
      <c r="AA891" s="942"/>
      <c r="AB891" s="942"/>
      <c r="AC891" s="161"/>
      <c r="AD891" s="161"/>
      <c r="AE891" s="446"/>
      <c r="AF891" s="160"/>
      <c r="AG891" s="160"/>
      <c r="AH891" s="159"/>
      <c r="AI891" s="162"/>
      <c r="AJ891" s="224"/>
      <c r="AK891" s="926"/>
      <c r="AL891" s="927"/>
      <c r="AM891" s="927"/>
      <c r="AN891" s="928"/>
      <c r="AO891" s="929"/>
      <c r="AP891" s="930"/>
      <c r="AQ891" s="228"/>
      <c r="AR891" s="228"/>
      <c r="AS891" s="229"/>
      <c r="AT891" s="981"/>
      <c r="AU891" s="1077"/>
      <c r="AV891" s="1107"/>
      <c r="AW891" s="1079"/>
      <c r="AX891" s="1079"/>
      <c r="AY891" s="1079"/>
      <c r="AZ891" s="1080"/>
      <c r="BA891" s="1101"/>
      <c r="BB891" s="1091"/>
      <c r="BC891" s="231"/>
      <c r="BD891" s="232"/>
      <c r="BE891" s="222"/>
      <c r="BF891" s="233"/>
      <c r="BG891" s="234"/>
      <c r="BH891" s="235"/>
      <c r="BI891" s="234"/>
      <c r="BJ891" s="236"/>
      <c r="BK891" s="222"/>
      <c r="BL891" s="222"/>
      <c r="BM891" s="238"/>
      <c r="BN891" s="222"/>
      <c r="BO891" s="222"/>
      <c r="BP891" s="243"/>
      <c r="BQ891" s="244"/>
      <c r="BR891" s="238"/>
      <c r="BS891" s="68"/>
      <c r="BT891" s="69"/>
      <c r="BU891" s="69"/>
      <c r="BV891" s="69"/>
      <c r="BW891" s="75"/>
      <c r="BX891" s="81"/>
      <c r="BY891" s="66"/>
      <c r="BZ891" s="944"/>
      <c r="CA891" s="42"/>
      <c r="CB891" s="62"/>
      <c r="CC891" s="62"/>
      <c r="CD891" s="42"/>
      <c r="CE891" s="42"/>
      <c r="CF891" s="1059"/>
      <c r="CG891" s="1059"/>
      <c r="CH891" s="1082"/>
      <c r="CI891" s="1059"/>
      <c r="CJ891" s="1057"/>
      <c r="CK891" s="1085"/>
      <c r="CL891" s="1057"/>
      <c r="CM891" s="1057"/>
      <c r="CN891" s="1086"/>
      <c r="CO891" s="1087"/>
      <c r="CP891" s="629"/>
      <c r="CQ891" s="1086"/>
      <c r="CR891" s="1088"/>
      <c r="CS891" s="1089"/>
      <c r="CT891" s="1086"/>
      <c r="CU891" s="1087"/>
      <c r="CV891" s="1090"/>
      <c r="CW891" s="853"/>
      <c r="CX891" s="856"/>
      <c r="CY891" s="856"/>
    </row>
    <row r="892" spans="1:103" s="1103" customFormat="1" ht="15" customHeight="1" x14ac:dyDescent="0.2">
      <c r="A892" s="242"/>
      <c r="B892" s="222"/>
      <c r="C892" s="852"/>
      <c r="D892" s="66"/>
      <c r="E892" s="404"/>
      <c r="F892" s="95"/>
      <c r="G892" s="95"/>
      <c r="H892" s="95"/>
      <c r="I892" s="95"/>
      <c r="J892" s="854"/>
      <c r="K892" s="855"/>
      <c r="L892" s="101"/>
      <c r="M892" s="101"/>
      <c r="N892" s="442"/>
      <c r="O892" s="165"/>
      <c r="P892" s="165"/>
      <c r="Q892" s="157"/>
      <c r="R892" s="109"/>
      <c r="S892" s="110"/>
      <c r="T892" s="93"/>
      <c r="U892" s="857"/>
      <c r="V892" s="158"/>
      <c r="W892" s="159"/>
      <c r="X892" s="159"/>
      <c r="Y892" s="160"/>
      <c r="Z892" s="470"/>
      <c r="AA892" s="942"/>
      <c r="AB892" s="942"/>
      <c r="AC892" s="161"/>
      <c r="AD892" s="161"/>
      <c r="AE892" s="446"/>
      <c r="AF892" s="160"/>
      <c r="AG892" s="160"/>
      <c r="AH892" s="159"/>
      <c r="AI892" s="162"/>
      <c r="AJ892" s="224"/>
      <c r="AK892" s="926"/>
      <c r="AL892" s="927"/>
      <c r="AM892" s="927"/>
      <c r="AN892" s="928"/>
      <c r="AO892" s="929"/>
      <c r="AP892" s="930"/>
      <c r="AQ892" s="228"/>
      <c r="AR892" s="228"/>
      <c r="AS892" s="229"/>
      <c r="AT892" s="981"/>
      <c r="AU892" s="1077"/>
      <c r="AV892" s="1107"/>
      <c r="AW892" s="1079"/>
      <c r="AX892" s="1079"/>
      <c r="AY892" s="1079"/>
      <c r="AZ892" s="1080"/>
      <c r="BA892" s="1101"/>
      <c r="BB892" s="1091"/>
      <c r="BC892" s="231"/>
      <c r="BD892" s="232"/>
      <c r="BE892" s="222"/>
      <c r="BF892" s="233"/>
      <c r="BG892" s="234"/>
      <c r="BH892" s="235"/>
      <c r="BI892" s="234"/>
      <c r="BJ892" s="236"/>
      <c r="BK892" s="222"/>
      <c r="BL892" s="222"/>
      <c r="BM892" s="238"/>
      <c r="BN892" s="222"/>
      <c r="BO892" s="222"/>
      <c r="BP892" s="243"/>
      <c r="BQ892" s="244"/>
      <c r="BR892" s="238"/>
      <c r="BS892" s="68"/>
      <c r="BT892" s="69"/>
      <c r="BU892" s="69"/>
      <c r="BV892" s="69"/>
      <c r="BW892" s="75"/>
      <c r="BX892" s="81"/>
      <c r="BY892" s="66"/>
      <c r="BZ892" s="944"/>
      <c r="CA892" s="42"/>
      <c r="CB892" s="62"/>
      <c r="CC892" s="62"/>
      <c r="CD892" s="42"/>
      <c r="CE892" s="42"/>
      <c r="CF892" s="1059"/>
      <c r="CG892" s="1059"/>
      <c r="CH892" s="1082"/>
      <c r="CI892" s="1059"/>
      <c r="CJ892" s="1057"/>
      <c r="CK892" s="1085"/>
      <c r="CL892" s="1057"/>
      <c r="CM892" s="1057"/>
      <c r="CN892" s="1086"/>
      <c r="CO892" s="1087"/>
      <c r="CP892" s="629"/>
      <c r="CQ892" s="1086"/>
      <c r="CR892" s="1088"/>
      <c r="CS892" s="1089"/>
      <c r="CT892" s="1086"/>
      <c r="CU892" s="1087"/>
      <c r="CV892" s="1090"/>
      <c r="CW892" s="853"/>
      <c r="CX892" s="856"/>
      <c r="CY892" s="856"/>
    </row>
    <row r="893" spans="1:103" s="1103" customFormat="1" ht="15" customHeight="1" x14ac:dyDescent="0.2">
      <c r="A893" s="242"/>
      <c r="B893" s="222"/>
      <c r="C893" s="852"/>
      <c r="D893" s="66"/>
      <c r="E893" s="404"/>
      <c r="F893" s="95"/>
      <c r="G893" s="95"/>
      <c r="H893" s="95"/>
      <c r="I893" s="95"/>
      <c r="J893" s="854"/>
      <c r="K893" s="855"/>
      <c r="L893" s="101"/>
      <c r="M893" s="101"/>
      <c r="N893" s="442"/>
      <c r="O893" s="165"/>
      <c r="P893" s="165"/>
      <c r="Q893" s="157"/>
      <c r="R893" s="109"/>
      <c r="S893" s="110"/>
      <c r="T893" s="93"/>
      <c r="U893" s="857"/>
      <c r="V893" s="158"/>
      <c r="W893" s="159"/>
      <c r="X893" s="159"/>
      <c r="Y893" s="160"/>
      <c r="Z893" s="470"/>
      <c r="AA893" s="942"/>
      <c r="AB893" s="942"/>
      <c r="AC893" s="161"/>
      <c r="AD893" s="161"/>
      <c r="AE893" s="446"/>
      <c r="AF893" s="160"/>
      <c r="AG893" s="160"/>
      <c r="AH893" s="159"/>
      <c r="AI893" s="162"/>
      <c r="AJ893" s="224"/>
      <c r="AK893" s="926"/>
      <c r="AL893" s="927"/>
      <c r="AM893" s="927"/>
      <c r="AN893" s="928"/>
      <c r="AO893" s="929"/>
      <c r="AP893" s="930"/>
      <c r="AQ893" s="228"/>
      <c r="AR893" s="228"/>
      <c r="AS893" s="229"/>
      <c r="AT893" s="981"/>
      <c r="AU893" s="1077"/>
      <c r="AV893" s="1107"/>
      <c r="AW893" s="1079"/>
      <c r="AX893" s="1079"/>
      <c r="AY893" s="1079"/>
      <c r="AZ893" s="1080"/>
      <c r="BA893" s="1101"/>
      <c r="BB893" s="1091"/>
      <c r="BC893" s="231"/>
      <c r="BD893" s="232"/>
      <c r="BE893" s="222"/>
      <c r="BF893" s="233"/>
      <c r="BG893" s="234"/>
      <c r="BH893" s="235"/>
      <c r="BI893" s="234"/>
      <c r="BJ893" s="236"/>
      <c r="BK893" s="222"/>
      <c r="BL893" s="222"/>
      <c r="BM893" s="238"/>
      <c r="BN893" s="222"/>
      <c r="BO893" s="222"/>
      <c r="BP893" s="243"/>
      <c r="BQ893" s="244"/>
      <c r="BR893" s="238"/>
      <c r="BS893" s="68"/>
      <c r="BT893" s="69"/>
      <c r="BU893" s="69"/>
      <c r="BV893" s="69"/>
      <c r="BW893" s="75"/>
      <c r="BX893" s="81"/>
      <c r="BY893" s="66"/>
      <c r="BZ893" s="944"/>
      <c r="CA893" s="42"/>
      <c r="CB893" s="62"/>
      <c r="CC893" s="62"/>
      <c r="CD893" s="42"/>
      <c r="CE893" s="42"/>
      <c r="CF893" s="1059"/>
      <c r="CG893" s="1059"/>
      <c r="CH893" s="1082"/>
      <c r="CI893" s="1059"/>
      <c r="CJ893" s="1057"/>
      <c r="CK893" s="1085"/>
      <c r="CL893" s="1057"/>
      <c r="CM893" s="1057"/>
      <c r="CN893" s="1086"/>
      <c r="CO893" s="1087"/>
      <c r="CP893" s="629"/>
      <c r="CQ893" s="1086"/>
      <c r="CR893" s="1088"/>
      <c r="CS893" s="1089"/>
      <c r="CT893" s="1086"/>
      <c r="CU893" s="1087"/>
      <c r="CV893" s="1090"/>
      <c r="CW893" s="853"/>
      <c r="CX893" s="856"/>
      <c r="CY893" s="856"/>
    </row>
    <row r="894" spans="1:103" s="1103" customFormat="1" ht="15" customHeight="1" x14ac:dyDescent="0.2">
      <c r="A894" s="242"/>
      <c r="B894" s="222"/>
      <c r="C894" s="852"/>
      <c r="D894" s="66"/>
      <c r="E894" s="404"/>
      <c r="F894" s="95"/>
      <c r="G894" s="95"/>
      <c r="H894" s="95"/>
      <c r="I894" s="95"/>
      <c r="J894" s="854"/>
      <c r="K894" s="855"/>
      <c r="L894" s="101"/>
      <c r="M894" s="101"/>
      <c r="N894" s="442"/>
      <c r="O894" s="165"/>
      <c r="P894" s="165"/>
      <c r="Q894" s="157"/>
      <c r="R894" s="109"/>
      <c r="S894" s="110"/>
      <c r="T894" s="93"/>
      <c r="U894" s="857"/>
      <c r="V894" s="158"/>
      <c r="W894" s="159"/>
      <c r="X894" s="159"/>
      <c r="Y894" s="160"/>
      <c r="Z894" s="470"/>
      <c r="AA894" s="942"/>
      <c r="AB894" s="942"/>
      <c r="AC894" s="161"/>
      <c r="AD894" s="161"/>
      <c r="AE894" s="446"/>
      <c r="AF894" s="160"/>
      <c r="AG894" s="160"/>
      <c r="AH894" s="159"/>
      <c r="AI894" s="162"/>
      <c r="AJ894" s="224"/>
      <c r="AK894" s="926"/>
      <c r="AL894" s="927"/>
      <c r="AM894" s="927"/>
      <c r="AN894" s="928"/>
      <c r="AO894" s="929"/>
      <c r="AP894" s="930"/>
      <c r="AQ894" s="228"/>
      <c r="AR894" s="228"/>
      <c r="AS894" s="229"/>
      <c r="AT894" s="981"/>
      <c r="AU894" s="1077"/>
      <c r="AV894" s="1107"/>
      <c r="AW894" s="1079"/>
      <c r="AX894" s="1079"/>
      <c r="AY894" s="1079"/>
      <c r="AZ894" s="1080"/>
      <c r="BA894" s="1101"/>
      <c r="BB894" s="1091"/>
      <c r="BC894" s="231"/>
      <c r="BD894" s="232"/>
      <c r="BE894" s="222"/>
      <c r="BF894" s="233"/>
      <c r="BG894" s="234"/>
      <c r="BH894" s="235"/>
      <c r="BI894" s="234"/>
      <c r="BJ894" s="236"/>
      <c r="BK894" s="222"/>
      <c r="BL894" s="222"/>
      <c r="BM894" s="238"/>
      <c r="BN894" s="222"/>
      <c r="BO894" s="222"/>
      <c r="BP894" s="243"/>
      <c r="BQ894" s="244"/>
      <c r="BR894" s="238"/>
      <c r="BS894" s="68"/>
      <c r="BT894" s="69"/>
      <c r="BU894" s="69"/>
      <c r="BV894" s="69"/>
      <c r="BW894" s="75"/>
      <c r="BX894" s="81"/>
      <c r="BY894" s="66"/>
      <c r="BZ894" s="944"/>
      <c r="CA894" s="42"/>
      <c r="CB894" s="62"/>
      <c r="CC894" s="62"/>
      <c r="CD894" s="42"/>
      <c r="CE894" s="42"/>
      <c r="CF894" s="1059"/>
      <c r="CG894" s="1059"/>
      <c r="CH894" s="1082"/>
      <c r="CI894" s="1059"/>
      <c r="CJ894" s="1057"/>
      <c r="CK894" s="1085"/>
      <c r="CL894" s="1057"/>
      <c r="CM894" s="1057"/>
      <c r="CN894" s="1086"/>
      <c r="CO894" s="1087"/>
      <c r="CP894" s="629"/>
      <c r="CQ894" s="1086"/>
      <c r="CR894" s="1088"/>
      <c r="CS894" s="1089"/>
      <c r="CT894" s="1086"/>
      <c r="CU894" s="1087"/>
      <c r="CV894" s="1090"/>
      <c r="CW894" s="853"/>
      <c r="CX894" s="856"/>
      <c r="CY894" s="856"/>
    </row>
    <row r="895" spans="1:103" s="1103" customFormat="1" ht="15" customHeight="1" x14ac:dyDescent="0.2">
      <c r="A895" s="242"/>
      <c r="B895" s="222"/>
      <c r="C895" s="852"/>
      <c r="D895" s="66"/>
      <c r="E895" s="404"/>
      <c r="F895" s="95"/>
      <c r="G895" s="95"/>
      <c r="H895" s="95"/>
      <c r="I895" s="95"/>
      <c r="J895" s="854"/>
      <c r="K895" s="855"/>
      <c r="L895" s="101"/>
      <c r="M895" s="101"/>
      <c r="N895" s="442"/>
      <c r="O895" s="165"/>
      <c r="P895" s="165"/>
      <c r="Q895" s="157"/>
      <c r="R895" s="109"/>
      <c r="S895" s="110"/>
      <c r="T895" s="93"/>
      <c r="U895" s="857"/>
      <c r="V895" s="158"/>
      <c r="W895" s="159"/>
      <c r="X895" s="159"/>
      <c r="Y895" s="160"/>
      <c r="Z895" s="470"/>
      <c r="AA895" s="942"/>
      <c r="AB895" s="942"/>
      <c r="AC895" s="161"/>
      <c r="AD895" s="161"/>
      <c r="AE895" s="446"/>
      <c r="AF895" s="160"/>
      <c r="AG895" s="160"/>
      <c r="AH895" s="159"/>
      <c r="AI895" s="162"/>
      <c r="AJ895" s="224"/>
      <c r="AK895" s="926"/>
      <c r="AL895" s="927"/>
      <c r="AM895" s="927"/>
      <c r="AN895" s="928"/>
      <c r="AO895" s="929"/>
      <c r="AP895" s="930"/>
      <c r="AQ895" s="228"/>
      <c r="AR895" s="228"/>
      <c r="AS895" s="229"/>
      <c r="AT895" s="981"/>
      <c r="AU895" s="1077"/>
      <c r="AV895" s="1107"/>
      <c r="AW895" s="1079"/>
      <c r="AX895" s="1079"/>
      <c r="AY895" s="1079"/>
      <c r="AZ895" s="1080"/>
      <c r="BA895" s="1101"/>
      <c r="BB895" s="1091"/>
      <c r="BC895" s="231"/>
      <c r="BD895" s="232"/>
      <c r="BE895" s="222"/>
      <c r="BF895" s="233"/>
      <c r="BG895" s="234"/>
      <c r="BH895" s="235"/>
      <c r="BI895" s="234"/>
      <c r="BJ895" s="236"/>
      <c r="BK895" s="222"/>
      <c r="BL895" s="222"/>
      <c r="BM895" s="238"/>
      <c r="BN895" s="222"/>
      <c r="BO895" s="222"/>
      <c r="BP895" s="243"/>
      <c r="BQ895" s="244"/>
      <c r="BR895" s="238"/>
      <c r="BS895" s="68"/>
      <c r="BT895" s="69"/>
      <c r="BU895" s="69"/>
      <c r="BV895" s="69"/>
      <c r="BW895" s="75"/>
      <c r="BX895" s="81"/>
      <c r="BY895" s="66"/>
      <c r="BZ895" s="944"/>
      <c r="CA895" s="42"/>
      <c r="CB895" s="62"/>
      <c r="CC895" s="62"/>
      <c r="CD895" s="42"/>
      <c r="CE895" s="42"/>
      <c r="CF895" s="1059"/>
      <c r="CG895" s="1059"/>
      <c r="CH895" s="1082"/>
      <c r="CI895" s="1059"/>
      <c r="CJ895" s="1057"/>
      <c r="CK895" s="1085"/>
      <c r="CL895" s="1057"/>
      <c r="CM895" s="1057"/>
      <c r="CN895" s="1086"/>
      <c r="CO895" s="1087"/>
      <c r="CP895" s="629"/>
      <c r="CQ895" s="1086"/>
      <c r="CR895" s="1088"/>
      <c r="CS895" s="1089"/>
      <c r="CT895" s="1086"/>
      <c r="CU895" s="1087"/>
      <c r="CV895" s="1090"/>
      <c r="CW895" s="853"/>
      <c r="CX895" s="856"/>
      <c r="CY895" s="856"/>
    </row>
    <row r="896" spans="1:103" s="1103" customFormat="1" ht="15" customHeight="1" x14ac:dyDescent="0.2">
      <c r="A896" s="242"/>
      <c r="B896" s="222"/>
      <c r="C896" s="852"/>
      <c r="D896" s="66"/>
      <c r="E896" s="404"/>
      <c r="F896" s="95"/>
      <c r="G896" s="95"/>
      <c r="H896" s="95"/>
      <c r="I896" s="95"/>
      <c r="J896" s="854"/>
      <c r="K896" s="855"/>
      <c r="L896" s="101"/>
      <c r="M896" s="101"/>
      <c r="N896" s="442"/>
      <c r="O896" s="165"/>
      <c r="P896" s="165"/>
      <c r="Q896" s="157"/>
      <c r="R896" s="109"/>
      <c r="S896" s="110"/>
      <c r="T896" s="93"/>
      <c r="U896" s="857"/>
      <c r="V896" s="158"/>
      <c r="W896" s="159"/>
      <c r="X896" s="159"/>
      <c r="Y896" s="160"/>
      <c r="Z896" s="470"/>
      <c r="AA896" s="942"/>
      <c r="AB896" s="942"/>
      <c r="AC896" s="161"/>
      <c r="AD896" s="161"/>
      <c r="AE896" s="446"/>
      <c r="AF896" s="160"/>
      <c r="AG896" s="160"/>
      <c r="AH896" s="159"/>
      <c r="AI896" s="162"/>
      <c r="AJ896" s="224"/>
      <c r="AK896" s="926"/>
      <c r="AL896" s="927"/>
      <c r="AM896" s="927"/>
      <c r="AN896" s="928"/>
      <c r="AO896" s="929"/>
      <c r="AP896" s="930"/>
      <c r="AQ896" s="228"/>
      <c r="AR896" s="228"/>
      <c r="AS896" s="229"/>
      <c r="AT896" s="981"/>
      <c r="AU896" s="1077"/>
      <c r="AV896" s="1107"/>
      <c r="AW896" s="1079"/>
      <c r="AX896" s="1079"/>
      <c r="AY896" s="1079"/>
      <c r="AZ896" s="1080"/>
      <c r="BA896" s="1101"/>
      <c r="BB896" s="1091"/>
      <c r="BC896" s="231"/>
      <c r="BD896" s="232"/>
      <c r="BE896" s="222"/>
      <c r="BF896" s="233"/>
      <c r="BG896" s="234"/>
      <c r="BH896" s="235"/>
      <c r="BI896" s="234"/>
      <c r="BJ896" s="236"/>
      <c r="BK896" s="222"/>
      <c r="BL896" s="222"/>
      <c r="BM896" s="238"/>
      <c r="BN896" s="222"/>
      <c r="BO896" s="222"/>
      <c r="BP896" s="243"/>
      <c r="BQ896" s="244"/>
      <c r="BR896" s="238"/>
      <c r="BS896" s="68"/>
      <c r="BT896" s="69"/>
      <c r="BU896" s="69"/>
      <c r="BV896" s="69"/>
      <c r="BW896" s="75"/>
      <c r="BX896" s="81"/>
      <c r="BY896" s="66"/>
      <c r="BZ896" s="944"/>
      <c r="CA896" s="42"/>
      <c r="CB896" s="62"/>
      <c r="CC896" s="62"/>
      <c r="CD896" s="42"/>
      <c r="CE896" s="42"/>
      <c r="CF896" s="1059"/>
      <c r="CG896" s="1059"/>
      <c r="CH896" s="1082"/>
      <c r="CI896" s="1059"/>
      <c r="CJ896" s="1057"/>
      <c r="CK896" s="1085"/>
      <c r="CL896" s="1057"/>
      <c r="CM896" s="1057"/>
      <c r="CN896" s="1086"/>
      <c r="CO896" s="1087"/>
      <c r="CP896" s="629"/>
      <c r="CQ896" s="1086"/>
      <c r="CR896" s="1088"/>
      <c r="CS896" s="1089"/>
      <c r="CT896" s="1086"/>
      <c r="CU896" s="1087"/>
      <c r="CV896" s="1090"/>
      <c r="CW896" s="853"/>
      <c r="CX896" s="856"/>
      <c r="CY896" s="856"/>
    </row>
    <row r="897" spans="1:103" s="1103" customFormat="1" ht="15" customHeight="1" x14ac:dyDescent="0.2">
      <c r="A897" s="242"/>
      <c r="B897" s="222"/>
      <c r="C897" s="852"/>
      <c r="D897" s="66"/>
      <c r="E897" s="404"/>
      <c r="F897" s="95"/>
      <c r="G897" s="95"/>
      <c r="H897" s="95"/>
      <c r="I897" s="95"/>
      <c r="J897" s="854"/>
      <c r="K897" s="855"/>
      <c r="L897" s="101"/>
      <c r="M897" s="101"/>
      <c r="N897" s="442"/>
      <c r="O897" s="165"/>
      <c r="P897" s="165"/>
      <c r="Q897" s="157"/>
      <c r="R897" s="109"/>
      <c r="S897" s="110"/>
      <c r="T897" s="93"/>
      <c r="U897" s="857"/>
      <c r="V897" s="158"/>
      <c r="W897" s="159"/>
      <c r="X897" s="159"/>
      <c r="Y897" s="160"/>
      <c r="Z897" s="470"/>
      <c r="AA897" s="942"/>
      <c r="AB897" s="942"/>
      <c r="AC897" s="161"/>
      <c r="AD897" s="161"/>
      <c r="AE897" s="446"/>
      <c r="AF897" s="160"/>
      <c r="AG897" s="160"/>
      <c r="AH897" s="159"/>
      <c r="AI897" s="162"/>
      <c r="AJ897" s="224"/>
      <c r="AK897" s="926"/>
      <c r="AL897" s="927"/>
      <c r="AM897" s="927"/>
      <c r="AN897" s="928"/>
      <c r="AO897" s="929"/>
      <c r="AP897" s="930"/>
      <c r="AQ897" s="228"/>
      <c r="AR897" s="228"/>
      <c r="AS897" s="229"/>
      <c r="AT897" s="981"/>
      <c r="AU897" s="1077"/>
      <c r="AV897" s="1107"/>
      <c r="AW897" s="1079"/>
      <c r="AX897" s="1079"/>
      <c r="AY897" s="1079"/>
      <c r="AZ897" s="1080"/>
      <c r="BA897" s="1101"/>
      <c r="BB897" s="1091"/>
      <c r="BC897" s="231"/>
      <c r="BD897" s="232"/>
      <c r="BE897" s="222"/>
      <c r="BF897" s="233"/>
      <c r="BG897" s="234"/>
      <c r="BH897" s="235"/>
      <c r="BI897" s="234"/>
      <c r="BJ897" s="236"/>
      <c r="BK897" s="222"/>
      <c r="BL897" s="222"/>
      <c r="BM897" s="238"/>
      <c r="BN897" s="222"/>
      <c r="BO897" s="222"/>
      <c r="BP897" s="243"/>
      <c r="BQ897" s="244"/>
      <c r="BR897" s="238"/>
      <c r="BS897" s="68"/>
      <c r="BT897" s="69"/>
      <c r="BU897" s="69"/>
      <c r="BV897" s="69"/>
      <c r="BW897" s="75"/>
      <c r="BX897" s="81"/>
      <c r="BY897" s="66"/>
      <c r="BZ897" s="944"/>
      <c r="CA897" s="42"/>
      <c r="CB897" s="62"/>
      <c r="CC897" s="62"/>
      <c r="CD897" s="42"/>
      <c r="CE897" s="42"/>
      <c r="CF897" s="1059"/>
      <c r="CG897" s="1059"/>
      <c r="CH897" s="1082"/>
      <c r="CI897" s="1059"/>
      <c r="CJ897" s="1057"/>
      <c r="CK897" s="1085"/>
      <c r="CL897" s="1057"/>
      <c r="CM897" s="1057"/>
      <c r="CN897" s="1086"/>
      <c r="CO897" s="1087"/>
      <c r="CP897" s="629"/>
      <c r="CQ897" s="1086"/>
      <c r="CR897" s="1088"/>
      <c r="CS897" s="1089"/>
      <c r="CT897" s="1086"/>
      <c r="CU897" s="1087"/>
      <c r="CV897" s="1090"/>
      <c r="CW897" s="853"/>
      <c r="CX897" s="856"/>
      <c r="CY897" s="856"/>
    </row>
    <row r="898" spans="1:103" s="1103" customFormat="1" ht="15" customHeight="1" x14ac:dyDescent="0.2">
      <c r="A898" s="242"/>
      <c r="B898" s="222"/>
      <c r="C898" s="852"/>
      <c r="D898" s="66"/>
      <c r="E898" s="404"/>
      <c r="F898" s="95"/>
      <c r="G898" s="95"/>
      <c r="H898" s="95"/>
      <c r="I898" s="95"/>
      <c r="J898" s="854"/>
      <c r="K898" s="855"/>
      <c r="L898" s="101"/>
      <c r="M898" s="101"/>
      <c r="N898" s="442"/>
      <c r="O898" s="165"/>
      <c r="P898" s="165"/>
      <c r="Q898" s="157"/>
      <c r="R898" s="109"/>
      <c r="S898" s="110"/>
      <c r="T898" s="93"/>
      <c r="U898" s="857"/>
      <c r="V898" s="158"/>
      <c r="W898" s="159"/>
      <c r="X898" s="159"/>
      <c r="Y898" s="160"/>
      <c r="Z898" s="470"/>
      <c r="AA898" s="942"/>
      <c r="AB898" s="942"/>
      <c r="AC898" s="161"/>
      <c r="AD898" s="161"/>
      <c r="AE898" s="446"/>
      <c r="AF898" s="160"/>
      <c r="AG898" s="160"/>
      <c r="AH898" s="159"/>
      <c r="AI898" s="162"/>
      <c r="AJ898" s="224"/>
      <c r="AK898" s="926"/>
      <c r="AL898" s="927"/>
      <c r="AM898" s="927"/>
      <c r="AN898" s="928"/>
      <c r="AO898" s="929"/>
      <c r="AP898" s="930"/>
      <c r="AQ898" s="228"/>
      <c r="AR898" s="228"/>
      <c r="AS898" s="229"/>
      <c r="AT898" s="981"/>
      <c r="AU898" s="1077"/>
      <c r="AV898" s="1107"/>
      <c r="AW898" s="1079"/>
      <c r="AX898" s="1079"/>
      <c r="AY898" s="1079"/>
      <c r="AZ898" s="1080"/>
      <c r="BA898" s="1101"/>
      <c r="BB898" s="1091"/>
      <c r="BC898" s="231"/>
      <c r="BD898" s="232"/>
      <c r="BE898" s="222"/>
      <c r="BF898" s="233"/>
      <c r="BG898" s="234"/>
      <c r="BH898" s="235"/>
      <c r="BI898" s="234"/>
      <c r="BJ898" s="236"/>
      <c r="BK898" s="222"/>
      <c r="BL898" s="222"/>
      <c r="BM898" s="238"/>
      <c r="BN898" s="222"/>
      <c r="BO898" s="222"/>
      <c r="BP898" s="243"/>
      <c r="BQ898" s="244"/>
      <c r="BR898" s="238"/>
      <c r="BS898" s="68"/>
      <c r="BT898" s="69"/>
      <c r="BU898" s="69"/>
      <c r="BV898" s="69"/>
      <c r="BW898" s="75"/>
      <c r="BX898" s="81"/>
      <c r="BY898" s="66"/>
      <c r="BZ898" s="944"/>
      <c r="CA898" s="42"/>
      <c r="CB898" s="62"/>
      <c r="CC898" s="62"/>
      <c r="CD898" s="42"/>
      <c r="CE898" s="42"/>
      <c r="CF898" s="1059"/>
      <c r="CG898" s="1059"/>
      <c r="CH898" s="1082"/>
      <c r="CI898" s="1083"/>
      <c r="CJ898" s="1057"/>
      <c r="CK898" s="1085"/>
      <c r="CL898" s="1057"/>
      <c r="CM898" s="1057"/>
      <c r="CN898" s="1086"/>
      <c r="CO898" s="1087"/>
      <c r="CP898" s="629"/>
      <c r="CQ898" s="1086"/>
      <c r="CR898" s="1088"/>
      <c r="CS898" s="1089"/>
      <c r="CT898" s="1086"/>
      <c r="CU898" s="1087"/>
      <c r="CV898" s="1090"/>
      <c r="CW898" s="853"/>
      <c r="CX898" s="856"/>
      <c r="CY898" s="856"/>
    </row>
    <row r="899" spans="1:103" s="1103" customFormat="1" ht="15" customHeight="1" x14ac:dyDescent="0.2">
      <c r="A899" s="242"/>
      <c r="B899" s="222"/>
      <c r="C899" s="852"/>
      <c r="D899" s="66"/>
      <c r="E899" s="404"/>
      <c r="F899" s="95"/>
      <c r="G899" s="95"/>
      <c r="H899" s="95"/>
      <c r="I899" s="95"/>
      <c r="J899" s="854"/>
      <c r="K899" s="855"/>
      <c r="L899" s="101"/>
      <c r="M899" s="101"/>
      <c r="N899" s="442"/>
      <c r="O899" s="165"/>
      <c r="P899" s="165"/>
      <c r="Q899" s="157"/>
      <c r="R899" s="109"/>
      <c r="S899" s="110"/>
      <c r="T899" s="93"/>
      <c r="U899" s="857"/>
      <c r="V899" s="158"/>
      <c r="W899" s="159"/>
      <c r="X899" s="159"/>
      <c r="Y899" s="160"/>
      <c r="Z899" s="470"/>
      <c r="AA899" s="942"/>
      <c r="AB899" s="942"/>
      <c r="AC899" s="161"/>
      <c r="AD899" s="161"/>
      <c r="AE899" s="446"/>
      <c r="AF899" s="160"/>
      <c r="AG899" s="160"/>
      <c r="AH899" s="159"/>
      <c r="AI899" s="162"/>
      <c r="AJ899" s="224"/>
      <c r="AK899" s="926"/>
      <c r="AL899" s="927"/>
      <c r="AM899" s="927"/>
      <c r="AN899" s="928"/>
      <c r="AO899" s="929"/>
      <c r="AP899" s="930"/>
      <c r="AQ899" s="228"/>
      <c r="AR899" s="228"/>
      <c r="AS899" s="229"/>
      <c r="AT899" s="981"/>
      <c r="AU899" s="1077"/>
      <c r="AV899" s="1107"/>
      <c r="AW899" s="1079"/>
      <c r="AX899" s="1079"/>
      <c r="AY899" s="1079"/>
      <c r="AZ899" s="1080"/>
      <c r="BA899" s="1101"/>
      <c r="BB899" s="1091"/>
      <c r="BC899" s="231"/>
      <c r="BD899" s="232"/>
      <c r="BE899" s="222"/>
      <c r="BF899" s="233"/>
      <c r="BG899" s="234"/>
      <c r="BH899" s="235"/>
      <c r="BI899" s="234"/>
      <c r="BJ899" s="236"/>
      <c r="BK899" s="222"/>
      <c r="BL899" s="222"/>
      <c r="BM899" s="238"/>
      <c r="BN899" s="222"/>
      <c r="BO899" s="222"/>
      <c r="BP899" s="243"/>
      <c r="BQ899" s="244"/>
      <c r="BR899" s="238"/>
      <c r="BS899" s="68"/>
      <c r="BT899" s="69"/>
      <c r="BU899" s="69"/>
      <c r="BV899" s="69"/>
      <c r="BW899" s="75"/>
      <c r="BX899" s="81"/>
      <c r="BY899" s="66"/>
      <c r="BZ899" s="944"/>
      <c r="CA899" s="42"/>
      <c r="CB899" s="62"/>
      <c r="CC899" s="62"/>
      <c r="CD899" s="42"/>
      <c r="CE899" s="42"/>
      <c r="CF899" s="1059"/>
      <c r="CG899" s="1059"/>
      <c r="CH899" s="1082"/>
      <c r="CI899" s="1083"/>
      <c r="CJ899" s="1057"/>
      <c r="CK899" s="1085"/>
      <c r="CL899" s="1057"/>
      <c r="CM899" s="1057"/>
      <c r="CN899" s="1086"/>
      <c r="CO899" s="1087"/>
      <c r="CP899" s="629"/>
      <c r="CQ899" s="1086"/>
      <c r="CR899" s="1088"/>
      <c r="CS899" s="1089"/>
      <c r="CT899" s="1086"/>
      <c r="CU899" s="1087"/>
      <c r="CV899" s="1090"/>
      <c r="CW899" s="853"/>
      <c r="CX899" s="856"/>
      <c r="CY899" s="856"/>
    </row>
    <row r="900" spans="1:103" s="1103" customFormat="1" ht="15" customHeight="1" x14ac:dyDescent="0.2">
      <c r="A900" s="242"/>
      <c r="B900" s="222"/>
      <c r="C900" s="852"/>
      <c r="D900" s="66"/>
      <c r="E900" s="404"/>
      <c r="F900" s="95"/>
      <c r="G900" s="95"/>
      <c r="H900" s="95"/>
      <c r="I900" s="95"/>
      <c r="J900" s="854"/>
      <c r="K900" s="855"/>
      <c r="L900" s="101"/>
      <c r="M900" s="101"/>
      <c r="N900" s="442"/>
      <c r="O900" s="165"/>
      <c r="P900" s="165"/>
      <c r="Q900" s="157"/>
      <c r="R900" s="109"/>
      <c r="S900" s="110"/>
      <c r="T900" s="93"/>
      <c r="U900" s="857"/>
      <c r="V900" s="158"/>
      <c r="W900" s="159"/>
      <c r="X900" s="159"/>
      <c r="Y900" s="160"/>
      <c r="Z900" s="470"/>
      <c r="AA900" s="942"/>
      <c r="AB900" s="942"/>
      <c r="AC900" s="161"/>
      <c r="AD900" s="161"/>
      <c r="AE900" s="446"/>
      <c r="AF900" s="160"/>
      <c r="AG900" s="160"/>
      <c r="AH900" s="159"/>
      <c r="AI900" s="162"/>
      <c r="AJ900" s="224"/>
      <c r="AK900" s="926"/>
      <c r="AL900" s="927"/>
      <c r="AM900" s="927"/>
      <c r="AN900" s="928"/>
      <c r="AO900" s="929"/>
      <c r="AP900" s="930"/>
      <c r="AQ900" s="228"/>
      <c r="AR900" s="228"/>
      <c r="AS900" s="229"/>
      <c r="AT900" s="981"/>
      <c r="AU900" s="1077"/>
      <c r="AV900" s="1107"/>
      <c r="AW900" s="1079"/>
      <c r="AX900" s="1079"/>
      <c r="AY900" s="1079"/>
      <c r="AZ900" s="1080"/>
      <c r="BA900" s="1101"/>
      <c r="BB900" s="1091"/>
      <c r="BC900" s="231"/>
      <c r="BD900" s="232"/>
      <c r="BE900" s="222"/>
      <c r="BF900" s="233"/>
      <c r="BG900" s="234"/>
      <c r="BH900" s="235"/>
      <c r="BI900" s="234"/>
      <c r="BJ900" s="236"/>
      <c r="BK900" s="222"/>
      <c r="BL900" s="222"/>
      <c r="BM900" s="238"/>
      <c r="BN900" s="222"/>
      <c r="BO900" s="222"/>
      <c r="BP900" s="243"/>
      <c r="BQ900" s="244"/>
      <c r="BR900" s="238"/>
      <c r="BS900" s="68"/>
      <c r="BT900" s="69"/>
      <c r="BU900" s="69"/>
      <c r="BV900" s="69"/>
      <c r="BW900" s="75"/>
      <c r="BX900" s="81"/>
      <c r="BY900" s="66"/>
      <c r="BZ900" s="944"/>
      <c r="CA900" s="42"/>
      <c r="CB900" s="62"/>
      <c r="CC900" s="62"/>
      <c r="CD900" s="42"/>
      <c r="CE900" s="42"/>
      <c r="CF900" s="1059"/>
      <c r="CG900" s="1059"/>
      <c r="CH900" s="1082"/>
      <c r="CI900" s="1083"/>
      <c r="CJ900" s="1057"/>
      <c r="CK900" s="1085"/>
      <c r="CL900" s="1057"/>
      <c r="CM900" s="1057"/>
      <c r="CN900" s="1086"/>
      <c r="CO900" s="1087"/>
      <c r="CP900" s="629"/>
      <c r="CQ900" s="1086"/>
      <c r="CR900" s="1088"/>
      <c r="CS900" s="1089"/>
      <c r="CT900" s="1086"/>
      <c r="CU900" s="1087"/>
      <c r="CV900" s="1090"/>
      <c r="CW900" s="853"/>
      <c r="CX900" s="856"/>
      <c r="CY900" s="856"/>
    </row>
    <row r="901" spans="1:103" s="1103" customFormat="1" ht="15" customHeight="1" x14ac:dyDescent="0.2">
      <c r="A901" s="242"/>
      <c r="B901" s="222"/>
      <c r="C901" s="852"/>
      <c r="D901" s="66"/>
      <c r="E901" s="404"/>
      <c r="F901" s="95"/>
      <c r="G901" s="95"/>
      <c r="H901" s="95"/>
      <c r="I901" s="95"/>
      <c r="J901" s="854"/>
      <c r="K901" s="855"/>
      <c r="L901" s="101"/>
      <c r="M901" s="101"/>
      <c r="N901" s="442"/>
      <c r="O901" s="165"/>
      <c r="P901" s="165"/>
      <c r="Q901" s="157"/>
      <c r="R901" s="109"/>
      <c r="S901" s="110"/>
      <c r="T901" s="93"/>
      <c r="U901" s="857"/>
      <c r="V901" s="158"/>
      <c r="W901" s="159"/>
      <c r="X901" s="159"/>
      <c r="Y901" s="160"/>
      <c r="Z901" s="470"/>
      <c r="AA901" s="942"/>
      <c r="AB901" s="942"/>
      <c r="AC901" s="161"/>
      <c r="AD901" s="161"/>
      <c r="AE901" s="446"/>
      <c r="AF901" s="160"/>
      <c r="AG901" s="160"/>
      <c r="AH901" s="159"/>
      <c r="AI901" s="162"/>
      <c r="AJ901" s="224"/>
      <c r="AK901" s="926"/>
      <c r="AL901" s="927"/>
      <c r="AM901" s="927"/>
      <c r="AN901" s="928"/>
      <c r="AO901" s="929"/>
      <c r="AP901" s="930"/>
      <c r="AQ901" s="228"/>
      <c r="AR901" s="228"/>
      <c r="AS901" s="229"/>
      <c r="AT901" s="981"/>
      <c r="AU901" s="1077"/>
      <c r="AV901" s="1107"/>
      <c r="AW901" s="1079"/>
      <c r="AX901" s="1079"/>
      <c r="AY901" s="1079"/>
      <c r="AZ901" s="1080"/>
      <c r="BA901" s="1101"/>
      <c r="BB901" s="1091"/>
      <c r="BC901" s="231"/>
      <c r="BD901" s="232"/>
      <c r="BE901" s="222"/>
      <c r="BF901" s="233"/>
      <c r="BG901" s="234"/>
      <c r="BH901" s="235"/>
      <c r="BI901" s="234"/>
      <c r="BJ901" s="236"/>
      <c r="BK901" s="222"/>
      <c r="BL901" s="222"/>
      <c r="BM901" s="238"/>
      <c r="BN901" s="222"/>
      <c r="BO901" s="222"/>
      <c r="BP901" s="243"/>
      <c r="BQ901" s="244"/>
      <c r="BR901" s="238"/>
      <c r="BS901" s="68"/>
      <c r="BT901" s="69"/>
      <c r="BU901" s="69"/>
      <c r="BV901" s="69"/>
      <c r="BW901" s="75"/>
      <c r="BX901" s="81"/>
      <c r="BY901" s="66"/>
      <c r="BZ901" s="944"/>
      <c r="CA901" s="42"/>
      <c r="CB901" s="62"/>
      <c r="CC901" s="62"/>
      <c r="CD901" s="42"/>
      <c r="CE901" s="42"/>
      <c r="CF901" s="1059"/>
      <c r="CG901" s="1059"/>
      <c r="CH901" s="1082"/>
      <c r="CI901" s="1083"/>
      <c r="CJ901" s="1057"/>
      <c r="CK901" s="1085"/>
      <c r="CL901" s="1057"/>
      <c r="CM901" s="1057"/>
      <c r="CN901" s="1086"/>
      <c r="CO901" s="1087"/>
      <c r="CP901" s="629"/>
      <c r="CQ901" s="1086"/>
      <c r="CR901" s="1088"/>
      <c r="CS901" s="1089"/>
      <c r="CT901" s="1086"/>
      <c r="CU901" s="1087"/>
      <c r="CV901" s="1090"/>
      <c r="CW901" s="853"/>
      <c r="CX901" s="856"/>
      <c r="CY901" s="856"/>
    </row>
    <row r="902" spans="1:103" ht="15" customHeight="1" x14ac:dyDescent="0.25">
      <c r="E902" s="1108"/>
      <c r="K902" s="1063"/>
      <c r="N902" s="1110"/>
      <c r="P902" s="1112"/>
      <c r="Q902" s="1113"/>
      <c r="R902" s="1114"/>
      <c r="S902" s="1115"/>
      <c r="AI902" s="1057"/>
      <c r="AJ902" s="1057"/>
      <c r="AO902" s="1057"/>
      <c r="AT902" s="1106"/>
      <c r="AU902" s="1057"/>
      <c r="BB902" s="305"/>
      <c r="BC902" s="171"/>
      <c r="BH902" s="1116"/>
      <c r="BI902" s="1057"/>
      <c r="BL902" s="1102"/>
      <c r="BM902" s="1057"/>
      <c r="BN902" s="1102"/>
      <c r="BO902" s="1057"/>
      <c r="BR902" s="1114"/>
      <c r="BW902" s="1057"/>
      <c r="BX902" s="79"/>
      <c r="BY902" s="1057"/>
      <c r="CX902" s="1110"/>
      <c r="CY902" s="1110"/>
    </row>
    <row r="903" spans="1:103" ht="15" customHeight="1" x14ac:dyDescent="0.25">
      <c r="E903" s="1108"/>
      <c r="K903" s="1063"/>
      <c r="N903" s="1110"/>
      <c r="P903" s="1112"/>
      <c r="Q903" s="1113"/>
      <c r="R903" s="1114"/>
      <c r="S903" s="1115"/>
      <c r="AI903" s="1057"/>
      <c r="AJ903" s="1057"/>
      <c r="AO903" s="1057"/>
      <c r="AT903" s="1106"/>
      <c r="AU903" s="1057"/>
      <c r="BB903" s="305"/>
      <c r="BC903" s="171"/>
      <c r="BH903" s="1116"/>
      <c r="BI903" s="1057"/>
      <c r="BL903" s="1102"/>
      <c r="BM903" s="1057"/>
      <c r="BN903" s="1102"/>
      <c r="BO903" s="1057"/>
      <c r="BR903" s="1114"/>
      <c r="BW903" s="1057"/>
      <c r="BX903" s="79"/>
      <c r="BY903" s="1057"/>
      <c r="CX903" s="1110"/>
      <c r="CY903" s="1110"/>
    </row>
    <row r="904" spans="1:103" ht="15" customHeight="1" x14ac:dyDescent="0.25">
      <c r="E904" s="1108"/>
      <c r="K904" s="1063"/>
      <c r="N904" s="1110"/>
      <c r="P904" s="1112"/>
      <c r="Q904" s="1113"/>
      <c r="R904" s="1114"/>
      <c r="S904" s="1115"/>
      <c r="AI904" s="1057"/>
      <c r="AJ904" s="1057"/>
      <c r="AO904" s="1057"/>
      <c r="AT904" s="1106"/>
      <c r="AU904" s="1057"/>
      <c r="BB904" s="1123"/>
      <c r="BC904" s="1057"/>
      <c r="BH904" s="1116"/>
      <c r="BI904" s="1057"/>
      <c r="BL904" s="1102"/>
      <c r="BM904" s="1057"/>
      <c r="BN904" s="1102"/>
      <c r="BO904" s="1057"/>
      <c r="BR904" s="1114"/>
      <c r="BW904" s="1057"/>
      <c r="BX904" s="79"/>
      <c r="BY904" s="1057"/>
      <c r="CX904" s="1110"/>
      <c r="CY904" s="1110"/>
    </row>
    <row r="905" spans="1:103" ht="15" customHeight="1" x14ac:dyDescent="0.25">
      <c r="E905" s="1108"/>
      <c r="K905" s="1063"/>
      <c r="N905" s="1110"/>
      <c r="P905" s="1112"/>
      <c r="Q905" s="1113"/>
      <c r="R905" s="1114"/>
      <c r="S905" s="1115"/>
      <c r="AI905" s="1057"/>
      <c r="AJ905" s="1057"/>
      <c r="AO905" s="1057"/>
      <c r="AT905" s="1106"/>
      <c r="AU905" s="1057"/>
      <c r="BB905" s="1123"/>
      <c r="BC905" s="1057"/>
      <c r="BH905" s="1116"/>
      <c r="BI905" s="1057"/>
      <c r="BL905" s="1102"/>
      <c r="BM905" s="1057"/>
      <c r="BN905" s="1102"/>
      <c r="BO905" s="1057"/>
      <c r="BR905" s="1114"/>
      <c r="BW905" s="1057"/>
      <c r="BX905" s="79"/>
      <c r="BY905" s="1057"/>
      <c r="CX905" s="1110"/>
      <c r="CY905" s="1110"/>
    </row>
    <row r="906" spans="1:103" ht="15" customHeight="1" x14ac:dyDescent="0.25">
      <c r="E906" s="1108"/>
      <c r="K906" s="1063"/>
      <c r="N906" s="1110"/>
      <c r="P906" s="1112"/>
      <c r="Q906" s="1113"/>
      <c r="R906" s="1114"/>
      <c r="S906" s="1115"/>
      <c r="AI906" s="1057"/>
      <c r="AJ906" s="1057"/>
      <c r="AO906" s="1057"/>
      <c r="AT906" s="1106"/>
      <c r="AU906" s="1057"/>
      <c r="BB906" s="1123"/>
      <c r="BC906" s="1057"/>
      <c r="BH906" s="1116"/>
      <c r="BI906" s="1057"/>
      <c r="BL906" s="1102"/>
      <c r="BM906" s="1057"/>
      <c r="BN906" s="1102"/>
      <c r="BO906" s="1057"/>
      <c r="BR906" s="1114"/>
      <c r="BW906" s="1057"/>
      <c r="BX906" s="79"/>
      <c r="BY906" s="1057"/>
      <c r="CX906" s="1110"/>
      <c r="CY906" s="1110"/>
    </row>
    <row r="907" spans="1:103" ht="15" customHeight="1" x14ac:dyDescent="0.25">
      <c r="E907" s="1108"/>
      <c r="K907" s="1063"/>
      <c r="N907" s="1110"/>
      <c r="P907" s="1112"/>
      <c r="Q907" s="1113"/>
      <c r="R907" s="1114"/>
      <c r="S907" s="1115"/>
      <c r="AI907" s="1057"/>
      <c r="AJ907" s="1057"/>
      <c r="AO907" s="1057"/>
      <c r="AT907" s="1106"/>
      <c r="AU907" s="1057"/>
      <c r="BB907" s="1123"/>
      <c r="BC907" s="1057"/>
      <c r="BH907" s="1116"/>
      <c r="BI907" s="1057"/>
      <c r="BL907" s="1102"/>
      <c r="BM907" s="1057"/>
      <c r="BN907" s="1102"/>
      <c r="BO907" s="1057"/>
      <c r="BR907" s="1114"/>
      <c r="BW907" s="1057"/>
      <c r="BX907" s="79"/>
      <c r="BY907" s="1057"/>
      <c r="CX907" s="1110"/>
      <c r="CY907" s="1110"/>
    </row>
    <row r="908" spans="1:103" ht="15" customHeight="1" x14ac:dyDescent="0.25">
      <c r="E908" s="1108"/>
      <c r="K908" s="1063"/>
      <c r="N908" s="1110"/>
      <c r="P908" s="1112"/>
      <c r="Q908" s="1113"/>
      <c r="R908" s="1114"/>
      <c r="S908" s="1115"/>
      <c r="AI908" s="1057"/>
      <c r="AJ908" s="1057"/>
      <c r="AO908" s="1057"/>
      <c r="AT908" s="1106"/>
      <c r="AU908" s="1057"/>
      <c r="BB908" s="1123"/>
      <c r="BC908" s="1057"/>
      <c r="BH908" s="1116"/>
      <c r="BI908" s="1057"/>
      <c r="BL908" s="1102"/>
      <c r="BM908" s="1057"/>
      <c r="BN908" s="1102"/>
      <c r="BO908" s="1057"/>
      <c r="BR908" s="1114"/>
      <c r="BW908" s="1057"/>
      <c r="BX908" s="79"/>
      <c r="BY908" s="1057"/>
      <c r="CX908" s="1110"/>
      <c r="CY908" s="1110"/>
    </row>
    <row r="909" spans="1:103" ht="15" customHeight="1" x14ac:dyDescent="0.25">
      <c r="E909" s="1108"/>
      <c r="K909" s="1063"/>
      <c r="N909" s="1110"/>
      <c r="P909" s="1112"/>
      <c r="Q909" s="1113"/>
      <c r="R909" s="1114"/>
      <c r="S909" s="1115"/>
      <c r="AI909" s="1057"/>
      <c r="AJ909" s="1057"/>
      <c r="AO909" s="1057"/>
      <c r="AT909" s="1106"/>
      <c r="AU909" s="1057"/>
      <c r="BB909" s="1123"/>
      <c r="BC909" s="1057"/>
      <c r="BH909" s="1116"/>
      <c r="BI909" s="1057"/>
      <c r="BL909" s="1102"/>
      <c r="BM909" s="1057"/>
      <c r="BN909" s="1102"/>
      <c r="BO909" s="1057"/>
      <c r="BR909" s="1114"/>
      <c r="BW909" s="1057"/>
      <c r="BX909" s="79"/>
      <c r="BY909" s="1057"/>
      <c r="CX909" s="1110"/>
      <c r="CY909" s="1110"/>
    </row>
    <row r="910" spans="1:103" ht="15" customHeight="1" x14ac:dyDescent="0.25">
      <c r="E910" s="1108"/>
      <c r="K910" s="1063"/>
      <c r="N910" s="1110"/>
      <c r="P910" s="1112"/>
      <c r="Q910" s="1113"/>
      <c r="R910" s="1114"/>
      <c r="S910" s="1115"/>
      <c r="AI910" s="1057"/>
      <c r="AJ910" s="1057"/>
      <c r="AO910" s="1057"/>
      <c r="AT910" s="1106"/>
      <c r="AU910" s="1057"/>
      <c r="BB910" s="1123"/>
      <c r="BC910" s="1057"/>
      <c r="BH910" s="1116"/>
      <c r="BI910" s="1057"/>
      <c r="BL910" s="1102"/>
      <c r="BM910" s="1057"/>
      <c r="BN910" s="1102"/>
      <c r="BO910" s="1057"/>
      <c r="BR910" s="1114"/>
      <c r="BW910" s="1057"/>
      <c r="BX910" s="79"/>
      <c r="BY910" s="1057"/>
      <c r="CX910" s="1110"/>
      <c r="CY910" s="1110"/>
    </row>
    <row r="911" spans="1:103" ht="15" customHeight="1" x14ac:dyDescent="0.25">
      <c r="E911" s="1108"/>
      <c r="AO911" s="1057"/>
      <c r="AT911" s="1106"/>
      <c r="AU911" s="1057"/>
    </row>
    <row r="912" spans="1:103" ht="15" customHeight="1" x14ac:dyDescent="0.25">
      <c r="E912" s="1108"/>
      <c r="AO912" s="1057"/>
      <c r="AT912" s="1106"/>
      <c r="AU912" s="1057"/>
    </row>
    <row r="913" spans="5:47" ht="15" customHeight="1" x14ac:dyDescent="0.25">
      <c r="E913" s="1108"/>
      <c r="AO913" s="1057"/>
      <c r="AT913" s="1106"/>
      <c r="AU913" s="1057"/>
    </row>
    <row r="914" spans="5:47" ht="15" customHeight="1" x14ac:dyDescent="0.25">
      <c r="E914" s="1108"/>
      <c r="AO914" s="1057"/>
      <c r="AT914" s="1106"/>
      <c r="AU914" s="1057"/>
    </row>
    <row r="915" spans="5:47" ht="15" customHeight="1" x14ac:dyDescent="0.25">
      <c r="E915" s="1108"/>
      <c r="AO915" s="1057"/>
      <c r="AT915" s="1106"/>
      <c r="AU915" s="1057"/>
    </row>
    <row r="916" spans="5:47" ht="15" customHeight="1" x14ac:dyDescent="0.25">
      <c r="E916" s="1108"/>
      <c r="AO916" s="1057"/>
      <c r="AT916" s="1106"/>
      <c r="AU916" s="1057"/>
    </row>
    <row r="917" spans="5:47" ht="15" customHeight="1" x14ac:dyDescent="0.25">
      <c r="E917" s="1108"/>
      <c r="AO917" s="1057"/>
      <c r="AT917" s="1106"/>
      <c r="AU917" s="1057"/>
    </row>
    <row r="918" spans="5:47" ht="15" customHeight="1" x14ac:dyDescent="0.25">
      <c r="E918" s="1108"/>
      <c r="AO918" s="1057"/>
      <c r="AT918" s="1106"/>
      <c r="AU918" s="1057"/>
    </row>
    <row r="919" spans="5:47" ht="15" customHeight="1" x14ac:dyDescent="0.25">
      <c r="E919" s="1108"/>
      <c r="AO919" s="1057"/>
      <c r="AT919" s="1106"/>
      <c r="AU919" s="1057"/>
    </row>
    <row r="920" spans="5:47" ht="15" customHeight="1" x14ac:dyDescent="0.25">
      <c r="E920" s="1108"/>
      <c r="AO920" s="1057"/>
      <c r="AT920" s="1106"/>
      <c r="AU920" s="1057"/>
    </row>
    <row r="921" spans="5:47" ht="15" customHeight="1" x14ac:dyDescent="0.25">
      <c r="E921" s="1108"/>
      <c r="AO921" s="1057"/>
      <c r="AT921" s="1106"/>
      <c r="AU921" s="1057"/>
    </row>
    <row r="922" spans="5:47" ht="15" customHeight="1" x14ac:dyDescent="0.25">
      <c r="E922" s="1108"/>
      <c r="AO922" s="1057"/>
      <c r="AT922" s="1106"/>
      <c r="AU922" s="1057"/>
    </row>
    <row r="923" spans="5:47" ht="15" customHeight="1" x14ac:dyDescent="0.25">
      <c r="E923" s="1108"/>
      <c r="AO923" s="1057"/>
      <c r="AT923" s="1106"/>
      <c r="AU923" s="1057"/>
    </row>
    <row r="924" spans="5:47" ht="15" customHeight="1" x14ac:dyDescent="0.25">
      <c r="E924" s="1108"/>
      <c r="AO924" s="1057"/>
      <c r="AT924" s="1106"/>
      <c r="AU924" s="1057"/>
    </row>
    <row r="925" spans="5:47" ht="15" customHeight="1" x14ac:dyDescent="0.25">
      <c r="E925" s="1108"/>
      <c r="AO925" s="1057"/>
      <c r="AT925" s="1106"/>
      <c r="AU925" s="1057"/>
    </row>
    <row r="926" spans="5:47" ht="15" customHeight="1" x14ac:dyDescent="0.25">
      <c r="E926" s="1108"/>
      <c r="AO926" s="1057"/>
      <c r="AT926" s="1106"/>
      <c r="AU926" s="1057"/>
    </row>
    <row r="927" spans="5:47" ht="15" customHeight="1" x14ac:dyDescent="0.25">
      <c r="E927" s="1108"/>
      <c r="AO927" s="1057"/>
      <c r="AT927" s="1106"/>
      <c r="AU927" s="1057"/>
    </row>
    <row r="928" spans="5:47" ht="15" customHeight="1" x14ac:dyDescent="0.25">
      <c r="E928" s="1108"/>
      <c r="AO928" s="1057"/>
      <c r="AT928" s="1106"/>
      <c r="AU928" s="1057"/>
    </row>
    <row r="929" spans="5:47" ht="15" customHeight="1" x14ac:dyDescent="0.25">
      <c r="E929" s="1108"/>
      <c r="AO929" s="1057"/>
      <c r="AT929" s="1106"/>
      <c r="AU929" s="1057"/>
    </row>
    <row r="930" spans="5:47" ht="15" customHeight="1" x14ac:dyDescent="0.25">
      <c r="E930" s="1108"/>
      <c r="AO930" s="1057"/>
      <c r="AT930" s="1106"/>
      <c r="AU930" s="1057"/>
    </row>
    <row r="931" spans="5:47" ht="15" customHeight="1" x14ac:dyDescent="0.25">
      <c r="E931" s="1108"/>
      <c r="AO931" s="1057"/>
      <c r="AT931" s="1106"/>
      <c r="AU931" s="1057"/>
    </row>
    <row r="932" spans="5:47" ht="15" customHeight="1" x14ac:dyDescent="0.25">
      <c r="E932" s="1108"/>
      <c r="AO932" s="1057"/>
      <c r="AT932" s="1106"/>
      <c r="AU932" s="1057"/>
    </row>
    <row r="933" spans="5:47" ht="15" customHeight="1" x14ac:dyDescent="0.25">
      <c r="E933" s="1108"/>
      <c r="AO933" s="1057"/>
      <c r="AT933" s="1106"/>
      <c r="AU933" s="1057"/>
    </row>
    <row r="934" spans="5:47" ht="15" customHeight="1" x14ac:dyDescent="0.25">
      <c r="E934" s="1108"/>
      <c r="AO934" s="1057"/>
      <c r="AT934" s="1106"/>
      <c r="AU934" s="1057"/>
    </row>
    <row r="935" spans="5:47" ht="15" customHeight="1" x14ac:dyDescent="0.25">
      <c r="E935" s="1108"/>
      <c r="AO935" s="1057"/>
      <c r="AT935" s="1106"/>
      <c r="AU935" s="1057"/>
    </row>
    <row r="936" spans="5:47" ht="15" customHeight="1" x14ac:dyDescent="0.25">
      <c r="AO936" s="1057"/>
      <c r="AT936" s="1106"/>
      <c r="AU936" s="1057"/>
    </row>
    <row r="937" spans="5:47" ht="15" customHeight="1" x14ac:dyDescent="0.25">
      <c r="E937" s="1108"/>
      <c r="AO937" s="1057"/>
      <c r="AT937" s="1106"/>
      <c r="AU937" s="1057"/>
    </row>
    <row r="938" spans="5:47" ht="15" customHeight="1" x14ac:dyDescent="0.25">
      <c r="E938" s="1108"/>
      <c r="AO938" s="1057"/>
      <c r="AT938" s="1106"/>
      <c r="AU938" s="1057"/>
    </row>
    <row r="939" spans="5:47" ht="15" customHeight="1" x14ac:dyDescent="0.25">
      <c r="E939" s="1108"/>
      <c r="AO939" s="1057"/>
      <c r="AT939" s="1106"/>
      <c r="AU939" s="1057"/>
    </row>
    <row r="940" spans="5:47" ht="15" customHeight="1" x14ac:dyDescent="0.25">
      <c r="E940" s="1108"/>
      <c r="AO940" s="1057"/>
      <c r="AT940" s="1106"/>
      <c r="AU940" s="1057"/>
    </row>
    <row r="941" spans="5:47" ht="15" customHeight="1" x14ac:dyDescent="0.25">
      <c r="E941" s="1108"/>
      <c r="AO941" s="1057"/>
      <c r="AT941" s="1106"/>
      <c r="AU941" s="1057"/>
    </row>
    <row r="942" spans="5:47" ht="15" customHeight="1" x14ac:dyDescent="0.25">
      <c r="E942" s="1108"/>
      <c r="AO942" s="1057"/>
      <c r="AT942" s="1106"/>
      <c r="AU942" s="1057"/>
    </row>
    <row r="943" spans="5:47" ht="15" customHeight="1" x14ac:dyDescent="0.25">
      <c r="E943" s="1108"/>
      <c r="AO943" s="1057"/>
      <c r="AT943" s="1106"/>
      <c r="AU943" s="1057"/>
    </row>
    <row r="944" spans="5:47" ht="15" customHeight="1" x14ac:dyDescent="0.25">
      <c r="AO944" s="1057"/>
      <c r="AT944" s="1106"/>
      <c r="AU944" s="1057"/>
    </row>
    <row r="945" spans="41:47" ht="15" customHeight="1" x14ac:dyDescent="0.25">
      <c r="AO945" s="1057"/>
      <c r="AT945" s="1106"/>
      <c r="AU945" s="1057"/>
    </row>
    <row r="946" spans="41:47" ht="15" customHeight="1" x14ac:dyDescent="0.25">
      <c r="AO946" s="1057"/>
      <c r="AT946" s="1106"/>
      <c r="AU946" s="1057"/>
    </row>
    <row r="947" spans="41:47" ht="15" customHeight="1" x14ac:dyDescent="0.25">
      <c r="AO947" s="1057"/>
      <c r="AT947" s="1106"/>
      <c r="AU947" s="1057"/>
    </row>
    <row r="948" spans="41:47" ht="15" customHeight="1" x14ac:dyDescent="0.25">
      <c r="AO948" s="1057"/>
      <c r="AT948" s="1106"/>
      <c r="AU948" s="1057"/>
    </row>
    <row r="949" spans="41:47" ht="15" customHeight="1" x14ac:dyDescent="0.25">
      <c r="AO949" s="1057"/>
      <c r="AT949" s="1106"/>
      <c r="AU949" s="1057"/>
    </row>
    <row r="950" spans="41:47" ht="15" customHeight="1" x14ac:dyDescent="0.25">
      <c r="AO950" s="1057"/>
      <c r="AT950" s="1106"/>
      <c r="AU950" s="1057"/>
    </row>
    <row r="951" spans="41:47" ht="15" customHeight="1" x14ac:dyDescent="0.25">
      <c r="AO951" s="1057"/>
      <c r="AT951" s="1106"/>
      <c r="AU951" s="1057"/>
    </row>
    <row r="952" spans="41:47" ht="15" customHeight="1" x14ac:dyDescent="0.25">
      <c r="AO952" s="1057"/>
      <c r="AT952" s="1106"/>
      <c r="AU952" s="1057"/>
    </row>
    <row r="953" spans="41:47" ht="15" customHeight="1" x14ac:dyDescent="0.25">
      <c r="AO953" s="1057"/>
      <c r="AT953" s="1106"/>
      <c r="AU953" s="1057"/>
    </row>
    <row r="954" spans="41:47" ht="15" customHeight="1" x14ac:dyDescent="0.25">
      <c r="AO954" s="1057"/>
      <c r="AT954" s="1106"/>
      <c r="AU954" s="1057"/>
    </row>
    <row r="955" spans="41:47" ht="15" customHeight="1" x14ac:dyDescent="0.25">
      <c r="AO955" s="1057"/>
      <c r="AT955" s="1106"/>
      <c r="AU955" s="1057"/>
    </row>
    <row r="956" spans="41:47" ht="15" customHeight="1" x14ac:dyDescent="0.25">
      <c r="AO956" s="1057"/>
      <c r="AT956" s="1106"/>
      <c r="AU956" s="1057"/>
    </row>
    <row r="957" spans="41:47" ht="15" customHeight="1" x14ac:dyDescent="0.25">
      <c r="AO957" s="1057"/>
      <c r="AT957" s="1106"/>
      <c r="AU957" s="1057"/>
    </row>
    <row r="958" spans="41:47" ht="15" customHeight="1" x14ac:dyDescent="0.25">
      <c r="AO958" s="1057"/>
      <c r="AT958" s="1106"/>
      <c r="AU958" s="1057"/>
    </row>
    <row r="959" spans="41:47" ht="15" customHeight="1" x14ac:dyDescent="0.25">
      <c r="AO959" s="1057"/>
      <c r="AT959" s="1106"/>
      <c r="AU959" s="1057"/>
    </row>
    <row r="960" spans="41:47" ht="15" customHeight="1" x14ac:dyDescent="0.25">
      <c r="AO960" s="1057"/>
      <c r="AT960" s="1106"/>
      <c r="AU960" s="1057"/>
    </row>
    <row r="961" spans="41:47" ht="15" customHeight="1" x14ac:dyDescent="0.25">
      <c r="AO961" s="1057"/>
      <c r="AT961" s="1106"/>
      <c r="AU961" s="1057"/>
    </row>
    <row r="962" spans="41:47" ht="15" customHeight="1" x14ac:dyDescent="0.25">
      <c r="AO962" s="1057"/>
      <c r="AT962" s="1106"/>
      <c r="AU962" s="1057"/>
    </row>
    <row r="963" spans="41:47" ht="15" customHeight="1" x14ac:dyDescent="0.25">
      <c r="AO963" s="1057"/>
      <c r="AT963" s="1106"/>
      <c r="AU963" s="1057"/>
    </row>
    <row r="964" spans="41:47" ht="15" customHeight="1" x14ac:dyDescent="0.25">
      <c r="AO964" s="1057"/>
      <c r="AT964" s="1106"/>
      <c r="AU964" s="1057"/>
    </row>
    <row r="965" spans="41:47" ht="15" customHeight="1" x14ac:dyDescent="0.25">
      <c r="AO965" s="1057"/>
      <c r="AT965" s="1106"/>
      <c r="AU965" s="1057"/>
    </row>
    <row r="966" spans="41:47" ht="15" customHeight="1" x14ac:dyDescent="0.25">
      <c r="AO966" s="1057"/>
      <c r="AT966" s="1106"/>
      <c r="AU966" s="1057"/>
    </row>
    <row r="967" spans="41:47" ht="15" customHeight="1" x14ac:dyDescent="0.25">
      <c r="AO967" s="1057"/>
      <c r="AT967" s="1106"/>
      <c r="AU967" s="1057"/>
    </row>
    <row r="968" spans="41:47" ht="15" customHeight="1" x14ac:dyDescent="0.25">
      <c r="AO968" s="1057"/>
      <c r="AT968" s="1106"/>
      <c r="AU968" s="1057"/>
    </row>
    <row r="969" spans="41:47" ht="15" customHeight="1" x14ac:dyDescent="0.25">
      <c r="AO969" s="1057"/>
      <c r="AT969" s="1106"/>
      <c r="AU969" s="1057"/>
    </row>
    <row r="970" spans="41:47" ht="15" customHeight="1" x14ac:dyDescent="0.25">
      <c r="AO970" s="1057"/>
      <c r="AT970" s="1106"/>
      <c r="AU970" s="1057"/>
    </row>
    <row r="971" spans="41:47" ht="15" customHeight="1" x14ac:dyDescent="0.25">
      <c r="AO971" s="1057"/>
      <c r="AT971" s="1106"/>
      <c r="AU971" s="1057"/>
    </row>
    <row r="972" spans="41:47" ht="15" customHeight="1" x14ac:dyDescent="0.25">
      <c r="AO972" s="1057"/>
      <c r="AT972" s="1106"/>
      <c r="AU972" s="1057"/>
    </row>
    <row r="973" spans="41:47" ht="15" customHeight="1" x14ac:dyDescent="0.25">
      <c r="AO973" s="1057"/>
      <c r="AT973" s="1106"/>
      <c r="AU973" s="1057"/>
    </row>
    <row r="974" spans="41:47" ht="15" customHeight="1" x14ac:dyDescent="0.25">
      <c r="AO974" s="1057"/>
      <c r="AT974" s="1106"/>
      <c r="AU974" s="1057"/>
    </row>
    <row r="975" spans="41:47" ht="15" customHeight="1" x14ac:dyDescent="0.25">
      <c r="AO975" s="1057"/>
      <c r="AT975" s="1106"/>
      <c r="AU975" s="1057"/>
    </row>
    <row r="976" spans="41:47" ht="15" customHeight="1" x14ac:dyDescent="0.25">
      <c r="AO976" s="1057"/>
      <c r="AT976" s="1106"/>
      <c r="AU976" s="1057"/>
    </row>
    <row r="999" spans="17:17" ht="15" customHeight="1" x14ac:dyDescent="0.25">
      <c r="Q999" s="1128"/>
    </row>
  </sheetData>
  <protectedRanges>
    <protectedRange algorithmName="SHA-512" hashValue="PBP16t52WBs1MFIByN44JKE2ldO1AdjPj9FhbGSdiuCJiYZGaEiJtkJZTtu2Mp6ook3iGTwiaRM619ka5TgijA==" saltValue="F+RxutddhdhK2r1J9Uuagw==" spinCount="100000" sqref="CR2" name="Range1_1" securityDescriptor="O:WDG:WDD:(A;;CC;;;S-1-5-21-967339815-1489575466-1849977318-208891)"/>
  </protectedRanges>
  <autoFilter ref="A2:EA883" xr:uid="{3EE71AFC-D27C-4D06-A85F-B3882BB05224}"/>
  <sortState xmlns:xlrd2="http://schemas.microsoft.com/office/spreadsheetml/2017/richdata2" ref="A3:DA999">
    <sortCondition ref="W1:W999"/>
  </sortState>
  <mergeCells count="6">
    <mergeCell ref="BS1:BW1"/>
    <mergeCell ref="BE1:BH1"/>
    <mergeCell ref="BI1:BJ1"/>
    <mergeCell ref="BK1:BN1"/>
    <mergeCell ref="BO1:BP1"/>
    <mergeCell ref="BQ1:BR1"/>
  </mergeCells>
  <conditionalFormatting sqref="E745:E758 E273:E274 E146:E207 E324:E498 E3:E93 E500:E507 E276:E291 E518:E635 E637:E732 E773:E1048576 E95:E105 E107:E141">
    <cfRule type="duplicateValues" dxfId="12298" priority="1765"/>
  </conditionalFormatting>
  <conditionalFormatting sqref="E745:E758 E273:E274 E146:E207 E324:E498 E3:E93 E500:E507 E276:E291 E518:E635 E637:E732 E773:E1048576 E95:E105 E107:E141">
    <cfRule type="duplicateValues" dxfId="12297" priority="1708"/>
    <cfRule type="duplicateValues" dxfId="12296" priority="1709"/>
  </conditionalFormatting>
  <conditionalFormatting sqref="E4:E5">
    <cfRule type="duplicateValues" dxfId="12295" priority="4769"/>
    <cfRule type="duplicateValues" dxfId="12294" priority="4770"/>
    <cfRule type="duplicateValues" dxfId="12293" priority="4771"/>
    <cfRule type="duplicateValues" dxfId="12292" priority="4772"/>
    <cfRule type="duplicateValues" dxfId="12291" priority="4773"/>
    <cfRule type="duplicateValues" dxfId="12290" priority="4774"/>
    <cfRule type="duplicateValues" dxfId="12289" priority="4775"/>
    <cfRule type="duplicateValues" dxfId="12288" priority="4776"/>
    <cfRule type="duplicateValues" dxfId="12287" priority="4777"/>
    <cfRule type="duplicateValues" dxfId="12286" priority="4778"/>
    <cfRule type="duplicateValues" dxfId="12285" priority="4779"/>
    <cfRule type="duplicateValues" dxfId="12284" priority="4780"/>
    <cfRule type="duplicateValues" dxfId="12283" priority="4781"/>
    <cfRule type="duplicateValues" dxfId="12282" priority="4782"/>
    <cfRule type="duplicateValues" dxfId="12281" priority="4783"/>
    <cfRule type="duplicateValues" dxfId="12280" priority="4784"/>
    <cfRule type="duplicateValues" dxfId="12279" priority="4785"/>
    <cfRule type="duplicateValues" dxfId="12278" priority="4786"/>
    <cfRule type="duplicateValues" dxfId="12277" priority="4787"/>
    <cfRule type="duplicateValues" dxfId="12276" priority="4788"/>
    <cfRule type="duplicateValues" dxfId="12275" priority="4789"/>
  </conditionalFormatting>
  <conditionalFormatting sqref="E5">
    <cfRule type="duplicateValues" dxfId="12274" priority="4768"/>
  </conditionalFormatting>
  <conditionalFormatting sqref="E15">
    <cfRule type="duplicateValues" dxfId="12273" priority="4674"/>
    <cfRule type="duplicateValues" dxfId="12272" priority="4675"/>
    <cfRule type="duplicateValues" dxfId="12271" priority="4676"/>
    <cfRule type="duplicateValues" dxfId="12270" priority="4677"/>
    <cfRule type="duplicateValues" dxfId="12269" priority="4678"/>
    <cfRule type="duplicateValues" dxfId="12268" priority="4679"/>
    <cfRule type="duplicateValues" dxfId="12267" priority="4680"/>
    <cfRule type="duplicateValues" dxfId="12266" priority="4681"/>
    <cfRule type="duplicateValues" dxfId="12265" priority="4682"/>
    <cfRule type="duplicateValues" dxfId="12264" priority="4683"/>
    <cfRule type="duplicateValues" dxfId="12263" priority="4684"/>
    <cfRule type="duplicateValues" dxfId="12262" priority="4685"/>
    <cfRule type="duplicateValues" dxfId="12261" priority="4686"/>
    <cfRule type="duplicateValues" dxfId="12260" priority="4687"/>
    <cfRule type="duplicateValues" dxfId="12259" priority="4688"/>
    <cfRule type="duplicateValues" dxfId="12258" priority="4689"/>
    <cfRule type="duplicateValues" dxfId="12257" priority="4690"/>
    <cfRule type="duplicateValues" dxfId="12256" priority="4691"/>
    <cfRule type="duplicateValues" dxfId="12255" priority="4692"/>
    <cfRule type="duplicateValues" dxfId="12254" priority="4693"/>
    <cfRule type="duplicateValues" dxfId="12253" priority="4694"/>
    <cfRule type="duplicateValues" dxfId="12252" priority="4695"/>
    <cfRule type="duplicateValues" dxfId="12251" priority="4696"/>
    <cfRule type="duplicateValues" dxfId="12250" priority="4697"/>
    <cfRule type="duplicateValues" dxfId="12249" priority="4698"/>
    <cfRule type="duplicateValues" dxfId="12248" priority="4699"/>
    <cfRule type="duplicateValues" dxfId="12247" priority="4700"/>
    <cfRule type="duplicateValues" dxfId="12246" priority="4701"/>
    <cfRule type="duplicateValues" dxfId="12245" priority="4702"/>
    <cfRule type="duplicateValues" dxfId="12244" priority="4703"/>
    <cfRule type="duplicateValues" dxfId="12243" priority="4704"/>
    <cfRule type="duplicateValues" dxfId="12242" priority="4705"/>
    <cfRule type="duplicateValues" dxfId="12241" priority="4706"/>
    <cfRule type="duplicateValues" dxfId="12240" priority="4707"/>
    <cfRule type="duplicateValues" dxfId="12239" priority="4708"/>
    <cfRule type="duplicateValues" dxfId="12238" priority="4709"/>
    <cfRule type="duplicateValues" dxfId="12237" priority="4710"/>
    <cfRule type="duplicateValues" dxfId="12236" priority="4711"/>
    <cfRule type="duplicateValues" dxfId="12235" priority="4712"/>
    <cfRule type="duplicateValues" dxfId="12234" priority="4713"/>
    <cfRule type="duplicateValues" dxfId="12233" priority="4714"/>
    <cfRule type="duplicateValues" dxfId="12232" priority="4715"/>
    <cfRule type="duplicateValues" dxfId="12231" priority="4716"/>
    <cfRule type="duplicateValues" dxfId="12230" priority="4717"/>
    <cfRule type="duplicateValues" dxfId="12229" priority="4718"/>
    <cfRule type="duplicateValues" dxfId="12228" priority="4719"/>
    <cfRule type="duplicateValues" dxfId="12227" priority="4720"/>
    <cfRule type="duplicateValues" dxfId="12226" priority="4721"/>
    <cfRule type="duplicateValues" dxfId="12225" priority="4722"/>
    <cfRule type="duplicateValues" dxfId="12224" priority="4723"/>
    <cfRule type="duplicateValues" dxfId="12223" priority="4724"/>
    <cfRule type="duplicateValues" dxfId="12222" priority="4725"/>
    <cfRule type="duplicateValues" dxfId="12221" priority="4726"/>
    <cfRule type="duplicateValues" dxfId="12220" priority="4727"/>
    <cfRule type="duplicateValues" dxfId="12219" priority="4728"/>
    <cfRule type="duplicateValues" dxfId="12218" priority="4729"/>
    <cfRule type="duplicateValues" dxfId="12217" priority="4730"/>
    <cfRule type="duplicateValues" dxfId="12216" priority="4731"/>
    <cfRule type="duplicateValues" dxfId="12215" priority="4732"/>
    <cfRule type="duplicateValues" dxfId="12214" priority="4733"/>
    <cfRule type="duplicateValues" dxfId="12213" priority="4734"/>
    <cfRule type="duplicateValues" dxfId="12212" priority="4735"/>
    <cfRule type="duplicateValues" dxfId="12211" priority="4736"/>
  </conditionalFormatting>
  <conditionalFormatting sqref="E55:E56">
    <cfRule type="duplicateValues" dxfId="12210" priority="4481"/>
    <cfRule type="duplicateValues" dxfId="12209" priority="4482"/>
    <cfRule type="duplicateValues" dxfId="12208" priority="4483"/>
    <cfRule type="duplicateValues" dxfId="12207" priority="4484"/>
    <cfRule type="duplicateValues" dxfId="12206" priority="4485"/>
    <cfRule type="duplicateValues" dxfId="12205" priority="4486"/>
    <cfRule type="duplicateValues" dxfId="12204" priority="4487"/>
    <cfRule type="duplicateValues" dxfId="12203" priority="4488"/>
    <cfRule type="duplicateValues" dxfId="12202" priority="4489"/>
    <cfRule type="duplicateValues" dxfId="12201" priority="4490"/>
    <cfRule type="duplicateValues" dxfId="12200" priority="4491"/>
    <cfRule type="duplicateValues" dxfId="12199" priority="4492"/>
    <cfRule type="duplicateValues" dxfId="12198" priority="4493"/>
    <cfRule type="duplicateValues" dxfId="12197" priority="4494"/>
    <cfRule type="duplicateValues" dxfId="12196" priority="4495"/>
    <cfRule type="duplicateValues" dxfId="12195" priority="4496"/>
    <cfRule type="duplicateValues" dxfId="12194" priority="4497"/>
    <cfRule type="duplicateValues" dxfId="12193" priority="4498"/>
    <cfRule type="duplicateValues" dxfId="12192" priority="4499"/>
    <cfRule type="duplicateValues" dxfId="12191" priority="4500"/>
    <cfRule type="duplicateValues" dxfId="12190" priority="4501"/>
    <cfRule type="duplicateValues" dxfId="12189" priority="4502"/>
    <cfRule type="duplicateValues" dxfId="12188" priority="4503"/>
    <cfRule type="duplicateValues" dxfId="12187" priority="4504"/>
    <cfRule type="duplicateValues" dxfId="12186" priority="4505"/>
    <cfRule type="duplicateValues" dxfId="12185" priority="4506"/>
    <cfRule type="duplicateValues" dxfId="12184" priority="4507"/>
    <cfRule type="duplicateValues" dxfId="12183" priority="4508"/>
    <cfRule type="duplicateValues" dxfId="12182" priority="4509"/>
    <cfRule type="duplicateValues" dxfId="12181" priority="4510"/>
    <cfRule type="duplicateValues" dxfId="12180" priority="4511"/>
    <cfRule type="duplicateValues" dxfId="12179" priority="4512"/>
    <cfRule type="duplicateValues" dxfId="12178" priority="4513"/>
    <cfRule type="duplicateValues" dxfId="12177" priority="4514"/>
    <cfRule type="duplicateValues" dxfId="12176" priority="4515"/>
    <cfRule type="duplicateValues" dxfId="12175" priority="4516"/>
    <cfRule type="duplicateValues" dxfId="12174" priority="4517"/>
    <cfRule type="duplicateValues" dxfId="12173" priority="4518"/>
    <cfRule type="duplicateValues" dxfId="12172" priority="4519"/>
    <cfRule type="duplicateValues" dxfId="12171" priority="4520"/>
    <cfRule type="duplicateValues" dxfId="12170" priority="4521"/>
    <cfRule type="duplicateValues" dxfId="12169" priority="4522"/>
    <cfRule type="duplicateValues" dxfId="12168" priority="4523"/>
    <cfRule type="duplicateValues" dxfId="12167" priority="4524"/>
    <cfRule type="duplicateValues" dxfId="12166" priority="4525"/>
    <cfRule type="duplicateValues" dxfId="12165" priority="4526"/>
    <cfRule type="duplicateValues" dxfId="12164" priority="4527"/>
    <cfRule type="duplicateValues" dxfId="12163" priority="4528"/>
    <cfRule type="duplicateValues" dxfId="12162" priority="4529"/>
    <cfRule type="duplicateValues" dxfId="12161" priority="4530"/>
    <cfRule type="duplicateValues" dxfId="12160" priority="4531"/>
    <cfRule type="duplicateValues" dxfId="12159" priority="4532"/>
    <cfRule type="duplicateValues" dxfId="12158" priority="4533"/>
    <cfRule type="duplicateValues" dxfId="12157" priority="4534"/>
    <cfRule type="duplicateValues" dxfId="12156" priority="4535"/>
    <cfRule type="duplicateValues" dxfId="12155" priority="4536"/>
    <cfRule type="duplicateValues" dxfId="12154" priority="4537"/>
    <cfRule type="duplicateValues" dxfId="12153" priority="4538"/>
    <cfRule type="duplicateValues" dxfId="12152" priority="4539"/>
    <cfRule type="duplicateValues" dxfId="12151" priority="4540"/>
    <cfRule type="duplicateValues" dxfId="12150" priority="4541"/>
    <cfRule type="duplicateValues" dxfId="12149" priority="4542"/>
    <cfRule type="duplicateValues" dxfId="12148" priority="4543"/>
    <cfRule type="duplicateValues" dxfId="12147" priority="4544"/>
    <cfRule type="duplicateValues" dxfId="12146" priority="4545"/>
  </conditionalFormatting>
  <conditionalFormatting sqref="E745:E758 E95:E105 E273:E274 E146:E207 E324:E498 E3:E92 E500:E507 E276:E291 E518:E635 E637:E732 E773:E1048576 E107:E141">
    <cfRule type="duplicateValues" dxfId="12145" priority="30004"/>
  </conditionalFormatting>
  <conditionalFormatting sqref="E745:E758 E95:E105 E273:E274 E146:E207 E324:E498 E3:E92 E500:E507 E276:E291 E518:E635 E637:E732 E773:E1048576 E107:E141">
    <cfRule type="duplicateValues" dxfId="12144" priority="30008"/>
    <cfRule type="duplicateValues" dxfId="12143" priority="30009"/>
  </conditionalFormatting>
  <conditionalFormatting sqref="E745:E758 E91:E92 E95:E105 E273:E274 E146:E207 E324:E498 E3:E89 E500:E507 E276:E291 E518:E635 E637:E732 E773:E1048576 E107:E141">
    <cfRule type="duplicateValues" dxfId="12142" priority="29762"/>
  </conditionalFormatting>
  <conditionalFormatting sqref="E745:E758 E324:E498 E500:E507 E518:E635 E637:E732 E773:E1048576">
    <cfRule type="duplicateValues" dxfId="12141" priority="29770"/>
  </conditionalFormatting>
  <conditionalFormatting sqref="E490">
    <cfRule type="duplicateValues" dxfId="12140" priority="4394"/>
    <cfRule type="duplicateValues" dxfId="12139" priority="4395"/>
    <cfRule type="duplicateValues" dxfId="12138" priority="4396"/>
    <cfRule type="duplicateValues" dxfId="12137" priority="4397"/>
    <cfRule type="duplicateValues" dxfId="12136" priority="4398"/>
    <cfRule type="duplicateValues" dxfId="12135" priority="4399"/>
    <cfRule type="duplicateValues" dxfId="12134" priority="4400"/>
    <cfRule type="duplicateValues" dxfId="12133" priority="4401"/>
    <cfRule type="duplicateValues" dxfId="12132" priority="4402"/>
    <cfRule type="duplicateValues" dxfId="12131" priority="4403"/>
    <cfRule type="duplicateValues" dxfId="12130" priority="4404"/>
    <cfRule type="duplicateValues" dxfId="12129" priority="4405"/>
    <cfRule type="duplicateValues" dxfId="12128" priority="4406"/>
    <cfRule type="duplicateValues" dxfId="12127" priority="4407"/>
    <cfRule type="duplicateValues" dxfId="12126" priority="4408"/>
    <cfRule type="duplicateValues" dxfId="12125" priority="4409"/>
    <cfRule type="duplicateValues" dxfId="12124" priority="4410"/>
    <cfRule type="duplicateValues" dxfId="12123" priority="4411"/>
    <cfRule type="duplicateValues" dxfId="12122" priority="4412"/>
    <cfRule type="duplicateValues" dxfId="12121" priority="4413"/>
    <cfRule type="duplicateValues" dxfId="12120" priority="4414"/>
    <cfRule type="duplicateValues" dxfId="12119" priority="4415"/>
  </conditionalFormatting>
  <conditionalFormatting sqref="E490:E493">
    <cfRule type="duplicateValues" dxfId="12118" priority="27339"/>
  </conditionalFormatting>
  <conditionalFormatting sqref="E491:E493 E57:E71 E16:E54 E6:E14 E73:E85">
    <cfRule type="duplicateValues" dxfId="12117" priority="28532"/>
    <cfRule type="duplicateValues" dxfId="12116" priority="28533"/>
    <cfRule type="duplicateValues" dxfId="12115" priority="28534"/>
    <cfRule type="duplicateValues" dxfId="12114" priority="28535"/>
    <cfRule type="duplicateValues" dxfId="12113" priority="28536"/>
    <cfRule type="duplicateValues" dxfId="12112" priority="28537"/>
    <cfRule type="duplicateValues" dxfId="12111" priority="28538"/>
    <cfRule type="duplicateValues" dxfId="12110" priority="28539"/>
    <cfRule type="duplicateValues" dxfId="12109" priority="28540"/>
    <cfRule type="duplicateValues" dxfId="12108" priority="28541"/>
    <cfRule type="duplicateValues" dxfId="12107" priority="28542"/>
    <cfRule type="duplicateValues" dxfId="12106" priority="28543"/>
    <cfRule type="duplicateValues" dxfId="12105" priority="28544"/>
    <cfRule type="duplicateValues" dxfId="12104" priority="28545"/>
    <cfRule type="duplicateValues" dxfId="12103" priority="28546"/>
    <cfRule type="duplicateValues" dxfId="12102" priority="28547"/>
    <cfRule type="duplicateValues" dxfId="12101" priority="28548"/>
  </conditionalFormatting>
  <conditionalFormatting sqref="E491:E493">
    <cfRule type="duplicateValues" dxfId="12100" priority="4826"/>
    <cfRule type="duplicateValues" dxfId="12099" priority="4827"/>
    <cfRule type="duplicateValues" dxfId="12098" priority="4855"/>
    <cfRule type="duplicateValues" dxfId="12097" priority="4862"/>
    <cfRule type="duplicateValues" dxfId="12096" priority="4863"/>
    <cfRule type="duplicateValues" dxfId="12095" priority="4864"/>
    <cfRule type="duplicateValues" dxfId="12094" priority="4865"/>
    <cfRule type="duplicateValues" dxfId="12093" priority="4866"/>
  </conditionalFormatting>
  <conditionalFormatting sqref="E495">
    <cfRule type="duplicateValues" dxfId="12092" priority="3246"/>
    <cfRule type="duplicateValues" dxfId="12091" priority="3259"/>
    <cfRule type="duplicateValues" dxfId="12090" priority="3260"/>
    <cfRule type="duplicateValues" dxfId="12089" priority="3261"/>
    <cfRule type="duplicateValues" dxfId="12088" priority="3262"/>
    <cfRule type="duplicateValues" dxfId="12087" priority="3263"/>
    <cfRule type="duplicateValues" dxfId="12086" priority="3264"/>
    <cfRule type="duplicateValues" dxfId="12085" priority="3265"/>
    <cfRule type="duplicateValues" dxfId="12084" priority="3266"/>
    <cfRule type="duplicateValues" dxfId="12083" priority="3295"/>
    <cfRule type="duplicateValues" dxfId="12082" priority="3296"/>
    <cfRule type="duplicateValues" dxfId="12081" priority="28878"/>
    <cfRule type="duplicateValues" dxfId="12080" priority="28879"/>
    <cfRule type="duplicateValues" dxfId="12079" priority="28880"/>
    <cfRule type="duplicateValues" dxfId="12078" priority="28881"/>
    <cfRule type="duplicateValues" dxfId="12077" priority="28882"/>
    <cfRule type="duplicateValues" dxfId="12076" priority="28883"/>
    <cfRule type="duplicateValues" dxfId="12075" priority="28884"/>
    <cfRule type="duplicateValues" dxfId="12074" priority="28885"/>
    <cfRule type="duplicateValues" dxfId="12073" priority="28886"/>
    <cfRule type="duplicateValues" dxfId="12072" priority="28887"/>
    <cfRule type="duplicateValues" dxfId="12071" priority="28888"/>
    <cfRule type="duplicateValues" dxfId="12070" priority="28889"/>
    <cfRule type="duplicateValues" dxfId="12069" priority="28890"/>
    <cfRule type="duplicateValues" dxfId="12068" priority="28891"/>
    <cfRule type="duplicateValues" dxfId="12067" priority="28892"/>
    <cfRule type="duplicateValues" dxfId="12066" priority="28893"/>
    <cfRule type="duplicateValues" dxfId="12065" priority="28894"/>
  </conditionalFormatting>
  <conditionalFormatting sqref="E745:E758 E91:E92 E95:E105 E324:E493 E273:E274 E146:E207 E496:E498 E3:E89 E500:E507 E276:E291 E518:E635 E637:E732 E773:E1048576 E107:E141">
    <cfRule type="duplicateValues" dxfId="12064" priority="29472"/>
  </conditionalFormatting>
  <conditionalFormatting sqref="E745:E758 E490:E493 E496:E498 E3:E85 E500:E507 E518:E635 E637:E732 E773:E1048576">
    <cfRule type="duplicateValues" dxfId="12063" priority="3454"/>
    <cfRule type="duplicateValues" dxfId="12062" priority="3468"/>
    <cfRule type="duplicateValues" dxfId="12061" priority="3614"/>
    <cfRule type="duplicateValues" dxfId="12060" priority="3652"/>
  </conditionalFormatting>
  <conditionalFormatting sqref="E936 E944:E1048576">
    <cfRule type="duplicateValues" dxfId="12059" priority="16768"/>
    <cfRule type="duplicateValues" dxfId="12058" priority="16791"/>
    <cfRule type="duplicateValues" dxfId="12057" priority="16792"/>
    <cfRule type="duplicateValues" dxfId="12056" priority="16793"/>
    <cfRule type="duplicateValues" dxfId="12055" priority="16794"/>
    <cfRule type="duplicateValues" dxfId="12054" priority="16795"/>
    <cfRule type="duplicateValues" dxfId="12053" priority="16796"/>
    <cfRule type="duplicateValues" dxfId="12052" priority="16797"/>
    <cfRule type="duplicateValues" dxfId="12051" priority="16847"/>
    <cfRule type="duplicateValues" dxfId="12050" priority="16848"/>
    <cfRule type="duplicateValues" dxfId="12049" priority="16861"/>
    <cfRule type="duplicateValues" dxfId="12048" priority="16867"/>
    <cfRule type="duplicateValues" dxfId="12047" priority="16868"/>
    <cfRule type="duplicateValues" dxfId="12046" priority="16869"/>
    <cfRule type="duplicateValues" dxfId="12045" priority="16870"/>
    <cfRule type="duplicateValues" dxfId="12044" priority="16891"/>
    <cfRule type="duplicateValues" dxfId="12043" priority="16892"/>
    <cfRule type="duplicateValues" dxfId="12042" priority="16893"/>
    <cfRule type="duplicateValues" dxfId="12041" priority="16894"/>
  </conditionalFormatting>
  <conditionalFormatting sqref="E936 E944:E1048576 E490:E493 E3:E85 E496:E498 E500:E507 E518:E635 E637:E732 E745:E758 E773:E901">
    <cfRule type="duplicateValues" dxfId="12040" priority="3780"/>
    <cfRule type="duplicateValues" dxfId="12039" priority="3901"/>
    <cfRule type="duplicateValues" dxfId="12038" priority="3914"/>
    <cfRule type="duplicateValues" dxfId="12037" priority="3939"/>
    <cfRule type="duplicateValues" dxfId="12036" priority="4008"/>
  </conditionalFormatting>
  <conditionalFormatting sqref="E936 E944:E1048576 E496:E498 E500:E507 E518:E635 E637:E732 E745:E758 E773:E901">
    <cfRule type="duplicateValues" dxfId="12035" priority="9020"/>
    <cfRule type="duplicateValues" dxfId="12034" priority="9045"/>
    <cfRule type="duplicateValues" dxfId="12033" priority="11025"/>
    <cfRule type="duplicateValues" dxfId="12032" priority="11137"/>
    <cfRule type="duplicateValues" dxfId="12031" priority="11138"/>
    <cfRule type="duplicateValues" dxfId="12030" priority="11139"/>
    <cfRule type="duplicateValues" dxfId="12029" priority="11152"/>
    <cfRule type="duplicateValues" dxfId="12028" priority="11153"/>
    <cfRule type="duplicateValues" dxfId="12027" priority="23159"/>
    <cfRule type="duplicateValues" dxfId="12026" priority="23160"/>
    <cfRule type="duplicateValues" dxfId="12025" priority="23161"/>
  </conditionalFormatting>
  <conditionalFormatting sqref="E936 E944:E1048576 E496:E498 E500:E507 E518:E635 E637:E732 E745:E758 E773:E901">
    <cfRule type="duplicateValues" dxfId="12024" priority="6776"/>
    <cfRule type="duplicateValues" dxfId="12023" priority="8725"/>
    <cfRule type="duplicateValues" dxfId="12022" priority="8810"/>
    <cfRule type="duplicateValues" dxfId="12021" priority="8933"/>
    <cfRule type="duplicateValues" dxfId="12020" priority="8946"/>
    <cfRule type="duplicateValues" dxfId="12019" priority="8947"/>
  </conditionalFormatting>
  <conditionalFormatting sqref="E936 E944:E1048576 E497:E498 E500:E507 E518:E635 E637:E732 E745:E758 E773:E901">
    <cfRule type="duplicateValues" dxfId="12018" priority="23543"/>
    <cfRule type="duplicateValues" dxfId="12017" priority="23544"/>
    <cfRule type="duplicateValues" dxfId="12016" priority="23545"/>
    <cfRule type="duplicateValues" dxfId="12015" priority="23685"/>
    <cfRule type="duplicateValues" dxfId="12014" priority="23686"/>
    <cfRule type="duplicateValues" dxfId="12013" priority="23707"/>
  </conditionalFormatting>
  <conditionalFormatting sqref="E936 E944:E1048576">
    <cfRule type="duplicateValues" dxfId="12012" priority="11250"/>
    <cfRule type="duplicateValues" dxfId="12011" priority="11251"/>
    <cfRule type="duplicateValues" dxfId="12010" priority="17051"/>
    <cfRule type="duplicateValues" dxfId="12009" priority="23094"/>
    <cfRule type="duplicateValues" dxfId="12008" priority="23095"/>
    <cfRule type="duplicateValues" dxfId="12007" priority="23096"/>
    <cfRule type="duplicateValues" dxfId="12006" priority="23097"/>
    <cfRule type="duplicateValues" dxfId="12005" priority="23098"/>
  </conditionalFormatting>
  <conditionalFormatting sqref="E936">
    <cfRule type="duplicateValues" dxfId="12004" priority="9554"/>
    <cfRule type="duplicateValues" dxfId="12003" priority="11274"/>
    <cfRule type="duplicateValues" dxfId="12002" priority="11275"/>
  </conditionalFormatting>
  <conditionalFormatting sqref="E944:E1048576 E490:E493 E3:E85 E496:E498 E500:E507 E518:E635 E637:E732 E745:E758 E773:E936">
    <cfRule type="duplicateValues" dxfId="12001" priority="3653"/>
  </conditionalFormatting>
  <conditionalFormatting sqref="AB902:AB910 AC911:AC1048576 AC3:AC901">
    <cfRule type="cellIs" dxfId="12000" priority="13253" operator="greaterThan">
      <formula>50</formula>
    </cfRule>
  </conditionalFormatting>
  <conditionalFormatting sqref="AG3:AG1048576">
    <cfRule type="cellIs" dxfId="11999" priority="13249" operator="lessThan">
      <formula>NOW()</formula>
    </cfRule>
  </conditionalFormatting>
  <conditionalFormatting sqref="AH3:AH1048576">
    <cfRule type="cellIs" dxfId="11998" priority="13248" operator="lessThan">
      <formula>NOW()</formula>
    </cfRule>
  </conditionalFormatting>
  <conditionalFormatting sqref="AI3:AI1048576">
    <cfRule type="cellIs" dxfId="11997" priority="13252" operator="greaterThan">
      <formula>0.95</formula>
    </cfRule>
  </conditionalFormatting>
  <conditionalFormatting sqref="BE3:BE901">
    <cfRule type="cellIs" dxfId="11996" priority="2724" operator="equal">
      <formula>36528</formula>
    </cfRule>
    <cfRule type="cellIs" dxfId="11995" priority="2725" operator="equal">
      <formula>0</formula>
    </cfRule>
    <cfRule type="cellIs" dxfId="11994" priority="2726" operator="equal">
      <formula>36528</formula>
    </cfRule>
  </conditionalFormatting>
  <conditionalFormatting sqref="BD902:BD910 BE911:BE1048576">
    <cfRule type="cellIs" dxfId="11993" priority="12649" operator="equal">
      <formula>#REF!</formula>
    </cfRule>
    <cfRule type="cellIs" dxfId="11992" priority="12650" operator="equal">
      <formula>#REF!</formula>
    </cfRule>
    <cfRule type="cellIs" dxfId="11991" priority="12651" operator="equal">
      <formula>36528</formula>
    </cfRule>
    <cfRule type="cellIs" dxfId="11990" priority="12652" operator="equal">
      <formula>0</formula>
    </cfRule>
    <cfRule type="cellIs" dxfId="11989" priority="12653" operator="equal">
      <formula>36528</formula>
    </cfRule>
  </conditionalFormatting>
  <conditionalFormatting sqref="BE902:BE910 BF911:BF1048576">
    <cfRule type="cellIs" dxfId="11988" priority="12664" operator="equal">
      <formula>0</formula>
    </cfRule>
    <cfRule type="cellIs" dxfId="11987" priority="12665" operator="equal">
      <formula>0</formula>
    </cfRule>
    <cfRule type="cellIs" dxfId="11986" priority="12666" operator="greaterThan">
      <formula>3</formula>
    </cfRule>
  </conditionalFormatting>
  <conditionalFormatting sqref="BF3:BF901">
    <cfRule type="cellIs" dxfId="11985" priority="4080" operator="equal">
      <formula>0</formula>
    </cfRule>
    <cfRule type="cellIs" dxfId="11984" priority="4081" operator="equal">
      <formula>0</formula>
    </cfRule>
  </conditionalFormatting>
  <conditionalFormatting sqref="BF3:BF901">
    <cfRule type="cellIs" dxfId="11983" priority="1827" operator="greaterThan">
      <formula>3</formula>
    </cfRule>
  </conditionalFormatting>
  <conditionalFormatting sqref="E745:E758 E273:E274 E146:E207 E324:E498 E3:E93 E500:E507 E276:E291 E518:E635 E637:E732 E773:E1048576 E95:E105 E107:E141">
    <cfRule type="duplicateValues" dxfId="11982" priority="1543"/>
    <cfRule type="duplicateValues" dxfId="11981" priority="1645"/>
    <cfRule type="duplicateValues" dxfId="11980" priority="1646"/>
    <cfRule type="duplicateValues" dxfId="11979" priority="1647"/>
    <cfRule type="duplicateValues" dxfId="11978" priority="1648"/>
    <cfRule type="duplicateValues" dxfId="11977" priority="1649"/>
  </conditionalFormatting>
  <conditionalFormatting sqref="E745:E758 E273:E274 E146:E207 E324:E498 E3:E93 E500:E507 E276:E291 E518:E635 E637:E732 E773:E1048576 E95:E105 E107:E141">
    <cfRule type="duplicateValues" dxfId="11976" priority="1482"/>
    <cfRule type="duplicateValues" dxfId="11975" priority="1483"/>
    <cfRule type="duplicateValues" dxfId="11974" priority="1484"/>
    <cfRule type="duplicateValues" dxfId="11973" priority="1485"/>
    <cfRule type="duplicateValues" dxfId="11972" priority="1486"/>
  </conditionalFormatting>
  <conditionalFormatting sqref="E494">
    <cfRule type="duplicateValues" dxfId="11971" priority="35186"/>
    <cfRule type="duplicateValues" dxfId="11970" priority="35187"/>
    <cfRule type="duplicateValues" dxfId="11969" priority="35188"/>
    <cfRule type="duplicateValues" dxfId="11968" priority="35189"/>
    <cfRule type="duplicateValues" dxfId="11967" priority="35190"/>
    <cfRule type="duplicateValues" dxfId="11966" priority="35191"/>
    <cfRule type="duplicateValues" dxfId="11965" priority="35192"/>
    <cfRule type="duplicateValues" dxfId="11964" priority="35193"/>
    <cfRule type="duplicateValues" dxfId="11963" priority="35194"/>
    <cfRule type="duplicateValues" dxfId="11962" priority="35195"/>
    <cfRule type="duplicateValues" dxfId="11961" priority="35196"/>
    <cfRule type="duplicateValues" dxfId="11960" priority="35197"/>
    <cfRule type="duplicateValues" dxfId="11959" priority="35198"/>
    <cfRule type="duplicateValues" dxfId="11958" priority="35199"/>
    <cfRule type="duplicateValues" dxfId="11957" priority="35200"/>
    <cfRule type="duplicateValues" dxfId="11956" priority="35201"/>
    <cfRule type="duplicateValues" dxfId="11955" priority="35202"/>
    <cfRule type="duplicateValues" dxfId="11954" priority="35203"/>
    <cfRule type="duplicateValues" dxfId="11953" priority="35204"/>
    <cfRule type="duplicateValues" dxfId="11952" priority="35205"/>
    <cfRule type="duplicateValues" dxfId="11951" priority="35206"/>
    <cfRule type="duplicateValues" dxfId="11950" priority="35207"/>
    <cfRule type="duplicateValues" dxfId="11949" priority="35208"/>
  </conditionalFormatting>
  <conditionalFormatting sqref="E292:E294">
    <cfRule type="duplicateValues" dxfId="11948" priority="1264"/>
  </conditionalFormatting>
  <conditionalFormatting sqref="E292:E294">
    <cfRule type="duplicateValues" dxfId="11947" priority="1262"/>
    <cfRule type="duplicateValues" dxfId="11946" priority="1263"/>
  </conditionalFormatting>
  <conditionalFormatting sqref="E292:E294">
    <cfRule type="duplicateValues" dxfId="11945" priority="1256"/>
    <cfRule type="duplicateValues" dxfId="11944" priority="1257"/>
    <cfRule type="duplicateValues" dxfId="11943" priority="1258"/>
    <cfRule type="duplicateValues" dxfId="11942" priority="1259"/>
    <cfRule type="duplicateValues" dxfId="11941" priority="1260"/>
    <cfRule type="duplicateValues" dxfId="11940" priority="1261"/>
  </conditionalFormatting>
  <conditionalFormatting sqref="E292:E294">
    <cfRule type="duplicateValues" dxfId="11939" priority="1251"/>
    <cfRule type="duplicateValues" dxfId="11938" priority="1252"/>
    <cfRule type="duplicateValues" dxfId="11937" priority="1253"/>
    <cfRule type="duplicateValues" dxfId="11936" priority="1254"/>
    <cfRule type="duplicateValues" dxfId="11935" priority="1255"/>
  </conditionalFormatting>
  <conditionalFormatting sqref="E292:E294">
    <cfRule type="duplicateValues" dxfId="11934" priority="1272"/>
    <cfRule type="duplicateValues" dxfId="11933" priority="1273"/>
    <cfRule type="duplicateValues" dxfId="11932" priority="1274"/>
    <cfRule type="duplicateValues" dxfId="11931" priority="1275"/>
    <cfRule type="duplicateValues" dxfId="11930" priority="1276"/>
    <cfRule type="duplicateValues" dxfId="11929" priority="1277"/>
    <cfRule type="duplicateValues" dxfId="11928" priority="1278"/>
    <cfRule type="duplicateValues" dxfId="11927" priority="1279"/>
    <cfRule type="duplicateValues" dxfId="11926" priority="1280"/>
    <cfRule type="duplicateValues" dxfId="11925" priority="1281"/>
    <cfRule type="duplicateValues" dxfId="11924" priority="1282"/>
    <cfRule type="duplicateValues" dxfId="11923" priority="1283"/>
    <cfRule type="duplicateValues" dxfId="11922" priority="1284"/>
    <cfRule type="duplicateValues" dxfId="11921" priority="1285"/>
    <cfRule type="duplicateValues" dxfId="11920" priority="1286"/>
    <cfRule type="duplicateValues" dxfId="11919" priority="1287"/>
    <cfRule type="duplicateValues" dxfId="11918" priority="1288"/>
    <cfRule type="duplicateValues" dxfId="11917" priority="1289"/>
    <cfRule type="duplicateValues" dxfId="11916" priority="1290"/>
    <cfRule type="duplicateValues" dxfId="11915" priority="1291"/>
    <cfRule type="duplicateValues" dxfId="11914" priority="1292"/>
    <cfRule type="duplicateValues" dxfId="11913" priority="1293"/>
    <cfRule type="duplicateValues" dxfId="11912" priority="1294"/>
    <cfRule type="duplicateValues" dxfId="11911" priority="1295"/>
    <cfRule type="duplicateValues" dxfId="11910" priority="1296"/>
    <cfRule type="duplicateValues" dxfId="11909" priority="1297"/>
    <cfRule type="duplicateValues" dxfId="11908" priority="1298"/>
    <cfRule type="duplicateValues" dxfId="11907" priority="1299"/>
  </conditionalFormatting>
  <conditionalFormatting sqref="E142:E145">
    <cfRule type="duplicateValues" dxfId="11906" priority="40799"/>
  </conditionalFormatting>
  <conditionalFormatting sqref="E142:E145">
    <cfRule type="duplicateValues" dxfId="11905" priority="40800"/>
    <cfRule type="duplicateValues" dxfId="11904" priority="40801"/>
  </conditionalFormatting>
  <conditionalFormatting sqref="E142:E145">
    <cfRule type="duplicateValues" dxfId="11903" priority="40802"/>
    <cfRule type="duplicateValues" dxfId="11902" priority="40803"/>
    <cfRule type="duplicateValues" dxfId="11901" priority="40804"/>
    <cfRule type="duplicateValues" dxfId="11900" priority="40805"/>
    <cfRule type="duplicateValues" dxfId="11899" priority="40806"/>
    <cfRule type="duplicateValues" dxfId="11898" priority="40807"/>
  </conditionalFormatting>
  <conditionalFormatting sqref="E142:E145">
    <cfRule type="duplicateValues" dxfId="11897" priority="40808"/>
    <cfRule type="duplicateValues" dxfId="11896" priority="40809"/>
    <cfRule type="duplicateValues" dxfId="11895" priority="40810"/>
    <cfRule type="duplicateValues" dxfId="11894" priority="40811"/>
    <cfRule type="duplicateValues" dxfId="11893" priority="40812"/>
  </conditionalFormatting>
  <conditionalFormatting sqref="E142:E145">
    <cfRule type="duplicateValues" dxfId="11892" priority="40813"/>
    <cfRule type="duplicateValues" dxfId="11891" priority="40814"/>
    <cfRule type="duplicateValues" dxfId="11890" priority="40815"/>
    <cfRule type="duplicateValues" dxfId="11889" priority="40816"/>
    <cfRule type="duplicateValues" dxfId="11888" priority="40817"/>
    <cfRule type="duplicateValues" dxfId="11887" priority="40818"/>
    <cfRule type="duplicateValues" dxfId="11886" priority="40819"/>
    <cfRule type="duplicateValues" dxfId="11885" priority="40820"/>
    <cfRule type="duplicateValues" dxfId="11884" priority="40821"/>
    <cfRule type="duplicateValues" dxfId="11883" priority="40822"/>
    <cfRule type="duplicateValues" dxfId="11882" priority="40823"/>
    <cfRule type="duplicateValues" dxfId="11881" priority="40824"/>
    <cfRule type="duplicateValues" dxfId="11880" priority="40825"/>
    <cfRule type="duplicateValues" dxfId="11879" priority="40826"/>
    <cfRule type="duplicateValues" dxfId="11878" priority="40827"/>
    <cfRule type="duplicateValues" dxfId="11877" priority="40828"/>
    <cfRule type="duplicateValues" dxfId="11876" priority="40829"/>
    <cfRule type="duplicateValues" dxfId="11875" priority="40830"/>
    <cfRule type="duplicateValues" dxfId="11874" priority="40831"/>
    <cfRule type="duplicateValues" dxfId="11873" priority="40832"/>
    <cfRule type="duplicateValues" dxfId="11872" priority="40833"/>
    <cfRule type="duplicateValues" dxfId="11871" priority="40834"/>
    <cfRule type="duplicateValues" dxfId="11870" priority="40835"/>
    <cfRule type="duplicateValues" dxfId="11869" priority="40836"/>
    <cfRule type="duplicateValues" dxfId="11868" priority="40837"/>
    <cfRule type="duplicateValues" dxfId="11867" priority="40838"/>
    <cfRule type="duplicateValues" dxfId="11866" priority="40839"/>
    <cfRule type="duplicateValues" dxfId="11865" priority="40840"/>
  </conditionalFormatting>
  <conditionalFormatting sqref="E90">
    <cfRule type="duplicateValues" dxfId="11864" priority="41829"/>
  </conditionalFormatting>
  <conditionalFormatting sqref="E90">
    <cfRule type="duplicateValues" dxfId="11863" priority="41830"/>
    <cfRule type="duplicateValues" dxfId="11862" priority="41831"/>
    <cfRule type="duplicateValues" dxfId="11861" priority="41832"/>
    <cfRule type="duplicateValues" dxfId="11860" priority="41833"/>
    <cfRule type="duplicateValues" dxfId="11859" priority="41834"/>
    <cfRule type="duplicateValues" dxfId="11858" priority="41835"/>
    <cfRule type="duplicateValues" dxfId="11857" priority="41836"/>
    <cfRule type="duplicateValues" dxfId="11856" priority="41837"/>
    <cfRule type="duplicateValues" dxfId="11855" priority="41838"/>
    <cfRule type="duplicateValues" dxfId="11854" priority="41839"/>
    <cfRule type="duplicateValues" dxfId="11853" priority="41840"/>
    <cfRule type="duplicateValues" dxfId="11852" priority="41841"/>
    <cfRule type="duplicateValues" dxfId="11851" priority="41842"/>
    <cfRule type="duplicateValues" dxfId="11850" priority="41843"/>
    <cfRule type="duplicateValues" dxfId="11849" priority="41844"/>
    <cfRule type="duplicateValues" dxfId="11848" priority="41845"/>
    <cfRule type="duplicateValues" dxfId="11847" priority="41846"/>
    <cfRule type="duplicateValues" dxfId="11846" priority="41847"/>
    <cfRule type="duplicateValues" dxfId="11845" priority="41848"/>
    <cfRule type="duplicateValues" dxfId="11844" priority="41849"/>
    <cfRule type="duplicateValues" dxfId="11843" priority="41850"/>
    <cfRule type="duplicateValues" dxfId="11842" priority="41851"/>
    <cfRule type="duplicateValues" dxfId="11841" priority="41852"/>
    <cfRule type="duplicateValues" dxfId="11840" priority="41853"/>
    <cfRule type="duplicateValues" dxfId="11839" priority="41854"/>
    <cfRule type="duplicateValues" dxfId="11838" priority="41855"/>
    <cfRule type="duplicateValues" dxfId="11837" priority="41856"/>
    <cfRule type="duplicateValues" dxfId="11836" priority="41857"/>
  </conditionalFormatting>
  <conditionalFormatting sqref="E73:E84">
    <cfRule type="duplicateValues" dxfId="11835" priority="49270"/>
    <cfRule type="duplicateValues" dxfId="11834" priority="49271"/>
    <cfRule type="duplicateValues" dxfId="11833" priority="49272"/>
  </conditionalFormatting>
  <conditionalFormatting sqref="E72">
    <cfRule type="duplicateValues" dxfId="11832" priority="48626"/>
    <cfRule type="duplicateValues" dxfId="11831" priority="48627"/>
    <cfRule type="duplicateValues" dxfId="11830" priority="48628"/>
    <cfRule type="duplicateValues" dxfId="11829" priority="48629"/>
    <cfRule type="duplicateValues" dxfId="11828" priority="48630"/>
    <cfRule type="duplicateValues" dxfId="11827" priority="48631"/>
    <cfRule type="duplicateValues" dxfId="11826" priority="48632"/>
    <cfRule type="duplicateValues" dxfId="11825" priority="48633"/>
    <cfRule type="duplicateValues" dxfId="11824" priority="48634"/>
    <cfRule type="duplicateValues" dxfId="11823" priority="48635"/>
    <cfRule type="duplicateValues" dxfId="11822" priority="48636"/>
    <cfRule type="duplicateValues" dxfId="11821" priority="48637"/>
    <cfRule type="duplicateValues" dxfId="11820" priority="48638"/>
    <cfRule type="duplicateValues" dxfId="11819" priority="48639"/>
    <cfRule type="duplicateValues" dxfId="11818" priority="48640"/>
    <cfRule type="duplicateValues" dxfId="11817" priority="48641"/>
    <cfRule type="duplicateValues" dxfId="11816" priority="48642"/>
    <cfRule type="duplicateValues" dxfId="11815" priority="48643"/>
    <cfRule type="duplicateValues" dxfId="11814" priority="48644"/>
    <cfRule type="duplicateValues" dxfId="11813" priority="48645"/>
    <cfRule type="duplicateValues" dxfId="11812" priority="48646"/>
    <cfRule type="duplicateValues" dxfId="11811" priority="48647"/>
    <cfRule type="duplicateValues" dxfId="11810" priority="48648"/>
    <cfRule type="duplicateValues" dxfId="11809" priority="49904"/>
    <cfRule type="duplicateValues" dxfId="11808" priority="49905"/>
    <cfRule type="duplicateValues" dxfId="11807" priority="49906"/>
    <cfRule type="duplicateValues" dxfId="11806" priority="49907"/>
    <cfRule type="duplicateValues" dxfId="11805" priority="49908"/>
    <cfRule type="duplicateValues" dxfId="11804" priority="49909"/>
    <cfRule type="duplicateValues" dxfId="11803" priority="49910"/>
    <cfRule type="duplicateValues" dxfId="11802" priority="49911"/>
    <cfRule type="duplicateValues" dxfId="11801" priority="49912"/>
    <cfRule type="duplicateValues" dxfId="11800" priority="49913"/>
    <cfRule type="duplicateValues" dxfId="11799" priority="49914"/>
    <cfRule type="duplicateValues" dxfId="11798" priority="49915"/>
    <cfRule type="duplicateValues" dxfId="11797" priority="49916"/>
    <cfRule type="duplicateValues" dxfId="11796" priority="49917"/>
    <cfRule type="duplicateValues" dxfId="11795" priority="49918"/>
    <cfRule type="duplicateValues" dxfId="11794" priority="49919"/>
    <cfRule type="duplicateValues" dxfId="11793" priority="49920"/>
    <cfRule type="duplicateValues" dxfId="11792" priority="49921"/>
    <cfRule type="duplicateValues" dxfId="11791" priority="49922"/>
    <cfRule type="duplicateValues" dxfId="11790" priority="49923"/>
    <cfRule type="duplicateValues" dxfId="11789" priority="49924"/>
    <cfRule type="duplicateValues" dxfId="11788" priority="49925"/>
    <cfRule type="duplicateValues" dxfId="11787" priority="49926"/>
    <cfRule type="duplicateValues" dxfId="11786" priority="49927"/>
    <cfRule type="duplicateValues" dxfId="11785" priority="49928"/>
    <cfRule type="duplicateValues" dxfId="11784" priority="49929"/>
    <cfRule type="duplicateValues" dxfId="11783" priority="49930"/>
    <cfRule type="duplicateValues" dxfId="11782" priority="49931"/>
    <cfRule type="duplicateValues" dxfId="11781" priority="49932"/>
    <cfRule type="duplicateValues" dxfId="11780" priority="49933"/>
    <cfRule type="duplicateValues" dxfId="11779" priority="49934"/>
    <cfRule type="duplicateValues" dxfId="11778" priority="49935"/>
    <cfRule type="duplicateValues" dxfId="11777" priority="49936"/>
    <cfRule type="duplicateValues" dxfId="11776" priority="49937"/>
    <cfRule type="duplicateValues" dxfId="11775" priority="49938"/>
    <cfRule type="duplicateValues" dxfId="11774" priority="49939"/>
    <cfRule type="duplicateValues" dxfId="11773" priority="49940"/>
    <cfRule type="duplicateValues" dxfId="11772" priority="49941"/>
    <cfRule type="duplicateValues" dxfId="11771" priority="49942"/>
    <cfRule type="duplicateValues" dxfId="11770" priority="49943"/>
    <cfRule type="duplicateValues" dxfId="11769" priority="49944"/>
    <cfRule type="duplicateValues" dxfId="11768" priority="49945"/>
  </conditionalFormatting>
  <conditionalFormatting sqref="BE3:BE901">
    <cfRule type="cellIs" dxfId="11767" priority="50402" operator="equal">
      <formula>$BE$3</formula>
    </cfRule>
    <cfRule type="cellIs" dxfId="11766" priority="50403" operator="equal">
      <formula>$BE$3</formula>
    </cfRule>
  </conditionalFormatting>
  <conditionalFormatting sqref="E208:E272">
    <cfRule type="duplicateValues" dxfId="11765" priority="1216"/>
  </conditionalFormatting>
  <conditionalFormatting sqref="E208:E272">
    <cfRule type="duplicateValues" dxfId="11764" priority="1214"/>
    <cfRule type="duplicateValues" dxfId="11763" priority="1215"/>
  </conditionalFormatting>
  <conditionalFormatting sqref="E208:E272">
    <cfRule type="duplicateValues" dxfId="11762" priority="1208"/>
    <cfRule type="duplicateValues" dxfId="11761" priority="1209"/>
    <cfRule type="duplicateValues" dxfId="11760" priority="1210"/>
    <cfRule type="duplicateValues" dxfId="11759" priority="1211"/>
    <cfRule type="duplicateValues" dxfId="11758" priority="1212"/>
    <cfRule type="duplicateValues" dxfId="11757" priority="1213"/>
  </conditionalFormatting>
  <conditionalFormatting sqref="E208:E272">
    <cfRule type="duplicateValues" dxfId="11756" priority="1203"/>
    <cfRule type="duplicateValues" dxfId="11755" priority="1204"/>
    <cfRule type="duplicateValues" dxfId="11754" priority="1205"/>
    <cfRule type="duplicateValues" dxfId="11753" priority="1206"/>
    <cfRule type="duplicateValues" dxfId="11752" priority="1207"/>
  </conditionalFormatting>
  <conditionalFormatting sqref="E208:E272">
    <cfRule type="duplicateValues" dxfId="11751" priority="1223"/>
    <cfRule type="duplicateValues" dxfId="11750" priority="1224"/>
    <cfRule type="duplicateValues" dxfId="11749" priority="1225"/>
    <cfRule type="duplicateValues" dxfId="11748" priority="1226"/>
    <cfRule type="duplicateValues" dxfId="11747" priority="1227"/>
    <cfRule type="duplicateValues" dxfId="11746" priority="1228"/>
    <cfRule type="duplicateValues" dxfId="11745" priority="1229"/>
    <cfRule type="duplicateValues" dxfId="11744" priority="1230"/>
    <cfRule type="duplicateValues" dxfId="11743" priority="1231"/>
    <cfRule type="duplicateValues" dxfId="11742" priority="1232"/>
    <cfRule type="duplicateValues" dxfId="11741" priority="1233"/>
    <cfRule type="duplicateValues" dxfId="11740" priority="1234"/>
    <cfRule type="duplicateValues" dxfId="11739" priority="1235"/>
    <cfRule type="duplicateValues" dxfId="11738" priority="1236"/>
    <cfRule type="duplicateValues" dxfId="11737" priority="1237"/>
    <cfRule type="duplicateValues" dxfId="11736" priority="1238"/>
    <cfRule type="duplicateValues" dxfId="11735" priority="1239"/>
    <cfRule type="duplicateValues" dxfId="11734" priority="1240"/>
    <cfRule type="duplicateValues" dxfId="11733" priority="1241"/>
    <cfRule type="duplicateValues" dxfId="11732" priority="1242"/>
    <cfRule type="duplicateValues" dxfId="11731" priority="1243"/>
    <cfRule type="duplicateValues" dxfId="11730" priority="1244"/>
    <cfRule type="duplicateValues" dxfId="11729" priority="1245"/>
    <cfRule type="duplicateValues" dxfId="11728" priority="1246"/>
    <cfRule type="duplicateValues" dxfId="11727" priority="1247"/>
    <cfRule type="duplicateValues" dxfId="11726" priority="1248"/>
    <cfRule type="duplicateValues" dxfId="11725" priority="1249"/>
    <cfRule type="duplicateValues" dxfId="11724" priority="1250"/>
  </conditionalFormatting>
  <conditionalFormatting sqref="E324:E489 E86:E89 E91:E92 E95:E105 E273:E274 E146:E207 E276:E291 E107:E141">
    <cfRule type="duplicateValues" dxfId="11723" priority="53040"/>
    <cfRule type="duplicateValues" dxfId="11722" priority="53041"/>
    <cfRule type="duplicateValues" dxfId="11721" priority="53042"/>
    <cfRule type="duplicateValues" dxfId="11720" priority="53043"/>
    <cfRule type="duplicateValues" dxfId="11719" priority="53044"/>
    <cfRule type="duplicateValues" dxfId="11718" priority="53045"/>
    <cfRule type="duplicateValues" dxfId="11717" priority="53046"/>
    <cfRule type="duplicateValues" dxfId="11716" priority="53047"/>
    <cfRule type="duplicateValues" dxfId="11715" priority="53048"/>
    <cfRule type="duplicateValues" dxfId="11714" priority="53049"/>
    <cfRule type="duplicateValues" dxfId="11713" priority="53050"/>
    <cfRule type="duplicateValues" dxfId="11712" priority="53051"/>
    <cfRule type="duplicateValues" dxfId="11711" priority="53052"/>
    <cfRule type="duplicateValues" dxfId="11710" priority="53053"/>
    <cfRule type="duplicateValues" dxfId="11709" priority="53054"/>
    <cfRule type="duplicateValues" dxfId="11708" priority="53055"/>
    <cfRule type="duplicateValues" dxfId="11707" priority="53056"/>
    <cfRule type="duplicateValues" dxfId="11706" priority="53057"/>
    <cfRule type="duplicateValues" dxfId="11705" priority="53058"/>
    <cfRule type="duplicateValues" dxfId="11704" priority="53059"/>
    <cfRule type="duplicateValues" dxfId="11703" priority="53060"/>
    <cfRule type="duplicateValues" dxfId="11702" priority="53061"/>
    <cfRule type="duplicateValues" dxfId="11701" priority="53062"/>
    <cfRule type="duplicateValues" dxfId="11700" priority="53063"/>
    <cfRule type="duplicateValues" dxfId="11699" priority="53064"/>
    <cfRule type="duplicateValues" dxfId="11698" priority="53065"/>
    <cfRule type="duplicateValues" dxfId="11697" priority="53066"/>
    <cfRule type="duplicateValues" dxfId="11696" priority="53067"/>
  </conditionalFormatting>
  <conditionalFormatting sqref="CP3:CP901">
    <cfRule type="containsText" dxfId="11695" priority="1202" operator="containsText" text="FOR ISSUANCE">
      <formula>NOT(ISERROR(SEARCH("FOR ISSUANCE",CP3)))</formula>
    </cfRule>
  </conditionalFormatting>
  <conditionalFormatting sqref="CP3:CP901">
    <cfRule type="containsText" dxfId="11694" priority="1201" operator="containsText" text="NTC ISSUED">
      <formula>NOT(ISERROR(SEARCH("NTC ISSUED",CP3)))</formula>
    </cfRule>
  </conditionalFormatting>
  <conditionalFormatting sqref="E496">
    <cfRule type="duplicateValues" dxfId="11693" priority="54989"/>
    <cfRule type="duplicateValues" dxfId="11692" priority="54990"/>
    <cfRule type="duplicateValues" dxfId="11691" priority="54991"/>
    <cfRule type="duplicateValues" dxfId="11690" priority="54992"/>
    <cfRule type="duplicateValues" dxfId="11689" priority="54993"/>
    <cfRule type="duplicateValues" dxfId="11688" priority="54994"/>
    <cfRule type="duplicateValues" dxfId="11687" priority="54995"/>
    <cfRule type="duplicateValues" dxfId="11686" priority="54996"/>
    <cfRule type="duplicateValues" dxfId="11685" priority="54997"/>
    <cfRule type="duplicateValues" dxfId="11684" priority="54998"/>
    <cfRule type="duplicateValues" dxfId="11683" priority="54999"/>
    <cfRule type="duplicateValues" dxfId="11682" priority="55000"/>
    <cfRule type="duplicateValues" dxfId="11681" priority="55001"/>
    <cfRule type="duplicateValues" dxfId="11680" priority="55002"/>
    <cfRule type="duplicateValues" dxfId="11679" priority="55003"/>
    <cfRule type="duplicateValues" dxfId="11678" priority="55004"/>
    <cfRule type="duplicateValues" dxfId="11677" priority="55005"/>
  </conditionalFormatting>
  <conditionalFormatting sqref="CW544">
    <cfRule type="duplicateValues" dxfId="11676" priority="1133"/>
  </conditionalFormatting>
  <conditionalFormatting sqref="CW544">
    <cfRule type="duplicateValues" dxfId="11675" priority="1131"/>
    <cfRule type="duplicateValues" dxfId="11674" priority="1132"/>
  </conditionalFormatting>
  <conditionalFormatting sqref="CW544">
    <cfRule type="duplicateValues" dxfId="11673" priority="1134"/>
    <cfRule type="duplicateValues" dxfId="11672" priority="1135"/>
    <cfRule type="duplicateValues" dxfId="11671" priority="1136"/>
    <cfRule type="duplicateValues" dxfId="11670" priority="1137"/>
  </conditionalFormatting>
  <conditionalFormatting sqref="CW544">
    <cfRule type="duplicateValues" dxfId="11669" priority="1139"/>
    <cfRule type="duplicateValues" dxfId="11668" priority="1140"/>
    <cfRule type="duplicateValues" dxfId="11667" priority="1141"/>
    <cfRule type="duplicateValues" dxfId="11666" priority="1142"/>
    <cfRule type="duplicateValues" dxfId="11665" priority="1143"/>
  </conditionalFormatting>
  <conditionalFormatting sqref="CW544">
    <cfRule type="duplicateValues" dxfId="11664" priority="1150"/>
    <cfRule type="duplicateValues" dxfId="11663" priority="1151"/>
    <cfRule type="duplicateValues" dxfId="11662" priority="1152"/>
    <cfRule type="duplicateValues" dxfId="11661" priority="1153"/>
    <cfRule type="duplicateValues" dxfId="11660" priority="1154"/>
    <cfRule type="duplicateValues" dxfId="11659" priority="1155"/>
    <cfRule type="duplicateValues" dxfId="11658" priority="1156"/>
    <cfRule type="duplicateValues" dxfId="11657" priority="1157"/>
    <cfRule type="duplicateValues" dxfId="11656" priority="1158"/>
    <cfRule type="duplicateValues" dxfId="11655" priority="1159"/>
    <cfRule type="duplicateValues" dxfId="11654" priority="1160"/>
  </conditionalFormatting>
  <conditionalFormatting sqref="CW544">
    <cfRule type="duplicateValues" dxfId="11653" priority="1144"/>
    <cfRule type="duplicateValues" dxfId="11652" priority="1145"/>
    <cfRule type="duplicateValues" dxfId="11651" priority="1146"/>
    <cfRule type="duplicateValues" dxfId="11650" priority="1147"/>
    <cfRule type="duplicateValues" dxfId="11649" priority="1148"/>
    <cfRule type="duplicateValues" dxfId="11648" priority="1149"/>
  </conditionalFormatting>
  <conditionalFormatting sqref="CW544">
    <cfRule type="duplicateValues" dxfId="11647" priority="1173"/>
    <cfRule type="duplicateValues" dxfId="11646" priority="1174"/>
    <cfRule type="duplicateValues" dxfId="11645" priority="1175"/>
    <cfRule type="duplicateValues" dxfId="11644" priority="1176"/>
    <cfRule type="duplicateValues" dxfId="11643" priority="1177"/>
    <cfRule type="duplicateValues" dxfId="11642" priority="1178"/>
    <cfRule type="duplicateValues" dxfId="11641" priority="1179"/>
    <cfRule type="duplicateValues" dxfId="11640" priority="1180"/>
    <cfRule type="duplicateValues" dxfId="11639" priority="1181"/>
    <cfRule type="duplicateValues" dxfId="11638" priority="1182"/>
    <cfRule type="duplicateValues" dxfId="11637" priority="1183"/>
    <cfRule type="duplicateValues" dxfId="11636" priority="1184"/>
    <cfRule type="duplicateValues" dxfId="11635" priority="1185"/>
    <cfRule type="duplicateValues" dxfId="11634" priority="1186"/>
    <cfRule type="duplicateValues" dxfId="11633" priority="1187"/>
    <cfRule type="duplicateValues" dxfId="11632" priority="1188"/>
    <cfRule type="duplicateValues" dxfId="11631" priority="1189"/>
    <cfRule type="duplicateValues" dxfId="11630" priority="1190"/>
    <cfRule type="duplicateValues" dxfId="11629" priority="1191"/>
    <cfRule type="duplicateValues" dxfId="11628" priority="1192"/>
    <cfRule type="duplicateValues" dxfId="11627" priority="1193"/>
    <cfRule type="duplicateValues" dxfId="11626" priority="1194"/>
  </conditionalFormatting>
  <conditionalFormatting sqref="E499">
    <cfRule type="duplicateValues" dxfId="11625" priority="1085"/>
  </conditionalFormatting>
  <conditionalFormatting sqref="E499">
    <cfRule type="duplicateValues" dxfId="11624" priority="1083"/>
    <cfRule type="duplicateValues" dxfId="11623" priority="1084"/>
  </conditionalFormatting>
  <conditionalFormatting sqref="E499">
    <cfRule type="duplicateValues" dxfId="11622" priority="1077"/>
    <cfRule type="duplicateValues" dxfId="11621" priority="1078"/>
    <cfRule type="duplicateValues" dxfId="11620" priority="1079"/>
    <cfRule type="duplicateValues" dxfId="11619" priority="1080"/>
    <cfRule type="duplicateValues" dxfId="11618" priority="1081"/>
    <cfRule type="duplicateValues" dxfId="11617" priority="1082"/>
  </conditionalFormatting>
  <conditionalFormatting sqref="E499">
    <cfRule type="duplicateValues" dxfId="11616" priority="1072"/>
    <cfRule type="duplicateValues" dxfId="11615" priority="1073"/>
    <cfRule type="duplicateValues" dxfId="11614" priority="1074"/>
    <cfRule type="duplicateValues" dxfId="11613" priority="1075"/>
    <cfRule type="duplicateValues" dxfId="11612" priority="1076"/>
  </conditionalFormatting>
  <conditionalFormatting sqref="E499">
    <cfRule type="duplicateValues" dxfId="11611" priority="1092"/>
    <cfRule type="duplicateValues" dxfId="11610" priority="1093"/>
    <cfRule type="duplicateValues" dxfId="11609" priority="1094"/>
    <cfRule type="duplicateValues" dxfId="11608" priority="1095"/>
    <cfRule type="duplicateValues" dxfId="11607" priority="1096"/>
    <cfRule type="duplicateValues" dxfId="11606" priority="1097"/>
    <cfRule type="duplicateValues" dxfId="11605" priority="1098"/>
    <cfRule type="duplicateValues" dxfId="11604" priority="1099"/>
    <cfRule type="duplicateValues" dxfId="11603" priority="1100"/>
    <cfRule type="duplicateValues" dxfId="11602" priority="1101"/>
    <cfRule type="duplicateValues" dxfId="11601" priority="1102"/>
    <cfRule type="duplicateValues" dxfId="11600" priority="1103"/>
    <cfRule type="duplicateValues" dxfId="11599" priority="1104"/>
    <cfRule type="duplicateValues" dxfId="11598" priority="1105"/>
    <cfRule type="duplicateValues" dxfId="11597" priority="1106"/>
    <cfRule type="duplicateValues" dxfId="11596" priority="1107"/>
    <cfRule type="duplicateValues" dxfId="11595" priority="1108"/>
    <cfRule type="duplicateValues" dxfId="11594" priority="1109"/>
    <cfRule type="duplicateValues" dxfId="11593" priority="1110"/>
    <cfRule type="duplicateValues" dxfId="11592" priority="1111"/>
    <cfRule type="duplicateValues" dxfId="11591" priority="1112"/>
    <cfRule type="duplicateValues" dxfId="11590" priority="1113"/>
    <cfRule type="duplicateValues" dxfId="11589" priority="1114"/>
    <cfRule type="duplicateValues" dxfId="11588" priority="1115"/>
    <cfRule type="duplicateValues" dxfId="11587" priority="1116"/>
    <cfRule type="duplicateValues" dxfId="11586" priority="1117"/>
    <cfRule type="duplicateValues" dxfId="11585" priority="1118"/>
    <cfRule type="duplicateValues" dxfId="11584" priority="1119"/>
  </conditionalFormatting>
  <conditionalFormatting sqref="E275">
    <cfRule type="duplicateValues" dxfId="11583" priority="927"/>
  </conditionalFormatting>
  <conditionalFormatting sqref="E275">
    <cfRule type="duplicateValues" dxfId="11582" priority="923"/>
    <cfRule type="duplicateValues" dxfId="11581" priority="924"/>
    <cfRule type="duplicateValues" dxfId="11580" priority="925"/>
    <cfRule type="duplicateValues" dxfId="11579" priority="926"/>
  </conditionalFormatting>
  <conditionalFormatting sqref="E275">
    <cfRule type="duplicateValues" dxfId="11578" priority="918"/>
    <cfRule type="duplicateValues" dxfId="11577" priority="919"/>
    <cfRule type="duplicateValues" dxfId="11576" priority="920"/>
    <cfRule type="duplicateValues" dxfId="11575" priority="921"/>
    <cfRule type="duplicateValues" dxfId="11574" priority="922"/>
  </conditionalFormatting>
  <conditionalFormatting sqref="E275">
    <cfRule type="duplicateValues" dxfId="11573" priority="914"/>
    <cfRule type="duplicateValues" dxfId="11572" priority="915"/>
  </conditionalFormatting>
  <conditionalFormatting sqref="E275">
    <cfRule type="duplicateValues" dxfId="11571" priority="900"/>
    <cfRule type="duplicateValues" dxfId="11570" priority="901"/>
    <cfRule type="duplicateValues" dxfId="11569" priority="902"/>
    <cfRule type="duplicateValues" dxfId="11568" priority="903"/>
    <cfRule type="duplicateValues" dxfId="11567" priority="904"/>
    <cfRule type="duplicateValues" dxfId="11566" priority="905"/>
  </conditionalFormatting>
  <conditionalFormatting sqref="E275">
    <cfRule type="duplicateValues" dxfId="11565" priority="887"/>
    <cfRule type="duplicateValues" dxfId="11564" priority="888"/>
    <cfRule type="duplicateValues" dxfId="11563" priority="889"/>
    <cfRule type="duplicateValues" dxfId="11562" priority="890"/>
    <cfRule type="duplicateValues" dxfId="11561" priority="891"/>
    <cfRule type="duplicateValues" dxfId="11560" priority="892"/>
    <cfRule type="duplicateValues" dxfId="11559" priority="893"/>
    <cfRule type="duplicateValues" dxfId="11558" priority="894"/>
    <cfRule type="duplicateValues" dxfId="11557" priority="895"/>
    <cfRule type="duplicateValues" dxfId="11556" priority="896"/>
    <cfRule type="duplicateValues" dxfId="11555" priority="897"/>
  </conditionalFormatting>
  <conditionalFormatting sqref="E275">
    <cfRule type="duplicateValues" dxfId="11554" priority="870"/>
    <cfRule type="duplicateValues" dxfId="11553" priority="871"/>
    <cfRule type="duplicateValues" dxfId="11552" priority="872"/>
    <cfRule type="duplicateValues" dxfId="11551" priority="873"/>
    <cfRule type="duplicateValues" dxfId="11550" priority="874"/>
    <cfRule type="duplicateValues" dxfId="11549" priority="875"/>
    <cfRule type="duplicateValues" dxfId="11548" priority="876"/>
    <cfRule type="duplicateValues" dxfId="11547" priority="877"/>
    <cfRule type="duplicateValues" dxfId="11546" priority="878"/>
    <cfRule type="duplicateValues" dxfId="11545" priority="879"/>
    <cfRule type="duplicateValues" dxfId="11544" priority="880"/>
    <cfRule type="duplicateValues" dxfId="11543" priority="881"/>
    <cfRule type="duplicateValues" dxfId="11542" priority="882"/>
    <cfRule type="duplicateValues" dxfId="11541" priority="883"/>
    <cfRule type="duplicateValues" dxfId="11540" priority="884"/>
    <cfRule type="duplicateValues" dxfId="11539" priority="885"/>
    <cfRule type="duplicateValues" dxfId="11538" priority="886"/>
  </conditionalFormatting>
  <conditionalFormatting sqref="E275">
    <cfRule type="duplicateValues" dxfId="11537" priority="856"/>
    <cfRule type="duplicateValues" dxfId="11536" priority="857"/>
    <cfRule type="duplicateValues" dxfId="11535" priority="858"/>
  </conditionalFormatting>
  <conditionalFormatting sqref="E3">
    <cfRule type="duplicateValues" dxfId="11534" priority="64539"/>
    <cfRule type="duplicateValues" dxfId="11533" priority="64540"/>
    <cfRule type="duplicateValues" dxfId="11532" priority="64541"/>
    <cfRule type="duplicateValues" dxfId="11531" priority="64542"/>
    <cfRule type="duplicateValues" dxfId="11530" priority="64543"/>
    <cfRule type="duplicateValues" dxfId="11529" priority="64544"/>
    <cfRule type="duplicateValues" dxfId="11528" priority="64545"/>
    <cfRule type="duplicateValues" dxfId="11527" priority="64546"/>
    <cfRule type="duplicateValues" dxfId="11526" priority="64547"/>
    <cfRule type="duplicateValues" dxfId="11525" priority="64548"/>
    <cfRule type="duplicateValues" dxfId="11524" priority="64549"/>
    <cfRule type="duplicateValues" dxfId="11523" priority="64550"/>
    <cfRule type="duplicateValues" dxfId="11522" priority="64551"/>
    <cfRule type="duplicateValues" dxfId="11521" priority="64552"/>
    <cfRule type="duplicateValues" dxfId="11520" priority="64553"/>
    <cfRule type="duplicateValues" dxfId="11519" priority="64554"/>
    <cfRule type="duplicateValues" dxfId="11518" priority="64555"/>
    <cfRule type="duplicateValues" dxfId="11517" priority="64556"/>
    <cfRule type="duplicateValues" dxfId="11516" priority="64557"/>
  </conditionalFormatting>
  <conditionalFormatting sqref="E3:E5">
    <cfRule type="duplicateValues" dxfId="11515" priority="64558"/>
    <cfRule type="duplicateValues" dxfId="11514" priority="64559"/>
    <cfRule type="duplicateValues" dxfId="11513" priority="64560"/>
    <cfRule type="duplicateValues" dxfId="11512" priority="64561"/>
    <cfRule type="duplicateValues" dxfId="11511" priority="64562"/>
    <cfRule type="duplicateValues" dxfId="11510" priority="64563"/>
  </conditionalFormatting>
  <conditionalFormatting sqref="E490:E493 E3:E85">
    <cfRule type="duplicateValues" dxfId="11509" priority="64640"/>
  </conditionalFormatting>
  <conditionalFormatting sqref="E490:E493 E57:E71 E73:E85 E3:E54">
    <cfRule type="duplicateValues" dxfId="11508" priority="64642"/>
  </conditionalFormatting>
  <conditionalFormatting sqref="E490:E493 E57:E71 E16:E54 E73:E85 E3:E14">
    <cfRule type="duplicateValues" dxfId="11507" priority="64646"/>
    <cfRule type="duplicateValues" dxfId="11506" priority="64647"/>
    <cfRule type="duplicateValues" dxfId="11505" priority="64648"/>
    <cfRule type="duplicateValues" dxfId="11504" priority="64649"/>
    <cfRule type="duplicateValues" dxfId="11503" priority="64650"/>
    <cfRule type="duplicateValues" dxfId="11502" priority="64651"/>
  </conditionalFormatting>
  <conditionalFormatting sqref="E491:E493 E57:E71 E16:E54 E73:E85 E3:E14">
    <cfRule type="duplicateValues" dxfId="11501" priority="64676"/>
    <cfRule type="duplicateValues" dxfId="11500" priority="64677"/>
    <cfRule type="duplicateValues" dxfId="11499" priority="64678"/>
    <cfRule type="duplicateValues" dxfId="11498" priority="64679"/>
    <cfRule type="duplicateValues" dxfId="11497" priority="64680"/>
    <cfRule type="duplicateValues" dxfId="11496" priority="64681"/>
    <cfRule type="duplicateValues" dxfId="11495" priority="64682"/>
    <cfRule type="duplicateValues" dxfId="11494" priority="64683"/>
    <cfRule type="duplicateValues" dxfId="11493" priority="64684"/>
    <cfRule type="duplicateValues" dxfId="11492" priority="64685"/>
    <cfRule type="duplicateValues" dxfId="11491" priority="64686"/>
  </conditionalFormatting>
  <conditionalFormatting sqref="E636">
    <cfRule type="duplicateValues" dxfId="11490" priority="598"/>
  </conditionalFormatting>
  <conditionalFormatting sqref="E636">
    <cfRule type="duplicateValues" dxfId="11489" priority="596"/>
    <cfRule type="duplicateValues" dxfId="11488" priority="597"/>
  </conditionalFormatting>
  <conditionalFormatting sqref="E636">
    <cfRule type="duplicateValues" dxfId="11487" priority="603"/>
    <cfRule type="duplicateValues" dxfId="11486" priority="604"/>
    <cfRule type="duplicateValues" dxfId="11485" priority="605"/>
    <cfRule type="duplicateValues" dxfId="11484" priority="606"/>
  </conditionalFormatting>
  <conditionalFormatting sqref="E636">
    <cfRule type="duplicateValues" dxfId="11483" priority="608"/>
    <cfRule type="duplicateValues" dxfId="11482" priority="609"/>
    <cfRule type="duplicateValues" dxfId="11481" priority="610"/>
    <cfRule type="duplicateValues" dxfId="11480" priority="611"/>
    <cfRule type="duplicateValues" dxfId="11479" priority="612"/>
  </conditionalFormatting>
  <conditionalFormatting sqref="E636">
    <cfRule type="duplicateValues" dxfId="11478" priority="621"/>
    <cfRule type="duplicateValues" dxfId="11477" priority="622"/>
    <cfRule type="duplicateValues" dxfId="11476" priority="623"/>
    <cfRule type="duplicateValues" dxfId="11475" priority="624"/>
    <cfRule type="duplicateValues" dxfId="11474" priority="625"/>
    <cfRule type="duplicateValues" dxfId="11473" priority="626"/>
    <cfRule type="duplicateValues" dxfId="11472" priority="627"/>
    <cfRule type="duplicateValues" dxfId="11471" priority="628"/>
    <cfRule type="duplicateValues" dxfId="11470" priority="633"/>
    <cfRule type="duplicateValues" dxfId="11469" priority="634"/>
    <cfRule type="duplicateValues" dxfId="11468" priority="635"/>
  </conditionalFormatting>
  <conditionalFormatting sqref="E636">
    <cfRule type="duplicateValues" dxfId="11467" priority="615"/>
    <cfRule type="duplicateValues" dxfId="11466" priority="616"/>
    <cfRule type="duplicateValues" dxfId="11465" priority="617"/>
    <cfRule type="duplicateValues" dxfId="11464" priority="618"/>
    <cfRule type="duplicateValues" dxfId="11463" priority="619"/>
    <cfRule type="duplicateValues" dxfId="11462" priority="620"/>
  </conditionalFormatting>
  <conditionalFormatting sqref="E636">
    <cfRule type="duplicateValues" dxfId="11461" priority="650"/>
    <cfRule type="duplicateValues" dxfId="11460" priority="651"/>
    <cfRule type="duplicateValues" dxfId="11459" priority="652"/>
    <cfRule type="duplicateValues" dxfId="11458" priority="653"/>
    <cfRule type="duplicateValues" dxfId="11457" priority="654"/>
    <cfRule type="duplicateValues" dxfId="11456" priority="655"/>
    <cfRule type="duplicateValues" dxfId="11455" priority="656"/>
    <cfRule type="duplicateValues" dxfId="11454" priority="657"/>
    <cfRule type="duplicateValues" dxfId="11453" priority="658"/>
    <cfRule type="duplicateValues" dxfId="11452" priority="659"/>
    <cfRule type="duplicateValues" dxfId="11451" priority="660"/>
    <cfRule type="duplicateValues" dxfId="11450" priority="661"/>
    <cfRule type="duplicateValues" dxfId="11449" priority="662"/>
    <cfRule type="duplicateValues" dxfId="11448" priority="663"/>
    <cfRule type="duplicateValues" dxfId="11447" priority="664"/>
    <cfRule type="duplicateValues" dxfId="11446" priority="665"/>
    <cfRule type="duplicateValues" dxfId="11445" priority="666"/>
    <cfRule type="duplicateValues" dxfId="11444" priority="667"/>
    <cfRule type="duplicateValues" dxfId="11443" priority="668"/>
    <cfRule type="duplicateValues" dxfId="11442" priority="669"/>
    <cfRule type="duplicateValues" dxfId="11441" priority="670"/>
    <cfRule type="duplicateValues" dxfId="11440" priority="671"/>
  </conditionalFormatting>
  <conditionalFormatting sqref="AG1">
    <cfRule type="cellIs" dxfId="11439" priority="582" operator="lessThan">
      <formula>NOW()</formula>
    </cfRule>
  </conditionalFormatting>
  <conditionalFormatting sqref="AH1">
    <cfRule type="cellIs" dxfId="11438" priority="581" operator="lessThan">
      <formula>NOW()</formula>
    </cfRule>
  </conditionalFormatting>
  <conditionalFormatting sqref="BE1">
    <cfRule type="cellIs" dxfId="11437" priority="578" operator="equal">
      <formula>36528</formula>
    </cfRule>
    <cfRule type="cellIs" dxfId="11436" priority="579" operator="equal">
      <formula>0</formula>
    </cfRule>
    <cfRule type="cellIs" dxfId="11435" priority="580" operator="equal">
      <formula>36528</formula>
    </cfRule>
  </conditionalFormatting>
  <conditionalFormatting sqref="BE1">
    <cfRule type="cellIs" dxfId="11434" priority="576" operator="equal">
      <formula>#REF!</formula>
    </cfRule>
    <cfRule type="cellIs" dxfId="11433" priority="577" operator="equal">
      <formula>#REF!</formula>
    </cfRule>
  </conditionalFormatting>
  <conditionalFormatting sqref="G648">
    <cfRule type="duplicateValues" dxfId="11432" priority="508"/>
  </conditionalFormatting>
  <conditionalFormatting sqref="G648">
    <cfRule type="duplicateValues" dxfId="11431" priority="506"/>
    <cfRule type="duplicateValues" dxfId="11430" priority="507"/>
  </conditionalFormatting>
  <conditionalFormatting sqref="G648">
    <cfRule type="duplicateValues" dxfId="11429" priority="509"/>
    <cfRule type="duplicateValues" dxfId="11428" priority="510"/>
    <cfRule type="duplicateValues" dxfId="11427" priority="511"/>
    <cfRule type="duplicateValues" dxfId="11426" priority="512"/>
  </conditionalFormatting>
  <conditionalFormatting sqref="G648">
    <cfRule type="duplicateValues" dxfId="11425" priority="514"/>
    <cfRule type="duplicateValues" dxfId="11424" priority="515"/>
    <cfRule type="duplicateValues" dxfId="11423" priority="516"/>
    <cfRule type="duplicateValues" dxfId="11422" priority="517"/>
    <cfRule type="duplicateValues" dxfId="11421" priority="518"/>
  </conditionalFormatting>
  <conditionalFormatting sqref="G648">
    <cfRule type="duplicateValues" dxfId="11420" priority="525"/>
    <cfRule type="duplicateValues" dxfId="11419" priority="526"/>
    <cfRule type="duplicateValues" dxfId="11418" priority="527"/>
    <cfRule type="duplicateValues" dxfId="11417" priority="528"/>
    <cfRule type="duplicateValues" dxfId="11416" priority="529"/>
    <cfRule type="duplicateValues" dxfId="11415" priority="530"/>
    <cfRule type="duplicateValues" dxfId="11414" priority="531"/>
    <cfRule type="duplicateValues" dxfId="11413" priority="532"/>
    <cfRule type="duplicateValues" dxfId="11412" priority="533"/>
    <cfRule type="duplicateValues" dxfId="11411" priority="534"/>
    <cfRule type="duplicateValues" dxfId="11410" priority="535"/>
  </conditionalFormatting>
  <conditionalFormatting sqref="G648">
    <cfRule type="duplicateValues" dxfId="11409" priority="519"/>
    <cfRule type="duplicateValues" dxfId="11408" priority="520"/>
    <cfRule type="duplicateValues" dxfId="11407" priority="521"/>
    <cfRule type="duplicateValues" dxfId="11406" priority="522"/>
    <cfRule type="duplicateValues" dxfId="11405" priority="523"/>
    <cfRule type="duplicateValues" dxfId="11404" priority="524"/>
  </conditionalFormatting>
  <conditionalFormatting sqref="G648">
    <cfRule type="duplicateValues" dxfId="11403" priority="548"/>
    <cfRule type="duplicateValues" dxfId="11402" priority="549"/>
    <cfRule type="duplicateValues" dxfId="11401" priority="550"/>
    <cfRule type="duplicateValues" dxfId="11400" priority="551"/>
    <cfRule type="duplicateValues" dxfId="11399" priority="552"/>
    <cfRule type="duplicateValues" dxfId="11398" priority="553"/>
    <cfRule type="duplicateValues" dxfId="11397" priority="554"/>
    <cfRule type="duplicateValues" dxfId="11396" priority="555"/>
    <cfRule type="duplicateValues" dxfId="11395" priority="556"/>
    <cfRule type="duplicateValues" dxfId="11394" priority="557"/>
    <cfRule type="duplicateValues" dxfId="11393" priority="558"/>
    <cfRule type="duplicateValues" dxfId="11392" priority="559"/>
    <cfRule type="duplicateValues" dxfId="11391" priority="560"/>
    <cfRule type="duplicateValues" dxfId="11390" priority="561"/>
    <cfRule type="duplicateValues" dxfId="11389" priority="562"/>
    <cfRule type="duplicateValues" dxfId="11388" priority="563"/>
    <cfRule type="duplicateValues" dxfId="11387" priority="564"/>
    <cfRule type="duplicateValues" dxfId="11386" priority="565"/>
    <cfRule type="duplicateValues" dxfId="11385" priority="566"/>
    <cfRule type="duplicateValues" dxfId="11384" priority="567"/>
    <cfRule type="duplicateValues" dxfId="11383" priority="568"/>
    <cfRule type="duplicateValues" dxfId="11382" priority="569"/>
  </conditionalFormatting>
  <conditionalFormatting sqref="AC2">
    <cfRule type="cellIs" dxfId="11381" priority="492" operator="greaterThan">
      <formula>50</formula>
    </cfRule>
  </conditionalFormatting>
  <conditionalFormatting sqref="AG2">
    <cfRule type="cellIs" dxfId="11380" priority="490" operator="lessThan">
      <formula>NOW()</formula>
    </cfRule>
  </conditionalFormatting>
  <conditionalFormatting sqref="AH2">
    <cfRule type="cellIs" dxfId="11379" priority="489" operator="lessThan">
      <formula>NOW()</formula>
    </cfRule>
  </conditionalFormatting>
  <conditionalFormatting sqref="AI2">
    <cfRule type="cellIs" dxfId="11378" priority="491" operator="greaterThan">
      <formula>0.95</formula>
    </cfRule>
  </conditionalFormatting>
  <conditionalFormatting sqref="BE2">
    <cfRule type="cellIs" dxfId="11377" priority="484" operator="equal">
      <formula>36528</formula>
    </cfRule>
    <cfRule type="cellIs" dxfId="11376" priority="485" operator="equal">
      <formula>0</formula>
    </cfRule>
    <cfRule type="cellIs" dxfId="11375" priority="486" operator="equal">
      <formula>36528</formula>
    </cfRule>
  </conditionalFormatting>
  <conditionalFormatting sqref="BF2">
    <cfRule type="cellIs" dxfId="11374" priority="487" operator="equal">
      <formula>0</formula>
    </cfRule>
    <cfRule type="cellIs" dxfId="11373" priority="488" operator="equal">
      <formula>0</formula>
    </cfRule>
  </conditionalFormatting>
  <conditionalFormatting sqref="BF2">
    <cfRule type="cellIs" dxfId="11372" priority="483" operator="greaterThan">
      <formula>3</formula>
    </cfRule>
  </conditionalFormatting>
  <conditionalFormatting sqref="BE2">
    <cfRule type="cellIs" dxfId="11371" priority="493" operator="equal">
      <formula>$BE$3</formula>
    </cfRule>
    <cfRule type="cellIs" dxfId="11370" priority="494" operator="equal">
      <formula>$BE$3</formula>
    </cfRule>
  </conditionalFormatting>
  <conditionalFormatting sqref="CP2">
    <cfRule type="containsText" dxfId="11369" priority="482" operator="containsText" text="FOR ISSUANCE">
      <formula>NOT(ISERROR(SEARCH("FOR ISSUANCE",CP2)))</formula>
    </cfRule>
  </conditionalFormatting>
  <conditionalFormatting sqref="CP2">
    <cfRule type="containsText" dxfId="11368" priority="481" operator="containsText" text="NTC ISSUED">
      <formula>NOT(ISERROR(SEARCH("NTC ISSUED",CP2)))</formula>
    </cfRule>
  </conditionalFormatting>
  <conditionalFormatting sqref="E2">
    <cfRule type="duplicateValues" dxfId="11367" priority="434"/>
    <cfRule type="duplicateValues" dxfId="11366" priority="435"/>
    <cfRule type="duplicateValues" dxfId="11365" priority="436"/>
    <cfRule type="duplicateValues" dxfId="11364" priority="437"/>
    <cfRule type="duplicateValues" dxfId="11363" priority="438"/>
    <cfRule type="duplicateValues" dxfId="11362" priority="439"/>
    <cfRule type="duplicateValues" dxfId="11361" priority="440"/>
    <cfRule type="duplicateValues" dxfId="11360" priority="441"/>
    <cfRule type="duplicateValues" dxfId="11359" priority="442"/>
    <cfRule type="duplicateValues" dxfId="11358" priority="443"/>
    <cfRule type="duplicateValues" dxfId="11357" priority="444"/>
    <cfRule type="duplicateValues" dxfId="11356" priority="445"/>
    <cfRule type="duplicateValues" dxfId="11355" priority="446"/>
    <cfRule type="duplicateValues" dxfId="11354" priority="447"/>
    <cfRule type="duplicateValues" dxfId="11353" priority="448"/>
    <cfRule type="duplicateValues" dxfId="11352" priority="449"/>
    <cfRule type="duplicateValues" dxfId="11351" priority="450"/>
    <cfRule type="duplicateValues" dxfId="11350" priority="451"/>
    <cfRule type="duplicateValues" dxfId="11349" priority="452"/>
  </conditionalFormatting>
  <conditionalFormatting sqref="E2">
    <cfRule type="duplicateValues" dxfId="11348" priority="456"/>
    <cfRule type="duplicateValues" dxfId="11347" priority="457"/>
    <cfRule type="duplicateValues" dxfId="11346" priority="458"/>
    <cfRule type="duplicateValues" dxfId="11345" priority="459"/>
    <cfRule type="duplicateValues" dxfId="11344" priority="460"/>
    <cfRule type="duplicateValues" dxfId="11343" priority="461"/>
  </conditionalFormatting>
  <conditionalFormatting sqref="E2">
    <cfRule type="duplicateValues" dxfId="11342" priority="407"/>
  </conditionalFormatting>
  <conditionalFormatting sqref="E2">
    <cfRule type="duplicateValues" dxfId="11341" priority="405"/>
    <cfRule type="duplicateValues" dxfId="11340" priority="406"/>
  </conditionalFormatting>
  <conditionalFormatting sqref="E2">
    <cfRule type="duplicateValues" dxfId="11339" priority="476"/>
  </conditionalFormatting>
  <conditionalFormatting sqref="E2">
    <cfRule type="duplicateValues" dxfId="11338" priority="477"/>
    <cfRule type="duplicateValues" dxfId="11337" priority="478"/>
  </conditionalFormatting>
  <conditionalFormatting sqref="E2">
    <cfRule type="duplicateValues" dxfId="11336" priority="475"/>
  </conditionalFormatting>
  <conditionalFormatting sqref="E2">
    <cfRule type="duplicateValues" dxfId="11335" priority="466"/>
  </conditionalFormatting>
  <conditionalFormatting sqref="E2">
    <cfRule type="duplicateValues" dxfId="11334" priority="473"/>
  </conditionalFormatting>
  <conditionalFormatting sqref="E2">
    <cfRule type="duplicateValues" dxfId="11333" priority="467"/>
    <cfRule type="duplicateValues" dxfId="11332" priority="468"/>
    <cfRule type="duplicateValues" dxfId="11331" priority="469"/>
    <cfRule type="duplicateValues" dxfId="11330" priority="470"/>
    <cfRule type="duplicateValues" dxfId="11329" priority="471"/>
    <cfRule type="duplicateValues" dxfId="11328" priority="472"/>
  </conditionalFormatting>
  <conditionalFormatting sqref="E2">
    <cfRule type="duplicateValues" dxfId="11327" priority="426"/>
    <cfRule type="duplicateValues" dxfId="11326" priority="427"/>
    <cfRule type="duplicateValues" dxfId="11325" priority="428"/>
    <cfRule type="duplicateValues" dxfId="11324" priority="429"/>
    <cfRule type="duplicateValues" dxfId="11323" priority="430"/>
    <cfRule type="duplicateValues" dxfId="11322" priority="431"/>
    <cfRule type="duplicateValues" dxfId="11321" priority="432"/>
    <cfRule type="duplicateValues" dxfId="11320" priority="433"/>
    <cfRule type="duplicateValues" dxfId="11319" priority="453"/>
    <cfRule type="duplicateValues" dxfId="11318" priority="454"/>
    <cfRule type="duplicateValues" dxfId="11317" priority="455"/>
  </conditionalFormatting>
  <conditionalFormatting sqref="E2">
    <cfRule type="duplicateValues" dxfId="11316" priority="474"/>
  </conditionalFormatting>
  <conditionalFormatting sqref="E2">
    <cfRule type="duplicateValues" dxfId="11315" priority="414"/>
    <cfRule type="duplicateValues" dxfId="11314" priority="415"/>
    <cfRule type="duplicateValues" dxfId="11313" priority="416"/>
    <cfRule type="duplicateValues" dxfId="11312" priority="417"/>
  </conditionalFormatting>
  <conditionalFormatting sqref="E2">
    <cfRule type="duplicateValues" dxfId="11311" priority="419"/>
    <cfRule type="duplicateValues" dxfId="11310" priority="420"/>
    <cfRule type="duplicateValues" dxfId="11309" priority="421"/>
    <cfRule type="duplicateValues" dxfId="11308" priority="422"/>
    <cfRule type="duplicateValues" dxfId="11307" priority="423"/>
  </conditionalFormatting>
  <conditionalFormatting sqref="E2">
    <cfRule type="duplicateValues" dxfId="11306" priority="418"/>
  </conditionalFormatting>
  <conditionalFormatting sqref="AC2">
    <cfRule type="cellIs" dxfId="11305" priority="465" operator="greaterThan">
      <formula>50</formula>
    </cfRule>
  </conditionalFormatting>
  <conditionalFormatting sqref="AG2">
    <cfRule type="cellIs" dxfId="11304" priority="463" operator="lessThan">
      <formula>NOW()</formula>
    </cfRule>
  </conditionalFormatting>
  <conditionalFormatting sqref="AH2">
    <cfRule type="cellIs" dxfId="11303" priority="462" operator="lessThan">
      <formula>NOW()</formula>
    </cfRule>
  </conditionalFormatting>
  <conditionalFormatting sqref="AI2">
    <cfRule type="cellIs" dxfId="11302" priority="464" operator="greaterThan">
      <formula>0.95</formula>
    </cfRule>
  </conditionalFormatting>
  <conditionalFormatting sqref="BE2">
    <cfRule type="cellIs" dxfId="11301" priority="409" operator="equal">
      <formula>$BE$4</formula>
    </cfRule>
    <cfRule type="cellIs" dxfId="11300" priority="410" operator="equal">
      <formula>$BE$4</formula>
    </cfRule>
  </conditionalFormatting>
  <conditionalFormatting sqref="BE2">
    <cfRule type="cellIs" dxfId="11299" priority="411" operator="equal">
      <formula>36528</formula>
    </cfRule>
    <cfRule type="cellIs" dxfId="11298" priority="412" operator="equal">
      <formula>0</formula>
    </cfRule>
    <cfRule type="cellIs" dxfId="11297" priority="413" operator="equal">
      <formula>36528</formula>
    </cfRule>
  </conditionalFormatting>
  <conditionalFormatting sqref="BF2">
    <cfRule type="cellIs" dxfId="11296" priority="424" operator="equal">
      <formula>0</formula>
    </cfRule>
    <cfRule type="cellIs" dxfId="11295" priority="425" operator="equal">
      <formula>0</formula>
    </cfRule>
  </conditionalFormatting>
  <conditionalFormatting sqref="BF2">
    <cfRule type="cellIs" dxfId="11294" priority="408" operator="greaterThan">
      <formula>3</formula>
    </cfRule>
  </conditionalFormatting>
  <conditionalFormatting sqref="E2">
    <cfRule type="duplicateValues" dxfId="11293" priority="399"/>
    <cfRule type="duplicateValues" dxfId="11292" priority="400"/>
    <cfRule type="duplicateValues" dxfId="11291" priority="401"/>
    <cfRule type="duplicateValues" dxfId="11290" priority="402"/>
    <cfRule type="duplicateValues" dxfId="11289" priority="403"/>
    <cfRule type="duplicateValues" dxfId="11288" priority="404"/>
  </conditionalFormatting>
  <conditionalFormatting sqref="E2">
    <cfRule type="duplicateValues" dxfId="11287" priority="394"/>
    <cfRule type="duplicateValues" dxfId="11286" priority="395"/>
    <cfRule type="duplicateValues" dxfId="11285" priority="396"/>
    <cfRule type="duplicateValues" dxfId="11284" priority="397"/>
    <cfRule type="duplicateValues" dxfId="11283" priority="398"/>
  </conditionalFormatting>
  <conditionalFormatting sqref="BE2">
    <cfRule type="cellIs" dxfId="11282" priority="479" operator="equal">
      <formula>$BE$3</formula>
    </cfRule>
    <cfRule type="cellIs" dxfId="11281" priority="480" operator="equal">
      <formula>$BE$3</formula>
    </cfRule>
  </conditionalFormatting>
  <conditionalFormatting sqref="CP2">
    <cfRule type="containsText" dxfId="11280" priority="393" operator="containsText" text="FOR ISSUANCE">
      <formula>NOT(ISERROR(SEARCH("FOR ISSUANCE",CP2)))</formula>
    </cfRule>
  </conditionalFormatting>
  <conditionalFormatting sqref="CP2">
    <cfRule type="containsText" dxfId="11279" priority="392" operator="containsText" text="NTC ISSUED">
      <formula>NOT(ISERROR(SEARCH("NTC ISSUED",CP2)))</formula>
    </cfRule>
  </conditionalFormatting>
  <conditionalFormatting sqref="E745:E758 E1:E93 E773:E1048576 E95:E105 E107:E732">
    <cfRule type="duplicateValues" dxfId="11278" priority="310"/>
  </conditionalFormatting>
  <conditionalFormatting sqref="E745:E758 E497:E498 E500:E507 E518:E635 E637:E732 E773:E901">
    <cfRule type="duplicateValues" dxfId="11277" priority="73200"/>
    <cfRule type="duplicateValues" dxfId="11276" priority="73201"/>
    <cfRule type="duplicateValues" dxfId="11275" priority="73202"/>
    <cfRule type="duplicateValues" dxfId="11274" priority="73203"/>
    <cfRule type="duplicateValues" dxfId="11273" priority="73204"/>
    <cfRule type="duplicateValues" dxfId="11272" priority="73205"/>
    <cfRule type="duplicateValues" dxfId="11271" priority="73206"/>
    <cfRule type="duplicateValues" dxfId="11270" priority="73207"/>
    <cfRule type="duplicateValues" dxfId="11269" priority="73208"/>
    <cfRule type="duplicateValues" dxfId="11268" priority="73209"/>
    <cfRule type="duplicateValues" dxfId="11267" priority="73210"/>
    <cfRule type="duplicateValues" dxfId="11266" priority="73211"/>
    <cfRule type="duplicateValues" dxfId="11265" priority="73212"/>
    <cfRule type="duplicateValues" dxfId="11264" priority="73213"/>
    <cfRule type="duplicateValues" dxfId="11263" priority="73214"/>
    <cfRule type="duplicateValues" dxfId="11262" priority="73215"/>
    <cfRule type="duplicateValues" dxfId="11261" priority="73216"/>
    <cfRule type="duplicateValues" dxfId="11260" priority="73217"/>
    <cfRule type="duplicateValues" dxfId="11259" priority="73218"/>
    <cfRule type="duplicateValues" dxfId="11258" priority="73219"/>
    <cfRule type="duplicateValues" dxfId="11257" priority="73220"/>
    <cfRule type="duplicateValues" dxfId="11256" priority="73221"/>
  </conditionalFormatting>
  <conditionalFormatting sqref="E745:E758 E497:E498 E500:E507 E518:E635 E637:E732 E773:E901">
    <cfRule type="duplicateValues" dxfId="11255" priority="73310"/>
    <cfRule type="duplicateValues" dxfId="11254" priority="73311"/>
    <cfRule type="duplicateValues" dxfId="11253" priority="73312"/>
    <cfRule type="duplicateValues" dxfId="11252" priority="73313"/>
    <cfRule type="duplicateValues" dxfId="11251" priority="73314"/>
    <cfRule type="duplicateValues" dxfId="11250" priority="73315"/>
  </conditionalFormatting>
  <conditionalFormatting sqref="E759:E772">
    <cfRule type="duplicateValues" dxfId="11249" priority="227"/>
  </conditionalFormatting>
  <conditionalFormatting sqref="E759:E772">
    <cfRule type="duplicateValues" dxfId="11248" priority="225"/>
    <cfRule type="duplicateValues" dxfId="11247" priority="226"/>
  </conditionalFormatting>
  <conditionalFormatting sqref="E759:E772">
    <cfRule type="duplicateValues" dxfId="11246" priority="224"/>
  </conditionalFormatting>
  <conditionalFormatting sqref="E759:E772">
    <cfRule type="duplicateValues" dxfId="11245" priority="222"/>
    <cfRule type="duplicateValues" dxfId="11244" priority="223"/>
  </conditionalFormatting>
  <conditionalFormatting sqref="E759:E772">
    <cfRule type="duplicateValues" dxfId="11243" priority="221"/>
  </conditionalFormatting>
  <conditionalFormatting sqref="E759:E772">
    <cfRule type="duplicateValues" dxfId="11242" priority="220"/>
  </conditionalFormatting>
  <conditionalFormatting sqref="E759:E772">
    <cfRule type="duplicateValues" dxfId="11241" priority="219"/>
  </conditionalFormatting>
  <conditionalFormatting sqref="E759:E772">
    <cfRule type="duplicateValues" dxfId="11240" priority="215"/>
    <cfRule type="duplicateValues" dxfId="11239" priority="216"/>
    <cfRule type="duplicateValues" dxfId="11238" priority="217"/>
    <cfRule type="duplicateValues" dxfId="11237" priority="218"/>
  </conditionalFormatting>
  <conditionalFormatting sqref="E759:E772">
    <cfRule type="duplicateValues" dxfId="11236" priority="210"/>
    <cfRule type="duplicateValues" dxfId="11235" priority="211"/>
    <cfRule type="duplicateValues" dxfId="11234" priority="212"/>
    <cfRule type="duplicateValues" dxfId="11233" priority="213"/>
    <cfRule type="duplicateValues" dxfId="11232" priority="214"/>
  </conditionalFormatting>
  <conditionalFormatting sqref="E759:E772">
    <cfRule type="duplicateValues" dxfId="11231" priority="199"/>
    <cfRule type="duplicateValues" dxfId="11230" priority="200"/>
    <cfRule type="duplicateValues" dxfId="11229" priority="201"/>
    <cfRule type="duplicateValues" dxfId="11228" priority="202"/>
    <cfRule type="duplicateValues" dxfId="11227" priority="203"/>
    <cfRule type="duplicateValues" dxfId="11226" priority="204"/>
    <cfRule type="duplicateValues" dxfId="11225" priority="205"/>
    <cfRule type="duplicateValues" dxfId="11224" priority="206"/>
    <cfRule type="duplicateValues" dxfId="11223" priority="207"/>
    <cfRule type="duplicateValues" dxfId="11222" priority="208"/>
    <cfRule type="duplicateValues" dxfId="11221" priority="209"/>
  </conditionalFormatting>
  <conditionalFormatting sqref="E759:E772">
    <cfRule type="duplicateValues" dxfId="11220" priority="193"/>
    <cfRule type="duplicateValues" dxfId="11219" priority="194"/>
    <cfRule type="duplicateValues" dxfId="11218" priority="195"/>
    <cfRule type="duplicateValues" dxfId="11217" priority="196"/>
    <cfRule type="duplicateValues" dxfId="11216" priority="197"/>
    <cfRule type="duplicateValues" dxfId="11215" priority="198"/>
  </conditionalFormatting>
  <conditionalFormatting sqref="E759:E772">
    <cfRule type="duplicateValues" dxfId="11214" priority="187"/>
    <cfRule type="duplicateValues" dxfId="11213" priority="188"/>
    <cfRule type="duplicateValues" dxfId="11212" priority="189"/>
    <cfRule type="duplicateValues" dxfId="11211" priority="190"/>
    <cfRule type="duplicateValues" dxfId="11210" priority="191"/>
    <cfRule type="duplicateValues" dxfId="11209" priority="192"/>
  </conditionalFormatting>
  <conditionalFormatting sqref="E759:E772">
    <cfRule type="duplicateValues" dxfId="11208" priority="186"/>
  </conditionalFormatting>
  <conditionalFormatting sqref="E759:E772">
    <cfRule type="duplicateValues" dxfId="11207" priority="180"/>
    <cfRule type="duplicateValues" dxfId="11206" priority="181"/>
    <cfRule type="duplicateValues" dxfId="11205" priority="182"/>
    <cfRule type="duplicateValues" dxfId="11204" priority="183"/>
    <cfRule type="duplicateValues" dxfId="11203" priority="184"/>
    <cfRule type="duplicateValues" dxfId="11202" priority="185"/>
  </conditionalFormatting>
  <conditionalFormatting sqref="E759:E772">
    <cfRule type="duplicateValues" dxfId="11201" priority="175"/>
    <cfRule type="duplicateValues" dxfId="11200" priority="176"/>
    <cfRule type="duplicateValues" dxfId="11199" priority="177"/>
    <cfRule type="duplicateValues" dxfId="11198" priority="178"/>
    <cfRule type="duplicateValues" dxfId="11197" priority="179"/>
  </conditionalFormatting>
  <conditionalFormatting sqref="E759:E772">
    <cfRule type="duplicateValues" dxfId="11196" priority="174"/>
  </conditionalFormatting>
  <conditionalFormatting sqref="E759:E772">
    <cfRule type="duplicateValues" dxfId="11195" priority="152"/>
    <cfRule type="duplicateValues" dxfId="11194" priority="153"/>
    <cfRule type="duplicateValues" dxfId="11193" priority="154"/>
    <cfRule type="duplicateValues" dxfId="11192" priority="155"/>
    <cfRule type="duplicateValues" dxfId="11191" priority="156"/>
    <cfRule type="duplicateValues" dxfId="11190" priority="157"/>
    <cfRule type="duplicateValues" dxfId="11189" priority="158"/>
    <cfRule type="duplicateValues" dxfId="11188" priority="159"/>
    <cfRule type="duplicateValues" dxfId="11187" priority="160"/>
    <cfRule type="duplicateValues" dxfId="11186" priority="161"/>
    <cfRule type="duplicateValues" dxfId="11185" priority="162"/>
    <cfRule type="duplicateValues" dxfId="11184" priority="163"/>
    <cfRule type="duplicateValues" dxfId="11183" priority="164"/>
    <cfRule type="duplicateValues" dxfId="11182" priority="165"/>
    <cfRule type="duplicateValues" dxfId="11181" priority="166"/>
    <cfRule type="duplicateValues" dxfId="11180" priority="167"/>
    <cfRule type="duplicateValues" dxfId="11179" priority="168"/>
    <cfRule type="duplicateValues" dxfId="11178" priority="169"/>
    <cfRule type="duplicateValues" dxfId="11177" priority="170"/>
    <cfRule type="duplicateValues" dxfId="11176" priority="171"/>
    <cfRule type="duplicateValues" dxfId="11175" priority="172"/>
    <cfRule type="duplicateValues" dxfId="11174" priority="173"/>
  </conditionalFormatting>
  <conditionalFormatting sqref="E759:E772">
    <cfRule type="duplicateValues" dxfId="11173" priority="146"/>
    <cfRule type="duplicateValues" dxfId="11172" priority="147"/>
    <cfRule type="duplicateValues" dxfId="11171" priority="148"/>
    <cfRule type="duplicateValues" dxfId="11170" priority="149"/>
    <cfRule type="duplicateValues" dxfId="11169" priority="150"/>
    <cfRule type="duplicateValues" dxfId="11168" priority="151"/>
  </conditionalFormatting>
  <conditionalFormatting sqref="E759:E772">
    <cfRule type="duplicateValues" dxfId="11167" priority="145"/>
  </conditionalFormatting>
  <conditionalFormatting sqref="E733:E744">
    <cfRule type="duplicateValues" dxfId="11166" priority="74677"/>
  </conditionalFormatting>
  <conditionalFormatting sqref="E733:E744">
    <cfRule type="duplicateValues" dxfId="11165" priority="74679"/>
    <cfRule type="duplicateValues" dxfId="11164" priority="74680"/>
  </conditionalFormatting>
  <conditionalFormatting sqref="E733:E744">
    <cfRule type="duplicateValues" dxfId="11163" priority="74683"/>
    <cfRule type="duplicateValues" dxfId="11162" priority="74684"/>
    <cfRule type="duplicateValues" dxfId="11161" priority="74685"/>
    <cfRule type="duplicateValues" dxfId="11160" priority="74686"/>
  </conditionalFormatting>
  <conditionalFormatting sqref="E733:E744">
    <cfRule type="duplicateValues" dxfId="11159" priority="74691"/>
    <cfRule type="duplicateValues" dxfId="11158" priority="74692"/>
    <cfRule type="duplicateValues" dxfId="11157" priority="74693"/>
    <cfRule type="duplicateValues" dxfId="11156" priority="74694"/>
    <cfRule type="duplicateValues" dxfId="11155" priority="74695"/>
  </conditionalFormatting>
  <conditionalFormatting sqref="E733:E744">
    <cfRule type="duplicateValues" dxfId="11154" priority="74701"/>
    <cfRule type="duplicateValues" dxfId="11153" priority="74702"/>
    <cfRule type="duplicateValues" dxfId="11152" priority="74703"/>
    <cfRule type="duplicateValues" dxfId="11151" priority="74704"/>
    <cfRule type="duplicateValues" dxfId="11150" priority="74705"/>
    <cfRule type="duplicateValues" dxfId="11149" priority="74706"/>
    <cfRule type="duplicateValues" dxfId="11148" priority="74707"/>
    <cfRule type="duplicateValues" dxfId="11147" priority="74708"/>
    <cfRule type="duplicateValues" dxfId="11146" priority="74709"/>
    <cfRule type="duplicateValues" dxfId="11145" priority="74710"/>
    <cfRule type="duplicateValues" dxfId="11144" priority="74711"/>
  </conditionalFormatting>
  <conditionalFormatting sqref="E733:E744">
    <cfRule type="duplicateValues" dxfId="11143" priority="74723"/>
    <cfRule type="duplicateValues" dxfId="11142" priority="74724"/>
    <cfRule type="duplicateValues" dxfId="11141" priority="74725"/>
    <cfRule type="duplicateValues" dxfId="11140" priority="74726"/>
    <cfRule type="duplicateValues" dxfId="11139" priority="74727"/>
    <cfRule type="duplicateValues" dxfId="11138" priority="74728"/>
  </conditionalFormatting>
  <conditionalFormatting sqref="E733:E744">
    <cfRule type="duplicateValues" dxfId="11137" priority="74735"/>
    <cfRule type="duplicateValues" dxfId="11136" priority="74736"/>
    <cfRule type="duplicateValues" dxfId="11135" priority="74737"/>
    <cfRule type="duplicateValues" dxfId="11134" priority="74738"/>
    <cfRule type="duplicateValues" dxfId="11133" priority="74739"/>
    <cfRule type="duplicateValues" dxfId="11132" priority="74740"/>
    <cfRule type="duplicateValues" dxfId="11131" priority="74741"/>
    <cfRule type="duplicateValues" dxfId="11130" priority="74742"/>
    <cfRule type="duplicateValues" dxfId="11129" priority="74743"/>
    <cfRule type="duplicateValues" dxfId="11128" priority="74744"/>
    <cfRule type="duplicateValues" dxfId="11127" priority="74745"/>
    <cfRule type="duplicateValues" dxfId="11126" priority="74746"/>
    <cfRule type="duplicateValues" dxfId="11125" priority="74747"/>
    <cfRule type="duplicateValues" dxfId="11124" priority="74748"/>
    <cfRule type="duplicateValues" dxfId="11123" priority="74749"/>
    <cfRule type="duplicateValues" dxfId="11122" priority="74750"/>
    <cfRule type="duplicateValues" dxfId="11121" priority="74751"/>
    <cfRule type="duplicateValues" dxfId="11120" priority="74752"/>
    <cfRule type="duplicateValues" dxfId="11119" priority="74753"/>
    <cfRule type="duplicateValues" dxfId="11118" priority="74754"/>
    <cfRule type="duplicateValues" dxfId="11117" priority="74755"/>
    <cfRule type="duplicateValues" dxfId="11116" priority="74756"/>
  </conditionalFormatting>
  <conditionalFormatting sqref="E1:E93 E95:E105 E107:E1048576">
    <cfRule type="duplicateValues" dxfId="11115" priority="144"/>
  </conditionalFormatting>
  <conditionalFormatting sqref="E1:E1048576">
    <cfRule type="duplicateValues" dxfId="11114" priority="85"/>
  </conditionalFormatting>
  <conditionalFormatting sqref="BZ845">
    <cfRule type="duplicateValues" dxfId="11113" priority="84"/>
  </conditionalFormatting>
  <conditionalFormatting sqref="BZ845">
    <cfRule type="duplicateValues" dxfId="11112" priority="82"/>
    <cfRule type="duplicateValues" dxfId="11111" priority="83"/>
  </conditionalFormatting>
  <conditionalFormatting sqref="BZ845">
    <cfRule type="duplicateValues" dxfId="11110" priority="81"/>
  </conditionalFormatting>
  <conditionalFormatting sqref="BZ845">
    <cfRule type="duplicateValues" dxfId="11109" priority="79"/>
    <cfRule type="duplicateValues" dxfId="11108" priority="80"/>
  </conditionalFormatting>
  <conditionalFormatting sqref="BZ845">
    <cfRule type="duplicateValues" dxfId="11107" priority="78"/>
  </conditionalFormatting>
  <conditionalFormatting sqref="BZ845">
    <cfRule type="duplicateValues" dxfId="11106" priority="77"/>
  </conditionalFormatting>
  <conditionalFormatting sqref="BZ845">
    <cfRule type="duplicateValues" dxfId="11105" priority="76"/>
  </conditionalFormatting>
  <conditionalFormatting sqref="BZ845">
    <cfRule type="duplicateValues" dxfId="11104" priority="72"/>
    <cfRule type="duplicateValues" dxfId="11103" priority="73"/>
    <cfRule type="duplicateValues" dxfId="11102" priority="74"/>
    <cfRule type="duplicateValues" dxfId="11101" priority="75"/>
  </conditionalFormatting>
  <conditionalFormatting sqref="BZ845">
    <cfRule type="duplicateValues" dxfId="11100" priority="67"/>
    <cfRule type="duplicateValues" dxfId="11099" priority="68"/>
    <cfRule type="duplicateValues" dxfId="11098" priority="69"/>
    <cfRule type="duplicateValues" dxfId="11097" priority="70"/>
    <cfRule type="duplicateValues" dxfId="11096" priority="71"/>
  </conditionalFormatting>
  <conditionalFormatting sqref="BZ845">
    <cfRule type="duplicateValues" dxfId="11095" priority="56"/>
    <cfRule type="duplicateValues" dxfId="11094" priority="57"/>
    <cfRule type="duplicateValues" dxfId="11093" priority="58"/>
    <cfRule type="duplicateValues" dxfId="11092" priority="59"/>
    <cfRule type="duplicateValues" dxfId="11091" priority="60"/>
    <cfRule type="duplicateValues" dxfId="11090" priority="61"/>
    <cfRule type="duplicateValues" dxfId="11089" priority="62"/>
    <cfRule type="duplicateValues" dxfId="11088" priority="63"/>
    <cfRule type="duplicateValues" dxfId="11087" priority="64"/>
    <cfRule type="duplicateValues" dxfId="11086" priority="65"/>
    <cfRule type="duplicateValues" dxfId="11085" priority="66"/>
  </conditionalFormatting>
  <conditionalFormatting sqref="BZ845">
    <cfRule type="duplicateValues" dxfId="11084" priority="50"/>
    <cfRule type="duplicateValues" dxfId="11083" priority="51"/>
    <cfRule type="duplicateValues" dxfId="11082" priority="52"/>
    <cfRule type="duplicateValues" dxfId="11081" priority="53"/>
    <cfRule type="duplicateValues" dxfId="11080" priority="54"/>
    <cfRule type="duplicateValues" dxfId="11079" priority="55"/>
  </conditionalFormatting>
  <conditionalFormatting sqref="BZ845">
    <cfRule type="duplicateValues" dxfId="11078" priority="44"/>
    <cfRule type="duplicateValues" dxfId="11077" priority="45"/>
    <cfRule type="duplicateValues" dxfId="11076" priority="46"/>
    <cfRule type="duplicateValues" dxfId="11075" priority="47"/>
    <cfRule type="duplicateValues" dxfId="11074" priority="48"/>
    <cfRule type="duplicateValues" dxfId="11073" priority="49"/>
  </conditionalFormatting>
  <conditionalFormatting sqref="BZ845">
    <cfRule type="duplicateValues" dxfId="11072" priority="43"/>
  </conditionalFormatting>
  <conditionalFormatting sqref="BZ845">
    <cfRule type="duplicateValues" dxfId="11071" priority="37"/>
    <cfRule type="duplicateValues" dxfId="11070" priority="38"/>
    <cfRule type="duplicateValues" dxfId="11069" priority="39"/>
    <cfRule type="duplicateValues" dxfId="11068" priority="40"/>
    <cfRule type="duplicateValues" dxfId="11067" priority="41"/>
    <cfRule type="duplicateValues" dxfId="11066" priority="42"/>
  </conditionalFormatting>
  <conditionalFormatting sqref="BZ845">
    <cfRule type="duplicateValues" dxfId="11065" priority="32"/>
    <cfRule type="duplicateValues" dxfId="11064" priority="33"/>
    <cfRule type="duplicateValues" dxfId="11063" priority="34"/>
    <cfRule type="duplicateValues" dxfId="11062" priority="35"/>
    <cfRule type="duplicateValues" dxfId="11061" priority="36"/>
  </conditionalFormatting>
  <conditionalFormatting sqref="BZ845">
    <cfRule type="duplicateValues" dxfId="11060" priority="31"/>
  </conditionalFormatting>
  <conditionalFormatting sqref="BZ845">
    <cfRule type="duplicateValues" dxfId="11059" priority="9"/>
    <cfRule type="duplicateValues" dxfId="11058" priority="10"/>
    <cfRule type="duplicateValues" dxfId="11057" priority="11"/>
    <cfRule type="duplicateValues" dxfId="11056" priority="12"/>
    <cfRule type="duplicateValues" dxfId="11055" priority="13"/>
    <cfRule type="duplicateValues" dxfId="11054" priority="14"/>
    <cfRule type="duplicateValues" dxfId="11053" priority="15"/>
    <cfRule type="duplicateValues" dxfId="11052" priority="16"/>
    <cfRule type="duplicateValues" dxfId="11051" priority="17"/>
    <cfRule type="duplicateValues" dxfId="11050" priority="18"/>
    <cfRule type="duplicateValues" dxfId="11049" priority="19"/>
    <cfRule type="duplicateValues" dxfId="11048" priority="20"/>
    <cfRule type="duplicateValues" dxfId="11047" priority="21"/>
    <cfRule type="duplicateValues" dxfId="11046" priority="22"/>
    <cfRule type="duplicateValues" dxfId="11045" priority="23"/>
    <cfRule type="duplicateValues" dxfId="11044" priority="24"/>
    <cfRule type="duplicateValues" dxfId="11043" priority="25"/>
    <cfRule type="duplicateValues" dxfId="11042" priority="26"/>
    <cfRule type="duplicateValues" dxfId="11041" priority="27"/>
    <cfRule type="duplicateValues" dxfId="11040" priority="28"/>
    <cfRule type="duplicateValues" dxfId="11039" priority="29"/>
    <cfRule type="duplicateValues" dxfId="11038" priority="30"/>
  </conditionalFormatting>
  <conditionalFormatting sqref="BZ845">
    <cfRule type="duplicateValues" dxfId="11037" priority="3"/>
    <cfRule type="duplicateValues" dxfId="11036" priority="4"/>
    <cfRule type="duplicateValues" dxfId="11035" priority="5"/>
    <cfRule type="duplicateValues" dxfId="11034" priority="6"/>
    <cfRule type="duplicateValues" dxfId="11033" priority="7"/>
    <cfRule type="duplicateValues" dxfId="11032" priority="8"/>
  </conditionalFormatting>
  <conditionalFormatting sqref="BZ845">
    <cfRule type="duplicateValues" dxfId="11031" priority="2"/>
  </conditionalFormatting>
  <conditionalFormatting sqref="BZ845">
    <cfRule type="duplicateValues" dxfId="11030" priority="1"/>
  </conditionalFormatting>
  <pageMargins left="0.25" right="0.25" top="0.75" bottom="0.75" header="0.3" footer="0.3"/>
  <pageSetup scale="69" fitToHeight="0" orientation="landscape" r:id="rId1"/>
  <customProperties>
    <customPr name="EpmWorksheetKeyString_GUID" r:id="rId2"/>
  </customProperties>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6FB9-25E2-455D-8ED0-CBD1A743A97E}">
  <sheetPr filterMode="1">
    <tabColor rgb="FF0070C0"/>
  </sheetPr>
  <dimension ref="A1:AN430"/>
  <sheetViews>
    <sheetView topLeftCell="M4" zoomScale="85" zoomScaleNormal="85" workbookViewId="0">
      <selection activeCell="T17" sqref="T17"/>
    </sheetView>
  </sheetViews>
  <sheetFormatPr defaultRowHeight="15" x14ac:dyDescent="0.25"/>
  <cols>
    <col min="1" max="1" width="40.85546875" customWidth="1"/>
    <col min="2" max="2" width="14.85546875" customWidth="1"/>
    <col min="3" max="3" width="14.42578125" customWidth="1"/>
    <col min="4" max="4" width="14.85546875" customWidth="1"/>
    <col min="5" max="5" width="12.5703125" bestFit="1" customWidth="1"/>
    <col min="6" max="7" width="13.5703125" customWidth="1"/>
    <col min="8" max="8" width="14.140625" customWidth="1"/>
    <col min="9" max="9" width="15.140625" style="70" customWidth="1"/>
    <col min="10" max="10" width="11.42578125" customWidth="1"/>
    <col min="11" max="11" width="21.5703125" customWidth="1"/>
    <col min="12" max="12" width="13.85546875" customWidth="1"/>
    <col min="13" max="13" width="13.5703125" customWidth="1"/>
    <col min="14" max="14" width="10.85546875" customWidth="1"/>
    <col min="15" max="15" width="15.85546875" customWidth="1"/>
    <col min="16" max="16" width="15" customWidth="1"/>
    <col min="17" max="17" width="13.42578125" customWidth="1"/>
    <col min="18" max="18" width="18" customWidth="1"/>
    <col min="19" max="19" width="12.140625" customWidth="1"/>
    <col min="20" max="20" width="12.85546875" customWidth="1"/>
    <col min="21" max="21" width="15.140625" customWidth="1"/>
    <col min="22" max="22" width="13.42578125" customWidth="1"/>
    <col min="23" max="23" width="12.85546875" customWidth="1"/>
    <col min="24" max="24" width="12.140625" customWidth="1"/>
    <col min="25" max="25" width="16.85546875" customWidth="1"/>
    <col min="26" max="26" width="14.5703125" customWidth="1"/>
    <col min="27" max="27" width="13.140625" customWidth="1"/>
    <col min="28" max="28" width="15.140625" customWidth="1"/>
    <col min="29" max="29" width="10.42578125" customWidth="1"/>
    <col min="30" max="30" width="13.85546875" customWidth="1"/>
    <col min="31" max="31" width="16.140625" customWidth="1"/>
    <col min="32" max="32" width="17.140625" customWidth="1"/>
    <col min="33" max="33" width="16.85546875" customWidth="1"/>
    <col min="34" max="34" width="17.140625" customWidth="1"/>
    <col min="35" max="35" width="13.140625" bestFit="1" customWidth="1"/>
    <col min="36" max="36" width="19.140625" bestFit="1" customWidth="1"/>
    <col min="37" max="37" width="16.140625" bestFit="1" customWidth="1"/>
    <col min="38" max="38" width="16.42578125" customWidth="1"/>
    <col min="39" max="39" width="10.140625" customWidth="1"/>
    <col min="40" max="40" width="14.5703125" customWidth="1"/>
    <col min="41" max="41" width="16.140625" bestFit="1" customWidth="1"/>
    <col min="42" max="42" width="34.140625" bestFit="1" customWidth="1"/>
    <col min="43" max="43" width="16.140625" bestFit="1" customWidth="1"/>
    <col min="44" max="44" width="34.140625" bestFit="1" customWidth="1"/>
    <col min="45" max="45" width="16.140625" bestFit="1" customWidth="1"/>
    <col min="46" max="46" width="34.140625" bestFit="1" customWidth="1"/>
    <col min="47" max="47" width="16.140625" bestFit="1" customWidth="1"/>
    <col min="48" max="48" width="34.140625" bestFit="1" customWidth="1"/>
    <col min="49" max="49" width="16.140625" bestFit="1" customWidth="1"/>
    <col min="50" max="50" width="34.140625" bestFit="1" customWidth="1"/>
    <col min="51" max="51" width="16.140625" bestFit="1" customWidth="1"/>
    <col min="52" max="52" width="34.140625" bestFit="1" customWidth="1"/>
    <col min="53" max="53" width="16.140625" bestFit="1" customWidth="1"/>
    <col min="54" max="54" width="34.140625" bestFit="1" customWidth="1"/>
    <col min="55" max="55" width="16.140625" bestFit="1" customWidth="1"/>
    <col min="56" max="56" width="34.140625" bestFit="1" customWidth="1"/>
    <col min="57" max="57" width="16.140625" bestFit="1" customWidth="1"/>
    <col min="58" max="58" width="34.140625" bestFit="1" customWidth="1"/>
    <col min="59" max="59" width="16.140625" bestFit="1" customWidth="1"/>
    <col min="60" max="60" width="34.140625" bestFit="1" customWidth="1"/>
    <col min="61" max="61" width="16.140625" bestFit="1" customWidth="1"/>
    <col min="62" max="62" width="34.140625" bestFit="1" customWidth="1"/>
    <col min="63" max="63" width="16.140625" bestFit="1" customWidth="1"/>
    <col min="64" max="64" width="34.140625" bestFit="1" customWidth="1"/>
    <col min="65" max="65" width="16.140625" bestFit="1" customWidth="1"/>
    <col min="66" max="66" width="34.140625" bestFit="1" customWidth="1"/>
    <col min="67" max="67" width="16.140625" bestFit="1" customWidth="1"/>
    <col min="68" max="68" width="34.140625" bestFit="1" customWidth="1"/>
    <col min="69" max="69" width="16.140625" bestFit="1" customWidth="1"/>
    <col min="70" max="70" width="34.140625" bestFit="1" customWidth="1"/>
    <col min="71" max="71" width="16.140625" bestFit="1" customWidth="1"/>
    <col min="72" max="72" width="34.140625" bestFit="1" customWidth="1"/>
    <col min="73" max="73" width="16.140625" bestFit="1" customWidth="1"/>
    <col min="74" max="74" width="34.140625" bestFit="1" customWidth="1"/>
    <col min="75" max="75" width="16.140625" bestFit="1" customWidth="1"/>
    <col min="76" max="76" width="34.140625" bestFit="1" customWidth="1"/>
    <col min="77" max="77" width="16.140625" bestFit="1" customWidth="1"/>
    <col min="78" max="78" width="34.140625" bestFit="1" customWidth="1"/>
    <col min="79" max="79" width="16.140625" bestFit="1" customWidth="1"/>
    <col min="80" max="80" width="34.140625" bestFit="1" customWidth="1"/>
    <col min="81" max="81" width="16.140625" bestFit="1" customWidth="1"/>
    <col min="82" max="82" width="34.140625" bestFit="1" customWidth="1"/>
    <col min="83" max="83" width="16.140625" bestFit="1" customWidth="1"/>
    <col min="84" max="84" width="34.140625" bestFit="1" customWidth="1"/>
    <col min="85" max="85" width="16.140625" bestFit="1" customWidth="1"/>
    <col min="86" max="86" width="34.140625" bestFit="1" customWidth="1"/>
    <col min="87" max="87" width="16.140625" bestFit="1" customWidth="1"/>
    <col min="88" max="88" width="34.140625" bestFit="1" customWidth="1"/>
    <col min="89" max="89" width="16.140625" bestFit="1" customWidth="1"/>
    <col min="90" max="90" width="34.140625" bestFit="1" customWidth="1"/>
    <col min="91" max="91" width="16.140625" bestFit="1" customWidth="1"/>
    <col min="92" max="92" width="34.140625" bestFit="1" customWidth="1"/>
    <col min="93" max="93" width="16.140625" bestFit="1" customWidth="1"/>
    <col min="94" max="94" width="34.140625" bestFit="1" customWidth="1"/>
    <col min="95" max="95" width="16.140625" bestFit="1" customWidth="1"/>
    <col min="96" max="96" width="34.140625" bestFit="1" customWidth="1"/>
    <col min="97" max="97" width="16.140625" bestFit="1" customWidth="1"/>
    <col min="98" max="98" width="34.140625" bestFit="1" customWidth="1"/>
    <col min="99" max="99" width="16.140625" bestFit="1" customWidth="1"/>
    <col min="100" max="100" width="34.140625" bestFit="1" customWidth="1"/>
    <col min="101" max="101" width="16.140625" bestFit="1" customWidth="1"/>
    <col min="102" max="102" width="34.140625" bestFit="1" customWidth="1"/>
    <col min="103" max="103" width="16.140625" bestFit="1" customWidth="1"/>
    <col min="104" max="104" width="34.140625" bestFit="1" customWidth="1"/>
    <col min="105" max="105" width="16.140625" bestFit="1" customWidth="1"/>
    <col min="106" max="106" width="34.140625" bestFit="1" customWidth="1"/>
    <col min="107" max="107" width="16.140625" bestFit="1" customWidth="1"/>
    <col min="108" max="108" width="34.140625" bestFit="1" customWidth="1"/>
    <col min="109" max="109" width="16.140625" bestFit="1" customWidth="1"/>
    <col min="110" max="110" width="34.140625" bestFit="1" customWidth="1"/>
    <col min="111" max="111" width="16.140625" bestFit="1" customWidth="1"/>
    <col min="112" max="112" width="34.140625" bestFit="1" customWidth="1"/>
    <col min="113" max="113" width="16.140625" bestFit="1" customWidth="1"/>
    <col min="114" max="114" width="34.140625" bestFit="1" customWidth="1"/>
    <col min="115" max="115" width="16.140625" bestFit="1" customWidth="1"/>
    <col min="116" max="116" width="34.140625" bestFit="1" customWidth="1"/>
    <col min="117" max="117" width="16.140625" bestFit="1" customWidth="1"/>
    <col min="118" max="118" width="34.140625" bestFit="1" customWidth="1"/>
    <col min="119" max="119" width="16.140625" bestFit="1" customWidth="1"/>
    <col min="120" max="120" width="34.140625" bestFit="1" customWidth="1"/>
    <col min="121" max="121" width="16.140625" bestFit="1" customWidth="1"/>
    <col min="122" max="122" width="34.140625" bestFit="1" customWidth="1"/>
    <col min="123" max="123" width="16.140625" bestFit="1" customWidth="1"/>
    <col min="124" max="124" width="34.140625" bestFit="1" customWidth="1"/>
    <col min="125" max="125" width="16.140625" bestFit="1" customWidth="1"/>
    <col min="126" max="126" width="34.140625" bestFit="1" customWidth="1"/>
    <col min="127" max="127" width="16.140625" bestFit="1" customWidth="1"/>
    <col min="128" max="128" width="34.140625" bestFit="1" customWidth="1"/>
    <col min="129" max="129" width="16.140625" bestFit="1" customWidth="1"/>
    <col min="130" max="130" width="34.140625" bestFit="1" customWidth="1"/>
    <col min="131" max="131" width="16.140625" bestFit="1" customWidth="1"/>
    <col min="132" max="132" width="34.140625" bestFit="1" customWidth="1"/>
    <col min="133" max="133" width="16.140625" bestFit="1" customWidth="1"/>
    <col min="134" max="134" width="34.140625" bestFit="1" customWidth="1"/>
    <col min="135" max="135" width="16.140625" bestFit="1" customWidth="1"/>
    <col min="136" max="136" width="34.140625" bestFit="1" customWidth="1"/>
    <col min="137" max="137" width="16.140625" bestFit="1" customWidth="1"/>
    <col min="138" max="138" width="34.140625" bestFit="1" customWidth="1"/>
    <col min="139" max="139" width="16.140625" bestFit="1" customWidth="1"/>
    <col min="140" max="140" width="34.140625" bestFit="1" customWidth="1"/>
    <col min="141" max="141" width="16.140625" bestFit="1" customWidth="1"/>
    <col min="142" max="142" width="34.140625" bestFit="1" customWidth="1"/>
    <col min="143" max="143" width="16.140625" bestFit="1" customWidth="1"/>
    <col min="144" max="144" width="34.140625" bestFit="1" customWidth="1"/>
    <col min="145" max="145" width="16.140625" bestFit="1" customWidth="1"/>
    <col min="146" max="146" width="34.140625" bestFit="1" customWidth="1"/>
    <col min="147" max="147" width="16.140625" bestFit="1" customWidth="1"/>
    <col min="148" max="148" width="34.140625" bestFit="1" customWidth="1"/>
    <col min="149" max="149" width="16.140625" bestFit="1" customWidth="1"/>
    <col min="150" max="150" width="34.140625" bestFit="1" customWidth="1"/>
    <col min="151" max="151" width="16.140625" bestFit="1" customWidth="1"/>
    <col min="152" max="152" width="34.140625" bestFit="1" customWidth="1"/>
    <col min="153" max="153" width="16.140625" bestFit="1" customWidth="1"/>
    <col min="154" max="154" width="34.140625" bestFit="1" customWidth="1"/>
    <col min="155" max="155" width="16.140625" bestFit="1" customWidth="1"/>
    <col min="156" max="156" width="34.140625" bestFit="1" customWidth="1"/>
    <col min="157" max="157" width="16.140625" bestFit="1" customWidth="1"/>
    <col min="158" max="158" width="34.140625" bestFit="1" customWidth="1"/>
    <col min="159" max="159" width="16.140625" bestFit="1" customWidth="1"/>
    <col min="160" max="160" width="34.140625" bestFit="1" customWidth="1"/>
    <col min="161" max="161" width="16.140625" bestFit="1" customWidth="1"/>
    <col min="162" max="162" width="34.140625" bestFit="1" customWidth="1"/>
    <col min="163" max="163" width="16.140625" bestFit="1" customWidth="1"/>
    <col min="164" max="164" width="34.140625" bestFit="1" customWidth="1"/>
    <col min="165" max="165" width="16.140625" bestFit="1" customWidth="1"/>
    <col min="166" max="166" width="34.140625" bestFit="1" customWidth="1"/>
    <col min="167" max="167" width="16.140625" bestFit="1" customWidth="1"/>
    <col min="168" max="168" width="34.140625" bestFit="1" customWidth="1"/>
    <col min="169" max="169" width="16.140625" bestFit="1" customWidth="1"/>
    <col min="170" max="170" width="34.140625" bestFit="1" customWidth="1"/>
    <col min="171" max="171" width="16.140625" bestFit="1" customWidth="1"/>
    <col min="172" max="172" width="34.140625" bestFit="1" customWidth="1"/>
    <col min="173" max="173" width="16.140625" bestFit="1" customWidth="1"/>
    <col min="174" max="174" width="34.140625" bestFit="1" customWidth="1"/>
    <col min="175" max="175" width="16.140625" bestFit="1" customWidth="1"/>
    <col min="176" max="176" width="34.140625" bestFit="1" customWidth="1"/>
    <col min="177" max="177" width="16.140625" bestFit="1" customWidth="1"/>
    <col min="178" max="178" width="34.140625" bestFit="1" customWidth="1"/>
    <col min="179" max="179" width="16.140625" bestFit="1" customWidth="1"/>
    <col min="180" max="180" width="34.140625" bestFit="1" customWidth="1"/>
    <col min="181" max="181" width="16.140625" bestFit="1" customWidth="1"/>
    <col min="182" max="182" width="34.140625" bestFit="1" customWidth="1"/>
    <col min="183" max="183" width="16.140625" bestFit="1" customWidth="1"/>
    <col min="184" max="184" width="34.140625" bestFit="1" customWidth="1"/>
    <col min="185" max="185" width="16.140625" bestFit="1" customWidth="1"/>
    <col min="186" max="186" width="34.140625" bestFit="1" customWidth="1"/>
    <col min="187" max="187" width="16.140625" bestFit="1" customWidth="1"/>
    <col min="188" max="188" width="34.140625" bestFit="1" customWidth="1"/>
    <col min="189" max="189" width="16.140625" bestFit="1" customWidth="1"/>
    <col min="190" max="190" width="34.140625" bestFit="1" customWidth="1"/>
    <col min="191" max="191" width="16.140625" bestFit="1" customWidth="1"/>
    <col min="192" max="192" width="34.140625" bestFit="1" customWidth="1"/>
    <col min="193" max="193" width="16.140625" bestFit="1" customWidth="1"/>
    <col min="194" max="194" width="34.140625" bestFit="1" customWidth="1"/>
    <col min="195" max="195" width="16.140625" bestFit="1" customWidth="1"/>
    <col min="196" max="196" width="34.140625" bestFit="1" customWidth="1"/>
    <col min="197" max="197" width="16.140625" bestFit="1" customWidth="1"/>
    <col min="198" max="198" width="34.140625" bestFit="1" customWidth="1"/>
    <col min="199" max="199" width="16.140625" bestFit="1" customWidth="1"/>
    <col min="200" max="200" width="34.140625" bestFit="1" customWidth="1"/>
    <col min="201" max="201" width="16.140625" bestFit="1" customWidth="1"/>
    <col min="202" max="202" width="34.140625" bestFit="1" customWidth="1"/>
    <col min="203" max="203" width="16.140625" bestFit="1" customWidth="1"/>
    <col min="204" max="204" width="34.140625" bestFit="1" customWidth="1"/>
    <col min="205" max="205" width="16.140625" bestFit="1" customWidth="1"/>
    <col min="206" max="206" width="34.140625" bestFit="1" customWidth="1"/>
    <col min="207" max="207" width="16.140625" bestFit="1" customWidth="1"/>
    <col min="208" max="208" width="34.140625" bestFit="1" customWidth="1"/>
    <col min="209" max="209" width="16.140625" bestFit="1" customWidth="1"/>
    <col min="210" max="210" width="34.140625" bestFit="1" customWidth="1"/>
    <col min="211" max="211" width="16.140625" bestFit="1" customWidth="1"/>
    <col min="212" max="212" width="34.140625" bestFit="1" customWidth="1"/>
    <col min="213" max="213" width="16.140625" bestFit="1" customWidth="1"/>
    <col min="214" max="214" width="34.140625" bestFit="1" customWidth="1"/>
    <col min="215" max="215" width="16.140625" bestFit="1" customWidth="1"/>
    <col min="216" max="216" width="34.140625" bestFit="1" customWidth="1"/>
    <col min="217" max="217" width="16.140625" bestFit="1" customWidth="1"/>
    <col min="218" max="218" width="34.140625" bestFit="1" customWidth="1"/>
    <col min="219" max="219" width="16.140625" bestFit="1" customWidth="1"/>
    <col min="220" max="220" width="34.140625" bestFit="1" customWidth="1"/>
    <col min="221" max="221" width="16.140625" bestFit="1" customWidth="1"/>
    <col min="222" max="222" width="34.140625" bestFit="1" customWidth="1"/>
    <col min="223" max="223" width="16.140625" bestFit="1" customWidth="1"/>
    <col min="224" max="224" width="34.140625" bestFit="1" customWidth="1"/>
    <col min="225" max="225" width="16.140625" bestFit="1" customWidth="1"/>
    <col min="226" max="226" width="34.140625" bestFit="1" customWidth="1"/>
    <col min="227" max="227" width="16.140625" bestFit="1" customWidth="1"/>
    <col min="228" max="228" width="34.140625" bestFit="1" customWidth="1"/>
    <col min="229" max="229" width="16.140625" bestFit="1" customWidth="1"/>
    <col min="230" max="230" width="34.140625" bestFit="1" customWidth="1"/>
    <col min="231" max="231" width="16.140625" bestFit="1" customWidth="1"/>
    <col min="232" max="232" width="34.140625" bestFit="1" customWidth="1"/>
    <col min="233" max="233" width="16.140625" bestFit="1" customWidth="1"/>
    <col min="234" max="234" width="34.140625" bestFit="1" customWidth="1"/>
    <col min="235" max="235" width="16.140625" bestFit="1" customWidth="1"/>
    <col min="236" max="236" width="34.140625" bestFit="1" customWidth="1"/>
    <col min="237" max="237" width="16.140625" bestFit="1" customWidth="1"/>
    <col min="238" max="238" width="34.140625" bestFit="1" customWidth="1"/>
    <col min="239" max="239" width="16.140625" bestFit="1" customWidth="1"/>
    <col min="240" max="240" width="34.140625" bestFit="1" customWidth="1"/>
    <col min="241" max="241" width="16.140625" bestFit="1" customWidth="1"/>
    <col min="242" max="242" width="34.140625" bestFit="1" customWidth="1"/>
    <col min="243" max="243" width="16.140625" bestFit="1" customWidth="1"/>
    <col min="244" max="244" width="34.140625" bestFit="1" customWidth="1"/>
    <col min="245" max="245" width="16.140625" bestFit="1" customWidth="1"/>
    <col min="246" max="246" width="34.140625" bestFit="1" customWidth="1"/>
    <col min="247" max="247" width="16.140625" bestFit="1" customWidth="1"/>
    <col min="248" max="248" width="34.140625" bestFit="1" customWidth="1"/>
    <col min="249" max="249" width="16.140625" bestFit="1" customWidth="1"/>
    <col min="250" max="250" width="34.140625" bestFit="1" customWidth="1"/>
    <col min="251" max="251" width="16.140625" bestFit="1" customWidth="1"/>
    <col min="252" max="252" width="34.140625" bestFit="1" customWidth="1"/>
    <col min="253" max="253" width="16.140625" bestFit="1" customWidth="1"/>
    <col min="254" max="254" width="34.140625" bestFit="1" customWidth="1"/>
    <col min="255" max="255" width="16.140625" bestFit="1" customWidth="1"/>
    <col min="256" max="256" width="34.140625" bestFit="1" customWidth="1"/>
    <col min="257" max="257" width="16.140625" bestFit="1" customWidth="1"/>
    <col min="258" max="258" width="34.140625" bestFit="1" customWidth="1"/>
    <col min="259" max="259" width="16.140625" bestFit="1" customWidth="1"/>
    <col min="260" max="260" width="34.140625" bestFit="1" customWidth="1"/>
    <col min="261" max="261" width="16.140625" bestFit="1" customWidth="1"/>
    <col min="262" max="262" width="34.140625" bestFit="1" customWidth="1"/>
    <col min="263" max="263" width="16.140625" bestFit="1" customWidth="1"/>
    <col min="264" max="264" width="34.140625" bestFit="1" customWidth="1"/>
    <col min="265" max="265" width="16.140625" bestFit="1" customWidth="1"/>
    <col min="266" max="266" width="34.140625" bestFit="1" customWidth="1"/>
    <col min="267" max="267" width="16.140625" bestFit="1" customWidth="1"/>
    <col min="268" max="268" width="34.140625" bestFit="1" customWidth="1"/>
    <col min="269" max="269" width="16.140625" bestFit="1" customWidth="1"/>
    <col min="270" max="270" width="34.140625" bestFit="1" customWidth="1"/>
    <col min="271" max="271" width="16.140625" bestFit="1" customWidth="1"/>
    <col min="272" max="272" width="34.140625" bestFit="1" customWidth="1"/>
    <col min="273" max="273" width="16.140625" bestFit="1" customWidth="1"/>
    <col min="274" max="274" width="34.140625" bestFit="1" customWidth="1"/>
    <col min="275" max="275" width="16.140625" bestFit="1" customWidth="1"/>
    <col min="276" max="276" width="34.140625" bestFit="1" customWidth="1"/>
    <col min="277" max="277" width="16.140625" bestFit="1" customWidth="1"/>
    <col min="278" max="278" width="34.140625" bestFit="1" customWidth="1"/>
    <col min="279" max="279" width="16.140625" bestFit="1" customWidth="1"/>
    <col min="280" max="280" width="34.140625" bestFit="1" customWidth="1"/>
    <col min="281" max="281" width="16.140625" bestFit="1" customWidth="1"/>
    <col min="282" max="282" width="34.140625" bestFit="1" customWidth="1"/>
    <col min="283" max="283" width="16.140625" bestFit="1" customWidth="1"/>
    <col min="284" max="284" width="34.140625" bestFit="1" customWidth="1"/>
    <col min="285" max="285" width="16.140625" bestFit="1" customWidth="1"/>
    <col min="286" max="286" width="34.140625" bestFit="1" customWidth="1"/>
    <col min="287" max="287" width="16.140625" bestFit="1" customWidth="1"/>
    <col min="288" max="288" width="34.140625" bestFit="1" customWidth="1"/>
    <col min="289" max="289" width="16.140625" bestFit="1" customWidth="1"/>
    <col min="290" max="290" width="34.140625" bestFit="1" customWidth="1"/>
    <col min="291" max="291" width="16.140625" bestFit="1" customWidth="1"/>
    <col min="292" max="292" width="34.140625" bestFit="1" customWidth="1"/>
    <col min="293" max="293" width="16.140625" bestFit="1" customWidth="1"/>
    <col min="294" max="294" width="34.140625" bestFit="1" customWidth="1"/>
    <col min="295" max="295" width="16.140625" bestFit="1" customWidth="1"/>
    <col min="296" max="296" width="34.140625" bestFit="1" customWidth="1"/>
    <col min="297" max="297" width="16.140625" bestFit="1" customWidth="1"/>
    <col min="298" max="298" width="34.140625" bestFit="1" customWidth="1"/>
    <col min="299" max="299" width="16.140625" bestFit="1" customWidth="1"/>
    <col min="300" max="300" width="34.140625" bestFit="1" customWidth="1"/>
    <col min="301" max="301" width="16.140625" bestFit="1" customWidth="1"/>
    <col min="302" max="302" width="34.140625" bestFit="1" customWidth="1"/>
    <col min="303" max="303" width="16.140625" bestFit="1" customWidth="1"/>
    <col min="304" max="304" width="34.140625" bestFit="1" customWidth="1"/>
    <col min="305" max="305" width="16.140625" bestFit="1" customWidth="1"/>
    <col min="306" max="306" width="34.140625" bestFit="1" customWidth="1"/>
    <col min="307" max="307" width="16.140625" bestFit="1" customWidth="1"/>
    <col min="308" max="308" width="34.140625" bestFit="1" customWidth="1"/>
    <col min="309" max="309" width="16.140625" bestFit="1" customWidth="1"/>
    <col min="310" max="310" width="34.140625" bestFit="1" customWidth="1"/>
    <col min="311" max="311" width="16.140625" bestFit="1" customWidth="1"/>
    <col min="312" max="312" width="34.140625" bestFit="1" customWidth="1"/>
    <col min="313" max="313" width="16.140625" bestFit="1" customWidth="1"/>
    <col min="314" max="314" width="34.140625" bestFit="1" customWidth="1"/>
    <col min="315" max="315" width="16.140625" bestFit="1" customWidth="1"/>
    <col min="316" max="316" width="34.140625" bestFit="1" customWidth="1"/>
    <col min="317" max="317" width="16.140625" bestFit="1" customWidth="1"/>
    <col min="318" max="318" width="34.140625" bestFit="1" customWidth="1"/>
    <col min="319" max="319" width="16.140625" bestFit="1" customWidth="1"/>
    <col min="320" max="320" width="34.140625" bestFit="1" customWidth="1"/>
    <col min="321" max="321" width="16.140625" bestFit="1" customWidth="1"/>
    <col min="322" max="322" width="34.140625" bestFit="1" customWidth="1"/>
    <col min="323" max="323" width="16.140625" bestFit="1" customWidth="1"/>
    <col min="324" max="324" width="34.140625" bestFit="1" customWidth="1"/>
    <col min="325" max="325" width="16.140625" bestFit="1" customWidth="1"/>
    <col min="326" max="326" width="34.140625" bestFit="1" customWidth="1"/>
    <col min="327" max="327" width="16.140625" bestFit="1" customWidth="1"/>
    <col min="328" max="328" width="34.140625" bestFit="1" customWidth="1"/>
    <col min="329" max="329" width="16.140625" bestFit="1" customWidth="1"/>
    <col min="330" max="330" width="34.140625" bestFit="1" customWidth="1"/>
    <col min="331" max="331" width="16.140625" bestFit="1" customWidth="1"/>
    <col min="332" max="332" width="34.140625" bestFit="1" customWidth="1"/>
    <col min="333" max="333" width="16.140625" bestFit="1" customWidth="1"/>
    <col min="334" max="334" width="34.140625" bestFit="1" customWidth="1"/>
    <col min="335" max="335" width="16.140625" bestFit="1" customWidth="1"/>
    <col min="336" max="336" width="34.140625" bestFit="1" customWidth="1"/>
    <col min="337" max="337" width="16.140625" bestFit="1" customWidth="1"/>
    <col min="338" max="338" width="34.140625" bestFit="1" customWidth="1"/>
    <col min="339" max="339" width="16.140625" bestFit="1" customWidth="1"/>
    <col min="340" max="340" width="34.140625" bestFit="1" customWidth="1"/>
    <col min="341" max="341" width="16.140625" bestFit="1" customWidth="1"/>
    <col min="342" max="342" width="34.140625" bestFit="1" customWidth="1"/>
    <col min="343" max="343" width="16.140625" bestFit="1" customWidth="1"/>
    <col min="344" max="344" width="34.140625" bestFit="1" customWidth="1"/>
    <col min="345" max="345" width="16.140625" bestFit="1" customWidth="1"/>
    <col min="346" max="346" width="34.140625" bestFit="1" customWidth="1"/>
    <col min="347" max="347" width="16.140625" bestFit="1" customWidth="1"/>
    <col min="348" max="348" width="34.140625" bestFit="1" customWidth="1"/>
    <col min="349" max="349" width="16.140625" bestFit="1" customWidth="1"/>
    <col min="350" max="350" width="34.140625" bestFit="1" customWidth="1"/>
    <col min="351" max="351" width="16.140625" bestFit="1" customWidth="1"/>
    <col min="352" max="352" width="34.140625" bestFit="1" customWidth="1"/>
    <col min="353" max="353" width="16.140625" bestFit="1" customWidth="1"/>
    <col min="354" max="354" width="34.140625" bestFit="1" customWidth="1"/>
    <col min="355" max="355" width="16.140625" bestFit="1" customWidth="1"/>
    <col min="356" max="356" width="34.140625" bestFit="1" customWidth="1"/>
    <col min="357" max="357" width="16.140625" bestFit="1" customWidth="1"/>
    <col min="358" max="358" width="34.140625" bestFit="1" customWidth="1"/>
    <col min="359" max="359" width="16.140625" bestFit="1" customWidth="1"/>
    <col min="360" max="360" width="34.140625" bestFit="1" customWidth="1"/>
    <col min="361" max="361" width="16.140625" bestFit="1" customWidth="1"/>
    <col min="362" max="362" width="34.140625" bestFit="1" customWidth="1"/>
    <col min="363" max="363" width="16.140625" bestFit="1" customWidth="1"/>
    <col min="364" max="364" width="34.140625" bestFit="1" customWidth="1"/>
    <col min="365" max="365" width="21.140625" bestFit="1" customWidth="1"/>
    <col min="366" max="367" width="39.42578125" bestFit="1" customWidth="1"/>
    <col min="368" max="373" width="15" bestFit="1" customWidth="1"/>
    <col min="374" max="374" width="10.5703125" bestFit="1" customWidth="1"/>
    <col min="375" max="375" width="15" bestFit="1" customWidth="1"/>
    <col min="376" max="376" width="16.140625" bestFit="1" customWidth="1"/>
    <col min="377" max="379" width="15" bestFit="1" customWidth="1"/>
    <col min="380" max="382" width="16.140625" bestFit="1" customWidth="1"/>
    <col min="383" max="383" width="15" bestFit="1" customWidth="1"/>
    <col min="384" max="384" width="16.140625" bestFit="1" customWidth="1"/>
    <col min="385" max="385" width="15" bestFit="1" customWidth="1"/>
    <col min="386" max="387" width="16.140625" bestFit="1" customWidth="1"/>
    <col min="388" max="392" width="15" bestFit="1" customWidth="1"/>
    <col min="393" max="393" width="16.140625" bestFit="1" customWidth="1"/>
    <col min="394" max="400" width="15" bestFit="1" customWidth="1"/>
    <col min="401" max="405" width="16.140625" bestFit="1" customWidth="1"/>
    <col min="406" max="410" width="15" bestFit="1" customWidth="1"/>
    <col min="411" max="412" width="16.140625" bestFit="1" customWidth="1"/>
    <col min="413" max="414" width="15" bestFit="1" customWidth="1"/>
    <col min="415" max="416" width="16.140625" bestFit="1" customWidth="1"/>
    <col min="417" max="417" width="10.5703125" bestFit="1" customWidth="1"/>
    <col min="418" max="419" width="15" bestFit="1" customWidth="1"/>
    <col min="420" max="422" width="16.140625" bestFit="1" customWidth="1"/>
    <col min="423" max="423" width="15" bestFit="1" customWidth="1"/>
    <col min="424" max="429" width="16.140625" bestFit="1" customWidth="1"/>
    <col min="430" max="430" width="9.5703125" bestFit="1" customWidth="1"/>
    <col min="431" max="435" width="14" bestFit="1" customWidth="1"/>
    <col min="436" max="438" width="15" bestFit="1" customWidth="1"/>
    <col min="439" max="439" width="14" bestFit="1" customWidth="1"/>
    <col min="440" max="442" width="15" bestFit="1" customWidth="1"/>
    <col min="443" max="444" width="16.140625" bestFit="1" customWidth="1"/>
    <col min="445" max="446" width="10.5703125" bestFit="1" customWidth="1"/>
    <col min="447" max="447" width="15" bestFit="1" customWidth="1"/>
    <col min="448" max="452" width="16.140625" bestFit="1" customWidth="1"/>
    <col min="453" max="453" width="15" bestFit="1" customWidth="1"/>
    <col min="454" max="455" width="16.140625" bestFit="1" customWidth="1"/>
    <col min="456" max="456" width="15" bestFit="1" customWidth="1"/>
    <col min="457" max="459" width="10.5703125" bestFit="1" customWidth="1"/>
    <col min="460" max="460" width="15" bestFit="1" customWidth="1"/>
    <col min="461" max="461" width="16.140625" bestFit="1" customWidth="1"/>
    <col min="462" max="462" width="10.5703125" bestFit="1" customWidth="1"/>
    <col min="463" max="463" width="15" bestFit="1" customWidth="1"/>
    <col min="464" max="464" width="16.140625" bestFit="1" customWidth="1"/>
    <col min="465" max="467" width="10.5703125" bestFit="1" customWidth="1"/>
    <col min="468" max="471" width="15" bestFit="1" customWidth="1"/>
    <col min="472" max="475" width="16.140625" bestFit="1" customWidth="1"/>
    <col min="476" max="476" width="10.5703125" bestFit="1" customWidth="1"/>
    <col min="477" max="480" width="15" bestFit="1" customWidth="1"/>
    <col min="481" max="482" width="14" bestFit="1" customWidth="1"/>
    <col min="483" max="485" width="15" bestFit="1" customWidth="1"/>
    <col min="486" max="486" width="14" bestFit="1" customWidth="1"/>
    <col min="487" max="488" width="15" bestFit="1" customWidth="1"/>
    <col min="489" max="489" width="14" bestFit="1" customWidth="1"/>
    <col min="490" max="490" width="9.5703125" bestFit="1" customWidth="1"/>
    <col min="491" max="492" width="14" bestFit="1" customWidth="1"/>
    <col min="493" max="502" width="16.140625" bestFit="1" customWidth="1"/>
    <col min="503" max="503" width="10.5703125" bestFit="1" customWidth="1"/>
    <col min="504" max="506" width="16.140625" bestFit="1" customWidth="1"/>
    <col min="507" max="507" width="10.5703125" bestFit="1" customWidth="1"/>
    <col min="508" max="508" width="15" bestFit="1" customWidth="1"/>
    <col min="509" max="511" width="16.140625" bestFit="1" customWidth="1"/>
    <col min="512" max="513" width="10.5703125" bestFit="1" customWidth="1"/>
    <col min="514" max="514" width="15" bestFit="1" customWidth="1"/>
    <col min="515" max="515" width="10.5703125" bestFit="1" customWidth="1"/>
    <col min="516" max="516" width="15" bestFit="1" customWidth="1"/>
    <col min="517" max="517" width="16.140625" bestFit="1" customWidth="1"/>
    <col min="518" max="519" width="10.5703125" bestFit="1" customWidth="1"/>
    <col min="520" max="521" width="16.140625" bestFit="1" customWidth="1"/>
    <col min="522" max="522" width="7.42578125" bestFit="1" customWidth="1"/>
    <col min="523" max="523" width="11.85546875" bestFit="1" customWidth="1"/>
  </cols>
  <sheetData>
    <row r="1" spans="1:40" s="285" customFormat="1" ht="12" x14ac:dyDescent="0.2">
      <c r="A1" s="287" t="s">
        <v>4067</v>
      </c>
      <c r="B1" s="286">
        <v>45658</v>
      </c>
      <c r="C1" s="286">
        <v>45689</v>
      </c>
      <c r="D1" s="286">
        <v>45717</v>
      </c>
      <c r="E1" s="286">
        <v>45748</v>
      </c>
      <c r="F1" s="286">
        <v>45778</v>
      </c>
      <c r="G1" s="286">
        <v>45809</v>
      </c>
      <c r="H1" s="286">
        <v>45839</v>
      </c>
      <c r="I1" s="286">
        <v>45870</v>
      </c>
      <c r="J1" s="286">
        <v>45901</v>
      </c>
      <c r="K1" s="286">
        <v>45931</v>
      </c>
      <c r="L1" s="286">
        <v>45962</v>
      </c>
      <c r="M1" s="286">
        <v>45992</v>
      </c>
      <c r="N1" s="286">
        <v>46023</v>
      </c>
    </row>
    <row r="2" spans="1:40" x14ac:dyDescent="0.25">
      <c r="A2" s="301">
        <v>45292</v>
      </c>
      <c r="B2" s="268" t="s">
        <v>4068</v>
      </c>
      <c r="C2" s="269">
        <v>45658</v>
      </c>
    </row>
    <row r="3" spans="1:40" x14ac:dyDescent="0.25">
      <c r="A3" s="264" t="s">
        <v>4069</v>
      </c>
      <c r="B3" s="268" t="s">
        <v>4070</v>
      </c>
      <c r="C3" s="270">
        <v>45838</v>
      </c>
      <c r="K3" s="1198" t="s">
        <v>4069</v>
      </c>
      <c r="L3" s="274" t="s">
        <v>4071</v>
      </c>
      <c r="M3" s="274" t="s">
        <v>4072</v>
      </c>
      <c r="N3" s="274" t="s">
        <v>4073</v>
      </c>
    </row>
    <row r="4" spans="1:40" x14ac:dyDescent="0.25">
      <c r="A4" s="271" t="s">
        <v>4074</v>
      </c>
      <c r="B4" s="275">
        <f>O14</f>
        <v>359</v>
      </c>
      <c r="C4" s="1208" t="s">
        <v>4075</v>
      </c>
      <c r="D4" s="1209"/>
      <c r="E4" s="1210" t="s">
        <v>4076</v>
      </c>
      <c r="F4" s="1211"/>
      <c r="G4" s="1212" t="s">
        <v>4077</v>
      </c>
      <c r="I4" s="274" t="s">
        <v>4072</v>
      </c>
      <c r="J4" s="274" t="s">
        <v>4073</v>
      </c>
      <c r="K4" s="1199"/>
      <c r="L4" s="276">
        <v>0.05</v>
      </c>
      <c r="M4" s="278">
        <v>0.98599999999999999</v>
      </c>
      <c r="N4" s="277">
        <v>1</v>
      </c>
    </row>
    <row r="5" spans="1:40" x14ac:dyDescent="0.25">
      <c r="A5" s="364" t="s">
        <v>4078</v>
      </c>
      <c r="B5" s="275">
        <v>112</v>
      </c>
      <c r="C5" s="1200" t="s">
        <v>4079</v>
      </c>
      <c r="D5" s="1201"/>
      <c r="E5" s="1202" t="s">
        <v>4080</v>
      </c>
      <c r="F5" s="1203"/>
      <c r="G5" s="1212"/>
      <c r="I5" s="279">
        <v>606</v>
      </c>
      <c r="J5" s="280">
        <v>622</v>
      </c>
      <c r="K5" s="272" t="s">
        <v>4081</v>
      </c>
      <c r="L5" s="276">
        <v>0.02</v>
      </c>
      <c r="M5" s="276">
        <v>0.98</v>
      </c>
      <c r="N5" s="276">
        <v>1</v>
      </c>
    </row>
    <row r="6" spans="1:40" x14ac:dyDescent="0.25">
      <c r="A6" s="271" t="s">
        <v>4082</v>
      </c>
      <c r="B6" s="275">
        <f>COUNTIFS('C1'!R:R,"NEW",'C1'!W:W,"&lt;"&amp;'PCA SUMMARY'!C2,'C1'!M:M,"*CAN*")</f>
        <v>22</v>
      </c>
      <c r="C6" s="1204">
        <f>O14/G20</f>
        <v>1.173202614379085</v>
      </c>
      <c r="D6" s="1205"/>
      <c r="E6" s="1206">
        <f>B4/(B5+B7-B6)</f>
        <v>0.75420168067226889</v>
      </c>
      <c r="F6" s="1207"/>
      <c r="G6" s="289">
        <f>(C6*0.4)+(E6*0.6)</f>
        <v>0.92180205415499539</v>
      </c>
      <c r="I6"/>
      <c r="K6" s="273" t="s">
        <v>4083</v>
      </c>
      <c r="L6" s="276">
        <v>0.03</v>
      </c>
      <c r="M6" s="276">
        <v>0.99</v>
      </c>
      <c r="N6" s="276">
        <v>1</v>
      </c>
    </row>
    <row r="7" spans="1:40" x14ac:dyDescent="0.25">
      <c r="A7" s="271" t="s">
        <v>4084</v>
      </c>
      <c r="B7" s="275">
        <f>COUNTIFS('C1'!R:R,"NEW",'C1'!W:W,"&gt;="&amp;'PCA SUMMARY'!C2)</f>
        <v>386</v>
      </c>
      <c r="C7" t="s">
        <v>4085</v>
      </c>
      <c r="P7" s="361" t="s">
        <v>4086</v>
      </c>
      <c r="R7" s="360" t="s">
        <v>4087</v>
      </c>
    </row>
    <row r="8" spans="1:40" ht="15.75" x14ac:dyDescent="0.25">
      <c r="A8" s="359" t="s">
        <v>4088</v>
      </c>
      <c r="B8" s="645" t="s">
        <v>4089</v>
      </c>
      <c r="D8" s="465"/>
      <c r="P8" s="352" t="s">
        <v>4090</v>
      </c>
      <c r="Q8" s="358" t="s">
        <v>4091</v>
      </c>
      <c r="R8" s="424">
        <v>45870</v>
      </c>
      <c r="AK8" s="1163">
        <f>AK9+AL9</f>
        <v>254</v>
      </c>
      <c r="AL8" s="1163"/>
    </row>
    <row r="9" spans="1:40" x14ac:dyDescent="0.25">
      <c r="A9" s="464"/>
      <c r="B9" s="465"/>
      <c r="D9" s="465"/>
      <c r="P9" s="65" t="s">
        <v>4092</v>
      </c>
      <c r="Q9" s="358" t="s">
        <v>4093</v>
      </c>
      <c r="R9" s="424">
        <v>45884.999988425923</v>
      </c>
      <c r="S9" s="449"/>
      <c r="U9" s="1164" t="s">
        <v>4094</v>
      </c>
      <c r="V9" s="1164"/>
      <c r="AB9" s="710"/>
      <c r="AC9" s="710"/>
      <c r="AD9" s="711"/>
      <c r="AE9" s="710"/>
      <c r="AF9" s="710"/>
      <c r="AG9" s="710"/>
      <c r="AH9" s="710"/>
      <c r="AJ9" s="448" t="s">
        <v>345</v>
      </c>
      <c r="AK9" s="743">
        <f>COUNTIFS('C1'!$AA:$AA,"&gt;="&amp;$B$1,'C1'!AB:AB,"",'C1'!$AS:$AS,"&lt;"&amp;'PCA SUMMARY'!$R$9,'C1'!$R:$R,"NEW")</f>
        <v>205</v>
      </c>
      <c r="AL9" s="1000">
        <f>AM18</f>
        <v>49</v>
      </c>
      <c r="AM9" s="1001" t="s">
        <v>4095</v>
      </c>
      <c r="AN9" s="1051" t="s">
        <v>4096</v>
      </c>
    </row>
    <row r="10" spans="1:40" ht="45" x14ac:dyDescent="0.25">
      <c r="A10" s="264" t="s">
        <v>4081</v>
      </c>
      <c r="B10" s="284" t="s">
        <v>4097</v>
      </c>
      <c r="C10" s="284" t="s">
        <v>4098</v>
      </c>
      <c r="D10" s="284" t="s">
        <v>4099</v>
      </c>
      <c r="E10" s="284" t="s">
        <v>4100</v>
      </c>
      <c r="F10" s="284" t="s">
        <v>4101</v>
      </c>
      <c r="G10" s="284" t="s">
        <v>4102</v>
      </c>
      <c r="H10" s="284" t="s">
        <v>4103</v>
      </c>
      <c r="I10" s="284" t="s">
        <v>4104</v>
      </c>
      <c r="J10" s="284" t="s">
        <v>4105</v>
      </c>
      <c r="K10" s="284" t="s">
        <v>4106</v>
      </c>
      <c r="L10" s="284" t="s">
        <v>4107</v>
      </c>
      <c r="M10" s="284" t="s">
        <v>4108</v>
      </c>
      <c r="N10" s="292" t="s">
        <v>4109</v>
      </c>
      <c r="P10" s="284" t="s">
        <v>4110</v>
      </c>
      <c r="Q10" s="367" t="s">
        <v>4111</v>
      </c>
      <c r="R10" s="383" t="s">
        <v>4112</v>
      </c>
      <c r="S10" s="369" t="s">
        <v>4113</v>
      </c>
      <c r="T10" s="369" t="s">
        <v>4114</v>
      </c>
      <c r="U10" s="997" t="s">
        <v>4113</v>
      </c>
      <c r="V10" s="997" t="s">
        <v>4114</v>
      </c>
      <c r="W10" s="742" t="s">
        <v>4115</v>
      </c>
      <c r="X10" s="368" t="s">
        <v>4116</v>
      </c>
      <c r="Y10" s="368" t="s">
        <v>4117</v>
      </c>
      <c r="AB10" s="704" t="s">
        <v>4118</v>
      </c>
      <c r="AC10" s="706" t="s">
        <v>4111</v>
      </c>
      <c r="AD10" s="707" t="s">
        <v>4119</v>
      </c>
      <c r="AE10" s="708" t="s">
        <v>4113</v>
      </c>
      <c r="AF10" s="708" t="s">
        <v>4114</v>
      </c>
      <c r="AG10" s="708" t="s">
        <v>4117</v>
      </c>
      <c r="AH10" s="709" t="s">
        <v>4120</v>
      </c>
      <c r="AI10" s="705"/>
      <c r="AJ10" s="284" t="s">
        <v>4110</v>
      </c>
      <c r="AK10" s="369" t="s">
        <v>4121</v>
      </c>
      <c r="AL10" s="369" t="s">
        <v>4122</v>
      </c>
      <c r="AM10" s="451" t="s">
        <v>4123</v>
      </c>
    </row>
    <row r="11" spans="1:40" x14ac:dyDescent="0.25">
      <c r="A11" t="s">
        <v>4124</v>
      </c>
      <c r="B11">
        <v>52</v>
      </c>
      <c r="C11">
        <v>52</v>
      </c>
      <c r="D11">
        <v>52</v>
      </c>
      <c r="E11">
        <v>52</v>
      </c>
      <c r="F11">
        <v>52</v>
      </c>
      <c r="G11">
        <v>52</v>
      </c>
      <c r="H11">
        <v>52</v>
      </c>
      <c r="I11">
        <v>52</v>
      </c>
      <c r="J11">
        <v>52</v>
      </c>
      <c r="K11">
        <v>52</v>
      </c>
      <c r="L11">
        <v>52</v>
      </c>
      <c r="M11">
        <v>52</v>
      </c>
      <c r="N11">
        <f>SUM(B11:M11)</f>
        <v>624</v>
      </c>
      <c r="P11" s="271" t="s">
        <v>263</v>
      </c>
      <c r="Q11" s="280">
        <f>COUNTIFS('C1'!$AA:$AA,"&gt;="&amp;$B$1,'C1'!$AA:$AA,"&lt;"&amp;$N$1,'C1'!$R:$R,"NEW",'C1'!$L:$L,'PCA SUMMARY'!P11)</f>
        <v>54</v>
      </c>
      <c r="R11" s="439">
        <f>COUNTIFS('C1'!$AA:$AA,"&gt;="&amp;$R$8,'C1'!$AA:$AA,"&lt;"&amp;$R$9,'C1'!$R:$R,"NEW",'C1'!$L:$L,'PCA SUMMARY'!P11)</f>
        <v>1</v>
      </c>
      <c r="S11" s="371">
        <f>IFERROR(AVERAGEIFS('C1'!AI:AI,'C1'!$W:$W,"&gt;="&amp;$B$1,'C1'!$AA:$AA,"&gt;="&amp;$B$1,'C1'!$R:$R,"NEW",'C1'!$L:$L,'PCA SUMMARY'!P11),0)</f>
        <v>1.7795819988565047</v>
      </c>
      <c r="T11" s="371">
        <f>IFERROR(AVERAGEIFS('C1'!CH:CH,'C1'!$W:$W,"&gt;="&amp;$B$1,'C1'!$AA:$AA,"",'C1'!$R:$R,"NEW",'C1'!$L:$L,'PCA SUMMARY'!P11,'C1'!$AG:$AG,"&lt;"&amp;'PCA SUMMARY'!$R$9),0)</f>
        <v>2.7249959101604442</v>
      </c>
      <c r="U11" s="998">
        <f>IFERROR(AVERAGEIFS('C1'!CE:CE,'C1'!$W:$W,"&gt;="&amp;$B$1,'C1'!$AA:$AA,"&gt;="&amp;$B$1,'C1'!$R:$R,"NEW",'C1'!$L:$L,'PCA SUMMARY'!P11),0)</f>
        <v>1.746647525922032</v>
      </c>
      <c r="V11" s="998">
        <f>IFERROR(AVERAGEIFS('C1'!CI:CI,'C1'!$W:$W,"&gt;="&amp;$B$1,'C1'!$AA:$AA,"",'C1'!$R:$R,"NEW",'C1'!$L:$L,'PCA SUMMARY'!P11,'C1'!$AG:$AG,"&lt;"&amp;'PCA SUMMARY'!$R$9),0)</f>
        <v>2.7249959101604442</v>
      </c>
      <c r="W11" s="744">
        <f>COUNTIFS('C1'!$W:$W,"&gt;="&amp;$B$1,'C1'!$AA:$AA,"",'C1'!$AG:$AG,"&lt;"&amp;'PCA SUMMARY'!$R$9,'C1'!$R:$R,"NEW",'C1'!$L:$L,'PCA SUMMARY'!P11)</f>
        <v>24</v>
      </c>
      <c r="X11" s="370">
        <f>AVERAGEIFS('C1'!CB:CB,'C1'!$AA:$AA,"&gt;="&amp;$B$1,'C1'!$AA:$AA,"&lt;"&amp;$R$9,'C1'!$R:$R,"NEW",'C1'!$L:$L,'PCA SUMMARY'!P11)</f>
        <v>73.748970550411258</v>
      </c>
      <c r="Y11" s="375">
        <f>AVERAGEIFS('C1'!CB:CB,'C1'!$AA:$AA,"&gt;="&amp;$R$8,'C1'!$AA:$AA,"&lt;"&amp;$R$9,'C1'!$R:$R,"NEW",'C1'!$L:$L,'PCA SUMMARY'!P11)</f>
        <v>106.79652777778392</v>
      </c>
      <c r="AB11" s="702" t="s">
        <v>4125</v>
      </c>
      <c r="AC11" s="703">
        <f>COUNTIFS('C1'!$AA:$AA,"&gt;="&amp;$B$1,'C1'!$AA:$AA,"&lt;"&amp;$N$1,'C1'!$R:$R,"NEW",'C1'!$N:$N,'PCA SUMMARY'!AB11)</f>
        <v>0</v>
      </c>
      <c r="AD11" s="712">
        <f>COUNTIFS('C1'!$AA:$AA,"&gt;="&amp;$R$8,'C1'!$AA:$AA,"&lt;"&amp;$R$9,'C1'!$R:$R,"NEW",'C1'!$N:$N,'PCA SUMMARY'!AB11)</f>
        <v>0</v>
      </c>
      <c r="AE11" s="701">
        <f>IFERROR(AVERAGEIFS('C1'!AI:AI,'C1'!$W:$W,"&gt;="&amp;$B$1,'C1'!$AA:$AA,"&gt;="&amp;$B$1,'C1'!$R:$R,"NEW",'C1'!$N:$N,'PCA SUMMARY'!AB11),0)</f>
        <v>0</v>
      </c>
      <c r="AF11" s="701">
        <f>IFERROR(AVERAGEIFS('C1'!CH:CH,'C1'!$W:$W,"&gt;="&amp;$B$1,'C1'!$AA:$AA,"",'C1'!$R:$R,"NEW",'C1'!$N:$N,'PCA SUMMARY'!AB11,'C1'!$AG:$AG,"&lt;"&amp;'PCA SUMMARY'!$R$9),0)</f>
        <v>0</v>
      </c>
      <c r="AG11" s="701" t="e">
        <f>AVERAGEIFS('C1'!CB:CB,'C1'!$AA:$AA,"&gt;="&amp;$B$1,'C1'!$AA:$AA,"&lt;"&amp;$R$9,'C1'!$R:$R,"NEW",'C1'!$N:$N,'PCA SUMMARY'!AB11)</f>
        <v>#DIV/0!</v>
      </c>
      <c r="AH11" s="713" t="e">
        <f>AVERAGEIFS('C1'!CB:CB,'C1'!$AA:$AA,"&gt;="&amp;$R$8,'C1'!$AA:$AA,"&lt;"&amp;$R$9,'C1'!$R:$R,"NEW",'C1'!$N:$N,'PCA SUMMARY'!AB11)</f>
        <v>#DIV/0!</v>
      </c>
      <c r="AJ11" s="271" t="s">
        <v>263</v>
      </c>
      <c r="AK11" s="1049">
        <f>IFERROR(AVERAGEIFS('C1'!CJ:CJ,'C1'!$AA:$AA,"&gt;="&amp;$B$1,'C1'!$R:$R,"NEW",'C1'!$L:$L,AJ11,'C1'!AS:AS,"&lt;"&amp;'PCA SUMMARY'!$R$9,'C1'!AB:AB,""),0)</f>
        <v>1.8266369895536565</v>
      </c>
      <c r="AL11" s="1049">
        <f>IFERROR(AVERAGEIFS('C1'!CJ:CJ,'C1'!$AA:$AA,"&gt;="&amp;$B$1,'C1'!$R:$R,"NEW",'C1'!$L:$L,'PCA SUMMARY'!AJ11,'C1'!AB:AB,"&gt;="&amp;$B$1),0)</f>
        <v>3.1100000000000003</v>
      </c>
      <c r="AM11" s="450">
        <f>COUNTIFS('C1'!$AA:$AA,"&gt;="&amp;$B$1,'C1'!$R:$R,"NEW",'C1'!$L:$L,'PCA SUMMARY'!AJ11,'C1'!AB:AB,"&gt;="&amp;$B$1)</f>
        <v>5</v>
      </c>
    </row>
    <row r="12" spans="1:40" x14ac:dyDescent="0.25">
      <c r="A12" t="s">
        <v>4126</v>
      </c>
      <c r="B12">
        <v>51</v>
      </c>
      <c r="C12">
        <v>51</v>
      </c>
      <c r="D12">
        <v>51</v>
      </c>
      <c r="E12">
        <v>51</v>
      </c>
      <c r="F12">
        <v>51</v>
      </c>
      <c r="G12">
        <v>51</v>
      </c>
      <c r="H12">
        <v>51</v>
      </c>
      <c r="I12">
        <v>51</v>
      </c>
      <c r="J12">
        <v>51</v>
      </c>
      <c r="K12">
        <v>51</v>
      </c>
      <c r="L12">
        <v>51</v>
      </c>
      <c r="M12">
        <v>51</v>
      </c>
      <c r="N12">
        <f>SUM(B12:M12)</f>
        <v>612</v>
      </c>
      <c r="P12" s="271" t="s">
        <v>5</v>
      </c>
      <c r="Q12" s="280">
        <f>COUNTIFS('C1'!$AA:$AA,"&gt;="&amp;$B$1,'C1'!$AA:$AA,"&lt;"&amp;$N$1,'C1'!$R:$R,"NEW",'C1'!$L:$L,'PCA SUMMARY'!P12)</f>
        <v>76</v>
      </c>
      <c r="R12" s="439">
        <f>COUNTIFS('C1'!$AA:$AA,"&gt;="&amp;$R$8,'C1'!$AA:$AA,"&lt;"&amp;$R$9,'C1'!$R:$R,"NEW",'C1'!$L:$L,'PCA SUMMARY'!P12)</f>
        <v>3</v>
      </c>
      <c r="S12" s="371">
        <f>IFERROR(AVERAGEIFS('C1'!AI:AI,'C1'!$W:$W,"&gt;="&amp;$B$1,'C1'!$AA:$AA,"&gt;="&amp;$B$1,'C1'!$R:$R,"NEW",'C1'!$L:$L,'PCA SUMMARY'!P12),0)</f>
        <v>1.1549501413719154</v>
      </c>
      <c r="T12" s="371">
        <f>IFERROR(AVERAGEIFS('C1'!CH:CH,'C1'!$W:$W,"&gt;="&amp;$B$1,'C1'!$AA:$AA,"",'C1'!$R:$R,"NEW",'C1'!$L:$L,'PCA SUMMARY'!P12,'C1'!$AG:$AG,"&lt;"&amp;'PCA SUMMARY'!$R$9),0)</f>
        <v>2.500127630076538</v>
      </c>
      <c r="U12" s="998">
        <f>IFERROR(AVERAGEIFS('C1'!CE:CE,'C1'!$W:$W,"&gt;="&amp;$B$1,'C1'!$AA:$AA,"&gt;="&amp;$B$1,'C1'!$R:$R,"NEW",'C1'!$L:$L,'PCA SUMMARY'!P12),0)</f>
        <v>1.0833082971417203</v>
      </c>
      <c r="V12" s="998">
        <f>IFERROR(AVERAGEIFS('C1'!CI:CI,'C1'!$W:$W,"&gt;="&amp;$B$1,'C1'!$AA:$AA,"",'C1'!$R:$R,"NEW",'C1'!$L:$L,'PCA SUMMARY'!P12,'C1'!$AG:$AG,"&lt;"&amp;'PCA SUMMARY'!$R$9),0)</f>
        <v>1.544903738839297</v>
      </c>
      <c r="W12" s="744">
        <f>COUNTIFS('C1'!$W:$W,"&gt;="&amp;$B$1,'C1'!$AA:$AA,"",'C1'!$AG:$AG,"&lt;"&amp;'PCA SUMMARY'!$R$9,'C1'!$R:$R,"NEW",'C1'!$L:$L,'PCA SUMMARY'!P12)</f>
        <v>6</v>
      </c>
      <c r="X12" s="370">
        <f>AVERAGEIFS('C1'!CB:CB,'C1'!$AA:$AA,"&gt;="&amp;$B$1,'C1'!$AA:$AA,"&lt;"&amp;$R$9,'C1'!$R:$R,"NEW",'C1'!$L:$L,'PCA SUMMARY'!P12)</f>
        <v>43.805053142931776</v>
      </c>
      <c r="Y12" s="375">
        <f>AVERAGEIFS('C1'!CB:CB,'C1'!$AA:$AA,"&gt;="&amp;$R$8,'C1'!$AA:$AA,"&lt;"&amp;$R$9,'C1'!$R:$R,"NEW",'C1'!$L:$L,'PCA SUMMARY'!P12)</f>
        <v>63.771527777782467</v>
      </c>
      <c r="AB12" s="275" t="s">
        <v>403</v>
      </c>
      <c r="AC12" s="280">
        <f>COUNTIFS('C1'!$AA:$AA,"&gt;="&amp;$B$1,'C1'!$AA:$AA,"&lt;"&amp;$N$1,'C1'!$R:$R,"NEW",'C1'!$N:$N,'PCA SUMMARY'!AB12)</f>
        <v>84</v>
      </c>
      <c r="AD12" s="712">
        <f>COUNTIFS('C1'!$AA:$AA,"&gt;="&amp;$R$8,'C1'!$AA:$AA,"&lt;"&amp;$R$9,'C1'!$R:$R,"NEW",'C1'!$N:$N,'PCA SUMMARY'!AB12)</f>
        <v>4</v>
      </c>
      <c r="AE12" s="701">
        <f>IFERROR(AVERAGEIFS('C1'!AI:AI,'C1'!$W:$W,"&gt;="&amp;$B$1,'C1'!$AA:$AA,"&gt;="&amp;$B$1,'C1'!$R:$R,"NEW",'C1'!$N:$N,'PCA SUMMARY'!AB12),0)</f>
        <v>1.3495471980262999</v>
      </c>
      <c r="AF12" s="701">
        <f>IFERROR(AVERAGEIFS('C1'!CH:CH,'C1'!$W:$W,"&gt;="&amp;$B$1,'C1'!$AA:$AA,"",'C1'!$R:$R,"NEW",'C1'!$N:$N,'PCA SUMMARY'!AB12,'C1'!$AG:$AG,"&lt;"&amp;'PCA SUMMARY'!$R$9),0)</f>
        <v>2.3704927741206498</v>
      </c>
      <c r="AG12" s="701">
        <f>AVERAGEIFS('C1'!CB:CB,'C1'!$AA:$AA,"&gt;="&amp;$B$1,'C1'!$AA:$AA,"&lt;"&amp;$R$9,'C1'!$R:$R,"NEW",'C1'!$N:$N,'PCA SUMMARY'!AB12)</f>
        <v>46.881372655122846</v>
      </c>
      <c r="AH12" s="713">
        <f>AVERAGEIFS('C1'!CB:CB,'C1'!$AA:$AA,"&gt;="&amp;$R$8,'C1'!$AA:$AA,"&lt;"&amp;$R$9,'C1'!$R:$R,"NEW",'C1'!$N:$N,'PCA SUMMARY'!AB12)</f>
        <v>70.275694444448163</v>
      </c>
      <c r="AJ12" s="271" t="s">
        <v>5</v>
      </c>
      <c r="AK12" s="1049">
        <f>IFERROR(AVERAGEIFS('C1'!CJ:CJ,'C1'!$AA:$AA,"&gt;="&amp;$B$1,'C1'!$R:$R,"NEW",'C1'!$L:$L,AJ12,'C1'!AS:AS,"&lt;"&amp;'PCA SUMMARY'!$R$9,'C1'!AB:AB,""),0)</f>
        <v>1.8984759259259265</v>
      </c>
      <c r="AL12" s="1049">
        <f>IFERROR(AVERAGEIFS('C1'!CJ:CJ,'C1'!$AA:$AA,"&gt;="&amp;$B$1,'C1'!$R:$R,"NEW",'C1'!$L:$L,'PCA SUMMARY'!AJ12,'C1'!AB:AB,"&gt;="&amp;$B$1),0)</f>
        <v>2.9303030303030302</v>
      </c>
      <c r="AM12" s="450">
        <f>COUNTIFS('C1'!$AA:$AA,"&gt;="&amp;$B$1,'C1'!$R:$R,"NEW",'C1'!$L:$L,'PCA SUMMARY'!AJ12,'C1'!AB:AB,"&gt;="&amp;$B$1)</f>
        <v>11</v>
      </c>
    </row>
    <row r="13" spans="1:40" x14ac:dyDescent="0.25">
      <c r="A13" t="s">
        <v>4127</v>
      </c>
      <c r="B13">
        <v>35</v>
      </c>
      <c r="C13">
        <v>50</v>
      </c>
      <c r="D13">
        <v>33</v>
      </c>
      <c r="E13">
        <v>23</v>
      </c>
      <c r="F13">
        <v>45</v>
      </c>
      <c r="G13">
        <v>45</v>
      </c>
      <c r="H13">
        <v>55</v>
      </c>
      <c r="I13">
        <v>40</v>
      </c>
      <c r="J13">
        <v>40</v>
      </c>
      <c r="K13">
        <v>54</v>
      </c>
      <c r="L13">
        <v>20</v>
      </c>
      <c r="M13">
        <v>35</v>
      </c>
      <c r="N13">
        <f>SUM(B13:M13)</f>
        <v>475</v>
      </c>
      <c r="P13" s="271" t="s">
        <v>242</v>
      </c>
      <c r="Q13" s="280">
        <f>COUNTIFS('C1'!$AA:$AA,"&gt;="&amp;$B$1,'C1'!$AA:$AA,"&lt;"&amp;$N$1,'C1'!$R:$R,"NEW",'C1'!$L:$L,'PCA SUMMARY'!P13)</f>
        <v>42</v>
      </c>
      <c r="R13" s="439">
        <f>COUNTIFS('C1'!$AA:$AA,"&gt;="&amp;$R$8,'C1'!$AA:$AA,"&lt;"&amp;$R$9,'C1'!$R:$R,"NEW",'C1'!$L:$L,'PCA SUMMARY'!P13)</f>
        <v>7</v>
      </c>
      <c r="S13" s="371">
        <f>IFERROR(AVERAGEIFS('C1'!AI:AI,'C1'!$W:$W,"&gt;="&amp;$B$1,'C1'!$AA:$AA,"&gt;="&amp;$B$1,'C1'!$R:$R,"NEW",'C1'!$L:$L,'PCA SUMMARY'!P13),0)</f>
        <v>1.2241340262139766</v>
      </c>
      <c r="T13" s="371">
        <f>IFERROR(AVERAGEIFS('C1'!CH:CH,'C1'!$W:$W,"&gt;="&amp;$B$1,'C1'!$AA:$AA,"",'C1'!$R:$R,"NEW",'C1'!$L:$L,'PCA SUMMARY'!P13,'C1'!$AG:$AG,"&lt;"&amp;'PCA SUMMARY'!$R$9),0)</f>
        <v>2.8456727005491245</v>
      </c>
      <c r="U13" s="998">
        <f>IFERROR(AVERAGEIFS('C1'!CE:CE,'C1'!$W:$W,"&gt;="&amp;$B$1,'C1'!$AA:$AA,"&gt;="&amp;$B$1,'C1'!$R:$R,"NEW",'C1'!$L:$L,'PCA SUMMARY'!P13),0)</f>
        <v>1.3145914582887381</v>
      </c>
      <c r="V13" s="998">
        <f>IFERROR(AVERAGEIFS('C1'!CI:CI,'C1'!$W:$W,"&gt;="&amp;$B$1,'C1'!$AA:$AA,"",'C1'!$R:$R,"NEW",'C1'!$L:$L,'PCA SUMMARY'!P13,'C1'!$AG:$AG,"&lt;"&amp;'PCA SUMMARY'!$R$9),0)</f>
        <v>2.8456727005491245</v>
      </c>
      <c r="W13" s="744">
        <f>COUNTIFS('C1'!$W:$W,"&gt;="&amp;$B$1,'C1'!$AA:$AA,"",'C1'!$AG:$AG,"&lt;"&amp;'PCA SUMMARY'!$R$9,'C1'!$R:$R,"NEW",'C1'!$L:$L,'PCA SUMMARY'!P13)</f>
        <v>16</v>
      </c>
      <c r="X13" s="370">
        <f>AVERAGEIFS('C1'!CB:CB,'C1'!$AA:$AA,"&gt;="&amp;$B$1,'C1'!$AA:$AA,"&lt;"&amp;$R$9,'C1'!$R:$R,"NEW",'C1'!$L:$L,'PCA SUMMARY'!P13)</f>
        <v>51.656756756757424</v>
      </c>
      <c r="Y13" s="375">
        <f>AVERAGEIFS('C1'!CB:CB,'C1'!$AA:$AA,"&gt;="&amp;$R$8,'C1'!$AA:$AA,"&lt;"&amp;$R$9,'C1'!$R:$R,"NEW",'C1'!$L:$L,'PCA SUMMARY'!P13)</f>
        <v>69.439722222221462</v>
      </c>
      <c r="AB13" s="275" t="s">
        <v>381</v>
      </c>
      <c r="AC13" s="280">
        <f>COUNTIFS('C1'!$AA:$AA,"&gt;="&amp;$B$1,'C1'!$AA:$AA,"&lt;"&amp;$N$1,'C1'!$R:$R,"NEW",'C1'!$N:$N,'PCA SUMMARY'!AB13)</f>
        <v>130</v>
      </c>
      <c r="AD13" s="712">
        <f>COUNTIFS('C1'!$AA:$AA,"&gt;="&amp;$R$8,'C1'!$AA:$AA,"&lt;"&amp;$R$9,'C1'!$R:$R,"NEW",'C1'!$N:$N,'PCA SUMMARY'!AB13)</f>
        <v>7</v>
      </c>
      <c r="AE13" s="701">
        <f>IFERROR(AVERAGEIFS('C1'!AI:AI,'C1'!$W:$W,"&gt;="&amp;$B$1,'C1'!$AA:$AA,"&gt;="&amp;$B$1,'C1'!$R:$R,"NEW",'C1'!$N:$N,'PCA SUMMARY'!AB13),0)</f>
        <v>1.6146913693130416</v>
      </c>
      <c r="AF13" s="701">
        <f>IFERROR(AVERAGEIFS('C1'!CH:CH,'C1'!$W:$W,"&gt;="&amp;$B$1,'C1'!$AA:$AA,"",'C1'!$R:$R,"NEW",'C1'!$N:$N,'PCA SUMMARY'!AB13,'C1'!$AG:$AG,"&lt;"&amp;'PCA SUMMARY'!$R$9),0)</f>
        <v>2.1002023710893662</v>
      </c>
      <c r="AG13" s="701">
        <f>AVERAGEIFS('C1'!CB:CB,'C1'!$AA:$AA,"&gt;="&amp;$B$1,'C1'!$AA:$AA,"&lt;"&amp;$R$9,'C1'!$R:$R,"NEW",'C1'!$N:$N,'PCA SUMMARY'!AB13)</f>
        <v>67.592951291627415</v>
      </c>
      <c r="AH13" s="713">
        <f>AVERAGEIFS('C1'!CB:CB,'C1'!$AA:$AA,"&gt;="&amp;$R$8,'C1'!$AA:$AA,"&lt;"&amp;$R$9,'C1'!$R:$R,"NEW",'C1'!$N:$N,'PCA SUMMARY'!AB13)</f>
        <v>126.34455439814701</v>
      </c>
      <c r="AJ13" s="271" t="s">
        <v>242</v>
      </c>
      <c r="AK13" s="1049">
        <f>IFERROR(AVERAGEIFS('C1'!CJ:CJ,'C1'!$AA:$AA,"&gt;="&amp;$B$1,'C1'!$R:$R,"NEW",'C1'!$L:$L,AJ13,'C1'!AS:AS,"&lt;"&amp;'PCA SUMMARY'!$R$9,'C1'!AB:AB,""),0)</f>
        <v>2.3345044191919162</v>
      </c>
      <c r="AL13" s="1049">
        <f>IFERROR(AVERAGEIFS('C1'!CJ:CJ,'C1'!$AA:$AA,"&gt;="&amp;$B$1,'C1'!$R:$R,"NEW",'C1'!$L:$L,'PCA SUMMARY'!AJ13,'C1'!AB:AB,"&gt;="&amp;$B$1),0)</f>
        <v>2.5944444444444446</v>
      </c>
      <c r="AM13" s="450">
        <f>COUNTIFS('C1'!$AA:$AA,"&gt;="&amp;$B$1,'C1'!$R:$R,"NEW",'C1'!$L:$L,'PCA SUMMARY'!AJ13,'C1'!AB:AB,"&gt;="&amp;$B$1)</f>
        <v>3</v>
      </c>
    </row>
    <row r="14" spans="1:40" x14ac:dyDescent="0.25">
      <c r="A14" s="356" t="s">
        <v>4128</v>
      </c>
      <c r="B14" s="467">
        <f>COUNTIFS('C1'!$AA:$AA,"&gt;="&amp;B1,'C1'!$AA:$AA,"&lt;"&amp;C1,'C1'!$R:$R,"NEW")+COUNTIFS('C1'!$AA:$AA,"&gt;="&amp;B1,'C1'!$AA:$AA,"&lt;"&amp;C1,'C1'!$R:$R,"TEMPORARY")</f>
        <v>43</v>
      </c>
      <c r="C14" s="467">
        <f>COUNTIFS('C1'!$AA:$AA,"&gt;="&amp;C1,'C1'!$AA:$AA,"&lt;"&amp;D1,'C1'!$R:$R,"NEW")+COUNTIFS('C1'!$AA:$AA,"&gt;="&amp;C1,'C1'!$AA:$AA,"&lt;"&amp;D1,'C1'!$R:$R,"TEMPORARY")</f>
        <v>42</v>
      </c>
      <c r="D14" s="467">
        <f>COUNTIFS('C1'!$AA:$AA,"&gt;="&amp;D1,'C1'!$AA:$AA,"&lt;"&amp;E1,'C1'!$R:$R,"NEW")+COUNTIFS('C1'!$AA:$AA,"&gt;="&amp;D1,'C1'!$AA:$AA,"&lt;"&amp;E1,'C1'!$R:$R,"TEMPORARY")</f>
        <v>54</v>
      </c>
      <c r="E14" s="467">
        <f>COUNTIFS('C1'!$AA:$AA,"&gt;="&amp;E1,'C1'!$AA:$AA,"&lt;"&amp;F1,'C1'!$R:$R,"NEW")+COUNTIFS('C1'!$AA:$AA,"&gt;="&amp;E1,'C1'!$AA:$AA,"&lt;"&amp;F1,'C1'!$R:$R,"TEMPORARY")</f>
        <v>32</v>
      </c>
      <c r="F14" s="467">
        <f>COUNTIFS('C1'!$AA:$AA,"&gt;="&amp;F1,'C1'!$AA:$AA,"&lt;"&amp;G1,'C1'!$R:$R,"NEW")+COUNTIFS('C1'!$AA:$AA,"&gt;="&amp;F1,'C1'!$AA:$AA,"&lt;"&amp;G1,'C1'!$R:$R,"TEMPORARY")</f>
        <v>55</v>
      </c>
      <c r="G14" s="467">
        <f>COUNTIFS('C1'!$AA:$AA,"&gt;="&amp;G1,'C1'!$AA:$AA,"&lt;"&amp;H1,'C1'!$R:$R,"NEW")+COUNTIFS('C1'!$AA:$AA,"&gt;="&amp;G1,'C1'!$AA:$AA,"&lt;"&amp;H1,'C1'!$R:$R,"TEMPORARY")</f>
        <v>45</v>
      </c>
      <c r="H14" s="467">
        <f>COUNTIFS('C1'!$AA:$AA,"&gt;="&amp;H1,'C1'!$AA:$AA,"&lt;"&amp;I1,'C1'!$R:$R,"NEW")+COUNTIFS('C1'!$AA:$AA,"&gt;="&amp;H1,'C1'!$AA:$AA,"&lt;"&amp;I1,'C1'!$R:$R,"TEMPORARY")</f>
        <v>51</v>
      </c>
      <c r="I14" s="467">
        <f>COUNTIFS('C1'!$AA:$AA,"&gt;="&amp;I1,'C1'!$AA:$AA,"&lt;"&amp;J1,'C1'!$R:$R,"NEW")+COUNTIFS('C1'!$AA:$AA,"&gt;="&amp;I1,'C1'!$AA:$AA,"&lt;"&amp;J1,'C1'!$R:$R,"TEMPORARY")</f>
        <v>31</v>
      </c>
      <c r="J14" s="467">
        <f>COUNTIFS('C1'!$AA:$AA,"&gt;="&amp;J1,'C1'!$AA:$AA,"&lt;"&amp;K1,'C1'!$R:$R,"NEW")+COUNTIFS('C1'!$AA:$AA,"&gt;="&amp;J1,'C1'!$AA:$AA,"&lt;"&amp;K1,'C1'!$R:$R,"TEMPORARY")</f>
        <v>0</v>
      </c>
      <c r="K14" s="467">
        <f>COUNTIFS('C1'!$AA:$AA,"&gt;="&amp;K1,'C1'!$AA:$AA,"&lt;"&amp;L1,'C1'!$R:$R,"NEW")+COUNTIFS('C1'!$AA:$AA,"&gt;="&amp;K1,'C1'!$AA:$AA,"&lt;"&amp;L1,'C1'!$R:$R,"TEMPORARY")</f>
        <v>0</v>
      </c>
      <c r="L14" s="467">
        <f>COUNTIFS('C1'!$AA:$AA,"&gt;="&amp;L1,'C1'!$AA:$AA,"&lt;"&amp;M1,'C1'!$R:$R,"NEW")+COUNTIFS('C1'!$AA:$AA,"&gt;="&amp;L1,'C1'!$AA:$AA,"&lt;"&amp;M1,'C1'!$R:$R,"TEMPORARY")</f>
        <v>0</v>
      </c>
      <c r="M14" s="467">
        <f>COUNTIFS('C1'!$AA:$AA,"&gt;="&amp;M1,'C1'!$AA:$AA,"&lt;"&amp;N1,'C1'!$R:$R,"NEW")+COUNTIFS('C1'!$AA:$AA,"&gt;="&amp;M1,'C1'!$AA:$AA,"&lt;"&amp;N1,'C1'!$R:$R,"TEMPORARY")</f>
        <v>0</v>
      </c>
      <c r="N14">
        <f t="shared" ref="N14" si="0">SUM(B14:M14)</f>
        <v>353</v>
      </c>
      <c r="O14" s="1183">
        <f>N14+N15</f>
        <v>359</v>
      </c>
      <c r="P14" s="271" t="s">
        <v>255</v>
      </c>
      <c r="Q14" s="280">
        <f>COUNTIFS('C1'!$AA:$AA,"&gt;="&amp;$B$1,'C1'!$AA:$AA,"&lt;"&amp;$N$1,'C1'!$R:$R,"NEW",'C1'!$L:$L,'PCA SUMMARY'!P14)</f>
        <v>52</v>
      </c>
      <c r="R14" s="439">
        <f>COUNTIFS('C1'!$AA:$AA,"&gt;="&amp;$R$8,'C1'!$AA:$AA,"&lt;"&amp;$R$9,'C1'!$R:$R,"NEW",'C1'!$L:$L,'PCA SUMMARY'!P14)</f>
        <v>1</v>
      </c>
      <c r="S14" s="371">
        <f>IFERROR(AVERAGEIFS('C1'!AI:AI,'C1'!$W:$W,"&gt;="&amp;$B$1,'C1'!$AA:$AA,"&gt;="&amp;$B$1,'C1'!$R:$R,"NEW",'C1'!$L:$L,'PCA SUMMARY'!P14),0)</f>
        <v>2.1821379490974397</v>
      </c>
      <c r="T14" s="371">
        <f>IFERROR(AVERAGEIFS('C1'!CH:CH,'C1'!$W:$W,"&gt;="&amp;$B$1,'C1'!$AA:$AA,"",'C1'!$R:$R,"NEW",'C1'!$L:$L,'PCA SUMMARY'!P14,'C1'!$AG:$AG,"&lt;"&amp;'PCA SUMMARY'!$R$9),0)</f>
        <v>2.3247392955479826</v>
      </c>
      <c r="U14" s="998">
        <f>IFERROR(AVERAGEIFS('C1'!CE:CE,'C1'!$W:$W,"&gt;="&amp;$B$1,'C1'!$AA:$AA,"&gt;="&amp;$B$1,'C1'!$R:$R,"NEW",'C1'!$L:$L,'PCA SUMMARY'!P14),0)</f>
        <v>2.1070425075019985</v>
      </c>
      <c r="V14" s="998">
        <f>IFERROR(AVERAGEIFS('C1'!CI:CI,'C1'!$W:$W,"&gt;="&amp;$B$1,'C1'!$AA:$AA,"",'C1'!$R:$R,"NEW",'C1'!$L:$L,'PCA SUMMARY'!P14,'C1'!$AG:$AG,"&lt;"&amp;'PCA SUMMARY'!$R$9),0)</f>
        <v>2.3247392955479826</v>
      </c>
      <c r="W14" s="744">
        <f>COUNTIFS('C1'!$W:$W,"&gt;="&amp;$B$1,'C1'!$AA:$AA,"",'C1'!$AG:$AG,"&lt;"&amp;'PCA SUMMARY'!$R$9,'C1'!$R:$R,"NEW",'C1'!$L:$L,'PCA SUMMARY'!P14)</f>
        <v>17</v>
      </c>
      <c r="X14" s="370">
        <f>AVERAGEIFS('C1'!CB:CB,'C1'!$AA:$AA,"&gt;="&amp;$B$1,'C1'!$AA:$AA,"&lt;"&amp;$R$9,'C1'!$R:$R,"NEW",'C1'!$L:$L,'PCA SUMMARY'!P14)</f>
        <v>75.52277152777809</v>
      </c>
      <c r="Y14" s="375">
        <f>AVERAGEIFS('C1'!CB:CB,'C1'!$AA:$AA,"&gt;="&amp;$R$8,'C1'!$AA:$AA,"&lt;"&amp;$R$9,'C1'!$R:$R,"NEW",'C1'!$L:$L,'PCA SUMMARY'!P14)</f>
        <v>76.77986111111386</v>
      </c>
      <c r="AB14" s="275" t="s">
        <v>475</v>
      </c>
      <c r="AC14" s="280">
        <f>COUNTIFS('C1'!$AA:$AA,"&gt;="&amp;$B$1,'C1'!$AA:$AA,"&lt;"&amp;$N$1,'C1'!$R:$R,"NEW",'C1'!$N:$N,'PCA SUMMARY'!AB14)</f>
        <v>5</v>
      </c>
      <c r="AD14" s="712">
        <f>COUNTIFS('C1'!$AA:$AA,"&gt;="&amp;$R$8,'C1'!$AA:$AA,"&lt;"&amp;$R$9,'C1'!$R:$R,"NEW",'C1'!$N:$N,'PCA SUMMARY'!AB14)</f>
        <v>0</v>
      </c>
      <c r="AE14" s="701">
        <f>IFERROR(AVERAGEIFS('C1'!AI:AI,'C1'!$W:$W,"&gt;="&amp;$B$1,'C1'!$AA:$AA,"&gt;="&amp;$B$1,'C1'!$R:$R,"NEW",'C1'!$N:$N,'PCA SUMMARY'!AB14),0)</f>
        <v>0.38729450454053882</v>
      </c>
      <c r="AF14" s="701">
        <f>IFERROR(AVERAGEIFS('C1'!CH:CH,'C1'!$W:$W,"&gt;="&amp;$B$1,'C1'!$AA:$AA,"",'C1'!$R:$R,"NEW",'C1'!$N:$N,'PCA SUMMARY'!AB14,'C1'!$AG:$AG,"&lt;"&amp;'PCA SUMMARY'!$R$9),0)</f>
        <v>0</v>
      </c>
      <c r="AG14" s="701">
        <f>AVERAGEIFS('C1'!CB:CB,'C1'!$AA:$AA,"&gt;="&amp;$B$1,'C1'!$AA:$AA,"&lt;"&amp;$R$9,'C1'!$R:$R,"NEW",'C1'!$N:$N,'PCA SUMMARY'!AB14)</f>
        <v>29.59838657407381</v>
      </c>
      <c r="AH14" s="714" t="e">
        <f>AVERAGEIFS('C1'!CB:CB,'C1'!$AA:$AA,"&gt;="&amp;$R$8,'C1'!$AA:$AA,"&lt;"&amp;$R$9,'C1'!$R:$R,"NEW",'C1'!$N:$N,'PCA SUMMARY'!AB14)</f>
        <v>#DIV/0!</v>
      </c>
      <c r="AJ14" s="271" t="s">
        <v>255</v>
      </c>
      <c r="AK14" s="1049">
        <f>IFERROR(AVERAGEIFS('C1'!CJ:CJ,'C1'!$AA:$AA,"&gt;="&amp;$B$1,'C1'!$R:$R,"NEW",'C1'!$L:$L,AJ14,'C1'!AS:AS,"&lt;"&amp;'PCA SUMMARY'!$R$9,'C1'!AB:AB,""),0)</f>
        <v>2.1699247685185163</v>
      </c>
      <c r="AL14" s="1049">
        <f>IFERROR(AVERAGEIFS('C1'!CJ:CJ,'C1'!$AA:$AA,"&gt;="&amp;$B$1,'C1'!$R:$R,"NEW",'C1'!$L:$L,'PCA SUMMARY'!AJ14,'C1'!AB:AB,"&gt;="&amp;$B$1),0)</f>
        <v>3.3833333333333333</v>
      </c>
      <c r="AM14" s="450">
        <f>COUNTIFS('C1'!$AA:$AA,"&gt;="&amp;$B$1,'C1'!$R:$R,"NEW",'C1'!$L:$L,'PCA SUMMARY'!AJ14,'C1'!AB:AB,"&gt;="&amp;$B$1)</f>
        <v>1</v>
      </c>
    </row>
    <row r="15" spans="1:40" x14ac:dyDescent="0.25">
      <c r="A15" s="460" t="s">
        <v>4129</v>
      </c>
      <c r="B15" s="463">
        <f>COUNTIFS('UG-SLEM'!$AA:$AA,"&gt;="&amp;B1,'UG-SLEM'!$AA:$AA,"&lt;"&amp;C1,'UG-SLEM'!$R:$R,"NEW")</f>
        <v>1</v>
      </c>
      <c r="C15" s="463">
        <f>COUNTIFS('UG-SLEM'!$AA:$AA,"&gt;="&amp;C1,'UG-SLEM'!$AA:$AA,"&lt;"&amp;D1,'UG-SLEM'!$R:$R,"NEW")</f>
        <v>1</v>
      </c>
      <c r="D15" s="463">
        <f>COUNTIFS('UG-SLEM'!$AA:$AA,"&gt;="&amp;D1,'UG-SLEM'!$AA:$AA,"&lt;"&amp;E1,'UG-SLEM'!$R:$R,"NEW")</f>
        <v>2</v>
      </c>
      <c r="E15" s="463">
        <v>0</v>
      </c>
      <c r="F15" s="463">
        <f>COUNTIFS('UG-SLEM'!$AA:$AA,"&gt;="&amp;F1,'UG-SLEM'!$AA:$AA,"&lt;"&amp;G1,'UG-SLEM'!$R:$R,"NEW")</f>
        <v>1</v>
      </c>
      <c r="G15" s="463">
        <f>COUNTIFS('UG-SLEM'!$AA:$AA,"&gt;="&amp;G1,'UG-SLEM'!$AA:$AA,"&lt;"&amp;H1,'UG-SLEM'!$R:$R,"NEW")</f>
        <v>1</v>
      </c>
      <c r="H15" s="463">
        <f>COUNTIFS('UG-SLEM'!$AA:$AA,"&gt;="&amp;H1,'UG-SLEM'!$AA:$AA,"&lt;"&amp;I1,'UG-SLEM'!$R:$R,"NEW")</f>
        <v>0</v>
      </c>
      <c r="I15" s="463">
        <f>COUNTIFS('UG-SLEM'!$AA:$AA,"&gt;="&amp;I1,'UG-SLEM'!$AA:$AA,"&lt;"&amp;J1,'UG-SLEM'!$R:$R,"NEW")</f>
        <v>0</v>
      </c>
      <c r="J15" s="463">
        <f>COUNTIFS('UG-SLEM'!$AA:$AA,"&gt;="&amp;J1,'UG-SLEM'!$AA:$AA,"&lt;"&amp;K1,'UG-SLEM'!$R:$R,"NEW")</f>
        <v>0</v>
      </c>
      <c r="K15" s="463">
        <f>COUNTIFS('UG-SLEM'!$AA:$AA,"&gt;="&amp;K1,'UG-SLEM'!$AA:$AA,"&lt;"&amp;L1,'UG-SLEM'!$R:$R,"NEW")</f>
        <v>0</v>
      </c>
      <c r="L15" s="463">
        <f>COUNTIFS('UG-SLEM'!$AA:$AA,"&gt;="&amp;L1,'UG-SLEM'!$AA:$AA,"&lt;"&amp;M1,'UG-SLEM'!$R:$R,"NEW")</f>
        <v>0</v>
      </c>
      <c r="M15" s="463">
        <f>COUNTIFS('UG-SLEM'!$AA:$AA,"&gt;="&amp;M1,'UG-SLEM'!$AA:$AA,"&lt;"&amp;N1,'UG-SLEM'!$R:$R,"NEW")</f>
        <v>0</v>
      </c>
      <c r="N15">
        <f>SUM(B15:M15)</f>
        <v>6</v>
      </c>
      <c r="O15" s="1183"/>
      <c r="P15" s="271" t="s">
        <v>288</v>
      </c>
      <c r="Q15" s="280">
        <f>COUNTIFS('C1'!$AA:$AA,"&gt;="&amp;$B$1,'C1'!$AA:$AA,"&lt;"&amp;$N$1,'C1'!$R:$R,"NEW",'C1'!$L:$L,'PCA SUMMARY'!P15)</f>
        <v>87</v>
      </c>
      <c r="R15" s="439">
        <f>COUNTIFS('C1'!$AA:$AA,"&gt;="&amp;$R$8,'C1'!$AA:$AA,"&lt;"&amp;$R$9,'C1'!$R:$R,"NEW",'C1'!$L:$L,'PCA SUMMARY'!P15)</f>
        <v>7</v>
      </c>
      <c r="S15" s="371">
        <f>IFERROR(AVERAGEIFS('C1'!AI:AI,'C1'!$W:$W,"&gt;="&amp;$B$1,'C1'!$AA:$AA,"&gt;="&amp;$B$1,'C1'!$R:$R,"NEW",'C1'!$L:$L,'PCA SUMMARY'!P15),0)</f>
        <v>1.4764012858825926</v>
      </c>
      <c r="T15" s="371">
        <f>IFERROR(AVERAGEIFS('C1'!CH:CH,'C1'!$W:$W,"&gt;="&amp;$B$1,'C1'!$AA:$AA,"",'C1'!$R:$R,"NEW",'C1'!$L:$L,'PCA SUMMARY'!P15,'C1'!$AG:$AG,"&lt;"&amp;'PCA SUMMARY'!$R$9),0)</f>
        <v>2.1694642253685474</v>
      </c>
      <c r="U15" s="998">
        <f>IFERROR(AVERAGEIFS('C1'!CE:CE,'C1'!$W:$W,"&gt;="&amp;$B$1,'C1'!$AA:$AA,"&gt;="&amp;$B$1,'C1'!$R:$R,"NEW",'C1'!$L:$L,'PCA SUMMARY'!P15),0)</f>
        <v>1.3429767831662536</v>
      </c>
      <c r="V15" s="998">
        <f>IFERROR(AVERAGEIFS('C1'!CI:CI,'C1'!$W:$W,"&gt;="&amp;$B$1,'C1'!$AA:$AA,"",'C1'!$R:$R,"NEW",'C1'!$L:$L,'PCA SUMMARY'!P15,'C1'!$AG:$AG,"&lt;"&amp;'PCA SUMMARY'!$R$9),0)</f>
        <v>1.8960792983742563</v>
      </c>
      <c r="W15" s="744">
        <f>COUNTIFS('C1'!$W:$W,"&gt;="&amp;$B$1,'C1'!$AA:$AA,"",'C1'!$AG:$AG,"&lt;"&amp;'PCA SUMMARY'!$R$9,'C1'!$R:$R,"NEW",'C1'!$L:$L,'PCA SUMMARY'!P15)</f>
        <v>13</v>
      </c>
      <c r="X15" s="370">
        <f>AVERAGEIFS('C1'!CB:CB,'C1'!$AA:$AA,"&gt;="&amp;$B$1,'C1'!$AA:$AA,"&lt;"&amp;$R$9,'C1'!$R:$R,"NEW",'C1'!$L:$L,'PCA SUMMARY'!P15)</f>
        <v>62.563973257796533</v>
      </c>
      <c r="Y15" s="375">
        <f>AVERAGEIFS('C1'!CB:CB,'C1'!$AA:$AA,"&gt;="&amp;$R$8,'C1'!$AA:$AA,"&lt;"&amp;$R$9,'C1'!$R:$R,"NEW",'C1'!$L:$L,'PCA SUMMARY'!P15)</f>
        <v>126.34455439814701</v>
      </c>
      <c r="AB15" s="365" t="s">
        <v>1946</v>
      </c>
      <c r="AC15" s="280">
        <f>COUNTIFS('C1'!$AA:$AA,"&gt;="&amp;$B$1,'C1'!$AA:$AA,"&lt;"&amp;$N$1,'C1'!$R:$R,"NEW",'C1'!$N:$N,'PCA SUMMARY'!AB15)</f>
        <v>23</v>
      </c>
      <c r="AD15" s="712">
        <f>COUNTIFS('C1'!$AA:$AA,"&gt;="&amp;$R$8,'C1'!$AA:$AA,"&lt;"&amp;$R$9,'C1'!$R:$R,"NEW",'C1'!$N:$N,'PCA SUMMARY'!AB15)</f>
        <v>5</v>
      </c>
      <c r="AE15" s="701">
        <f>IFERROR(AVERAGEIFS('C1'!AI:AI,'C1'!$W:$W,"&gt;="&amp;$B$1,'C1'!$AA:$AA,"&gt;="&amp;$B$1,'C1'!$R:$R,"NEW",'C1'!$N:$N,'PCA SUMMARY'!AB15),0)</f>
        <v>0.65486389214538165</v>
      </c>
      <c r="AF15" s="701">
        <f>IFERROR(AVERAGEIFS('C1'!CH:CH,'C1'!$W:$W,"&gt;="&amp;$B$1,'C1'!$AA:$AA,"",'C1'!$R:$R,"NEW",'C1'!$N:$N,'PCA SUMMARY'!AB15,'C1'!$AG:$AG,"&lt;"&amp;'PCA SUMMARY'!$R$9),0)</f>
        <v>5.6617475845411853</v>
      </c>
      <c r="AG15" s="701">
        <f>AVERAGEIFS('C1'!CB:CB,'C1'!$AA:$AA,"&gt;="&amp;$B$1,'C1'!$AA:$AA,"&lt;"&amp;$R$9,'C1'!$R:$R,"NEW",'C1'!$N:$N,'PCA SUMMARY'!AB15)</f>
        <v>21.479609567900965</v>
      </c>
      <c r="AH15" s="714">
        <f>AVERAGEIFS('C1'!CB:CB,'C1'!$AA:$AA,"&gt;="&amp;$R$8,'C1'!$AA:$AA,"&lt;"&amp;$R$9,'C1'!$R:$R,"NEW",'C1'!$N:$N,'PCA SUMMARY'!AB15)</f>
        <v>65.213194444444525</v>
      </c>
      <c r="AJ15" s="271" t="s">
        <v>288</v>
      </c>
      <c r="AK15" s="1049">
        <f>IFERROR(AVERAGEIFS('C1'!CJ:CJ,'C1'!$AA:$AA,"&gt;="&amp;$B$1,'C1'!$R:$R,"NEW",'C1'!$L:$L,AJ15,'C1'!AS:AS,"&lt;"&amp;'PCA SUMMARY'!$R$9,'C1'!AB:AB,""),0)</f>
        <v>1.9840307328605211</v>
      </c>
      <c r="AL15" s="1049">
        <f>IFERROR(AVERAGEIFS('C1'!CJ:CJ,'C1'!$AA:$AA,"&gt;="&amp;$B$1,'C1'!$R:$R,"NEW",'C1'!$L:$L,'PCA SUMMARY'!AJ15,'C1'!AB:AB,"&gt;="&amp;$B$1),0)</f>
        <v>1.9863425925925886</v>
      </c>
      <c r="AM15" s="450">
        <f>COUNTIFS('C1'!$AA:$AA,"&gt;="&amp;$B$1,'C1'!$R:$R,"NEW",'C1'!$L:$L,'PCA SUMMARY'!AJ15,'C1'!AB:AB,"&gt;="&amp;$B$1)</f>
        <v>13</v>
      </c>
    </row>
    <row r="16" spans="1:40" x14ac:dyDescent="0.25">
      <c r="A16" s="466" t="s">
        <v>4130</v>
      </c>
      <c r="B16" s="466">
        <f>COUNTIFS('C1'!$AA:$AA,"&gt;="&amp;B1,'C1'!$AA:$AA,"&lt;"&amp;C1,'C1'!$R:$R,"NEW",'C1'!$W:$W,"&lt;"&amp;'PCA SUMMARY'!$C$2)</f>
        <v>34</v>
      </c>
      <c r="C16" s="466">
        <f>COUNTIFS('C1'!$AA:$AA,"&gt;="&amp;C1,'C1'!$AA:$AA,"&lt;"&amp;D1,'C1'!$R:$R,"NEW",'C1'!$W:$W,"&lt;"&amp;'PCA SUMMARY'!$C$2)</f>
        <v>12</v>
      </c>
      <c r="D16" s="466">
        <f>COUNTIFS('C1'!$AA:$AA,"&gt;="&amp;D1,'C1'!$AA:$AA,"&lt;"&amp;E1,'C1'!$R:$R,"NEW",'C1'!$W:$W,"&lt;"&amp;'PCA SUMMARY'!$C$2)</f>
        <v>15</v>
      </c>
      <c r="E16" s="466">
        <f>COUNTIFS('C1'!$AA:$AA,"&gt;="&amp;E1,'C1'!$AA:$AA,"&lt;"&amp;F1,'C1'!$R:$R,"NEW",'C1'!$W:$W,"&lt;"&amp;'PCA SUMMARY'!$C$2)</f>
        <v>6</v>
      </c>
      <c r="F16" s="466">
        <f>COUNTIFS('C1'!$AA:$AA,"&gt;="&amp;F1,'C1'!$AA:$AA,"&lt;"&amp;G1,'C1'!$R:$R,"NEW",'C1'!$W:$W,"&lt;"&amp;'PCA SUMMARY'!$C$2)</f>
        <v>8</v>
      </c>
      <c r="G16" s="466">
        <f>COUNTIFS('C1'!$AA:$AA,"&gt;="&amp;G1,'C1'!$AA:$AA,"&lt;"&amp;H1,'C1'!$R:$R,"NEW",'C1'!$W:$W,"&lt;"&amp;'PCA SUMMARY'!$C$2)</f>
        <v>3</v>
      </c>
      <c r="H16" s="466">
        <f>COUNTIFS('C1'!$AA:$AA,"&gt;="&amp;H1,'C1'!$AA:$AA,"&lt;"&amp;I1,'C1'!$R:$R,"NEW",'C1'!$W:$W,"&lt;"&amp;'PCA SUMMARY'!$C$2)</f>
        <v>0</v>
      </c>
      <c r="I16" s="466">
        <f>COUNTIFS('C1'!$AA:$AA,"&gt;="&amp;I1,'C1'!$AA:$AA,"&lt;"&amp;J1,'C1'!$R:$R,"NEW",'C1'!$W:$W,"&lt;"&amp;'PCA SUMMARY'!$C$2)</f>
        <v>0</v>
      </c>
      <c r="J16" s="466">
        <f>COUNTIFS('C1'!$AA:$AA,"&gt;="&amp;J1,'C1'!$AA:$AA,"&lt;"&amp;K1,'C1'!$R:$R,"NEW",'C1'!$W:$W,"&lt;"&amp;'PCA SUMMARY'!$C$2)</f>
        <v>0</v>
      </c>
      <c r="K16" s="466">
        <f>COUNTIFS('C1'!$AA:$AA,"&gt;="&amp;K1,'C1'!$AA:$AA,"&lt;"&amp;L1,'C1'!$R:$R,"NEW",'C1'!$W:$W,"&lt;"&amp;'PCA SUMMARY'!$C$2)</f>
        <v>0</v>
      </c>
      <c r="L16" s="466">
        <f>COUNTIFS('C1'!$AA:$AA,"&gt;="&amp;L1,'C1'!$AA:$AA,"&lt;"&amp;M1,'C1'!$R:$R,"NEW",'C1'!$W:$W,"&lt;"&amp;'PCA SUMMARY'!$C$2)</f>
        <v>0</v>
      </c>
      <c r="M16" s="466">
        <f>COUNTIFS('C1'!$AA:$AA,"&gt;="&amp;M1,'C1'!$AA:$AA,"&lt;"&amp;N1,'C1'!$R:$R,"NEW",'C1'!$W:$W,"&lt;"&amp;'PCA SUMMARY'!$C$2)</f>
        <v>0</v>
      </c>
      <c r="N16">
        <f>SUM(B16:M16)</f>
        <v>78</v>
      </c>
      <c r="P16" s="271" t="s">
        <v>1945</v>
      </c>
      <c r="Q16" s="280">
        <f>COUNTIFS('C1'!$AA:$AA,"&gt;="&amp;$B$1,'C1'!$AA:$AA,"&lt;"&amp;$N$1,'C1'!$R:$R,"NEW",'C1'!$L:$L,'PCA SUMMARY'!P16)</f>
        <v>24</v>
      </c>
      <c r="R16" s="439">
        <f>COUNTIFS('C1'!$AA:$AA,"&gt;="&amp;$R$8,'C1'!$AA:$AA,"&lt;"&amp;$R$9,'C1'!$R:$R,"NEW",'C1'!$L:$L,'PCA SUMMARY'!P16)</f>
        <v>5</v>
      </c>
      <c r="S16" s="371">
        <f>IFERROR(AVERAGEIFS('C1'!AI:AI,'C1'!$W:$W,"&gt;="&amp;$B$1,'C1'!$AA:$AA,"&gt;="&amp;$B$1,'C1'!$R:$R,"NEW",'C1'!$L:$L,'PCA SUMMARY'!P16),0)</f>
        <v>0.64974385010726154</v>
      </c>
      <c r="T16" s="371">
        <f>IFERROR(AVERAGEIFS('C1'!CH:CH,'C1'!$W:$W,"&gt;="&amp;$B$1,'C1'!$AA:$AA,"",'C1'!$R:$R,"NEW",'C1'!$L:$L,'PCA SUMMARY'!P16,'C1'!$AG:$AG,"&lt;"&amp;'PCA SUMMARY'!$R$9),0)</f>
        <v>5.6617475845411853</v>
      </c>
      <c r="U16" s="998">
        <f>IFERROR(AVERAGEIFS('C1'!CE:CE,'C1'!$W:$W,"&gt;="&amp;$B$1,'C1'!$AA:$AA,"&gt;="&amp;$B$1,'C1'!$R:$R,"NEW",'C1'!$L:$L,'PCA SUMMARY'!P16),0)</f>
        <v>0.65990115056349852</v>
      </c>
      <c r="V16" s="998">
        <f>IFERROR(AVERAGEIFS('C1'!CI:CI,'C1'!$W:$W,"&gt;="&amp;$B$1,'C1'!$AA:$AA,"",'C1'!$R:$R,"NEW",'C1'!$L:$L,'PCA SUMMARY'!P16,'C1'!$AG:$AG,"&lt;"&amp;'PCA SUMMARY'!$R$9),0)</f>
        <v>0</v>
      </c>
      <c r="W16" s="744">
        <f>COUNTIFS('C1'!$W:$W,"&gt;="&amp;$B$1,'C1'!$AA:$AA,"",'C1'!$AG:$AG,"&lt;"&amp;'PCA SUMMARY'!$R$9,'C1'!$R:$R,"NEW",'C1'!$L:$L,'PCA SUMMARY'!P16)</f>
        <v>1</v>
      </c>
      <c r="X16" s="370">
        <f>AVERAGEIFS('C1'!CB:CB,'C1'!$AA:$AA,"&gt;="&amp;$B$1,'C1'!$AA:$AA,"&lt;"&amp;$R$9,'C1'!$R:$R,"NEW",'C1'!$L:$L,'PCA SUMMARY'!P16)</f>
        <v>21.102425491897975</v>
      </c>
      <c r="Y16" s="375">
        <f>AVERAGEIFS('C1'!CB:CB,'C1'!$AA:$AA,"&gt;="&amp;$R$8,'C1'!$AA:$AA,"&lt;"&amp;$R$9,'C1'!$R:$R,"NEW",'C1'!$L:$L,'PCA SUMMARY'!P16)</f>
        <v>65.213194444444525</v>
      </c>
      <c r="AB16" s="715" t="s">
        <v>241</v>
      </c>
      <c r="AC16" s="716">
        <f>COUNTIFS('UG-SLEM'!$AA:$AA,"&gt;="&amp;$B$1,'UG-SLEM'!$AA:$AA,"&lt;"&amp;$N$1,'UG-SLEM'!$R:$R,"NEW",'UG-SLEM'!$N:$N,'PCA SUMMARY'!AB16)</f>
        <v>3</v>
      </c>
      <c r="AD16" s="717">
        <f>COUNTIFS('UG-SLEM'!$AA:$AA,"&gt;="&amp;$R$8,'UG-SLEM'!$AA:$AA,"&lt;"&amp;$R$9,'UG-SLEM'!$R:$R,"NEW",'UG-SLEM'!$N:$N,'PCA SUMMARY'!AB16)</f>
        <v>0</v>
      </c>
      <c r="AE16" s="718">
        <f>IFERROR(AVERAGEIFS('UG-SLEM'!AI:AI,'UG-SLEM'!$W:$W,"&gt;="&amp;$B$1,'UG-SLEM'!$AA:$AA,"&gt;="&amp;$B$1,'UG-SLEM'!$R:$R,"NEW",'UG-SLEM'!$N:$N,'PCA SUMMARY'!AB16),0)</f>
        <v>1.6798522795892676</v>
      </c>
      <c r="AF16" s="718">
        <f>IFERROR(AVERAGEIFS('UG-SLEM'!CH:CH,'UG-SLEM'!$W:$W,"&gt;="&amp;$B$1,'UG-SLEM'!$AA:$AA,"",'UG-SLEM'!$R:$R,"NEW",'UG-SLEM'!$N:$N,'PCA SUMMARY'!AB16,'UG-SLEM'!$AG:$AG,"&lt;"&amp;'PCA SUMMARY'!$R$9),0)</f>
        <v>0</v>
      </c>
      <c r="AG16" s="718">
        <f>AVERAGEIFS('UG-SLEM'!CB:CB,'UG-SLEM'!$AA:$AA,"&gt;="&amp;$B$1,'UG-SLEM'!$AA:$AA,"&lt;"&amp;$R$9,'UG-SLEM'!$R:$R,"NEW",'UG-SLEM'!$N:$N,'PCA SUMMARY'!AB16)</f>
        <v>102.85717592592603</v>
      </c>
      <c r="AH16" s="720" t="e">
        <f>AVERAGEIFS('UG-SLEM'!CB:CB,'UG-SLEM'!$AA:$AA,"&gt;="&amp;$R$8,'UG-SLEM'!$AA:$AA,"&lt;"&amp;$R$9,'UG-SLEM'!$R:$R,"NEW",'UG-SLEM'!$N:$N,'PCA SUMMARY'!AB16)</f>
        <v>#DIV/0!</v>
      </c>
      <c r="AJ16" s="271" t="s">
        <v>1945</v>
      </c>
      <c r="AK16" s="1049">
        <f>IFERROR(AVERAGEIFS('C1'!CJ:CJ,'C1'!$AA:$AA,"&gt;="&amp;$B$1,'C1'!$R:$R,"NEW",'C1'!$L:$L,AJ16,'C1'!AS:AS,"&lt;"&amp;'PCA SUMMARY'!$R$9,'C1'!AB:AB,""),0)</f>
        <v>0</v>
      </c>
      <c r="AL16" s="1049">
        <f>IFERROR(AVERAGEIFS('C1'!CJ:CJ,'C1'!$AA:$AA,"&gt;="&amp;$B$1,'C1'!$R:$R,"NEW",'C1'!$L:$L,'PCA SUMMARY'!AJ16,'C1'!AB:AB,"&gt;="&amp;$B$1),0)</f>
        <v>1.548495370370373</v>
      </c>
      <c r="AM16" s="450">
        <f>COUNTIFS('C1'!$AA:$AA,"&gt;="&amp;$B$1,'C1'!$R:$R,"NEW",'C1'!$L:$L,'PCA SUMMARY'!AJ16,'C1'!AB:AB,"&gt;="&amp;$B$1)</f>
        <v>15</v>
      </c>
    </row>
    <row r="17" spans="1:40" x14ac:dyDescent="0.25">
      <c r="A17" t="s">
        <v>4131</v>
      </c>
      <c r="B17">
        <f>COUNTIFS('C1'!$AA:$AA,"&gt;="&amp;B1,'C1'!$AA:$AA,"&lt;"&amp;C1,'C1'!$R:$R,"&lt;&gt;NEW")</f>
        <v>20</v>
      </c>
      <c r="C17">
        <f>COUNTIFS('C1'!$AA:$AA,"&gt;="&amp;C1,'C1'!$AA:$AA,"&lt;"&amp;D1,'C1'!$R:$R,"&lt;&gt;NEW")</f>
        <v>19</v>
      </c>
      <c r="D17">
        <f>COUNTIFS('C1'!$AA:$AA,"&gt;="&amp;D1,'C1'!$AA:$AA,"&lt;"&amp;E1,'C1'!$R:$R,"&lt;&gt;NEW")</f>
        <v>28</v>
      </c>
      <c r="E17">
        <f>COUNTIFS('C1'!$AA:$AA,"&gt;="&amp;E1,'C1'!$AA:$AA,"&lt;"&amp;F1,'C1'!$R:$R,"&lt;&gt;NEW")</f>
        <v>32</v>
      </c>
      <c r="F17">
        <f>COUNTIFS('C1'!$AA:$AA,"&gt;="&amp;F1,'C1'!$AA:$AA,"&lt;"&amp;G1,'C1'!$R:$R,"&lt;&gt;NEW")</f>
        <v>27</v>
      </c>
      <c r="G17">
        <f>COUNTIFS('C1'!$AA:$AA,"&gt;="&amp;G1,'C1'!$AA:$AA,"&lt;"&amp;H1,'C1'!$R:$R,"&lt;&gt;NEW")</f>
        <v>30</v>
      </c>
      <c r="H17">
        <f>COUNTIFS('C1'!$AA:$AA,"&gt;="&amp;H1,'C1'!$AA:$AA,"&lt;"&amp;I1,'C1'!$R:$R,"&lt;&gt;NEW")</f>
        <v>27</v>
      </c>
      <c r="I17">
        <f>COUNTIFS('C1'!$AA:$AA,"&gt;="&amp;I1,'C1'!$AA:$AA,"&lt;"&amp;J1,'C1'!$R:$R,"&lt;&gt;NEW")</f>
        <v>14</v>
      </c>
      <c r="J17">
        <f>COUNTIFS('C1'!$AA:$AA,"&gt;="&amp;J1,'C1'!$AA:$AA,"&lt;"&amp;K1,'C1'!$R:$R,"&lt;&gt;NEW")</f>
        <v>0</v>
      </c>
      <c r="K17">
        <f>COUNTIFS('C1'!$AA:$AA,"&gt;="&amp;K1,'C1'!$AA:$AA,"&lt;"&amp;L1,'C1'!$R:$R,"&lt;&gt;NEW")</f>
        <v>0</v>
      </c>
      <c r="L17">
        <f>COUNTIFS('C1'!$AA:$AA,"&gt;="&amp;L1,'C1'!$AA:$AA,"&lt;"&amp;M1,'C1'!$R:$R,"&lt;&gt;NEW")</f>
        <v>0</v>
      </c>
      <c r="M17">
        <f>COUNTIFS('C1'!$AA:$AA,"&gt;="&amp;M1,'C1'!$AA:$AA,"&lt;"&amp;N1,'C1'!$R:$R,"&lt;&gt;NEW")</f>
        <v>0</v>
      </c>
      <c r="P17" s="271" t="s">
        <v>1957</v>
      </c>
      <c r="Q17" s="280">
        <f>COUNTIFS('C1'!$AA:$AA,"&gt;="&amp;$B$1,'C1'!$AA:$AA,"&lt;"&amp;$N$1,'C1'!$R:$R,"NEW",'C1'!$L:$L,'PCA SUMMARY'!P17)</f>
        <v>16</v>
      </c>
      <c r="R17" s="439">
        <f>COUNTIFS('C1'!$AA:$AA,"&gt;="&amp;$R$8,'C1'!$AA:$AA,"&lt;"&amp;$R$9,'C1'!$R:$R,"NEW",'C1'!$L:$L,'PCA SUMMARY'!P17)</f>
        <v>4</v>
      </c>
      <c r="S17" s="371">
        <f>IFERROR(AVERAGEIFS('C1'!AI:AI,'C1'!$W:$W,"&gt;="&amp;$B$1,'C1'!$AA:$AA,"&gt;="&amp;$B$1,'C1'!$R:$R,"NEW",'C1'!$L:$L,'PCA SUMMARY'!P17),0)</f>
        <v>1.2229023195970556</v>
      </c>
      <c r="T17" s="371">
        <f>IFERROR(AVERAGEIFS('C1'!CH:CH,'C1'!$W:$W,"&gt;="&amp;$B$1,'C1'!$AA:$AA,"",'C1'!$R:$R,"NEW",'C1'!$L:$L,'PCA SUMMARY'!P17,'C1'!$AG:$AG,"&lt;"&amp;'PCA SUMMARY'!$R$9),0)</f>
        <v>0.48222222222222222</v>
      </c>
      <c r="U17" s="998">
        <f>IFERROR(AVERAGEIFS('C1'!CE:CE,'C1'!$W:$W,"&gt;="&amp;$B$1,'C1'!$AA:$AA,"&gt;="&amp;$B$1,'C1'!$R:$R,"NEW",'C1'!$L:$L,'PCA SUMMARY'!P17),0)</f>
        <v>1.28572389398994</v>
      </c>
      <c r="V17" s="998">
        <f>IFERROR(AVERAGEIFS('C1'!CI:CI,'C1'!$W:$W,"&gt;="&amp;$B$1,'C1'!$AA:$AA,"",'C1'!$R:$R,"NEW",'C1'!$L:$L,'PCA SUMMARY'!P17,'C1'!$AG:$AG,"&lt;"&amp;'PCA SUMMARY'!$R$9),0)</f>
        <v>0.48222222222222222</v>
      </c>
      <c r="W17" s="744">
        <f>COUNTIFS('C1'!$W:$W,"&gt;="&amp;$B$1,'C1'!$AA:$AA,"",'C1'!$AG:$AG,"&lt;"&amp;'PCA SUMMARY'!$R$9,'C1'!$R:$R,"NEW",'C1'!$L:$L,'PCA SUMMARY'!P17)</f>
        <v>1</v>
      </c>
      <c r="X17" s="370">
        <f>AVERAGEIFS('C1'!CB:CB,'C1'!$AA:$AA,"&gt;="&amp;$B$1,'C1'!$AA:$AA,"&lt;"&amp;$R$9,'C1'!$R:$R,"NEW",'C1'!$L:$L,'PCA SUMMARY'!P17)</f>
        <v>41.316180555556642</v>
      </c>
      <c r="Y17" s="375" t="e">
        <f>AVERAGEIFS('C1'!CB:CB,'C1'!$AA:$AA,"&gt;="&amp;$R$8,'C1'!$AA:$AA,"&lt;"&amp;$R$9,'C1'!$R:$R,"NEW",'C1'!$L:$L,'PCA SUMMARY'!P17)</f>
        <v>#DIV/0!</v>
      </c>
      <c r="AB17" s="719" t="s">
        <v>278</v>
      </c>
      <c r="AC17" s="716">
        <f>COUNTIFS('UG-SLEM'!$AA:$AA,"&gt;="&amp;$B$1,'UG-SLEM'!$AA:$AA,"&lt;"&amp;$N$1,'UG-SLEM'!$R:$R,"NEW",'UG-SLEM'!$N:$N,'PCA SUMMARY'!AB17)</f>
        <v>3</v>
      </c>
      <c r="AD17" s="717">
        <f>COUNTIFS('UG-SLEM'!$AA:$AA,"&gt;="&amp;$R$8,'UG-SLEM'!$AA:$AA,"&lt;"&amp;$R$9,'UG-SLEM'!$R:$R,"NEW",'UG-SLEM'!$N:$N,'PCA SUMMARY'!AB17)</f>
        <v>0</v>
      </c>
      <c r="AE17" s="718">
        <f>IFERROR(AVERAGEIFS('UG-SLEM'!AI:AI,'UG-SLEM'!$W:$W,"&gt;="&amp;$B$1,'UG-SLEM'!$AA:$AA,"&gt;="&amp;$B$1,'UG-SLEM'!$R:$R,"NEW",'UG-SLEM'!$N:$N,'PCA SUMMARY'!AB17),0)</f>
        <v>0</v>
      </c>
      <c r="AF17" s="718">
        <f>IFERROR(AVERAGEIFS('UG-SLEM'!CH:CH,'UG-SLEM'!$W:$W,"&gt;="&amp;$B$1,'UG-SLEM'!$AA:$AA,"",'UG-SLEM'!$R:$R,"NEW",'UG-SLEM'!$N:$N,'PCA SUMMARY'!AB17,'UG-SLEM'!$AG:$AG,"&lt;"&amp;'PCA SUMMARY'!$R$9),0)</f>
        <v>0</v>
      </c>
      <c r="AG17" s="718">
        <f>AVERAGEIFS('UG-SLEM'!CB:CB,'UG-SLEM'!$AA:$AA,"&gt;="&amp;$B$1,'UG-SLEM'!$AA:$AA,"&lt;"&amp;$R$9,'UG-SLEM'!$R:$R,"NEW",'UG-SLEM'!$N:$N,'PCA SUMMARY'!AB17)</f>
        <v>98.666666666666671</v>
      </c>
      <c r="AH17" s="720" t="e">
        <f>AVERAGEIFS('UG-SLEM'!CB:CB,'UG-SLEM'!$AA:$AA,"&gt;="&amp;$R$8,'UG-SLEM'!$AA:$AA,"&lt;"&amp;$R$9,'UG-SLEM'!$R:$R,"NEW",'UG-SLEM'!$N:$N,'PCA SUMMARY'!AB17)</f>
        <v>#DIV/0!</v>
      </c>
      <c r="AJ17" s="425" t="s">
        <v>1957</v>
      </c>
      <c r="AK17" s="1049">
        <f>IFERROR(AVERAGEIFS('C1'!CJ:CJ,'C1'!$AA:$AA,"&gt;="&amp;$B$1,'C1'!$R:$R,"NEW",'C1'!$L:$L,AJ17,'C1'!AS:AS,"&lt;"&amp;'PCA SUMMARY'!$R$9,'C1'!AB:AB,""),0)</f>
        <v>1.8208333333333333</v>
      </c>
      <c r="AL17" s="1049">
        <f>IFERROR(AVERAGEIFS('C1'!CJ:CJ,'C1'!$AA:$AA,"&gt;="&amp;$B$1,'C1'!$R:$R,"NEW",'C1'!$L:$L,'PCA SUMMARY'!AJ17,'C1'!AB:AB,"&gt;="&amp;$B$1),0)</f>
        <v>1.4333333333333333</v>
      </c>
      <c r="AM17" s="450">
        <f>COUNTIFS('C1'!$AA:$AA,"&gt;="&amp;$B$1,'C1'!$R:$R,"NEW",'C1'!$L:$L,'PCA SUMMARY'!AJ17,'C1'!AB:AB,"&gt;="&amp;$B$1)</f>
        <v>1</v>
      </c>
    </row>
    <row r="18" spans="1:40" x14ac:dyDescent="0.25">
      <c r="A18" s="357" t="s">
        <v>4132</v>
      </c>
      <c r="B18" s="288">
        <f>COUNTIFS('C1'!$W:$W,"&gt;="&amp;B1,'C1'!$W:$W,"&lt;"&amp;C1,'C1'!$R:$R,"NEW")+COUNTIFS('C1'!$W:$W,"&gt;="&amp;B1,'C1'!$W:$W,"&lt;"&amp;C1,'C1'!$R:$R,"TEMPORARY")</f>
        <v>57</v>
      </c>
      <c r="C18" s="288">
        <f>COUNTIFS('C1'!$W:$W,"&gt;="&amp;C1,'C1'!$W:$W,"&lt;"&amp;D1,'C1'!$R:$R,"NEW")+COUNTIFS('C1'!$W:$W,"&gt;="&amp;C1,'C1'!$W:$W,"&lt;"&amp;D1,'C1'!$R:$R,"TEMPORARY")</f>
        <v>53</v>
      </c>
      <c r="D18" s="288">
        <f>COUNTIFS('C1'!$W:$W,"&gt;="&amp;D1,'C1'!$W:$W,"&lt;"&amp;E1,'C1'!$R:$R,"NEW")+COUNTIFS('C1'!$W:$W,"&gt;="&amp;D1,'C1'!$W:$W,"&lt;"&amp;E1,'C1'!$R:$R,"TEMPORARY")</f>
        <v>44</v>
      </c>
      <c r="E18" s="288">
        <f>COUNTIFS('C1'!$W:$W,"&gt;="&amp;E1,'C1'!$W:$W,"&lt;"&amp;F1,'C1'!$R:$R,"NEW")+COUNTIFS('C1'!$W:$W,"&gt;="&amp;E1,'C1'!$W:$W,"&lt;"&amp;F1,'C1'!$R:$R,"TEMPORARY")</f>
        <v>51</v>
      </c>
      <c r="F18" s="288">
        <f>COUNTIFS('C1'!$W:$W,"&gt;="&amp;F1,'C1'!$W:$W,"&lt;"&amp;G1,'C1'!$R:$R,"NEW")+COUNTIFS('C1'!$W:$W,"&gt;="&amp;F1,'C1'!$W:$W,"&lt;"&amp;G1,'C1'!$R:$R,"TEMPORARY")</f>
        <v>52</v>
      </c>
      <c r="G18" s="288">
        <f>COUNTIFS('C1'!$W:$W,"&gt;="&amp;G1,'C1'!$W:$W,"&lt;"&amp;H1,'C1'!$R:$R,"NEW")+COUNTIFS('C1'!$W:$W,"&gt;="&amp;G1,'C1'!$W:$W,"&lt;"&amp;H1,'C1'!$R:$R,"TEMPORARY")</f>
        <v>57</v>
      </c>
      <c r="H18" s="288">
        <f>COUNTIFS('C1'!$W:$W,"&gt;="&amp;H1,'C1'!$W:$W,"&lt;"&amp;I1,'C1'!$R:$R,"NEW")+COUNTIFS('C1'!$W:$W,"&gt;="&amp;H1,'C1'!$W:$W,"&lt;"&amp;I1,'C1'!$R:$R,"TEMPORARY")</f>
        <v>47</v>
      </c>
      <c r="I18" s="288">
        <f>COUNTIFS('C1'!$W:$W,"&gt;="&amp;I1,'C1'!$W:$W,"&lt;"&amp;J1,'C1'!$R:$R,"NEW")+COUNTIFS('C1'!$W:$W,"&gt;="&amp;I1,'C1'!$W:$W,"&lt;"&amp;J1,'C1'!$R:$R,"TEMPORARY")</f>
        <v>25</v>
      </c>
      <c r="J18" s="288">
        <f>COUNTIFS('C1'!$W:$W,"&gt;="&amp;J1,'C1'!$W:$W,"&lt;"&amp;K1,'C1'!$R:$R,"NEW")+COUNTIFS('C1'!$W:$W,"&gt;="&amp;J1,'C1'!$W:$W,"&lt;"&amp;K1,'C1'!$R:$R,"TEMPORARY")</f>
        <v>0</v>
      </c>
      <c r="K18" s="288">
        <f>COUNTIFS('C1'!$W:$W,"&gt;="&amp;K1,'C1'!$W:$W,"&lt;"&amp;L1,'C1'!$R:$R,"NEW")+COUNTIFS('C1'!$W:$W,"&gt;="&amp;K1,'C1'!$W:$W,"&lt;"&amp;L1,'C1'!$R:$R,"TEMPORARY")</f>
        <v>0</v>
      </c>
      <c r="L18" s="288">
        <f>COUNTIFS('C1'!$W:$W,"&gt;="&amp;L1,'C1'!$W:$W,"&lt;"&amp;M1,'C1'!$R:$R,"NEW")+COUNTIFS('C1'!$W:$W,"&gt;="&amp;L1,'C1'!$W:$W,"&lt;"&amp;M1,'C1'!$R:$R,"TEMPORARY")</f>
        <v>0</v>
      </c>
      <c r="M18" s="288">
        <f>COUNTIFS('C1'!$W:$W,"&gt;="&amp;M1,'C1'!$W:$W,"&lt;"&amp;N1,'C1'!$R:$R,"NEW")+COUNTIFS('C1'!$W:$W,"&gt;="&amp;M1,'C1'!$W:$W,"&lt;"&amp;N1,'C1'!$R:$R,"TEMPORARY")</f>
        <v>0</v>
      </c>
      <c r="N18">
        <f>SUM(B18:M18)</f>
        <v>386</v>
      </c>
      <c r="P18" s="425" t="s">
        <v>312</v>
      </c>
      <c r="Q18" s="280">
        <f>COUNTIFS('C1'!$AA:$AA,"&gt;="&amp;$B$1,'C1'!$AA:$AA,"&lt;"&amp;$N$1,'C1'!$R:$R,"NEW",'C1'!$L:$L,'PCA SUMMARY'!P18)</f>
        <v>2</v>
      </c>
      <c r="R18" s="439">
        <f>COUNTIFS('C1'!$AA:$AA,"&gt;="&amp;$R$8,'C1'!$AA:$AA,"&lt;"&amp;$R$9,'C1'!$R:$R,"NEW",'C1'!$L:$L,'PCA SUMMARY'!P18)</f>
        <v>0</v>
      </c>
      <c r="S18" s="371">
        <f>IFERROR(AVERAGEIFS('C1'!AI:AI,'C1'!$W:$W,"&gt;="&amp;$B$1,'C1'!$AA:$AA,"&gt;="&amp;$B$1,'C1'!$R:$R,"NEW",'C1'!$L:$L,'PCA SUMMARY'!P18),0)</f>
        <v>0</v>
      </c>
      <c r="T18" s="371">
        <f>IFERROR(AVERAGEIFS('C1'!CH:CH,'C1'!$W:$W,"&gt;="&amp;$B$1,'C1'!$AA:$AA,"",'C1'!$R:$R,"NEW",'C1'!$L:$L,'PCA SUMMARY'!P18,'C1'!$AG:$AG,"&lt;"&amp;'PCA SUMMARY'!$R$9),0)</f>
        <v>0</v>
      </c>
      <c r="U18" s="998">
        <f>IFERROR(AVERAGEIFS('C1'!CE:CE,'C1'!$W:$W,"&gt;="&amp;$B$1,'C1'!$AA:$AA,"&gt;="&amp;$B$1,'C1'!$R:$R,"NEW",'C1'!$L:$L,'PCA SUMMARY'!P18),0)</f>
        <v>0</v>
      </c>
      <c r="V18" s="998">
        <f>IFERROR(AVERAGEIFS('C1'!CI:CI,'C1'!$W:$W,"&gt;="&amp;$B$1,'C1'!$AA:$AA,"",'C1'!$R:$R,"NEW",'C1'!$L:$L,'PCA SUMMARY'!P18,'C1'!$AG:$AG,"&lt;"&amp;'PCA SUMMARY'!$R$9),0)</f>
        <v>0</v>
      </c>
      <c r="W18" s="744">
        <f>COUNTIFS('C1'!$W:$W,"&gt;="&amp;$B$1,'C1'!$AA:$AA,"",'C1'!$AG:$AG,"&lt;"&amp;'PCA SUMMARY'!$R$9,'C1'!$R:$R,"NEW",'C1'!$L:$L,'PCA SUMMARY'!P18)</f>
        <v>0</v>
      </c>
      <c r="X18" s="370">
        <f>AVERAGEIFS('C1'!CB:CB,'C1'!$AA:$AA,"&gt;="&amp;$B$1,'C1'!$AA:$AA,"&lt;"&amp;$R$9,'C1'!$R:$R,"NEW",'C1'!$L:$L,'PCA SUMMARY'!P18)</f>
        <v>198.6504629629635</v>
      </c>
      <c r="Y18" s="375" t="e">
        <f>AVERAGEIFS('C1'!CB:CB,'C1'!$AA:$AA,"&gt;="&amp;$R$8,'C1'!$AA:$AA,"&lt;"&amp;$R$9,'C1'!$R:$R,"NEW",'C1'!$L:$L,'PCA SUMMARY'!P18)</f>
        <v>#DIV/0!</v>
      </c>
      <c r="AC18" s="435">
        <f>SUM(AC11:AC17)</f>
        <v>248</v>
      </c>
      <c r="AD18" s="435">
        <f>SUM(AD11:AD16)</f>
        <v>16</v>
      </c>
      <c r="AJ18" s="1165" t="s">
        <v>4109</v>
      </c>
      <c r="AK18" s="1050">
        <f>IFERROR(AVERAGEIFS('C1'!CJ:CJ,'C1'!$AA:$AA,"&gt;="&amp;$B$1,'C1'!$R:$R,"NEW",'C1'!AS:AS,"&lt;"&amp;'PCA SUMMARY'!$R$9,'C1'!AB:AB,""),0)</f>
        <v>2.0010147357723596</v>
      </c>
      <c r="AL18" s="1050">
        <f>IFERROR(AVERAGEIFS('C1'!CJ:CJ,'C1'!$AA:$AA,"&gt;="&amp;$B$1,'C1'!$R:$R,"NEW",'C1'!AB:AB,"&gt;="&amp;$B$1),0)</f>
        <v>2.2333309712773981</v>
      </c>
      <c r="AM18" s="450">
        <f>COUNTIFS('C1'!$AA:$AA,"&gt;="&amp;$B$1,'C1'!$R:$R,"NEW",'C1'!AB:AB,"&gt;="&amp;$B$1)</f>
        <v>49</v>
      </c>
    </row>
    <row r="19" spans="1:40" ht="18.75" x14ac:dyDescent="0.3">
      <c r="A19" t="s">
        <v>4133</v>
      </c>
      <c r="B19">
        <f>B11</f>
        <v>52</v>
      </c>
      <c r="C19">
        <f t="shared" ref="C19:M19" si="1">B19+C11</f>
        <v>104</v>
      </c>
      <c r="D19">
        <f t="shared" si="1"/>
        <v>156</v>
      </c>
      <c r="E19">
        <f t="shared" si="1"/>
        <v>208</v>
      </c>
      <c r="F19">
        <f t="shared" si="1"/>
        <v>260</v>
      </c>
      <c r="G19">
        <f t="shared" si="1"/>
        <v>312</v>
      </c>
      <c r="H19">
        <f t="shared" si="1"/>
        <v>364</v>
      </c>
      <c r="I19">
        <f t="shared" si="1"/>
        <v>416</v>
      </c>
      <c r="J19">
        <f t="shared" si="1"/>
        <v>468</v>
      </c>
      <c r="K19">
        <f t="shared" si="1"/>
        <v>520</v>
      </c>
      <c r="L19">
        <f t="shared" si="1"/>
        <v>572</v>
      </c>
      <c r="M19">
        <f t="shared" si="1"/>
        <v>624</v>
      </c>
      <c r="N19" s="458">
        <f>SUM(B19:M19)</f>
        <v>4056</v>
      </c>
      <c r="P19" s="372" t="s">
        <v>4109</v>
      </c>
      <c r="Q19" s="440">
        <f>SUM(Q11:Q18)</f>
        <v>353</v>
      </c>
      <c r="R19" s="441">
        <f>SUM(R11:R18)</f>
        <v>28</v>
      </c>
      <c r="S19" s="768">
        <f>IFERROR(AVERAGEIFS('C1'!AI:AI,'C1'!$W:$W,"&gt;="&amp;$B$1,'C1'!$AA:$AA,"&gt;="&amp;$B$1,'C1'!$R:$R,"NEW"),0)</f>
        <v>1.4013552302877714</v>
      </c>
      <c r="T19" s="374">
        <f>IFERROR(AVERAGEIFS('C1'!CH:CH,'C1'!$W:$W,"&gt;="&amp;$B$1,'C1'!$AA:$AA,"",'C1'!$R:$R,"NEW",'C1'!AG:AG,"&lt;"&amp;'PCA SUMMARY'!R9),0)</f>
        <v>2.5442886311319755</v>
      </c>
      <c r="U19" s="998">
        <f>IFERROR(AVERAGEIFS('C1'!CE:CE,'C1'!$W:$W,"&gt;="&amp;$B$1,'C1'!$AA:$AA,"&gt;="&amp;$B$1,'C1'!$R:$R,"NEW"),0)</f>
        <v>1.366519005346515</v>
      </c>
      <c r="V19" s="998">
        <f>IFERROR(AVERAGEIFS('C1'!CI:CI,'C1'!$W:$W,"&gt;="&amp;$B$1,'C1'!$AA:$AA,"",'C1'!$R:$R,"NEW",'C1'!AG:AG,"&lt;"&amp;'PCA SUMMARY'!R9),0)</f>
        <v>2.355084897171337</v>
      </c>
      <c r="W19" s="743">
        <f>COUNTIFS('C1'!$W:$W,"&gt;="&amp;B1,'C1'!$AA:$AA,"",'C1'!$AG:$AG,"&lt;"&amp;'PCA SUMMARY'!$R$9,'C1'!$R:$R,"NEW")</f>
        <v>79</v>
      </c>
      <c r="X19" s="373">
        <f>AVERAGEIFS('C1'!CB:CB,'C1'!$AA:$AA,"&gt;="&amp;$B$1,'C1'!$AA:$AA,"&lt;"&amp;$R$9,'C1'!$R:$R,"NEW")</f>
        <v>59.12343438672054</v>
      </c>
      <c r="Y19" s="376">
        <f>AVERAGEIFS('C1'!CB:CB,'C1'!$AA:$AA,"&gt;="&amp;$R$8,'C1'!$AA:$AA,"&lt;"&amp;$R$9,'C1'!$R:$R,"NEW")</f>
        <v>92.911997053872753</v>
      </c>
      <c r="AJ19" s="1166"/>
      <c r="AK19" s="1161">
        <f>IFERROR((((AL18*AM18)+(AK18*AK9))/(AM18+AK9)),"-")</f>
        <v>2.0458316473461662</v>
      </c>
      <c r="AL19" s="1162"/>
      <c r="AM19" s="999"/>
    </row>
    <row r="20" spans="1:40" ht="21" customHeight="1" x14ac:dyDescent="0.3">
      <c r="A20" t="s">
        <v>4134</v>
      </c>
      <c r="B20">
        <f>B12</f>
        <v>51</v>
      </c>
      <c r="C20">
        <f t="shared" ref="C20:M20" si="2">B20+C12</f>
        <v>102</v>
      </c>
      <c r="D20">
        <f t="shared" si="2"/>
        <v>153</v>
      </c>
      <c r="E20">
        <f t="shared" si="2"/>
        <v>204</v>
      </c>
      <c r="F20">
        <f t="shared" si="2"/>
        <v>255</v>
      </c>
      <c r="G20">
        <f t="shared" si="2"/>
        <v>306</v>
      </c>
      <c r="H20">
        <f t="shared" si="2"/>
        <v>357</v>
      </c>
      <c r="I20">
        <f t="shared" si="2"/>
        <v>408</v>
      </c>
      <c r="J20">
        <f t="shared" si="2"/>
        <v>459</v>
      </c>
      <c r="K20">
        <f t="shared" si="2"/>
        <v>510</v>
      </c>
      <c r="L20">
        <f t="shared" si="2"/>
        <v>561</v>
      </c>
      <c r="M20">
        <f t="shared" si="2"/>
        <v>612</v>
      </c>
      <c r="N20" s="458">
        <f>SUM(B20:M20)</f>
        <v>3978</v>
      </c>
      <c r="S20" s="1191">
        <f>((S19*Q19)+(T19*W19))/(Q19+W19)</f>
        <v>1.610363884608818</v>
      </c>
      <c r="T20" s="1192"/>
      <c r="U20" s="1193">
        <f>((U19*Q19)+(V19*W19))/(Q19+W19)</f>
        <v>1.5472984161200358</v>
      </c>
      <c r="V20" s="1193"/>
      <c r="AN20" s="999"/>
    </row>
    <row r="21" spans="1:40" ht="14.85" customHeight="1" thickBot="1" x14ac:dyDescent="0.3">
      <c r="A21" t="s">
        <v>4135</v>
      </c>
      <c r="B21">
        <f>B15+B14</f>
        <v>44</v>
      </c>
      <c r="C21">
        <f t="shared" ref="C21:M21" si="3">B21+C14+C15</f>
        <v>87</v>
      </c>
      <c r="D21">
        <f t="shared" si="3"/>
        <v>143</v>
      </c>
      <c r="E21">
        <f t="shared" si="3"/>
        <v>175</v>
      </c>
      <c r="F21">
        <f t="shared" si="3"/>
        <v>231</v>
      </c>
      <c r="G21">
        <f t="shared" si="3"/>
        <v>277</v>
      </c>
      <c r="H21">
        <f t="shared" si="3"/>
        <v>328</v>
      </c>
      <c r="I21">
        <f t="shared" si="3"/>
        <v>359</v>
      </c>
      <c r="J21">
        <f t="shared" si="3"/>
        <v>359</v>
      </c>
      <c r="K21">
        <f t="shared" si="3"/>
        <v>359</v>
      </c>
      <c r="L21">
        <f t="shared" si="3"/>
        <v>359</v>
      </c>
      <c r="M21">
        <f t="shared" si="3"/>
        <v>359</v>
      </c>
      <c r="N21">
        <f>M21</f>
        <v>359</v>
      </c>
      <c r="O21" t="s">
        <v>4136</v>
      </c>
      <c r="AJ21" s="833" t="s">
        <v>345</v>
      </c>
    </row>
    <row r="22" spans="1:40" ht="15.75" thickBot="1" x14ac:dyDescent="0.3">
      <c r="A22" s="466" t="s">
        <v>4137</v>
      </c>
      <c r="B22" s="466">
        <v>1</v>
      </c>
      <c r="C22" s="466">
        <v>4</v>
      </c>
      <c r="D22" s="466">
        <v>4</v>
      </c>
      <c r="E22" s="466">
        <v>3</v>
      </c>
      <c r="F22" s="466">
        <v>0</v>
      </c>
      <c r="G22" s="466">
        <v>0</v>
      </c>
      <c r="H22" s="466"/>
      <c r="I22" s="466"/>
      <c r="J22" s="466"/>
      <c r="K22" s="466"/>
      <c r="L22" s="466"/>
      <c r="M22" s="466"/>
      <c r="N22">
        <f>SUM(B22:M22)</f>
        <v>12</v>
      </c>
      <c r="O22" s="745" t="s">
        <v>4138</v>
      </c>
      <c r="P22" s="352" t="s">
        <v>4139</v>
      </c>
      <c r="T22" s="1190"/>
      <c r="U22" s="1190"/>
      <c r="AJ22" s="834" t="s">
        <v>4140</v>
      </c>
      <c r="AK22" s="835">
        <v>1</v>
      </c>
    </row>
    <row r="23" spans="1:40" ht="15.75" thickBot="1" x14ac:dyDescent="0.3">
      <c r="A23" t="s">
        <v>4141</v>
      </c>
      <c r="B23">
        <f>B5-B16-B22</f>
        <v>77</v>
      </c>
      <c r="C23">
        <f t="shared" ref="C23:G23" si="4">B23-C16-C22</f>
        <v>61</v>
      </c>
      <c r="D23">
        <f t="shared" si="4"/>
        <v>42</v>
      </c>
      <c r="E23">
        <f t="shared" si="4"/>
        <v>33</v>
      </c>
      <c r="F23">
        <f t="shared" si="4"/>
        <v>25</v>
      </c>
      <c r="G23">
        <f t="shared" si="4"/>
        <v>22</v>
      </c>
      <c r="H23">
        <f>G23-H16-H22</f>
        <v>22</v>
      </c>
      <c r="I23"/>
      <c r="N23" s="352"/>
      <c r="P23" s="65" t="s">
        <v>4092</v>
      </c>
      <c r="AJ23" s="836" t="s">
        <v>4142</v>
      </c>
      <c r="AK23" s="837">
        <v>0.95</v>
      </c>
    </row>
    <row r="24" spans="1:40" ht="32.1" customHeight="1" x14ac:dyDescent="0.25">
      <c r="A24" s="1024" t="s">
        <v>4143</v>
      </c>
      <c r="B24" s="1024">
        <f t="shared" ref="B24:H24" si="5">B20-B21</f>
        <v>7</v>
      </c>
      <c r="C24" s="1024">
        <f t="shared" si="5"/>
        <v>15</v>
      </c>
      <c r="D24" s="1024">
        <f t="shared" si="5"/>
        <v>10</v>
      </c>
      <c r="E24" s="1024">
        <f t="shared" si="5"/>
        <v>29</v>
      </c>
      <c r="F24" s="1024">
        <f t="shared" si="5"/>
        <v>24</v>
      </c>
      <c r="G24" s="1024">
        <f t="shared" si="5"/>
        <v>29</v>
      </c>
      <c r="H24" s="1024">
        <f t="shared" si="5"/>
        <v>29</v>
      </c>
      <c r="I24" s="65"/>
      <c r="J24" s="65"/>
      <c r="K24" s="65"/>
      <c r="L24" s="65"/>
      <c r="M24" s="65"/>
      <c r="N24" s="65"/>
      <c r="P24" s="284" t="s">
        <v>4110</v>
      </c>
      <c r="Q24" s="367" t="s">
        <v>4144</v>
      </c>
      <c r="R24" s="383" t="s">
        <v>4145</v>
      </c>
      <c r="AJ24" s="838" t="s">
        <v>4146</v>
      </c>
    </row>
    <row r="25" spans="1:40" x14ac:dyDescent="0.25">
      <c r="A25" s="88" t="s">
        <v>4147</v>
      </c>
      <c r="B25" s="759">
        <f t="shared" ref="B25:E25" si="6">($B$5-B23)/$B$5</f>
        <v>0.3125</v>
      </c>
      <c r="C25" s="759">
        <f t="shared" si="6"/>
        <v>0.45535714285714285</v>
      </c>
      <c r="D25" s="759">
        <f t="shared" si="6"/>
        <v>0.625</v>
      </c>
      <c r="E25" s="759">
        <f t="shared" si="6"/>
        <v>0.7053571428571429</v>
      </c>
      <c r="F25" s="759">
        <f>($B$5-F23)/$B$5</f>
        <v>0.7767857142857143</v>
      </c>
      <c r="G25" s="759">
        <f>($B$5-G23)/$B$5</f>
        <v>0.8035714285714286</v>
      </c>
      <c r="H25" s="759">
        <f>($B$5-H23)/$B$5</f>
        <v>0.8035714285714286</v>
      </c>
      <c r="N25" s="760">
        <f>(N16+N22)/B5</f>
        <v>0.8035714285714286</v>
      </c>
      <c r="P25" s="271" t="s">
        <v>263</v>
      </c>
      <c r="Q25" s="375">
        <f>SUMIFS('C1'!$P:$P,'C1'!$AA:$AA,"&gt;="&amp;$B$1,'C1'!$AA:$AA,"&lt;"&amp;$N$1,'C1'!$R:$R,"NEW",'C1'!$L:$L,'PCA SUMMARY'!P25)</f>
        <v>18333.939999999999</v>
      </c>
      <c r="R25" s="381">
        <f>SUMIFS('C1'!$P:$P,'C1'!$AA:$AA,"&gt;="&amp;$R$8,'C1'!$AA:$AA,"&lt;"&amp;$R$9,'C1'!$R:$R,"NEW",'C1'!$L:$L,'PCA SUMMARY'!P25)</f>
        <v>548.66999999999996</v>
      </c>
    </row>
    <row r="26" spans="1:40" x14ac:dyDescent="0.25">
      <c r="A26" s="264" t="s">
        <v>4148</v>
      </c>
      <c r="B26" s="284" t="s">
        <v>4097</v>
      </c>
      <c r="C26" s="284" t="s">
        <v>4098</v>
      </c>
      <c r="D26" s="284" t="s">
        <v>4099</v>
      </c>
      <c r="E26" s="284" t="s">
        <v>4100</v>
      </c>
      <c r="F26" s="284" t="s">
        <v>4101</v>
      </c>
      <c r="G26" s="284" t="s">
        <v>4102</v>
      </c>
      <c r="H26" s="284" t="s">
        <v>4103</v>
      </c>
      <c r="I26" s="284" t="s">
        <v>4104</v>
      </c>
      <c r="J26" s="284" t="s">
        <v>4105</v>
      </c>
      <c r="K26" s="284" t="s">
        <v>4106</v>
      </c>
      <c r="L26" s="284" t="s">
        <v>4107</v>
      </c>
      <c r="M26" s="284" t="s">
        <v>4108</v>
      </c>
      <c r="N26" s="292" t="s">
        <v>4109</v>
      </c>
      <c r="P26" s="271" t="s">
        <v>5</v>
      </c>
      <c r="Q26" s="375">
        <f>SUMIFS('C1'!$P:$P,'C1'!$AA:$AA,"&gt;="&amp;$B$1,'C1'!$AA:$AA,"&lt;"&amp;$N$1,'C1'!$R:$R,"NEW",'C1'!$L:$L,'PCA SUMMARY'!P26)</f>
        <v>11903.890000000001</v>
      </c>
      <c r="R26" s="381">
        <f>SUMIFS('C1'!$P:$P,'C1'!$AA:$AA,"&gt;="&amp;$R$8,'C1'!$AA:$AA,"&lt;"&amp;$R$9,'C1'!$R:$R,"NEW",'C1'!$L:$L,'PCA SUMMARY'!P26)</f>
        <v>559.73</v>
      </c>
    </row>
    <row r="27" spans="1:40" x14ac:dyDescent="0.25">
      <c r="A27" s="356" t="s">
        <v>4149</v>
      </c>
      <c r="B27" s="290">
        <f>SUMIFS('C1'!$O:$O,'C1'!$AA:$AA,"&gt;="&amp;B1,'C1'!$AA:$AA,"&lt;"&amp;C1,'C1'!$R:$R,"NEW")</f>
        <v>6054.2343399999991</v>
      </c>
      <c r="C27" s="290">
        <f>SUMIFS('C1'!$O:$O,'C1'!$AA:$AA,"&gt;="&amp;C1,'C1'!$AA:$AA,"&lt;"&amp;D1,'C1'!$R:$R,"NEW")</f>
        <v>5553.3542000000007</v>
      </c>
      <c r="D27" s="290">
        <f>SUMIFS('C1'!$O:$O,'C1'!$AA:$AA,"&gt;="&amp;D1,'C1'!$AA:$AA,"&lt;"&amp;E1,'C1'!$R:$R,"NEW")</f>
        <v>5014.9137999999994</v>
      </c>
      <c r="E27" s="290">
        <f>SUMIFS('C1'!$O:$O,'C1'!$AA:$AA,"&gt;="&amp;E1,'C1'!$AA:$AA,"&lt;"&amp;F1,'C1'!$R:$R,"NEW")</f>
        <v>1772.0169999999998</v>
      </c>
      <c r="F27" s="290">
        <f>SUMIFS('C1'!$O:$O,'C1'!$AA:$AA,"&gt;="&amp;F1,'C1'!$AA:$AA,"&lt;"&amp;G1,'C1'!$R:$R,"NEW")</f>
        <v>5261.7841599999974</v>
      </c>
      <c r="G27" s="290">
        <f>SUMIFS('C1'!$O:$O,'C1'!$AA:$AA,"&gt;="&amp;G1,'C1'!$AA:$AA,"&lt;"&amp;H1,'C1'!$R:$R,"NEW")</f>
        <v>2590.2477799999988</v>
      </c>
      <c r="H27" s="290">
        <f>SUMIFS('C1'!$O:$O,'C1'!$AA:$AA,"&gt;="&amp;H1,'C1'!$AA:$AA,"&lt;"&amp;I1,'C1'!$R:$R,"NEW")</f>
        <v>3668.4126999999994</v>
      </c>
      <c r="I27" s="290">
        <f>SUMIFS('C1'!$O:$O,'C1'!$AA:$AA,"&gt;="&amp;I1,'C1'!$AA:$AA,"&lt;"&amp;J1,'C1'!$R:$R,"NEW")</f>
        <v>2179.0792399999996</v>
      </c>
      <c r="J27" s="290">
        <f>SUMIFS('C1'!$O:$O,'C1'!$AA:$AA,"&gt;="&amp;J1,'C1'!$AA:$AA,"&lt;"&amp;K1,'C1'!$R:$R,"NEW")</f>
        <v>0</v>
      </c>
      <c r="K27" s="290">
        <f>SUMIFS('C1'!$O:$O,'C1'!$AA:$AA,"&gt;="&amp;K1,'C1'!$AA:$AA,"&lt;"&amp;L1,'C1'!$R:$R,"NEW")</f>
        <v>0</v>
      </c>
      <c r="L27" s="290">
        <f>SUMIFS('C1'!$O:$O,'C1'!$AA:$AA,"&gt;="&amp;L1,'C1'!$AA:$AA,"&lt;"&amp;M1,'C1'!$R:$R,"NEW")</f>
        <v>0</v>
      </c>
      <c r="M27" s="290">
        <f>SUMIFS('C1'!$O:$O,'C1'!$AA:$AA,"&gt;="&amp;M1,'C1'!$AA:$AA,"&lt;"&amp;N1,'C1'!$R:$R,"NEW")</f>
        <v>0</v>
      </c>
      <c r="N27" s="145">
        <f>SUM(B27:M27)</f>
        <v>32094.043219999992</v>
      </c>
      <c r="P27" s="271" t="s">
        <v>242</v>
      </c>
      <c r="Q27" s="375">
        <f>SUMIFS('C1'!$P:$P,'C1'!$AA:$AA,"&gt;="&amp;$B$1,'C1'!$AA:$AA,"&lt;"&amp;$N$1,'C1'!$R:$R,"NEW",'C1'!$L:$L,'PCA SUMMARY'!P27)</f>
        <v>4016.2899999999991</v>
      </c>
      <c r="R27" s="381">
        <f>SUMIFS('C1'!$P:$P,'C1'!$AA:$AA,"&gt;="&amp;$R$8,'C1'!$AA:$AA,"&lt;"&amp;$R$9,'C1'!$R:$R,"NEW",'C1'!$L:$L,'PCA SUMMARY'!P27)</f>
        <v>748.39</v>
      </c>
    </row>
    <row r="28" spans="1:40" x14ac:dyDescent="0.25">
      <c r="A28" s="357" t="s">
        <v>4132</v>
      </c>
      <c r="B28" s="291">
        <f>SUMIFS('C1'!$O:$O,'C1'!$W:$W,"&gt;="&amp;B1,'C1'!$W:$W,"&lt;"&amp;C1,'C1'!$R:$R,"NEW")</f>
        <v>6211.1128799999979</v>
      </c>
      <c r="C28" s="291">
        <f>SUMIFS('C1'!$O:$O,'C1'!$W:$W,"&gt;="&amp;C1,'C1'!$W:$W,"&lt;"&amp;D1,'C1'!$R:$R,"NEW")</f>
        <v>3877.2950800000003</v>
      </c>
      <c r="D28" s="291">
        <f>SUMIFS('C1'!$O:$O,'C1'!$W:$W,"&gt;="&amp;D1,'C1'!$W:$W,"&lt;"&amp;E1,'C1'!$R:$R,"NEW")</f>
        <v>3129.8109400000003</v>
      </c>
      <c r="E28" s="291">
        <f>SUMIFS('C1'!$O:$O,'C1'!$W:$W,"&gt;="&amp;E1,'C1'!$W:$W,"&lt;"&amp;F1,'C1'!$R:$R,"NEW")</f>
        <v>4351.050400000001</v>
      </c>
      <c r="F28" s="291">
        <f>SUMIFS('C1'!$O:$O,'C1'!$W:$W,"&gt;="&amp;F1,'C1'!$W:$W,"&lt;"&amp;G1,'C1'!$R:$R,"NEW")</f>
        <v>4312.7795999999989</v>
      </c>
      <c r="G28" s="291">
        <f>SUMIFS('C1'!$O:$O,'C1'!$W:$W,"&gt;="&amp;G1,'C1'!$W:$W,"&lt;"&amp;H1,'C1'!$R:$R,"NEW")</f>
        <v>5310.3336799999988</v>
      </c>
      <c r="H28" s="291">
        <f>SUMIFS('C1'!$O:$O,'C1'!$W:$W,"&gt;="&amp;H1,'C1'!$W:$W,"&lt;"&amp;I1,'C1'!$R:$R,"NEW")</f>
        <v>4222.2099999999991</v>
      </c>
      <c r="I28" s="291">
        <f>SUMIFS('C1'!$O:$O,'C1'!$W:$W,"&gt;="&amp;I1,'C1'!$W:$W,"&lt;"&amp;J1,'C1'!$R:$R,"NEW")</f>
        <v>973.21999999999991</v>
      </c>
      <c r="J28" s="291">
        <f>SUMIFS('C1'!$O:$O,'C1'!$W:$W,"&gt;="&amp;J1,'C1'!$W:$W,"&lt;"&amp;K1,'C1'!$R:$R,"NEW")</f>
        <v>0</v>
      </c>
      <c r="K28" s="291">
        <f>SUMIFS('C1'!$O:$O,'C1'!$W:$W,"&gt;="&amp;K1,'C1'!$W:$W,"&lt;"&amp;L1,'C1'!$R:$R,"NEW")</f>
        <v>0</v>
      </c>
      <c r="L28" s="291">
        <f>SUMIFS('C1'!$O:$O,'C1'!$W:$W,"&gt;="&amp;L1,'C1'!$W:$W,"&lt;"&amp;M1,'C1'!$R:$R,"NEW")</f>
        <v>0</v>
      </c>
      <c r="M28" s="291">
        <f>SUMIFS('C1'!$O:$O,'C1'!$W:$W,"&gt;="&amp;M1,'C1'!$W:$W,"&lt;"&amp;N1,'C1'!$R:$R,"NEW")</f>
        <v>0</v>
      </c>
      <c r="N28" s="145">
        <f>SUM(B28:M28)</f>
        <v>32387.812579999998</v>
      </c>
      <c r="P28" s="271" t="s">
        <v>255</v>
      </c>
      <c r="Q28" s="375">
        <f>SUMIFS('C1'!$P:$P,'C1'!$AA:$AA,"&gt;="&amp;$B$1,'C1'!$AA:$AA,"&lt;"&amp;$N$1,'C1'!$R:$R,"NEW",'C1'!$L:$L,'PCA SUMMARY'!P28)</f>
        <v>6524.3900000000021</v>
      </c>
      <c r="R28" s="381">
        <f>SUMIFS('C1'!$P:$P,'C1'!$AA:$AA,"&gt;="&amp;$R$8,'C1'!$AA:$AA,"&lt;"&amp;$R$9,'C1'!$R:$R,"NEW",'C1'!$L:$L,'PCA SUMMARY'!P28)</f>
        <v>3.52</v>
      </c>
    </row>
    <row r="29" spans="1:40" x14ac:dyDescent="0.25">
      <c r="G29" s="881"/>
      <c r="H29" s="881"/>
      <c r="I29" s="1005"/>
      <c r="P29" s="271" t="s">
        <v>288</v>
      </c>
      <c r="Q29" s="375">
        <f>SUMIFS('C1'!$P:$P,'C1'!$AA:$AA,"&gt;="&amp;$B$1,'C1'!$AA:$AA,"&lt;"&amp;$N$1,'C1'!$R:$R,"NEW",'C1'!$L:$L,'PCA SUMMARY'!P29)</f>
        <v>21088.770000000004</v>
      </c>
      <c r="R29" s="381">
        <f>SUMIFS('C1'!$P:$P,'C1'!$AA:$AA,"&gt;="&amp;$R$8,'C1'!$AA:$AA,"&lt;"&amp;$R$9,'C1'!$R:$R,"NEW",'C1'!$L:$L,'PCA SUMMARY'!P29)</f>
        <v>974.3</v>
      </c>
    </row>
    <row r="30" spans="1:40" x14ac:dyDescent="0.25">
      <c r="A30" s="264" t="s">
        <v>4150</v>
      </c>
      <c r="B30" s="284" t="s">
        <v>4097</v>
      </c>
      <c r="C30" s="284" t="s">
        <v>4098</v>
      </c>
      <c r="D30" s="284" t="s">
        <v>4099</v>
      </c>
      <c r="E30" s="284" t="s">
        <v>4100</v>
      </c>
      <c r="F30" s="284" t="s">
        <v>4101</v>
      </c>
      <c r="G30" s="284" t="s">
        <v>4102</v>
      </c>
      <c r="H30" s="284" t="s">
        <v>4103</v>
      </c>
      <c r="I30" s="284" t="s">
        <v>4104</v>
      </c>
      <c r="J30" s="284" t="s">
        <v>4105</v>
      </c>
      <c r="K30" s="284" t="s">
        <v>4106</v>
      </c>
      <c r="L30" s="284" t="s">
        <v>4107</v>
      </c>
      <c r="M30" s="284" t="s">
        <v>4108</v>
      </c>
      <c r="N30" s="292" t="s">
        <v>4109</v>
      </c>
      <c r="P30" s="271" t="s">
        <v>1945</v>
      </c>
      <c r="Q30" s="375">
        <f>SUMIFS('C1'!$P:$P,'C1'!$AA:$AA,"&gt;="&amp;$B$1,'C1'!$AA:$AA,"&lt;"&amp;$N$1,'C1'!$R:$R,"NEW",'C1'!$L:$L,'PCA SUMMARY'!P30)</f>
        <v>555.2399999999999</v>
      </c>
      <c r="R30" s="381">
        <f>SUMIFS('C1'!$P:$P,'C1'!$AA:$AA,"&gt;="&amp;$R$8,'C1'!$AA:$AA,"&lt;"&amp;$R$9,'C1'!$R:$R,"NEW",'C1'!$L:$L,'PCA SUMMARY'!P30)</f>
        <v>43.129999999999995</v>
      </c>
    </row>
    <row r="31" spans="1:40" x14ac:dyDescent="0.25">
      <c r="A31" s="1037" t="s">
        <v>4149</v>
      </c>
      <c r="B31" s="1036">
        <f>SUMIFS('C1'!$O:$O,'C1'!$AA:$AA,"&gt;="&amp;B1,'C1'!$AA:$AA,"&lt;"&amp;C1,'C1'!$CL:$CL,"NON-REV")</f>
        <v>2004.4837000000005</v>
      </c>
      <c r="C31" s="1036">
        <f>SUMIFS('C1'!$O:$O,'C1'!$AA:$AA,"&gt;="&amp;C1,'C1'!$AA:$AA,"&lt;"&amp;D1,'C1'!$CL:$CL,"NON-REV")</f>
        <v>1492.70775</v>
      </c>
      <c r="D31" s="1036">
        <f>SUMIFS('C1'!$O:$O,'C1'!$AA:$AA,"&gt;="&amp;D1,'C1'!$AA:$AA,"&lt;"&amp;E1,'C1'!$CL:$CL,"NON-REV")</f>
        <v>2510.7688999999996</v>
      </c>
      <c r="E31" s="1036">
        <f>SUMIFS('C1'!$O:$O,'C1'!$AA:$AA,"&gt;="&amp;E1,'C1'!$AA:$AA,"&lt;"&amp;F1,'C1'!$CL:$CL,"NON-REV")</f>
        <v>4141.7967499999995</v>
      </c>
      <c r="F31" s="1036">
        <f>SUMIFS('C1'!$O:$O,'C1'!$AA:$AA,"&gt;="&amp;F1,'C1'!$AA:$AA,"&lt;"&amp;G1,'C1'!$CL:$CL,"NON-REV")</f>
        <v>2288.5398999999998</v>
      </c>
      <c r="G31" s="1036">
        <f>SUMIFS('C1'!$O:$O,'C1'!$AA:$AA,"&gt;="&amp;G1,'C1'!$AA:$AA,"&lt;"&amp;H1,'C1'!$CL:$CL,"NON-REV")</f>
        <v>2477.6257999999998</v>
      </c>
      <c r="H31" s="1036">
        <f>SUMIFS('C1'!$O:$O,'C1'!$AA:$AA,"&gt;="&amp;H1,'C1'!$AA:$AA,"&lt;"&amp;I1,'C1'!$CL:$CL,"NON-REV")</f>
        <v>2456.1934999999989</v>
      </c>
      <c r="I31" s="1036">
        <f>SUMIFS('C1'!$O:$O,'C1'!$AA:$AA,"&gt;="&amp;I1,'C1'!$AA:$AA,"&lt;"&amp;J1,'C1'!$CL:$CL,"NON-REV")</f>
        <v>1318.2866999999999</v>
      </c>
      <c r="J31" s="1036">
        <f>SUMIFS('C1'!$O:$O,'C1'!$AA:$AA,"&gt;="&amp;J1,'C1'!$AA:$AA,"&lt;"&amp;K1,'C1'!$CL:$CL,"NON-REV")</f>
        <v>0</v>
      </c>
      <c r="K31" s="1036">
        <f>SUMIFS('C1'!$O:$O,'C1'!$AA:$AA,"&gt;="&amp;K1,'C1'!$AA:$AA,"&lt;"&amp;L1,'C1'!$CL:$CL,"NON-REV")</f>
        <v>0</v>
      </c>
      <c r="L31" s="1036">
        <f>SUMIFS('C1'!$O:$O,'C1'!$AA:$AA,"&gt;="&amp;L1,'C1'!$AA:$AA,"&lt;"&amp;M1,'C1'!$CL:$CL,"NON-REV")</f>
        <v>0</v>
      </c>
      <c r="M31" s="1036">
        <f>SUMIFS('C1'!$O:$O,'C1'!$AA:$AA,"&gt;="&amp;M1,'C1'!$AA:$AA,"&lt;"&amp;N1,'C1'!$CL:$CL,"NON-REV")</f>
        <v>0</v>
      </c>
      <c r="N31" s="145">
        <f>SUM(B31:M31)</f>
        <v>18690.402999999998</v>
      </c>
      <c r="P31" s="271" t="s">
        <v>1957</v>
      </c>
      <c r="Q31" s="375">
        <f>SUMIFS('C1'!$P:$P,'C1'!$AA:$AA,"&gt;="&amp;$B$1,'C1'!$AA:$AA,"&lt;"&amp;$N$1,'C1'!$R:$R,"NEW",'C1'!$L:$L,'PCA SUMMARY'!P31)</f>
        <v>1111.4100000000001</v>
      </c>
      <c r="R31" s="381">
        <f>SUMIFS('C1'!$P:$P,'C1'!$AA:$AA,"&gt;="&amp;$R$8,'C1'!$AA:$AA,"&lt;"&amp;$R$9,'C1'!$R:$R,"NEW",'C1'!$L:$L,'PCA SUMMARY'!P31)</f>
        <v>186.75</v>
      </c>
    </row>
    <row r="32" spans="1:40" x14ac:dyDescent="0.25">
      <c r="A32" t="s">
        <v>4132</v>
      </c>
      <c r="B32" s="436">
        <f>SUMIFS('C1'!$O:$O,'C1'!$W:$W,"&gt;="&amp;B1,'C1'!$W:$W,"&lt;"&amp;C1,'C1'!$CL:$CL,"NON-REV")</f>
        <v>1198.9237799999999</v>
      </c>
      <c r="C32" s="436">
        <f>SUMIFS('C1'!$O:$O,'C1'!$W:$W,"&gt;="&amp;C1,'C1'!$W:$W,"&lt;"&amp;D1,'C1'!$CL:$CL,"NON-REV")</f>
        <v>1952.8779999999995</v>
      </c>
      <c r="D32" s="436">
        <f>SUMIFS('C1'!$O:$O,'C1'!$W:$W,"&gt;="&amp;D1,'C1'!$W:$W,"&lt;"&amp;E1,'C1'!$CL:$CL,"NON-REV")</f>
        <v>2481.8006999999993</v>
      </c>
      <c r="E32" s="436">
        <f>SUMIFS('C1'!$O:$O,'C1'!$W:$W,"&gt;="&amp;E1,'C1'!$W:$W,"&lt;"&amp;F1,'C1'!$CL:$CL,"NON-REV")</f>
        <v>1943.7780999999998</v>
      </c>
      <c r="F32" s="436">
        <f>SUMIFS('C1'!$O:$O,'C1'!$W:$W,"&gt;="&amp;F1,'C1'!$W:$W,"&lt;"&amp;G1,'C1'!$CL:$CL,"NON-REV")</f>
        <v>4684.8493999999992</v>
      </c>
      <c r="G32" s="436">
        <f>SUMIFS('C1'!$O:$O,'C1'!$W:$W,"&gt;="&amp;G1,'C1'!$W:$W,"&lt;"&amp;H1,'C1'!$CL:$CL,"NON-REV")</f>
        <v>3027.4186999999993</v>
      </c>
      <c r="H32" s="436">
        <f>SUMIFS('C1'!$O:$O,'C1'!$W:$W,"&gt;="&amp;H1,'C1'!$W:$W,"&lt;"&amp;I1,'C1'!$CL:$CL,"NON-REV")</f>
        <v>3053.9300000000003</v>
      </c>
      <c r="I32" s="436">
        <f>SUMIFS('C1'!$O:$O,'C1'!$W:$W,"&gt;="&amp;I1,'C1'!$W:$W,"&lt;"&amp;J1,'C1'!$CL:$CL,"NON-REV")</f>
        <v>138.75</v>
      </c>
      <c r="J32" s="436">
        <f>SUMIFS('C1'!$O:$O,'C1'!$W:$W,"&gt;="&amp;J1,'C1'!$W:$W,"&lt;"&amp;K1,'C1'!$CL:$CL,"NON-REV")</f>
        <v>0</v>
      </c>
      <c r="K32" s="436">
        <f>SUMIFS('C1'!$O:$O,'C1'!$W:$W,"&gt;="&amp;K1,'C1'!$W:$W,"&lt;"&amp;L1,'C1'!$CL:$CL,"NON-REV")</f>
        <v>0</v>
      </c>
      <c r="L32" s="436">
        <f>SUMIFS('C1'!$O:$O,'C1'!$W:$W,"&gt;="&amp;L1,'C1'!$W:$W,"&lt;"&amp;M1,'C1'!$CL:$CL,"NON-REV")</f>
        <v>0</v>
      </c>
      <c r="M32" s="436">
        <f>SUMIFS('C1'!$O:$O,'C1'!$W:$W,"&gt;="&amp;M1,'C1'!$W:$W,"&lt;"&amp;N1,'C1'!$CL:$CL,"NON-REV")</f>
        <v>0</v>
      </c>
      <c r="N32" s="145">
        <f>SUM(B32:M32)</f>
        <v>18482.328679999995</v>
      </c>
      <c r="P32" s="425" t="s">
        <v>312</v>
      </c>
      <c r="Q32" s="375">
        <f>SUMIFS('C1'!$P:$P,'C1'!$AA:$AA,"&gt;="&amp;$B$1,'C1'!$AA:$AA,"&lt;"&amp;$N$1,'C1'!$R:$R,"NEW",'C1'!$L:$L,'PCA SUMMARY'!P32)</f>
        <v>725.82999999999993</v>
      </c>
      <c r="R32" s="381">
        <f>SUMIFS('C1'!$P:$P,'C1'!$AA:$AA,"&gt;="&amp;$R$8,'C1'!$AA:$AA,"&lt;"&amp;$R$9,'C1'!$R:$R,"NEW",'C1'!$L:$L,'PCA SUMMARY'!P32)</f>
        <v>0</v>
      </c>
    </row>
    <row r="33" spans="1:35" x14ac:dyDescent="0.25">
      <c r="A33" t="s">
        <v>4151</v>
      </c>
      <c r="B33">
        <f>COUNTIFS('C1'!$W:$W,"&gt;="&amp;B1,'C1'!$W:$W,"&lt;"&amp;C1,'C1'!$CL:$CL,"NON-REV")</f>
        <v>18</v>
      </c>
      <c r="C33">
        <f>COUNTIFS('C1'!$W:$W,"&gt;="&amp;C1,'C1'!$W:$W,"&lt;"&amp;D1,'C1'!$CL:$CL,"NON-REV")</f>
        <v>24</v>
      </c>
      <c r="D33">
        <f>COUNTIFS('C1'!$W:$W,"&gt;="&amp;D1,'C1'!$W:$W,"&lt;"&amp;E1,'C1'!$CL:$CL,"NON-REV")</f>
        <v>30</v>
      </c>
      <c r="E33">
        <f>COUNTIFS('C1'!$W:$W,"&gt;="&amp;E1,'C1'!$W:$W,"&lt;"&amp;F1,'C1'!$CL:$CL,"NON-REV")</f>
        <v>33</v>
      </c>
      <c r="F33">
        <f>COUNTIFS('C1'!$W:$W,"&gt;="&amp;F1,'C1'!$W:$W,"&lt;"&amp;G1,'C1'!$CL:$CL,"NON-REV")</f>
        <v>25</v>
      </c>
      <c r="G33">
        <f>COUNTIFS('C1'!$W:$W,"&gt;="&amp;G1,'C1'!$W:$W,"&lt;"&amp;H1,'C1'!$CL:$CL,"NON-REV")</f>
        <v>29</v>
      </c>
      <c r="H33">
        <f>COUNTIFS('C1'!$W:$W,"&gt;="&amp;H1,'C1'!$W:$W,"&lt;"&amp;I1,'C1'!$CL:$CL,"NON-REV")</f>
        <v>30</v>
      </c>
      <c r="I33">
        <f>COUNTIFS('C1'!$W:$W,"&gt;="&amp;I1,'C1'!$W:$W,"&lt;"&amp;J1,'C1'!$CL:$CL,"NON-REV")</f>
        <v>2</v>
      </c>
      <c r="J33">
        <f>COUNTIFS('C1'!$W:$W,"&gt;="&amp;J1,'C1'!$W:$W,"&lt;"&amp;K1,'C1'!$CL:$CL,"NON-REV")</f>
        <v>0</v>
      </c>
      <c r="K33">
        <f>COUNTIFS('C1'!$W:$W,"&gt;="&amp;K1,'C1'!$W:$W,"&lt;"&amp;L1,'C1'!$CL:$CL,"NON-REV")</f>
        <v>0</v>
      </c>
      <c r="L33">
        <f>COUNTIFS('C1'!$W:$W,"&gt;="&amp;L1,'C1'!$W:$W,"&lt;"&amp;M1,'C1'!$CL:$CL,"NON-REV")</f>
        <v>0</v>
      </c>
      <c r="M33">
        <f>COUNTIFS('C1'!$W:$W,"&gt;="&amp;M1,'C1'!$W:$W,"&lt;"&amp;N1,'C1'!$CL:$CL,"NON-REV")</f>
        <v>0</v>
      </c>
      <c r="P33" s="372" t="s">
        <v>4109</v>
      </c>
      <c r="Q33" s="376">
        <f>SUM(Q25:Q32)</f>
        <v>64259.760000000009</v>
      </c>
      <c r="R33" s="382">
        <f>SUM(R25:R32)</f>
        <v>3064.49</v>
      </c>
    </row>
    <row r="35" spans="1:35" x14ac:dyDescent="0.25">
      <c r="A35" s="366"/>
      <c r="C35" s="437"/>
      <c r="D35" s="437"/>
      <c r="P35" s="264" t="s">
        <v>4152</v>
      </c>
      <c r="R35" s="264" t="s">
        <v>4153</v>
      </c>
      <c r="U35" s="1180" t="s">
        <v>4154</v>
      </c>
      <c r="V35" s="1180"/>
      <c r="W35" s="1180" t="s">
        <v>4155</v>
      </c>
      <c r="X35" s="1180"/>
    </row>
    <row r="36" spans="1:35" ht="30" x14ac:dyDescent="0.25">
      <c r="C36" s="436"/>
      <c r="P36" s="366" t="s">
        <v>4156</v>
      </c>
      <c r="Q36" s="362" t="s">
        <v>4157</v>
      </c>
      <c r="R36" s="362" t="s">
        <v>4158</v>
      </c>
      <c r="S36" s="362" t="s">
        <v>164</v>
      </c>
      <c r="U36" s="362" t="s">
        <v>4157</v>
      </c>
      <c r="V36" s="362" t="s">
        <v>4159</v>
      </c>
      <c r="W36" s="362" t="s">
        <v>4157</v>
      </c>
      <c r="X36" s="362" t="s">
        <v>4160</v>
      </c>
      <c r="AF36" s="366" t="s">
        <v>4161</v>
      </c>
      <c r="AG36" s="362" t="s">
        <v>4157</v>
      </c>
      <c r="AH36" s="362" t="s">
        <v>4162</v>
      </c>
      <c r="AI36" s="362" t="s">
        <v>164</v>
      </c>
    </row>
    <row r="37" spans="1:35" x14ac:dyDescent="0.25">
      <c r="C37" s="145"/>
      <c r="P37" t="s">
        <v>320</v>
      </c>
      <c r="Q37">
        <f>COUNTIFS('C1'!$AA:$AA,"",'C1'!D:D,'PCA SUMMARY'!P37)</f>
        <v>162</v>
      </c>
      <c r="R37" s="145">
        <f>SUMIFS('C1'!$O:$O,'C1'!$AA:$AA,"",'C1'!D:D,'PCA SUMMARY'!P37)</f>
        <v>20542.069169999995</v>
      </c>
      <c r="S37" s="145">
        <f>SUMIFS('C1'!Q:Q,'C1'!$AA:$AA,"",'C1'!D:D,'PCA SUMMARY'!P37)</f>
        <v>9002.8499999999985</v>
      </c>
      <c r="U37" s="23">
        <f>COUNTIFS('C1'!$AA:$AA,"",'C1'!D:D,'PCA SUMMARY'!P37,'C1'!$R:$R,"NEW")</f>
        <v>71</v>
      </c>
      <c r="V37" s="145">
        <f>SUMIFS('C1'!$O:$O,'C1'!$AA:$AA,"",'C1'!$R:$R,"NEW",'C1'!$D:$D,'PCA SUMMARY'!P37)</f>
        <v>11682.004839999992</v>
      </c>
      <c r="W37" s="23">
        <f t="shared" ref="W37:X41" si="7">Q37-U37</f>
        <v>91</v>
      </c>
      <c r="X37" s="261">
        <f t="shared" si="7"/>
        <v>8860.0643300000029</v>
      </c>
      <c r="AF37" t="s">
        <v>320</v>
      </c>
      <c r="AG37">
        <f>COUNTIFS('C1'!$AA:$AA,"&gt;="&amp;$B$1,'C1'!$AA:$AA,"&lt;"&amp;$C$1,'C1'!D:D,'PCA SUMMARY'!AF37)</f>
        <v>27</v>
      </c>
      <c r="AH37" s="145">
        <f>SUMIFS('C1'!$P:$P,'C1'!$AA:$AA,"&gt;="&amp;$B$1,'C1'!$AA:$AA,"&lt;"&amp;$C$1,'C1'!D:D,'PCA SUMMARY'!AF37)</f>
        <v>4807.2699999999995</v>
      </c>
      <c r="AI37" s="145">
        <f>SUMIFS('C1'!Q:Q,'C1'!$AA:$AA,"&gt;="&amp;$B$1,'C1'!$AA:$AA,"&lt;"&amp;$C$1,'C1'!D:D,'PCA SUMMARY'!AF37)</f>
        <v>3066.8</v>
      </c>
    </row>
    <row r="38" spans="1:35" x14ac:dyDescent="0.25">
      <c r="C38" s="145"/>
      <c r="P38" t="s">
        <v>284</v>
      </c>
      <c r="Q38">
        <f>COUNTIFS('C1'!$AA:$AA,"",'C1'!D:D,'PCA SUMMARY'!P38)</f>
        <v>52</v>
      </c>
      <c r="R38" s="145">
        <f>SUMIFS('C1'!$O:$O,'C1'!$AA:$AA,"",'C1'!D:D,'PCA SUMMARY'!P38)</f>
        <v>4455.6996000000008</v>
      </c>
      <c r="S38" s="145">
        <f>SUMIFS('C1'!Q:Q,'C1'!$AA:$AA,"",'C1'!D:D,'PCA SUMMARY'!P38)</f>
        <v>4833</v>
      </c>
      <c r="U38" s="23">
        <f>COUNTIFS('C1'!$AA:$AA,"",'C1'!D:D,'PCA SUMMARY'!P38,'C1'!$R:$R,"NEW")</f>
        <v>32</v>
      </c>
      <c r="V38" s="145">
        <f>SUMIFS('C1'!$O:$O,'C1'!$AA:$AA,"",'C1'!$R:$R,"NEW",'C1'!$D:$D,'PCA SUMMARY'!P38)</f>
        <v>3450.8335999999995</v>
      </c>
      <c r="W38" s="23">
        <f t="shared" si="7"/>
        <v>20</v>
      </c>
      <c r="X38" s="261">
        <f t="shared" si="7"/>
        <v>1004.8660000000013</v>
      </c>
      <c r="AF38" t="s">
        <v>284</v>
      </c>
      <c r="AG38">
        <f>COUNTIFS('C1'!$AA:$AA,"&gt;="&amp;$B$1,'C1'!$AA:$AA,"&lt;"&amp;$C$1,'C1'!D:D,'PCA SUMMARY'!AF38)</f>
        <v>18</v>
      </c>
      <c r="AH38" s="145">
        <f>SUMIFS('C1'!$P:$P,'C1'!$AA:$AA,"&gt;="&amp;$B$1,'C1'!$AA:$AA,"&lt;"&amp;$C$1,'C1'!D:D,'PCA SUMMARY'!AF38)</f>
        <v>1763.0200000000002</v>
      </c>
      <c r="AI38" s="145">
        <f>SUMIFS('C1'!Q:Q,'C1'!$AA:$AA,"&gt;="&amp;$B$1,'C1'!$AA:$AA,"&lt;"&amp;$C$1,'C1'!D:D,'PCA SUMMARY'!AF38)</f>
        <v>1613</v>
      </c>
    </row>
    <row r="39" spans="1:35" x14ac:dyDescent="0.25">
      <c r="C39" s="145"/>
      <c r="P39" t="s">
        <v>234</v>
      </c>
      <c r="Q39">
        <f>COUNTIFS('C1'!$AA:$AA,"",'C1'!D:D,'PCA SUMMARY'!P39)</f>
        <v>37</v>
      </c>
      <c r="R39" s="145">
        <f>SUMIFS('C1'!$O:$O,'C1'!$AA:$AA,"",'C1'!D:D,'PCA SUMMARY'!P39)</f>
        <v>4456.5152000000007</v>
      </c>
      <c r="S39" s="145">
        <f>SUMIFS('C1'!Q:Q,'C1'!$AA:$AA,"",'C1'!D:D,'PCA SUMMARY'!P39)</f>
        <v>7686</v>
      </c>
      <c r="U39" s="23">
        <f>COUNTIFS('C1'!$AA:$AA,"",'C1'!D:D,'PCA SUMMARY'!P39,'C1'!$R:$R,"NEW")</f>
        <v>24</v>
      </c>
      <c r="V39" s="145">
        <f>SUMIFS('C1'!$O:$O,'C1'!$AA:$AA,"",'C1'!$R:$R,"NEW",'C1'!$D:$D,'PCA SUMMARY'!P39)</f>
        <v>2256.0043000000001</v>
      </c>
      <c r="W39" s="23">
        <f t="shared" si="7"/>
        <v>13</v>
      </c>
      <c r="X39" s="261">
        <f t="shared" si="7"/>
        <v>2200.5109000000007</v>
      </c>
      <c r="AF39" t="s">
        <v>234</v>
      </c>
      <c r="AG39">
        <f>COUNTIFS('C1'!$AA:$AA,"&gt;="&amp;$B$1,'C1'!$AA:$AA,"&lt;"&amp;$C$1,'C1'!D:D,'PCA SUMMARY'!AF39)</f>
        <v>17</v>
      </c>
      <c r="AH39" s="145">
        <f>SUMIFS('C1'!$P:$P,'C1'!$AA:$AA,"&gt;="&amp;$B$1,'C1'!$AA:$AA,"&lt;"&amp;$C$1,'C1'!D:D,'PCA SUMMARY'!AF39)</f>
        <v>5810.31</v>
      </c>
      <c r="AI39" s="145">
        <f>SUMIFS('C1'!Q:Q,'C1'!$AA:$AA,"&gt;="&amp;$B$1,'C1'!$AA:$AA,"&lt;"&amp;$C$1,'C1'!D:D,'PCA SUMMARY'!AF39)</f>
        <v>4210</v>
      </c>
    </row>
    <row r="40" spans="1:35" x14ac:dyDescent="0.25">
      <c r="C40" s="145"/>
      <c r="P40" s="515" t="s">
        <v>361</v>
      </c>
      <c r="Q40" s="515">
        <f>COUNTIFS('C1'!$AA:$AA,"",'C1'!D:D,'PCA SUMMARY'!P40)</f>
        <v>44</v>
      </c>
      <c r="R40" s="516">
        <f>SUMIFS('C1'!$O:$O,'C1'!$AA:$AA,"",'C1'!D:D,'PCA SUMMARY'!P40)</f>
        <v>4953.7996999999996</v>
      </c>
      <c r="S40" s="516">
        <f>SUMIFS('C1'!Q:Q,'C1'!$AA:$AA,"",'C1'!D:D,'PCA SUMMARY'!P40)</f>
        <v>0</v>
      </c>
      <c r="T40" s="515"/>
      <c r="U40" s="517">
        <f>COUNTIFS('C1'!$AA:$AA,"",'C1'!D:D,'PCA SUMMARY'!P40,'C1'!$R:$R,"NEW")</f>
        <v>0</v>
      </c>
      <c r="V40" s="516">
        <f>SUMIFS('C1'!$O:$O,'C1'!$AA:$AA,"",'C1'!$R:$R,"NEW",'C1'!$D:$D,'PCA SUMMARY'!P40)</f>
        <v>0</v>
      </c>
      <c r="W40" s="517">
        <f t="shared" si="7"/>
        <v>44</v>
      </c>
      <c r="X40" s="518">
        <f t="shared" si="7"/>
        <v>4953.7996999999996</v>
      </c>
      <c r="AF40" t="s">
        <v>361</v>
      </c>
      <c r="AG40">
        <f>COUNTIFS('C1'!$AA:$AA,"&gt;="&amp;$B$1,'C1'!$AA:$AA,"&lt;"&amp;$C$1,'C1'!D:D,'PCA SUMMARY'!AF40)</f>
        <v>1</v>
      </c>
      <c r="AH40" s="145">
        <f>SUMIFS('C1'!$P:$P,'C1'!$AA:$AA,"&gt;="&amp;$B$1,'C1'!$AA:$AA,"&lt;"&amp;$C$1,'C1'!D:D,'PCA SUMMARY'!AF40)</f>
        <v>45.82</v>
      </c>
      <c r="AI40" s="145">
        <f>SUMIFS('C1'!Q:Q,'C1'!$AA:$AA,"&gt;="&amp;$B$1,'C1'!$AA:$AA,"&lt;"&amp;$C$1,'C1'!D:D,'PCA SUMMARY'!AF40)</f>
        <v>0</v>
      </c>
    </row>
    <row r="41" spans="1:35" x14ac:dyDescent="0.25">
      <c r="A41" s="264"/>
      <c r="B41" s="264"/>
      <c r="C41" s="363"/>
      <c r="P41" t="s">
        <v>513</v>
      </c>
      <c r="Q41">
        <f>COUNTIFS('C1'!$AA:$AA,"",'C1'!D:D,'PCA SUMMARY'!P41)</f>
        <v>2</v>
      </c>
      <c r="R41" s="145">
        <f>SUMIFS('C1'!$O:$O,'C1'!$AA:$AA,"",'C1'!D:D,'PCA SUMMARY'!P41)</f>
        <v>1850.944399999998</v>
      </c>
      <c r="S41" s="145">
        <f>SUMIFS('C1'!Q:Q,'C1'!$AA:$AA,"",'C1'!D:D,'PCA SUMMARY'!P41)</f>
        <v>0</v>
      </c>
      <c r="U41" s="23">
        <f>COUNTIFS('C1'!$AA:$AA,"",'C1'!D:D,'PCA SUMMARY'!P41,'C1'!$R:$R,"NEW")</f>
        <v>0</v>
      </c>
      <c r="V41" s="145">
        <f>SUMIFS('C1'!$O:$O,'C1'!$AA:$AA,"",'C1'!$R:$R,"NEW",'C1'!$D:$D,'PCA SUMMARY'!P41)</f>
        <v>0</v>
      </c>
      <c r="W41" s="23">
        <f t="shared" si="7"/>
        <v>2</v>
      </c>
      <c r="X41" s="261">
        <f t="shared" si="7"/>
        <v>1850.944399999998</v>
      </c>
      <c r="AF41" s="264" t="s">
        <v>4109</v>
      </c>
      <c r="AG41" s="264">
        <f>SUM(AG37:AG40)</f>
        <v>63</v>
      </c>
      <c r="AH41" s="363">
        <f>SUM(AH37:AH40)</f>
        <v>12426.42</v>
      </c>
      <c r="AI41" s="363">
        <f>SUM(AI37:AI40)</f>
        <v>8889.7999999999993</v>
      </c>
    </row>
    <row r="42" spans="1:35" x14ac:dyDescent="0.25">
      <c r="P42" s="264" t="s">
        <v>4109</v>
      </c>
      <c r="Q42" s="264">
        <f>SUM(Q37:Q39)+Q41</f>
        <v>253</v>
      </c>
      <c r="R42" s="363">
        <f t="shared" ref="R42:S42" si="8">SUM(R37:R39)+R41</f>
        <v>31305.228369999993</v>
      </c>
      <c r="S42" s="363">
        <f t="shared" si="8"/>
        <v>21521.85</v>
      </c>
      <c r="U42" s="433">
        <f>SUM(U37:U39)</f>
        <v>127</v>
      </c>
      <c r="V42" s="438">
        <f>SUM(V37:V39)</f>
        <v>17388.842739999993</v>
      </c>
      <c r="W42" s="433">
        <f>SUM(W37:W39)+W41</f>
        <v>126</v>
      </c>
      <c r="X42" s="438">
        <f>SUM(X37:X39)+X41</f>
        <v>13916.385630000004</v>
      </c>
    </row>
    <row r="43" spans="1:35" x14ac:dyDescent="0.25">
      <c r="R43" s="261"/>
      <c r="AF43" s="65" t="s">
        <v>4163</v>
      </c>
    </row>
    <row r="44" spans="1:35" x14ac:dyDescent="0.25">
      <c r="AF44" s="377" t="s">
        <v>4110</v>
      </c>
      <c r="AG44" s="378" t="s">
        <v>4164</v>
      </c>
      <c r="AH44" s="378" t="s">
        <v>4165</v>
      </c>
      <c r="AI44" s="367" t="s">
        <v>4109</v>
      </c>
    </row>
    <row r="45" spans="1:35" ht="15" customHeight="1" x14ac:dyDescent="0.25">
      <c r="AF45" s="271" t="s">
        <v>263</v>
      </c>
      <c r="AG45" s="280">
        <f>COUNTIFS('C1'!$AA:$AA,"&gt;="&amp;$B$1,'C1'!$AA:$AA,"&lt;"&amp;$N$1,'C1'!$R:$R,"NEW",'C1'!$L:$L,'PCA SUMMARY'!AF45)+COUNTIFS('C1'!$AA:$AA,"&gt;="&amp;$B$1,'C1'!$AA:$AA,"&lt;"&amp;$C$1,'C1'!$R:$R,"TEMPORARY",'C1'!$L:$L,'PCA SUMMARY'!P11)</f>
        <v>54</v>
      </c>
      <c r="AH45" s="280">
        <f>COUNTIFS('C1'!$AA:$AA,"&gt;="&amp;$B$1,'C1'!$AA:$AA,"&lt;"&amp;$N$1,'C1'!$R:$R,"&lt;&gt;NEW",'C1'!$L:$L,'PCA SUMMARY'!AF45)</f>
        <v>31</v>
      </c>
      <c r="AI45" s="280">
        <f>SUM(AG45:AH45)</f>
        <v>85</v>
      </c>
    </row>
    <row r="46" spans="1:35" ht="30" x14ac:dyDescent="0.25">
      <c r="P46" s="366" t="s">
        <v>4166</v>
      </c>
      <c r="Q46" s="264" t="s">
        <v>4153</v>
      </c>
      <c r="T46" s="1181" t="s">
        <v>4167</v>
      </c>
      <c r="U46" s="1181"/>
      <c r="V46" s="1181" t="s">
        <v>4168</v>
      </c>
      <c r="W46" s="1181"/>
      <c r="X46" s="1181" t="s">
        <v>4169</v>
      </c>
      <c r="Y46" s="1181"/>
      <c r="AF46" s="271" t="s">
        <v>5</v>
      </c>
      <c r="AG46" s="280">
        <f>COUNTIFS('C1'!$AA:$AA,"&gt;="&amp;$B$1,'C1'!$AA:$AA,"&lt;"&amp;$N$1,'C1'!$R:$R,"NEW",'C1'!$L:$L,'PCA SUMMARY'!AF46)+COUNTIFS('C1'!$AA:$AA,"&gt;="&amp;$B$1,'C1'!$AA:$AA,"&lt;"&amp;$C$1,'C1'!$R:$R,"TEMPORARY",'C1'!$L:$L,'PCA SUMMARY'!P12)</f>
        <v>76</v>
      </c>
      <c r="AH46" s="280">
        <f>COUNTIFS('C1'!$AA:$AA,"&gt;="&amp;$B$1,'C1'!$AA:$AA,"&lt;"&amp;$N$1,'C1'!$R:$R,"&lt;&gt;NEW",'C1'!$L:$L,'PCA SUMMARY'!AF46)</f>
        <v>44</v>
      </c>
      <c r="AI46" s="280">
        <f t="shared" ref="AI46:AI51" si="9">SUM(AG46:AH46)</f>
        <v>120</v>
      </c>
    </row>
    <row r="47" spans="1:35" ht="18.75" x14ac:dyDescent="0.25">
      <c r="P47" s="1194" t="s">
        <v>4110</v>
      </c>
      <c r="Q47" s="1196" t="s">
        <v>4109</v>
      </c>
      <c r="R47" s="1197"/>
      <c r="S47" s="426"/>
      <c r="T47" s="1182" t="s">
        <v>4170</v>
      </c>
      <c r="U47" s="1182"/>
      <c r="V47" s="1182" t="s">
        <v>4171</v>
      </c>
      <c r="W47" s="1182"/>
      <c r="X47" s="1182" t="s">
        <v>4172</v>
      </c>
      <c r="Y47" s="1182"/>
      <c r="AF47" s="271" t="s">
        <v>242</v>
      </c>
      <c r="AG47" s="280">
        <f>COUNTIFS('C1'!$AA:$AA,"&gt;="&amp;$B$1,'C1'!$AA:$AA,"&lt;"&amp;$N$1,'C1'!$R:$R,"NEW",'C1'!$L:$L,'PCA SUMMARY'!AF47)+COUNTIFS('C1'!$AA:$AA,"&gt;="&amp;$B$1,'C1'!$AA:$AA,"&lt;"&amp;$C$1,'C1'!$R:$R,"TEMPORARY",'C1'!$L:$L,'PCA SUMMARY'!P13)</f>
        <v>42</v>
      </c>
      <c r="AH47" s="280">
        <f>COUNTIFS('C1'!$AA:$AA,"&gt;="&amp;$B$1,'C1'!$AA:$AA,"&lt;"&amp;$N$1,'C1'!$R:$R,"&lt;&gt;NEW",'C1'!$L:$L,'PCA SUMMARY'!AF47)</f>
        <v>35</v>
      </c>
      <c r="AI47" s="280">
        <f t="shared" si="9"/>
        <v>77</v>
      </c>
    </row>
    <row r="48" spans="1:35" ht="15.75" x14ac:dyDescent="0.25">
      <c r="P48" s="1195"/>
      <c r="Q48" s="457" t="s">
        <v>4173</v>
      </c>
      <c r="R48" s="427" t="s">
        <v>4174</v>
      </c>
      <c r="S48" s="426"/>
      <c r="T48" s="427" t="s">
        <v>4173</v>
      </c>
      <c r="U48" s="427" t="s">
        <v>4174</v>
      </c>
      <c r="V48" s="427" t="s">
        <v>4173</v>
      </c>
      <c r="W48" s="427" t="s">
        <v>4174</v>
      </c>
      <c r="X48" s="427" t="s">
        <v>4173</v>
      </c>
      <c r="Y48" s="427" t="s">
        <v>4174</v>
      </c>
      <c r="Z48" s="432" t="s">
        <v>4175</v>
      </c>
      <c r="AA48" s="90"/>
      <c r="AB48" s="90"/>
      <c r="AF48" s="271" t="s">
        <v>255</v>
      </c>
      <c r="AG48" s="280">
        <f>COUNTIFS('C1'!$AA:$AA,"&gt;="&amp;$B$1,'C1'!$AA:$AA,"&lt;"&amp;$N$1,'C1'!$R:$R,"NEW",'C1'!$L:$L,'PCA SUMMARY'!AF48)+COUNTIFS('C1'!$AA:$AA,"&gt;="&amp;$B$1,'C1'!$AA:$AA,"&lt;"&amp;$C$1,'C1'!$R:$R,"TEMPORARY",'C1'!$L:$L,'PCA SUMMARY'!P14)</f>
        <v>52</v>
      </c>
      <c r="AH48" s="280">
        <f>COUNTIFS('C1'!$AA:$AA,"&gt;="&amp;$B$1,'C1'!$AA:$AA,"&lt;"&amp;$N$1,'C1'!$R:$R,"&lt;&gt;NEW",'C1'!$L:$L,'PCA SUMMARY'!AF48)</f>
        <v>26</v>
      </c>
      <c r="AI48" s="280">
        <f t="shared" si="9"/>
        <v>78</v>
      </c>
    </row>
    <row r="49" spans="1:36" x14ac:dyDescent="0.25">
      <c r="P49" s="271" t="s">
        <v>263</v>
      </c>
      <c r="Q49" s="280">
        <f>COUNTIFS('C1'!$AA:$AA,"",'C1'!$R:$R,"NEW",'C1'!$L:$L,'PCA SUMMARY'!P49)</f>
        <v>29</v>
      </c>
      <c r="R49" s="375">
        <f>SUMIFS('C1'!$O:$O,'C1'!$AA:$AA,"",'C1'!$R:$R,"NEW",'C1'!$L:$L,'PCA SUMMARY'!P49)</f>
        <v>5020.284560000001</v>
      </c>
      <c r="S49" s="628"/>
      <c r="T49" s="275">
        <f>COUNTIFS('C1'!$AA:$AA,"",'C1'!$R:$R,"NEW",'C1'!$L:$L,'PCA SUMMARY'!P49,'C1'!O:O,"&gt;500")</f>
        <v>1</v>
      </c>
      <c r="U49" s="375">
        <f>SUMIFS('C1'!$O:$O,'C1'!$AA:$AA,"",'C1'!$R:$R,"NEW",'C1'!$L:$L,'PCA SUMMARY'!P49,'C1'!$O:$O,"&gt;500")</f>
        <v>717.29960000000051</v>
      </c>
      <c r="V49" s="275">
        <f>COUNTIFS('C1'!$AA:$AA,"",'C1'!$R:$R,"NEW",'C1'!$L:$L,'PCA SUMMARY'!P49,'C1'!O:O,"&gt;100",'C1'!O:O,"&lt;500")</f>
        <v>13</v>
      </c>
      <c r="W49" s="375">
        <f>SUMIFS('C1'!$O:$O,'C1'!$AA:$AA,"",'C1'!$R:$R,"NEW",'C1'!$L:$L,'PCA SUMMARY'!P49,'C1'!O:O,"&gt;100",'C1'!O:O,"&lt;500")</f>
        <v>3475.8675799999992</v>
      </c>
      <c r="X49" s="275">
        <f>COUNTIFS('C1'!$AA:$AA,"",'C1'!$R:$R,"NEW",'C1'!$L:$L,'PCA SUMMARY'!P49,'C1'!O:O,"&lt;=100")</f>
        <v>15</v>
      </c>
      <c r="Y49" s="375">
        <f>SUMIFS('C1'!$O:$O,'C1'!$AA:$AA,"",'C1'!$R:$R,"NEW",'C1'!$L:$L,'PCA SUMMARY'!P49,'C1'!O:O,"&lt;=100")</f>
        <v>827.11738000000003</v>
      </c>
      <c r="Z49" s="428">
        <f t="shared" ref="Z49:AA56" si="10">T49+V49+X49</f>
        <v>29</v>
      </c>
      <c r="AA49" s="429">
        <f t="shared" si="10"/>
        <v>5020.2845599999991</v>
      </c>
      <c r="AB49" s="429"/>
      <c r="AF49" s="271" t="s">
        <v>288</v>
      </c>
      <c r="AG49" s="280">
        <f>COUNTIFS('C1'!$AA:$AA,"&gt;="&amp;$B$1,'C1'!$AA:$AA,"&lt;"&amp;$N$1,'C1'!$R:$R,"NEW",'C1'!$L:$L,'PCA SUMMARY'!AF49)+COUNTIFS('C1'!$AA:$AA,"&gt;="&amp;$B$1,'C1'!$AA:$AA,"&lt;"&amp;$C$1,'C1'!$R:$R,"TEMPORARY",'C1'!$L:$L,'PCA SUMMARY'!P15)</f>
        <v>87</v>
      </c>
      <c r="AH49" s="280">
        <f>COUNTIFS('C1'!$AA:$AA,"&gt;="&amp;$B$1,'C1'!$AA:$AA,"&lt;"&amp;$N$1,'C1'!$R:$R,"&lt;&gt;NEW",'C1'!$L:$L,'PCA SUMMARY'!AF49)</f>
        <v>44</v>
      </c>
      <c r="AI49" s="280">
        <f t="shared" si="9"/>
        <v>131</v>
      </c>
    </row>
    <row r="50" spans="1:36" x14ac:dyDescent="0.25">
      <c r="P50" s="271" t="s">
        <v>5</v>
      </c>
      <c r="Q50" s="280">
        <f>COUNTIFS('C1'!$AA:$AA,"",'C1'!$R:$R,"NEW",'C1'!$L:$L,'PCA SUMMARY'!P50)</f>
        <v>11</v>
      </c>
      <c r="R50" s="375">
        <f>SUMIFS('C1'!$O:$O,'C1'!$AA:$AA,"",'C1'!$R:$R,"NEW",'C1'!$L:$L,'PCA SUMMARY'!P50)</f>
        <v>1277.2702999999999</v>
      </c>
      <c r="S50" s="628"/>
      <c r="T50" s="275">
        <f>COUNTIFS('C1'!$AA:$AA,"",'C1'!$R:$R,"NEW",'C1'!$L:$L,'PCA SUMMARY'!P50,'C1'!O:O,"&gt;500")</f>
        <v>0</v>
      </c>
      <c r="U50" s="375">
        <f>SUMIFS('C1'!$O:$O,'C1'!$AA:$AA,"",'C1'!$R:$R,"NEW",'C1'!$L:$L,'PCA SUMMARY'!P50,'C1'!$O:$O,"&gt;500")</f>
        <v>0</v>
      </c>
      <c r="V50" s="275">
        <f>COUNTIFS('C1'!$AA:$AA,"",'C1'!$R:$R,"NEW",'C1'!$L:$L,'PCA SUMMARY'!P50,'C1'!O:O,"&gt;100",'C1'!O:O,"&lt;500")</f>
        <v>4</v>
      </c>
      <c r="W50" s="375">
        <f>SUMIFS('C1'!$O:$O,'C1'!$AA:$AA,"",'C1'!$R:$R,"NEW",'C1'!$L:$L,'PCA SUMMARY'!P50,'C1'!O:O,"&gt;100",'C1'!O:O,"&lt;500")</f>
        <v>957.64830000000006</v>
      </c>
      <c r="X50" s="275">
        <f>COUNTIFS('C1'!$AA:$AA,"",'C1'!$R:$R,"NEW",'C1'!$L:$L,'PCA SUMMARY'!P50,'C1'!O:O,"&lt;=100")</f>
        <v>7</v>
      </c>
      <c r="Y50" s="375">
        <f>SUMIFS('C1'!$O:$O,'C1'!$AA:$AA,"",'C1'!$R:$R,"NEW",'C1'!$L:$L,'PCA SUMMARY'!P50,'C1'!O:O,"&lt;=100")</f>
        <v>319.62199999999996</v>
      </c>
      <c r="Z50" s="428">
        <f t="shared" si="10"/>
        <v>11</v>
      </c>
      <c r="AA50" s="429">
        <f t="shared" si="10"/>
        <v>1277.2703000000001</v>
      </c>
      <c r="AB50" s="429"/>
      <c r="AF50" s="271" t="s">
        <v>1945</v>
      </c>
      <c r="AG50" s="280">
        <f>COUNTIFS('C1'!$AA:$AA,"&gt;="&amp;$B$1,'C1'!$AA:$AA,"&lt;"&amp;$N$1,'C1'!$R:$R,"NEW",'C1'!$L:$L,'PCA SUMMARY'!AF50)+COUNTIFS('C1'!$AA:$AA,"&gt;="&amp;$B$1,'C1'!$AA:$AA,"&lt;"&amp;$C$1,'C1'!$R:$R,"TEMPORARY",'C1'!$L:$L,'PCA SUMMARY'!P16)</f>
        <v>24</v>
      </c>
      <c r="AH50" s="280">
        <f>COUNTIFS('C1'!$AA:$AA,"&gt;="&amp;$B$1,'C1'!$AA:$AA,"&lt;"&amp;$N$1,'C1'!$R:$R,"&lt;&gt;NEW",'C1'!$L:$L,'PCA SUMMARY'!AF50)</f>
        <v>5</v>
      </c>
      <c r="AI50" s="280">
        <f t="shared" si="9"/>
        <v>29</v>
      </c>
    </row>
    <row r="51" spans="1:36" x14ac:dyDescent="0.25">
      <c r="P51" s="271" t="s">
        <v>242</v>
      </c>
      <c r="Q51" s="280">
        <f>COUNTIFS('C1'!$AA:$AA,"",'C1'!$R:$R,"NEW",'C1'!$L:$L,'PCA SUMMARY'!P51)</f>
        <v>23</v>
      </c>
      <c r="R51" s="375">
        <f>SUMIFS('C1'!$O:$O,'C1'!$AA:$AA,"",'C1'!$R:$R,"NEW",'C1'!$L:$L,'PCA SUMMARY'!P51)</f>
        <v>4140.9135000000006</v>
      </c>
      <c r="S51" s="628"/>
      <c r="T51" s="275">
        <f>COUNTIFS('C1'!$AA:$AA,"",'C1'!$R:$R,"NEW",'C1'!$L:$L,'PCA SUMMARY'!P51,'C1'!O:O,"&gt;500")</f>
        <v>2</v>
      </c>
      <c r="U51" s="375">
        <f>SUMIFS('C1'!$O:$O,'C1'!$AA:$AA,"",'C1'!$R:$R,"NEW",'C1'!$L:$L,'PCA SUMMARY'!P51,'C1'!$O:$O,"&gt;500")</f>
        <v>1476.4863999999998</v>
      </c>
      <c r="V51" s="275">
        <f>COUNTIFS('C1'!$AA:$AA,"",'C1'!$R:$R,"NEW",'C1'!$L:$L,'PCA SUMMARY'!P51,'C1'!O:O,"&gt;100",'C1'!O:O,"&lt;500")</f>
        <v>9</v>
      </c>
      <c r="W51" s="375">
        <f>SUMIFS('C1'!$O:$O,'C1'!$AA:$AA,"",'C1'!$R:$R,"NEW",'C1'!$L:$L,'PCA SUMMARY'!P51,'C1'!O:O,"&gt;100",'C1'!O:O,"&lt;500")</f>
        <v>2184.7024999999999</v>
      </c>
      <c r="X51" s="275">
        <f>COUNTIFS('C1'!$AA:$AA,"",'C1'!$R:$R,"NEW",'C1'!$L:$L,'PCA SUMMARY'!P51,'C1'!O:O,"&lt;=100")</f>
        <v>12</v>
      </c>
      <c r="Y51" s="375">
        <f>SUMIFS('C1'!$O:$O,'C1'!$AA:$AA,"",'C1'!$R:$R,"NEW",'C1'!$L:$L,'PCA SUMMARY'!P51,'C1'!O:O,"&lt;=100")</f>
        <v>479.72460000000001</v>
      </c>
      <c r="Z51" s="428">
        <f t="shared" si="10"/>
        <v>23</v>
      </c>
      <c r="AA51" s="429">
        <f t="shared" si="10"/>
        <v>4140.9134999999997</v>
      </c>
      <c r="AB51" s="429"/>
      <c r="AF51" s="271" t="s">
        <v>1957</v>
      </c>
      <c r="AG51" s="280">
        <f>COUNTIFS('C1'!$AA:$AA,"&gt;="&amp;$B$1,'C1'!$AA:$AA,"&lt;"&amp;$N$1,'C1'!$R:$R,"NEW",'C1'!$L:$L,'PCA SUMMARY'!AF51)+COUNTIFS('C1'!$AA:$AA,"&gt;="&amp;$B$1,'C1'!$AA:$AA,"&lt;"&amp;$C$1,'C1'!$R:$R,"TEMPORARY",'C1'!$L:$L,'PCA SUMMARY'!P19)</f>
        <v>16</v>
      </c>
      <c r="AH51" s="280">
        <f>COUNTIFS('C1'!$AA:$AA,"&gt;="&amp;$B$1,'C1'!$AA:$AA,"&lt;"&amp;$N$1,'C1'!$R:$R,"&lt;&gt;NEW",'C1'!$L:$L,'PCA SUMMARY'!AF51)</f>
        <v>9</v>
      </c>
      <c r="AI51" s="280">
        <f t="shared" si="9"/>
        <v>25</v>
      </c>
    </row>
    <row r="52" spans="1:36" x14ac:dyDescent="0.25">
      <c r="P52" s="271" t="s">
        <v>255</v>
      </c>
      <c r="Q52" s="280">
        <f>COUNTIFS('C1'!$AA:$AA,"",'C1'!$R:$R,"NEW",'C1'!$L:$L,'PCA SUMMARY'!P52)</f>
        <v>23</v>
      </c>
      <c r="R52" s="375">
        <f>SUMIFS('C1'!$O:$O,'C1'!$AA:$AA,"",'C1'!$R:$R,"NEW",'C1'!$L:$L,'PCA SUMMARY'!P52)</f>
        <v>2351.3727999999996</v>
      </c>
      <c r="S52" s="628"/>
      <c r="T52" s="275">
        <f>COUNTIFS('C1'!$AA:$AA,"",'C1'!$R:$R,"NEW",'C1'!$L:$L,'PCA SUMMARY'!P52,'C1'!O:O,"&gt;500")</f>
        <v>0</v>
      </c>
      <c r="U52" s="375">
        <f>SUMIFS('C1'!$O:$O,'C1'!$AA:$AA,"",'C1'!$R:$R,"NEW",'C1'!$L:$L,'PCA SUMMARY'!P52,'C1'!$O:$O,"&gt;500")</f>
        <v>0</v>
      </c>
      <c r="V52" s="275">
        <f>COUNTIFS('C1'!$AA:$AA,"",'C1'!$R:$R,"NEW",'C1'!$L:$L,'PCA SUMMARY'!P52,'C1'!O:O,"&gt;100",'C1'!O:O,"&lt;500")</f>
        <v>11</v>
      </c>
      <c r="W52" s="375">
        <f>SUMIFS('C1'!$O:$O,'C1'!$AA:$AA,"",'C1'!$R:$R,"NEW",'C1'!$L:$L,'PCA SUMMARY'!P52,'C1'!O:O,"&gt;100",'C1'!O:O,"&lt;500")</f>
        <v>1923.8537999999999</v>
      </c>
      <c r="X52" s="275">
        <f>COUNTIFS('C1'!$AA:$AA,"",'C1'!$R:$R,"NEW",'C1'!$L:$L,'PCA SUMMARY'!P52,'C1'!O:O,"&lt;=100")</f>
        <v>12</v>
      </c>
      <c r="Y52" s="375">
        <f>SUMIFS('C1'!$O:$O,'C1'!$AA:$AA,"",'C1'!$R:$R,"NEW",'C1'!$L:$L,'PCA SUMMARY'!P52,'C1'!O:O,"&lt;=100")</f>
        <v>427.51900000000001</v>
      </c>
      <c r="Z52" s="428">
        <f>T52+V52+X52</f>
        <v>23</v>
      </c>
      <c r="AA52" s="429">
        <f t="shared" si="10"/>
        <v>2351.3728000000001</v>
      </c>
      <c r="AB52" s="429"/>
      <c r="AF52" s="271" t="s">
        <v>312</v>
      </c>
      <c r="AG52" s="280">
        <f>COUNTIFS('C1'!$AA:$AA,"&gt;="&amp;$B$1,'C1'!$AA:$AA,"&lt;"&amp;$N$1,'C1'!$R:$R,"NEW",'C1'!$L:$L,'PCA SUMMARY'!AF52)+COUNTIFS('C1'!$AA:$AA,"&gt;="&amp;$B$1,'C1'!$AA:$AA,"&lt;"&amp;$C$1,'C1'!$R:$R,"TEMPORARY",'C1'!$L:$L,'PCA SUMMARY'!P20)</f>
        <v>2</v>
      </c>
      <c r="AH52" s="280">
        <f>COUNTIFS('C1'!$AA:$AA,"&gt;="&amp;$B$1,'C1'!$AA:$AA,"&lt;"&amp;$N$1,'C1'!$R:$R,"&lt;&gt;NEW",'C1'!$L:$L,'PCA SUMMARY'!AF52)</f>
        <v>0</v>
      </c>
      <c r="AI52" s="280">
        <f t="shared" ref="AI52" si="11">SUM(AG52:AH52)</f>
        <v>2</v>
      </c>
    </row>
    <row r="53" spans="1:36" x14ac:dyDescent="0.25">
      <c r="P53" s="271" t="s">
        <v>288</v>
      </c>
      <c r="Q53" s="280">
        <f>COUNTIFS('C1'!$AA:$AA,"",'C1'!$R:$R,"NEW",'C1'!$L:$L,'PCA SUMMARY'!P53)</f>
        <v>19</v>
      </c>
      <c r="R53" s="375">
        <f>SUMIFS('C1'!$O:$O,'C1'!$AA:$AA,"",'C1'!$R:$R,"NEW",'C1'!$L:$L,'PCA SUMMARY'!P53)</f>
        <v>2847.6325799999995</v>
      </c>
      <c r="S53" s="628"/>
      <c r="T53" s="275">
        <f>COUNTIFS('C1'!$AA:$AA,"",'C1'!$R:$R,"NEW",'C1'!$L:$L,'PCA SUMMARY'!P53,'C1'!O:O,"&gt;500")</f>
        <v>0</v>
      </c>
      <c r="U53" s="375">
        <f>SUMIFS('C1'!$O:$O,'C1'!$AA:$AA,"",'C1'!$R:$R,"NEW",'C1'!$L:$L,'PCA SUMMARY'!P53,'C1'!$O:$O,"&gt;500")</f>
        <v>0</v>
      </c>
      <c r="V53" s="275">
        <f>COUNTIFS('C1'!$AA:$AA,"",'C1'!$R:$R,"NEW",'C1'!$L:$L,'PCA SUMMARY'!P53,'C1'!O:O,"&gt;100",'C1'!O:O,"&lt;500")</f>
        <v>11</v>
      </c>
      <c r="W53" s="375">
        <f>SUMIFS('C1'!$O:$O,'C1'!$AA:$AA,"",'C1'!$R:$R,"NEW",'C1'!$L:$L,'PCA SUMMARY'!P53,'C1'!O:O,"&gt;100",'C1'!O:O,"&lt;500")</f>
        <v>2395.3640999999993</v>
      </c>
      <c r="X53" s="275">
        <f>COUNTIFS('C1'!$AA:$AA,"",'C1'!$R:$R,"NEW",'C1'!$L:$L,'PCA SUMMARY'!P53,'C1'!O:O,"&lt;=100")</f>
        <v>8</v>
      </c>
      <c r="Y53" s="375">
        <f>SUMIFS('C1'!$O:$O,'C1'!$AA:$AA,"",'C1'!$R:$R,"NEW",'C1'!$L:$L,'PCA SUMMARY'!P53,'C1'!O:O,"&lt;=100")</f>
        <v>452.26848000000001</v>
      </c>
      <c r="Z53" s="428">
        <f t="shared" si="10"/>
        <v>19</v>
      </c>
      <c r="AA53" s="429">
        <f t="shared" si="10"/>
        <v>2847.6325799999995</v>
      </c>
      <c r="AB53" s="429"/>
      <c r="AF53" s="372" t="s">
        <v>4109</v>
      </c>
      <c r="AG53" s="440">
        <f>SUM(AG45:AG52)</f>
        <v>353</v>
      </c>
      <c r="AH53" s="440">
        <f t="shared" ref="AH53:AI53" si="12">SUM(AH45:AH52)</f>
        <v>194</v>
      </c>
      <c r="AI53" s="440">
        <f t="shared" si="12"/>
        <v>547</v>
      </c>
    </row>
    <row r="54" spans="1:36" x14ac:dyDescent="0.25">
      <c r="P54" s="271" t="s">
        <v>1945</v>
      </c>
      <c r="Q54" s="280">
        <f>COUNTIFS('C1'!$AA:$AA,"",'C1'!$R:$R,"NEW",'C1'!$L:$L,'PCA SUMMARY'!P54)</f>
        <v>1</v>
      </c>
      <c r="R54" s="375">
        <f>SUMIFS('C1'!$O:$O,'C1'!$AA:$AA,"",'C1'!$R:$R,"NEW",'C1'!$L:$L,'PCA SUMMARY'!P54)</f>
        <v>76.36</v>
      </c>
      <c r="S54" s="628"/>
      <c r="T54" s="275">
        <f>COUNTIFS('C1'!$AA:$AA,"",'C1'!$R:$R,"NEW",'C1'!$L:$L,'PCA SUMMARY'!P54,'C1'!O:O,"&gt;500")</f>
        <v>0</v>
      </c>
      <c r="U54" s="375">
        <f>SUMIFS('C1'!$O:$O,'C1'!$AA:$AA,"",'C1'!$R:$R,"NEW",'C1'!$L:$L,'PCA SUMMARY'!P54,'C1'!$O:$O,"&gt;500")</f>
        <v>0</v>
      </c>
      <c r="V54" s="275">
        <f>COUNTIFS('C1'!$AA:$AA,"",'C1'!$R:$R,"NEW",'C1'!$L:$L,'PCA SUMMARY'!P54,'C1'!O:O,"&gt;100",'C1'!O:O,"&lt;500")</f>
        <v>0</v>
      </c>
      <c r="W54" s="375">
        <f>SUMIFS('C1'!$O:$O,'C1'!$AA:$AA,"",'C1'!$R:$R,"NEW",'C1'!$L:$L,'PCA SUMMARY'!P54,'C1'!O:O,"&gt;100",'C1'!O:O,"&lt;500")</f>
        <v>0</v>
      </c>
      <c r="X54" s="275">
        <f>COUNTIFS('C1'!$AA:$AA,"",'C1'!$R:$R,"NEW",'C1'!$L:$L,'PCA SUMMARY'!P54,'C1'!O:O,"&lt;=100")</f>
        <v>1</v>
      </c>
      <c r="Y54" s="375">
        <f>SUMIFS('C1'!$O:$O,'C1'!$AA:$AA,"",'C1'!$R:$R,"NEW",'C1'!$L:$L,'PCA SUMMARY'!P54,'C1'!O:O,"&lt;=100")</f>
        <v>76.36</v>
      </c>
      <c r="Z54" s="428">
        <f t="shared" si="10"/>
        <v>1</v>
      </c>
      <c r="AA54" s="429">
        <f t="shared" si="10"/>
        <v>76.36</v>
      </c>
      <c r="AB54" s="429"/>
      <c r="AH54" s="264"/>
    </row>
    <row r="55" spans="1:36" x14ac:dyDescent="0.25">
      <c r="P55" s="271" t="s">
        <v>1957</v>
      </c>
      <c r="Q55" s="280">
        <f>COUNTIFS('C1'!$AA:$AA,"",'C1'!$R:$R,"NEW",'C1'!$L:$L,'PCA SUMMARY'!P55)</f>
        <v>2</v>
      </c>
      <c r="R55" s="375">
        <f>SUMIFS('C1'!$O:$O,'C1'!$AA:$AA,"",'C1'!$R:$R,"NEW",'C1'!$L:$L,'PCA SUMMARY'!P55)</f>
        <v>39.07</v>
      </c>
      <c r="S55" s="628"/>
      <c r="T55" s="275">
        <f>COUNTIFS('C1'!$AA:$AA,"",'C1'!$R:$R,"NEW",'C1'!$L:$L,'PCA SUMMARY'!P55,'C1'!O:O,"&gt;500")</f>
        <v>0</v>
      </c>
      <c r="U55" s="375">
        <f>SUMIFS('C1'!$O:$O,'C1'!$AA:$AA,"",'C1'!$R:$R,"NEW",'C1'!$L:$L,'PCA SUMMARY'!P55,'C1'!$O:$O,"&gt;500")</f>
        <v>0</v>
      </c>
      <c r="V55" s="275">
        <f>COUNTIFS('C1'!$AA:$AA,"",'C1'!$R:$R,"NEW",'C1'!$L:$L,'PCA SUMMARY'!P55,'C1'!O:O,"&gt;100",'C1'!O:O,"&lt;500")</f>
        <v>0</v>
      </c>
      <c r="W55" s="375">
        <f>SUMIFS('C1'!$O:$O,'C1'!$AA:$AA,"",'C1'!$R:$R,"NEW",'C1'!$L:$L,'PCA SUMMARY'!P55,'C1'!O:O,"&gt;100",'C1'!O:O,"&lt;500")</f>
        <v>0</v>
      </c>
      <c r="X55" s="275">
        <f>COUNTIFS('C1'!$AA:$AA,"",'C1'!$R:$R,"NEW",'C1'!$L:$L,'PCA SUMMARY'!P55,'C1'!O:O,"&lt;=100")</f>
        <v>2</v>
      </c>
      <c r="Y55" s="375">
        <f>SUMIFS('C1'!$O:$O,'C1'!$AA:$AA,"",'C1'!$R:$R,"NEW",'C1'!$L:$L,'PCA SUMMARY'!P55,'C1'!O:O,"&lt;=100")</f>
        <v>39.07</v>
      </c>
      <c r="Z55" s="428">
        <f t="shared" si="10"/>
        <v>2</v>
      </c>
      <c r="AA55" s="429">
        <f t="shared" si="10"/>
        <v>39.07</v>
      </c>
      <c r="AB55" s="429"/>
      <c r="AF55" s="65" t="s">
        <v>4163</v>
      </c>
      <c r="AH55" s="264" t="s">
        <v>4176</v>
      </c>
    </row>
    <row r="56" spans="1:36" x14ac:dyDescent="0.25">
      <c r="P56" s="425" t="s">
        <v>312</v>
      </c>
      <c r="Q56" s="280">
        <f>COUNTIFS('C1'!$AA:$AA,"",'C1'!$R:$R,"NEW",'C1'!$L:$L,'PCA SUMMARY'!P56)</f>
        <v>5</v>
      </c>
      <c r="R56" s="375">
        <f>SUMIFS('C1'!$O:$O,'C1'!$AA:$AA,"",'C1'!$R:$R,"NEW",'C1'!$L:$L,'PCA SUMMARY'!P56)</f>
        <v>1210.1089999999999</v>
      </c>
      <c r="S56" s="628"/>
      <c r="T56" s="275">
        <f>COUNTIFS('C1'!$AA:$AA,"",'C1'!$R:$R,"NEW",'C1'!$L:$L,'PCA SUMMARY'!P56,'C1'!O:O,"&gt;500")</f>
        <v>0</v>
      </c>
      <c r="U56" s="375">
        <f>SUMIFS('C1'!$O:$O,'C1'!$AA:$AA,"",'C1'!$R:$R,"NEW",'C1'!$L:$L,'PCA SUMMARY'!P56,'C1'!$O:$O,"&gt;500")</f>
        <v>0</v>
      </c>
      <c r="V56" s="275">
        <f>COUNTIFS('C1'!$AA:$AA,"",'C1'!$R:$R,"NEW",'C1'!$L:$L,'PCA SUMMARY'!P56,'C1'!O:O,"&gt;100",'C1'!O:O,"&lt;500")</f>
        <v>4</v>
      </c>
      <c r="W56" s="375">
        <f>SUMIFS('C1'!$O:$O,'C1'!$AA:$AA,"",'C1'!$R:$R,"NEW",'C1'!$L:$L,'PCA SUMMARY'!P56,'C1'!O:O,"&gt;100",'C1'!O:O,"&lt;500")</f>
        <v>1126.0012999999999</v>
      </c>
      <c r="X56" s="275">
        <f>COUNTIFS('C1'!$AA:$AA,"",'C1'!$R:$R,"NEW",'C1'!$L:$L,'PCA SUMMARY'!P56,'C1'!O:O,"&lt;=100")</f>
        <v>1</v>
      </c>
      <c r="Y56" s="375">
        <f>SUMIFS('C1'!$O:$O,'C1'!$AA:$AA,"",'C1'!$R:$R,"NEW",'C1'!$L:$L,'PCA SUMMARY'!P56,'C1'!O:O,"&lt;=100")</f>
        <v>84.107699999999994</v>
      </c>
      <c r="Z56" s="428">
        <f t="shared" si="10"/>
        <v>5</v>
      </c>
      <c r="AA56" s="429">
        <f t="shared" si="10"/>
        <v>1210.1089999999999</v>
      </c>
      <c r="AB56" s="429"/>
      <c r="AF56" s="377" t="s">
        <v>4110</v>
      </c>
      <c r="AG56" s="367" t="s">
        <v>4164</v>
      </c>
      <c r="AH56" s="367" t="s">
        <v>4165</v>
      </c>
      <c r="AI56" s="367" t="s">
        <v>4109</v>
      </c>
      <c r="AJ56" s="434" t="s">
        <v>4177</v>
      </c>
    </row>
    <row r="57" spans="1:36" x14ac:dyDescent="0.25">
      <c r="P57" s="372" t="s">
        <v>4109</v>
      </c>
      <c r="Q57" s="440">
        <f>SUM(Q49:Q56)</f>
        <v>113</v>
      </c>
      <c r="R57" s="376">
        <f>SUM(R49:R56)</f>
        <v>16963.012740000002</v>
      </c>
      <c r="S57" s="664"/>
      <c r="T57" s="665">
        <f t="shared" ref="T57:AA57" si="13">SUM(T49:T56)</f>
        <v>3</v>
      </c>
      <c r="U57" s="376">
        <f t="shared" si="13"/>
        <v>2193.7860000000001</v>
      </c>
      <c r="V57" s="665">
        <f t="shared" si="13"/>
        <v>52</v>
      </c>
      <c r="W57" s="376">
        <f t="shared" si="13"/>
        <v>12063.437579999998</v>
      </c>
      <c r="X57" s="665">
        <f t="shared" si="13"/>
        <v>58</v>
      </c>
      <c r="Y57" s="376">
        <f t="shared" si="13"/>
        <v>2705.7891600000003</v>
      </c>
      <c r="Z57" s="430">
        <f t="shared" si="13"/>
        <v>113</v>
      </c>
      <c r="AA57" s="431">
        <f t="shared" si="13"/>
        <v>16963.012739999998</v>
      </c>
      <c r="AB57" s="431"/>
      <c r="AF57" s="271" t="s">
        <v>263</v>
      </c>
      <c r="AG57" s="461">
        <f>SUMIFS('C1'!$P:$P,'C1'!$AA:$AA,"&gt;="&amp;$B$1,'C1'!$AA:$AA,"&lt;"&amp;$N$1,'C1'!$R:$R,"NEW",'C1'!$L:$L,'PCA SUMMARY'!AF57)</f>
        <v>18333.939999999999</v>
      </c>
      <c r="AH57" s="461">
        <f>SUMIFS('C1'!$P:$P,'C1'!$AA:$AA,"&gt;="&amp;$B$1,'C1'!$AA:$AA,"&lt;"&amp;$N$1,'C1'!$R:$R,"&lt;&gt;NEW",'C1'!$L:$L,'PCA SUMMARY'!AF57)</f>
        <v>7114.4900000000025</v>
      </c>
      <c r="AI57" s="461">
        <f t="shared" ref="AI57:AI63" si="14">SUM(AG57:AH57)</f>
        <v>25448.43</v>
      </c>
      <c r="AJ57" s="461">
        <f t="shared" ref="AJ57:AJ63" si="15">AI57/AI45</f>
        <v>299.39329411764709</v>
      </c>
    </row>
    <row r="58" spans="1:36" x14ac:dyDescent="0.25">
      <c r="A58" s="647" t="s">
        <v>4178</v>
      </c>
      <c r="S58" s="664"/>
      <c r="AF58" s="271" t="s">
        <v>5</v>
      </c>
      <c r="AG58" s="461">
        <f>SUMIFS('C1'!$P:$P,'C1'!$AA:$AA,"&gt;="&amp;$B$1,'C1'!$AA:$AA,"&lt;"&amp;$N$1,'C1'!$R:$R,"NEW",'C1'!$L:$L,'PCA SUMMARY'!AF58)</f>
        <v>11903.890000000001</v>
      </c>
      <c r="AH58" s="461">
        <f>SUMIFS('C1'!$P:$P,'C1'!$AA:$AA,"&gt;="&amp;$B$1,'C1'!$AA:$AA,"&lt;"&amp;$N$1,'C1'!$R:$R,"&lt;&gt;NEW",'C1'!$L:$L,'PCA SUMMARY'!AF58)</f>
        <v>9501.590000000002</v>
      </c>
      <c r="AI58" s="461">
        <f t="shared" si="14"/>
        <v>21405.480000000003</v>
      </c>
      <c r="AJ58" s="461">
        <f t="shared" si="15"/>
        <v>178.37900000000002</v>
      </c>
    </row>
    <row r="59" spans="1:36" x14ac:dyDescent="0.25">
      <c r="A59" s="646" t="s">
        <v>533</v>
      </c>
      <c r="AF59" s="271" t="s">
        <v>242</v>
      </c>
      <c r="AG59" s="461">
        <f>SUMIFS('C1'!$P:$P,'C1'!$AA:$AA,"&gt;="&amp;$B$1,'C1'!$AA:$AA,"&lt;"&amp;$N$1,'C1'!$R:$R,"NEW",'C1'!$L:$L,'PCA SUMMARY'!AF59)</f>
        <v>4016.2899999999991</v>
      </c>
      <c r="AH59" s="461">
        <f>SUMIFS('C1'!$P:$P,'C1'!$AA:$AA,"&gt;="&amp;$B$1,'C1'!$AA:$AA,"&lt;"&amp;$N$1,'C1'!$R:$R,"&lt;&gt;NEW",'C1'!$L:$L,'PCA SUMMARY'!AF59)</f>
        <v>6761.27</v>
      </c>
      <c r="AI59" s="461">
        <f t="shared" si="14"/>
        <v>10777.56</v>
      </c>
      <c r="AJ59" s="461">
        <f t="shared" si="15"/>
        <v>139.96831168831167</v>
      </c>
    </row>
    <row r="60" spans="1:36" ht="15.75" thickBot="1" x14ac:dyDescent="0.3">
      <c r="A60" s="435" t="s">
        <v>4179</v>
      </c>
      <c r="B60" s="264" t="s">
        <v>154</v>
      </c>
      <c r="C60" s="435" t="s">
        <v>0</v>
      </c>
      <c r="D60" s="435" t="s">
        <v>4110</v>
      </c>
      <c r="E60" s="435" t="s">
        <v>4180</v>
      </c>
      <c r="F60" s="435" t="s">
        <v>4181</v>
      </c>
      <c r="H60" s="435" t="s">
        <v>4182</v>
      </c>
      <c r="I60"/>
      <c r="AF60" s="271" t="s">
        <v>255</v>
      </c>
      <c r="AG60" s="461">
        <f>SUMIFS('C1'!$P:$P,'C1'!$AA:$AA,"&gt;="&amp;$B$1,'C1'!$AA:$AA,"&lt;"&amp;$N$1,'C1'!$R:$R,"NEW",'C1'!$L:$L,'PCA SUMMARY'!AF60)</f>
        <v>6524.3900000000021</v>
      </c>
      <c r="AH60" s="461">
        <f>SUMIFS('C1'!$P:$P,'C1'!$AA:$AA,"&gt;="&amp;$B$1,'C1'!$AA:$AA,"&lt;"&amp;$N$1,'C1'!$R:$R,"&lt;&gt;NEW",'C1'!$L:$L,'PCA SUMMARY'!AF60)</f>
        <v>2676.1700000000005</v>
      </c>
      <c r="AI60" s="461">
        <f t="shared" si="14"/>
        <v>9200.5600000000031</v>
      </c>
      <c r="AJ60" s="461">
        <f t="shared" si="15"/>
        <v>117.95589743589747</v>
      </c>
    </row>
    <row r="61" spans="1:36" ht="18.600000000000001" customHeight="1" x14ac:dyDescent="0.3">
      <c r="A61" s="844" t="s">
        <v>544</v>
      </c>
      <c r="B61" s="320" t="str">
        <f>VLOOKUP(A61,'C1'!E:W,2,FALSE)</f>
        <v>JEFFREY SAGUN CHAN</v>
      </c>
      <c r="C61" s="90" t="str">
        <f>VLOOKUP(A61,'C1'!E:W,10,FALSE)</f>
        <v>Jenneth Madrid</v>
      </c>
      <c r="D61" s="1016" t="str">
        <f>VLOOKUP(A61,'C1'!E:W,8,FALSE)</f>
        <v>VJC</v>
      </c>
      <c r="E61" s="1017">
        <f>VLOOKUP(A61,'C1'!E:W,19,FALSE)</f>
        <v>44518.701388888891</v>
      </c>
      <c r="F61" s="843" t="str">
        <f>VLOOKUP(A61,'C1'!E:W,9,FALSE)</f>
        <v>PCAN3</v>
      </c>
      <c r="G61" s="1015" t="s">
        <v>4183</v>
      </c>
      <c r="H61" s="301"/>
      <c r="I61" s="1052" t="str">
        <f>VLOOKUP(A61,'C1'!E:Y,14,FALSE)</f>
        <v>MODIFICATION</v>
      </c>
      <c r="P61" s="1187" t="s">
        <v>4184</v>
      </c>
      <c r="Q61" s="1188"/>
      <c r="R61" s="1189" t="s">
        <v>4159</v>
      </c>
      <c r="S61" s="1189"/>
      <c r="T61" s="778" t="s">
        <v>4185</v>
      </c>
      <c r="U61" s="1171" t="s">
        <v>4186</v>
      </c>
      <c r="V61" s="1172"/>
      <c r="W61" s="1172"/>
      <c r="X61" s="1173"/>
      <c r="AF61" s="271" t="s">
        <v>288</v>
      </c>
      <c r="AG61" s="461">
        <f>SUMIFS('C1'!$P:$P,'C1'!$AA:$AA,"&gt;="&amp;$B$1,'C1'!$AA:$AA,"&lt;"&amp;$N$1,'C1'!$R:$R,"NEW",'C1'!$L:$L,'PCA SUMMARY'!AF61)</f>
        <v>21088.770000000004</v>
      </c>
      <c r="AH61" s="461">
        <f>SUMIFS('C1'!$P:$P,'C1'!$AA:$AA,"&gt;="&amp;$B$1,'C1'!$AA:$AA,"&lt;"&amp;$N$1,'C1'!$R:$R,"&lt;&gt;NEW",'C1'!$L:$L,'PCA SUMMARY'!AF61)</f>
        <v>5213.7099999999982</v>
      </c>
      <c r="AI61" s="461">
        <f t="shared" si="14"/>
        <v>26302.480000000003</v>
      </c>
      <c r="AJ61" s="461">
        <f t="shared" si="15"/>
        <v>200.7822900763359</v>
      </c>
    </row>
    <row r="62" spans="1:36" ht="18.600000000000001" customHeight="1" x14ac:dyDescent="0.25">
      <c r="A62" s="844" t="s">
        <v>551</v>
      </c>
      <c r="B62" s="320" t="str">
        <f>VLOOKUP(A62,'C1'!E:W,2,FALSE)</f>
        <v>ROBERTO DE MESA BUNYI</v>
      </c>
      <c r="C62" s="90" t="str">
        <f>VLOOKUP(A62,'C1'!E:W,10,FALSE)</f>
        <v>Ronilo Gange Jr.</v>
      </c>
      <c r="D62" s="90" t="str">
        <f>VLOOKUP(A62,'C1'!E:W,8,FALSE)</f>
        <v>ECOM</v>
      </c>
      <c r="E62" s="1018">
        <f>VLOOKUP(A62,'C1'!E:W,19,FALSE)</f>
        <v>44524.494444444441</v>
      </c>
      <c r="F62" s="845" t="str">
        <f>VLOOKUP(A62,'C1'!E:W,9,FALSE)</f>
        <v>PCAN</v>
      </c>
      <c r="G62" s="1015" t="s">
        <v>4183</v>
      </c>
      <c r="H62" s="301"/>
      <c r="I62" s="1052" t="str">
        <f>VLOOKUP(A62,'C1'!E:Y,14,FALSE)</f>
        <v>MODIFICATION</v>
      </c>
      <c r="O62" t="s">
        <v>4187</v>
      </c>
      <c r="P62" s="779" t="s">
        <v>4172</v>
      </c>
      <c r="Q62" s="769" t="s">
        <v>4188</v>
      </c>
      <c r="R62" s="770">
        <v>0</v>
      </c>
      <c r="S62" s="770">
        <v>100</v>
      </c>
      <c r="T62" s="780">
        <v>30</v>
      </c>
      <c r="U62" s="1174"/>
      <c r="V62" s="1175"/>
      <c r="W62" s="1175"/>
      <c r="X62" s="1176"/>
      <c r="AF62" s="271" t="s">
        <v>1945</v>
      </c>
      <c r="AG62" s="461">
        <f>SUMIFS('C1'!$P:$P,'C1'!$AA:$AA,"&gt;="&amp;$B$1,'C1'!$AA:$AA,"&lt;"&amp;$N$1,'C1'!$R:$R,"NEW",'C1'!$L:$L,'PCA SUMMARY'!AF62)</f>
        <v>555.2399999999999</v>
      </c>
      <c r="AH62" s="461">
        <f>SUMIFS('C1'!$P:$P,'C1'!$AA:$AA,"&gt;="&amp;$B$1,'C1'!$AA:$AA,"&lt;"&amp;$N$1,'C1'!$R:$R,"&lt;&gt;NEW",'C1'!$L:$L,'PCA SUMMARY'!AF62)</f>
        <v>70.38</v>
      </c>
      <c r="AI62" s="461">
        <f t="shared" si="14"/>
        <v>625.61999999999989</v>
      </c>
      <c r="AJ62" s="461">
        <f t="shared" si="15"/>
        <v>21.573103448275859</v>
      </c>
    </row>
    <row r="63" spans="1:36" ht="18.600000000000001" customHeight="1" x14ac:dyDescent="0.25">
      <c r="A63" s="844" t="s">
        <v>591</v>
      </c>
      <c r="B63" s="320" t="str">
        <f>VLOOKUP(A63,'C1'!E:W,2,FALSE)</f>
        <v>MARIA IMELDA BUYOC SANDWEG</v>
      </c>
      <c r="C63" s="90" t="str">
        <f>VLOOKUP(A63,'C1'!E:W,10,FALSE)</f>
        <v>Jemuel Peralta</v>
      </c>
      <c r="D63" s="90" t="str">
        <f>VLOOKUP(A63,'C1'!E:W,8,FALSE)</f>
        <v>VJC</v>
      </c>
      <c r="E63" s="1018">
        <f>VLOOKUP(A63,'C1'!E:W,19,FALSE)</f>
        <v>44796.46875</v>
      </c>
      <c r="F63" s="845" t="str">
        <f>VLOOKUP(A63,'C1'!E:W,9,FALSE)</f>
        <v>PCAN3</v>
      </c>
      <c r="G63" s="1015" t="s">
        <v>4183</v>
      </c>
      <c r="I63" s="1052" t="str">
        <f>VLOOKUP(A63,'C1'!E:Y,14,FALSE)</f>
        <v>MODIFICATION</v>
      </c>
      <c r="O63" t="s">
        <v>4189</v>
      </c>
      <c r="P63" s="779" t="s">
        <v>4171</v>
      </c>
      <c r="Q63" s="769" t="s">
        <v>4190</v>
      </c>
      <c r="R63" s="770">
        <v>101</v>
      </c>
      <c r="S63" s="770">
        <v>500</v>
      </c>
      <c r="T63" s="780">
        <v>60</v>
      </c>
      <c r="U63" s="1174"/>
      <c r="V63" s="1175"/>
      <c r="W63" s="1175"/>
      <c r="X63" s="1176"/>
      <c r="AF63" s="425" t="s">
        <v>1957</v>
      </c>
      <c r="AG63" s="461">
        <f>SUMIFS('C1'!$P:$P,'C1'!$AA:$AA,"&gt;="&amp;$B$1,'C1'!$AA:$AA,"&lt;"&amp;$N$1,'C1'!$R:$R,"NEW",'C1'!$L:$L,'PCA SUMMARY'!AF63)</f>
        <v>1111.4100000000001</v>
      </c>
      <c r="AH63" s="461">
        <f>SUMIFS('C1'!$P:$P,'C1'!$AA:$AA,"&gt;="&amp;$B$1,'C1'!$AA:$AA,"&lt;"&amp;$N$1,'C1'!$R:$R,"&lt;&gt;NEW",'C1'!$L:$L,'PCA SUMMARY'!AF63)</f>
        <v>306.3</v>
      </c>
      <c r="AI63" s="461">
        <f t="shared" si="14"/>
        <v>1417.71</v>
      </c>
      <c r="AJ63" s="461">
        <f t="shared" si="15"/>
        <v>56.708400000000005</v>
      </c>
    </row>
    <row r="64" spans="1:36" ht="18.600000000000001" customHeight="1" thickBot="1" x14ac:dyDescent="0.3">
      <c r="A64" s="844" t="s">
        <v>665</v>
      </c>
      <c r="B64" s="320" t="str">
        <f>VLOOKUP(A64,'C1'!E:W,2,FALSE)</f>
        <v>MACAGGA DANICA RUTH RABENA</v>
      </c>
      <c r="C64" s="90" t="str">
        <f>VLOOKUP(A64,'C1'!E:W,10,FALSE)</f>
        <v>Ronilo Gange Jr.</v>
      </c>
      <c r="D64" s="90" t="str">
        <f>VLOOKUP(A64,'C1'!E:W,8,FALSE)</f>
        <v>ECOM</v>
      </c>
      <c r="E64" s="1018">
        <f>VLOOKUP(A64,'C1'!E:W,19,FALSE)</f>
        <v>44904</v>
      </c>
      <c r="F64" s="845" t="str">
        <f>VLOOKUP(A64,'C1'!E:W,9,FALSE)</f>
        <v>PCAN4</v>
      </c>
      <c r="G64" s="1015" t="s">
        <v>4183</v>
      </c>
      <c r="I64" s="1052" t="str">
        <f>VLOOKUP(A64,'C1'!E:Y,14,FALSE)</f>
        <v>RELOC</v>
      </c>
      <c r="P64" s="781" t="s">
        <v>4170</v>
      </c>
      <c r="Q64" s="782" t="s">
        <v>4191</v>
      </c>
      <c r="R64" s="783">
        <v>501</v>
      </c>
      <c r="S64" s="783">
        <v>5000</v>
      </c>
      <c r="T64" s="784">
        <v>90</v>
      </c>
      <c r="U64" s="1177"/>
      <c r="V64" s="1178"/>
      <c r="W64" s="1178"/>
      <c r="X64" s="1179"/>
      <c r="AF64" s="271" t="s">
        <v>312</v>
      </c>
      <c r="AG64" s="461">
        <f>SUMIFS('C1'!$P:$P,'C1'!$AA:$AA,"&gt;="&amp;$B$1,'C1'!$AA:$AA,"&lt;"&amp;$N$1,'C1'!$R:$R,"NEW",'C1'!$L:$L,'PCA SUMMARY'!AF64)</f>
        <v>725.82999999999993</v>
      </c>
      <c r="AH64" s="461">
        <f>SUMIFS('C1'!$P:$P,'C1'!$AA:$AA,"&gt;="&amp;$B$1,'C1'!$AA:$AA,"&lt;"&amp;$N$1,'C1'!$R:$R,"&lt;&gt;NEW",'C1'!$L:$L,'PCA SUMMARY'!AF64)</f>
        <v>0</v>
      </c>
      <c r="AI64" s="461">
        <f t="shared" ref="AI64" si="16">SUM(AG64:AH64)</f>
        <v>725.82999999999993</v>
      </c>
      <c r="AJ64" s="461">
        <f>AI64/AI53</f>
        <v>1.3269287020109688</v>
      </c>
    </row>
    <row r="65" spans="1:36" x14ac:dyDescent="0.25">
      <c r="A65" s="844" t="s">
        <v>713</v>
      </c>
      <c r="B65" s="320" t="str">
        <f>VLOOKUP(A65,'C1'!E:W,2,FALSE)</f>
        <v>MEGAWIDE CONSTRUCTION CORPORATION</v>
      </c>
      <c r="C65" s="90" t="str">
        <f>VLOOKUP(A65,'C1'!E:W,10,FALSE)</f>
        <v>Ronilo Gange Jr.</v>
      </c>
      <c r="D65" s="90" t="str">
        <f>VLOOKUP(A65,'C1'!E:W,8,FALSE)</f>
        <v>AVECO</v>
      </c>
      <c r="E65" s="1018">
        <f>VLOOKUP(A65,'C1'!E:W,19,FALSE)</f>
        <v>44916.529166666667</v>
      </c>
      <c r="F65" s="845" t="str">
        <f>VLOOKUP(A65,'C1'!E:W,9,FALSE)</f>
        <v>PCAN</v>
      </c>
      <c r="G65" s="1015" t="s">
        <v>4183</v>
      </c>
      <c r="I65" s="1052" t="str">
        <f>VLOOKUP(A65,'C1'!E:Y,14,FALSE)</f>
        <v>TERMINATION</v>
      </c>
      <c r="AF65" s="372" t="s">
        <v>4109</v>
      </c>
      <c r="AG65" s="462">
        <f>SUM(AG57:AG64)</f>
        <v>64259.760000000009</v>
      </c>
      <c r="AH65" s="462">
        <f>SUM(AH57:AH64)</f>
        <v>31643.910000000007</v>
      </c>
      <c r="AI65" s="462">
        <f>SUM(AI57:AI64)</f>
        <v>95903.670000000013</v>
      </c>
      <c r="AJ65" s="462">
        <f>AI65/AI53</f>
        <v>175.32663619744062</v>
      </c>
    </row>
    <row r="66" spans="1:36" ht="45" x14ac:dyDescent="0.25">
      <c r="A66" s="844" t="s">
        <v>744</v>
      </c>
      <c r="B66" s="320" t="str">
        <f>VLOOKUP(A66,'C1'!E:W,2,FALSE)</f>
        <v>MARK KENNETH VITUG FLORES</v>
      </c>
      <c r="C66" s="90" t="str">
        <f>VLOOKUP(A66,'C1'!E:W,10,FALSE)</f>
        <v>Ronilo Gange Jr.</v>
      </c>
      <c r="D66" s="90" t="s">
        <v>263</v>
      </c>
      <c r="E66" s="839">
        <v>45019</v>
      </c>
      <c r="F66" s="845" t="str">
        <f>VLOOKUP(A66,'C1'!E:W,9,FALSE)</f>
        <v>PCAN3</v>
      </c>
      <c r="G66" s="1015" t="s">
        <v>4183</v>
      </c>
      <c r="I66" s="1052" t="str">
        <f>VLOOKUP(A66,'C1'!E:Y,14,FALSE)</f>
        <v>NEW</v>
      </c>
      <c r="P66" s="773" t="s">
        <v>4172</v>
      </c>
      <c r="Q66" s="775" t="s">
        <v>4192</v>
      </c>
      <c r="R66" s="775" t="s">
        <v>4193</v>
      </c>
      <c r="S66" s="776" t="s">
        <v>4194</v>
      </c>
      <c r="T66" s="789" t="s">
        <v>4195</v>
      </c>
      <c r="U66" s="777" t="s">
        <v>4196</v>
      </c>
    </row>
    <row r="67" spans="1:36" ht="15.75" x14ac:dyDescent="0.25">
      <c r="A67" s="844" t="s">
        <v>753</v>
      </c>
      <c r="B67" s="320" t="str">
        <f>VLOOKUP(A67,'C1'!E:W,2,FALSE)</f>
        <v>GLOBE TELECOM, INC.</v>
      </c>
      <c r="C67" s="90" t="str">
        <f>VLOOKUP(A67,'C1'!E:W,10,FALSE)</f>
        <v>Ronilo Gange Jr.</v>
      </c>
      <c r="D67" s="90" t="str">
        <f>VLOOKUP(A67,'C1'!E:W,8,FALSE)</f>
        <v>ECOM</v>
      </c>
      <c r="E67" s="839">
        <f>VLOOKUP(A67,'C1'!E:W,19,FALSE)</f>
        <v>45148.444444444445</v>
      </c>
      <c r="F67" s="845" t="str">
        <f>VLOOKUP(A67,'C1'!E:W,9,FALSE)</f>
        <v>PCAN</v>
      </c>
      <c r="G67" s="1015" t="s">
        <v>4183</v>
      </c>
      <c r="I67" s="1052" t="str">
        <f>VLOOKUP(A67,'C1'!E:Y,14,FALSE)</f>
        <v>MODIFICATION</v>
      </c>
      <c r="P67" s="271" t="s">
        <v>263</v>
      </c>
      <c r="Q67" s="786">
        <f>COUNTIFS('C1'!$AA:$AA,"&gt;="&amp;$B$1,'C1'!$W:$W,"&gt;="&amp;$B$1,'C1'!P:P,"&lt;=100",'C1'!CB:CB,"&lt;=30",'C1'!D:D,"&lt;&gt;MN",'C1'!L:L,'PCA SUMMARY'!P67,'C1'!R:R,"NEW")</f>
        <v>4</v>
      </c>
      <c r="R67" s="787">
        <f>COUNTIFS('C1'!$AA:$AA,"&gt;="&amp;$B$1,'C1'!$W:$W,"&gt;="&amp;$B$1,'C1'!P:P,"&lt;=100",'C1'!D:D,"&lt;&gt;MN",'C1'!L:L,'PCA SUMMARY'!P67,'C1'!R:R,"NEW")</f>
        <v>16</v>
      </c>
      <c r="S67" s="786">
        <f>COUNTIFS('C1'!$W:$W,"&gt;="&amp;$B$1,'C1'!P:P,"&lt;=100",'C1'!D:D,"&lt;&gt;MN",'C1'!L:L,'PCA SUMMARY'!P67,'C1'!R:R,"NEW")</f>
        <v>19</v>
      </c>
      <c r="T67" s="790">
        <f>Q67/R67</f>
        <v>0.25</v>
      </c>
      <c r="U67" s="785">
        <f t="shared" ref="U67:U75" si="17">Q67/S67</f>
        <v>0.21052631578947367</v>
      </c>
    </row>
    <row r="68" spans="1:36" ht="15.75" x14ac:dyDescent="0.25">
      <c r="A68" s="844" t="s">
        <v>773</v>
      </c>
      <c r="B68" s="320" t="str">
        <f>VLOOKUP(A68,'C1'!E:W,2,FALSE)</f>
        <v>JOSEPH T. CHUA</v>
      </c>
      <c r="C68" s="90" t="str">
        <f>VLOOKUP(A68,'C1'!E:W,10,FALSE)</f>
        <v>Ronilo Gange Jr.</v>
      </c>
      <c r="D68" s="90" t="str">
        <f>VLOOKUP(A68,'C1'!E:W,8,FALSE)</f>
        <v>ECOM</v>
      </c>
      <c r="E68" s="839">
        <f>VLOOKUP(A68,'C1'!E:W,19,FALSE)</f>
        <v>45195.381944444445</v>
      </c>
      <c r="F68" s="845" t="str">
        <f>VLOOKUP(A68,'C1'!E:W,9,FALSE)</f>
        <v>PCAN3</v>
      </c>
      <c r="G68" s="1015" t="s">
        <v>4183</v>
      </c>
      <c r="H68" s="301"/>
      <c r="I68" s="1052" t="str">
        <f>VLOOKUP(A68,'C1'!E:Y,14,FALSE)</f>
        <v>NEW</v>
      </c>
      <c r="P68" s="271" t="s">
        <v>5</v>
      </c>
      <c r="Q68" s="786">
        <f>COUNTIFS('C1'!$AA:$AA,"&gt;="&amp;$B$1,'C1'!$W:$W,"&gt;="&amp;$B$1,'C1'!P:P,"&lt;=100",'C1'!CB:CB,"&lt;=30",'C1'!D:D,"&lt;&gt;MN",'C1'!L:L,'PCA SUMMARY'!P68,'C1'!R:R,"NEW")</f>
        <v>19</v>
      </c>
      <c r="R68" s="787">
        <f>COUNTIFS('C1'!$AA:$AA,"&gt;="&amp;$B$1,'C1'!$W:$W,"&gt;="&amp;$B$1,'C1'!P:P,"&lt;=100",'C1'!D:D,"&lt;&gt;MN",'C1'!L:L,'PCA SUMMARY'!P68,'C1'!R:R,"NEW")</f>
        <v>39</v>
      </c>
      <c r="S68" s="786">
        <f>COUNTIFS('C1'!$W:$W,"&gt;="&amp;$B$1,'C1'!P:P,"&lt;=100",'C1'!D:D,"&lt;&gt;MN",'C1'!L:L,'PCA SUMMARY'!P68,'C1'!R:R,"NEW")</f>
        <v>43</v>
      </c>
      <c r="T68" s="790">
        <f t="shared" ref="T68:T74" si="18">Q68/R68</f>
        <v>0.48717948717948717</v>
      </c>
      <c r="U68" s="785">
        <f t="shared" si="17"/>
        <v>0.44186046511627908</v>
      </c>
    </row>
    <row r="69" spans="1:36" ht="15.75" x14ac:dyDescent="0.25">
      <c r="A69" s="844" t="s">
        <v>808</v>
      </c>
      <c r="B69" s="320" t="str">
        <f>VLOOKUP(A69,'C1'!E:W,2,FALSE)</f>
        <v>DANILO CASPE SEPTIMO</v>
      </c>
      <c r="C69" s="90" t="str">
        <f>VLOOKUP(A69,'C1'!E:W,10,FALSE)</f>
        <v>Ronilo Gange Jr.</v>
      </c>
      <c r="D69" s="90" t="str">
        <f>VLOOKUP(A69,'C1'!E:W,8,FALSE)</f>
        <v>AVECO</v>
      </c>
      <c r="E69" s="839">
        <f>VLOOKUP(A69,'C1'!E:W,19,FALSE)</f>
        <v>45253.683333333334</v>
      </c>
      <c r="F69" s="845" t="str">
        <f>VLOOKUP(A69,'C1'!E:W,9,FALSE)</f>
        <v>PCAN3</v>
      </c>
      <c r="G69" s="1015" t="s">
        <v>4183</v>
      </c>
      <c r="H69" s="301"/>
      <c r="I69" s="1052" t="str">
        <f>VLOOKUP(A69,'C1'!E:Y,14,FALSE)</f>
        <v>NEW</v>
      </c>
      <c r="P69" s="271" t="s">
        <v>242</v>
      </c>
      <c r="Q69" s="786">
        <f>COUNTIFS('C1'!$AA:$AA,"&gt;="&amp;$B$1,'C1'!$W:$W,"&gt;="&amp;$B$1,'C1'!P:P,"&lt;=100",'C1'!CB:CB,"&lt;=30",'C1'!D:D,"&lt;&gt;MN",'C1'!L:L,'PCA SUMMARY'!P69,'C1'!R:R,"NEW")</f>
        <v>8</v>
      </c>
      <c r="R69" s="787">
        <f>COUNTIFS('C1'!$AA:$AA,"&gt;="&amp;$B$1,'C1'!$W:$W,"&gt;="&amp;$B$1,'C1'!P:P,"&lt;=100",'C1'!D:D,"&lt;&gt;MN",'C1'!L:L,'PCA SUMMARY'!P69,'C1'!R:R,"NEW")</f>
        <v>24</v>
      </c>
      <c r="S69" s="786">
        <f>COUNTIFS('C1'!$W:$W,"&gt;="&amp;$B$1,'C1'!P:P,"&lt;=100",'C1'!D:D,"&lt;&gt;MN",'C1'!L:L,'PCA SUMMARY'!P69,'C1'!R:R,"NEW")</f>
        <v>29</v>
      </c>
      <c r="T69" s="790">
        <f t="shared" si="18"/>
        <v>0.33333333333333331</v>
      </c>
      <c r="U69" s="785">
        <f t="shared" si="17"/>
        <v>0.27586206896551724</v>
      </c>
    </row>
    <row r="70" spans="1:36" ht="15.75" x14ac:dyDescent="0.25">
      <c r="A70" s="844" t="s">
        <v>814</v>
      </c>
      <c r="B70" s="320" t="str">
        <f>VLOOKUP(A70,'C1'!E:W,2,FALSE)</f>
        <v>ELENA SALAZAR BOÑAGA</v>
      </c>
      <c r="C70" s="90" t="str">
        <f>VLOOKUP(A70,'C1'!E:W,10,FALSE)</f>
        <v>Ronilo Gange Jr.</v>
      </c>
      <c r="D70" s="90" t="str">
        <f>VLOOKUP(A70,'C1'!E:W,8,FALSE)</f>
        <v>AVECO</v>
      </c>
      <c r="E70" s="839">
        <f>VLOOKUP(A70,'C1'!E:W,19,FALSE)</f>
        <v>45253.68472222222</v>
      </c>
      <c r="F70" s="845" t="str">
        <f>VLOOKUP(A70,'C1'!E:W,9,FALSE)</f>
        <v>PCAN3</v>
      </c>
      <c r="G70" s="1015" t="s">
        <v>4183</v>
      </c>
      <c r="H70" s="301"/>
      <c r="I70" s="1052" t="str">
        <f>VLOOKUP(A70,'C1'!E:Y,14,FALSE)</f>
        <v>NEW</v>
      </c>
      <c r="P70" s="271" t="s">
        <v>255</v>
      </c>
      <c r="Q70" s="786">
        <f>COUNTIFS('C1'!$AA:$AA,"&gt;="&amp;$B$1,'C1'!$W:$W,"&gt;="&amp;$B$1,'C1'!P:P,"&lt;=100",'C1'!CB:CB,"&lt;=30",'C1'!D:D,"&lt;&gt;MN",'C1'!L:L,'PCA SUMMARY'!P70,'C1'!R:R,"NEW")</f>
        <v>5</v>
      </c>
      <c r="R70" s="787">
        <f>COUNTIFS('C1'!$AA:$AA,"&gt;="&amp;$B$1,'C1'!$W:$W,"&gt;="&amp;$B$1,'C1'!P:P,"&lt;=100",'C1'!D:D,"&lt;&gt;MN",'C1'!L:L,'PCA SUMMARY'!P70,'C1'!R:R,"NEW")</f>
        <v>23</v>
      </c>
      <c r="S70" s="786">
        <f>COUNTIFS('C1'!$W:$W,"&gt;="&amp;$B$1,'C1'!P:P,"&lt;=100",'C1'!D:D,"&lt;&gt;MN",'C1'!L:L,'PCA SUMMARY'!P70,'C1'!R:R,"NEW")</f>
        <v>31</v>
      </c>
      <c r="T70" s="790">
        <f t="shared" si="18"/>
        <v>0.21739130434782608</v>
      </c>
      <c r="U70" s="785">
        <f t="shared" si="17"/>
        <v>0.16129032258064516</v>
      </c>
    </row>
    <row r="71" spans="1:36" ht="15.75" x14ac:dyDescent="0.25">
      <c r="A71" s="844" t="s">
        <v>818</v>
      </c>
      <c r="B71" s="320" t="str">
        <f>VLOOKUP(A71,'C1'!E:W,2,FALSE)</f>
        <v>MAYNILAD WATER SERVICES, INC.</v>
      </c>
      <c r="C71" s="90" t="str">
        <f>VLOOKUP(A71,'C1'!E:W,10,FALSE)</f>
        <v>Ronilo Gange Jr.</v>
      </c>
      <c r="D71" s="90" t="str">
        <f>VLOOKUP(A71,'C1'!E:W,8,FALSE)</f>
        <v>ECOM</v>
      </c>
      <c r="E71" s="839">
        <f>VLOOKUP(A71,'C1'!E:W,19,FALSE)</f>
        <v>45259.670138888891</v>
      </c>
      <c r="F71" s="845" t="str">
        <f>VLOOKUP(A71,'C1'!E:W,9,FALSE)</f>
        <v>PCAN3</v>
      </c>
      <c r="G71" s="1015" t="s">
        <v>4183</v>
      </c>
      <c r="H71" s="301"/>
      <c r="I71" s="1052" t="str">
        <f>VLOOKUP(A71,'C1'!E:Y,14,FALSE)</f>
        <v>NEW</v>
      </c>
      <c r="P71" s="271" t="s">
        <v>288</v>
      </c>
      <c r="Q71" s="786">
        <f>COUNTIFS('C1'!$AA:$AA,"&gt;="&amp;$B$1,'C1'!$W:$W,"&gt;="&amp;$B$1,'C1'!P:P,"&lt;=100",'C1'!CB:CB,"&lt;=30",'C1'!D:D,"&lt;&gt;MN",'C1'!L:L,'PCA SUMMARY'!P71,'C1'!R:R,"NEW")</f>
        <v>14</v>
      </c>
      <c r="R71" s="787">
        <f>COUNTIFS('C1'!$AA:$AA,"&gt;="&amp;$B$1,'C1'!$W:$W,"&gt;="&amp;$B$1,'C1'!P:P,"&lt;=100",'C1'!D:D,"&lt;&gt;MN",'C1'!L:L,'PCA SUMMARY'!P71,'C1'!R:R,"NEW")</f>
        <v>36</v>
      </c>
      <c r="S71" s="786">
        <f>COUNTIFS('C1'!$W:$W,"&gt;="&amp;$B$1,'C1'!P:P,"&lt;=100",'C1'!D:D,"&lt;&gt;MN",'C1'!L:L,'PCA SUMMARY'!P71,'C1'!R:R,"NEW")</f>
        <v>37</v>
      </c>
      <c r="T71" s="790">
        <f t="shared" si="18"/>
        <v>0.3888888888888889</v>
      </c>
      <c r="U71" s="785">
        <f t="shared" si="17"/>
        <v>0.3783783783783784</v>
      </c>
    </row>
    <row r="72" spans="1:36" ht="15.75" x14ac:dyDescent="0.25">
      <c r="A72" s="844" t="s">
        <v>892</v>
      </c>
      <c r="B72" s="320" t="str">
        <f>VLOOKUP(A72,'C1'!E:W,2,FALSE)</f>
        <v>BP WATERWORKS, INC.</v>
      </c>
      <c r="C72" s="90" t="str">
        <f>VLOOKUP(A72,'C1'!E:W,10,FALSE)</f>
        <v>Ronilo Gange Jr.</v>
      </c>
      <c r="D72" s="90" t="str">
        <f>VLOOKUP(A72,'C1'!E:W,8,FALSE)</f>
        <v>AVECO</v>
      </c>
      <c r="E72" s="649">
        <f>VLOOKUP(A72,'C1'!E:W,19,FALSE)</f>
        <v>45421.64166666667</v>
      </c>
      <c r="F72" s="845" t="str">
        <f>VLOOKUP(A72,'C1'!E:W,9,FALSE)</f>
        <v>PCAN</v>
      </c>
      <c r="G72" s="1015" t="s">
        <v>4183</v>
      </c>
      <c r="H72" s="301"/>
      <c r="I72" s="1052" t="str">
        <f>VLOOKUP(A72,'C1'!E:Y,14,FALSE)</f>
        <v>NEW</v>
      </c>
      <c r="P72" s="271" t="s">
        <v>1945</v>
      </c>
      <c r="Q72" s="786">
        <f>COUNTIFS('C1'!$AA:$AA,"&gt;="&amp;$B$1,'C1'!$W:$W,"&gt;="&amp;$B$1,'C1'!P:P,"&lt;=100",'C1'!CB:CB,"&lt;=30",'C1'!D:D,"&lt;&gt;MN",'C1'!L:L,'PCA SUMMARY'!P72,'C1'!R:R,"NEW")</f>
        <v>14</v>
      </c>
      <c r="R72" s="787">
        <f>COUNTIFS('C1'!$AA:$AA,"&gt;="&amp;$B$1,'C1'!$W:$W,"&gt;="&amp;$B$1,'C1'!P:P,"&lt;=100",'C1'!D:D,"&lt;&gt;MN",'C1'!L:L,'PCA SUMMARY'!P72,'C1'!R:R,"NEW")</f>
        <v>24</v>
      </c>
      <c r="S72" s="786">
        <f>COUNTIFS('C1'!$W:$W,"&gt;="&amp;$B$1,'C1'!P:P,"&lt;=100",'C1'!D:D,"&lt;&gt;MN",'C1'!L:L,'PCA SUMMARY'!P72,'C1'!R:R,"NEW")</f>
        <v>25</v>
      </c>
      <c r="T72" s="790">
        <f t="shared" si="18"/>
        <v>0.58333333333333337</v>
      </c>
      <c r="U72" s="785">
        <f t="shared" si="17"/>
        <v>0.56000000000000005</v>
      </c>
    </row>
    <row r="73" spans="1:36" ht="15.75" x14ac:dyDescent="0.25">
      <c r="A73" s="844" t="s">
        <v>925</v>
      </c>
      <c r="B73" s="320" t="str">
        <f>VLOOKUP(A73,'C1'!E:W,2,FALSE)</f>
        <v>DITO TELECOMMUNITY CORPORATION</v>
      </c>
      <c r="C73" s="90" t="str">
        <f>VLOOKUP(A73,'C1'!E:W,10,FALSE)</f>
        <v>Ronilo Gange Jr.</v>
      </c>
      <c r="D73" s="90" t="str">
        <f>VLOOKUP(A73,'C1'!E:W,8,FALSE)</f>
        <v>ECOM</v>
      </c>
      <c r="E73" s="649">
        <f>VLOOKUP(A73,'C1'!E:W,19,FALSE)</f>
        <v>45442.411805555559</v>
      </c>
      <c r="F73" s="845" t="str">
        <f>VLOOKUP(A73,'C1'!E:W,9,FALSE)</f>
        <v>PCAN3</v>
      </c>
      <c r="G73" s="1015" t="s">
        <v>4183</v>
      </c>
      <c r="H73" s="301"/>
      <c r="I73" s="1052" t="str">
        <f>VLOOKUP(A73,'C1'!E:Y,14,FALSE)</f>
        <v>NEW</v>
      </c>
      <c r="P73" s="271" t="s">
        <v>1957</v>
      </c>
      <c r="Q73" s="786">
        <f>COUNTIFS('C1'!$AA:$AA,"&gt;="&amp;$B$1,'C1'!$W:$W,"&gt;="&amp;$B$1,'C1'!P:P,"&lt;=100",'C1'!CB:CB,"&lt;=30",'C1'!D:D,"&lt;&gt;MN",'C1'!L:L,'PCA SUMMARY'!P73,'C1'!R:R,"NEW")</f>
        <v>3</v>
      </c>
      <c r="R73" s="787">
        <f>COUNTIFS('C1'!$AA:$AA,"&gt;="&amp;$B$1,'C1'!$W:$W,"&gt;="&amp;$B$1,'C1'!P:P,"&lt;=100",'C1'!D:D,"&lt;&gt;MN",'C1'!L:L,'PCA SUMMARY'!P73,'C1'!R:R,"NEW")</f>
        <v>13</v>
      </c>
      <c r="S73" s="786">
        <f>COUNTIFS('C1'!$W:$W,"&gt;="&amp;$B$1,'C1'!P:P,"&lt;=100",'C1'!D:D,"&lt;&gt;MN",'C1'!L:L,'PCA SUMMARY'!P73,'C1'!R:R,"NEW")</f>
        <v>15</v>
      </c>
      <c r="T73" s="790">
        <f t="shared" si="18"/>
        <v>0.23076923076923078</v>
      </c>
      <c r="U73" s="785">
        <f t="shared" si="17"/>
        <v>0.2</v>
      </c>
    </row>
    <row r="74" spans="1:36" ht="15.75" hidden="1" x14ac:dyDescent="0.25">
      <c r="A74" s="846" t="s">
        <v>1073</v>
      </c>
      <c r="B74" s="467" t="str">
        <f>VLOOKUP(A74,'C1'!E:W,2,FALSE)</f>
        <v>PHILIP SIGFRID ALFARO FORTUN</v>
      </c>
      <c r="C74" s="841" t="str">
        <f>VLOOKUP(A74,'C1'!E:W,10,FALSE)</f>
        <v>Ronilo Gange Jr.</v>
      </c>
      <c r="D74" s="841" t="str">
        <f>VLOOKUP(A74,'C1'!E:W,8,FALSE)</f>
        <v>ECOM</v>
      </c>
      <c r="E74" s="842">
        <f>VLOOKUP(A74,'C1'!E:W,19,FALSE)</f>
        <v>45534.603472222225</v>
      </c>
      <c r="F74" s="847" t="str">
        <f>VLOOKUP(A74,'C1'!E:W,9,FALSE)</f>
        <v>CLOSED-CAN</v>
      </c>
      <c r="G74" s="651" t="s">
        <v>4197</v>
      </c>
      <c r="I74" s="1040" t="str">
        <f>VLOOKUP(A74,'C1'!E:Y,14,FALSE)</f>
        <v>NEW</v>
      </c>
      <c r="P74" s="271" t="s">
        <v>312</v>
      </c>
      <c r="Q74" s="786">
        <f>COUNTIFS('C1'!$AA:$AA,"&gt;="&amp;$B$1,'C1'!$W:$W,"&gt;="&amp;$B$1,'C1'!P:P,"&lt;=100",'C1'!CB:CB,"&lt;=30",'C1'!D:D,"&lt;&gt;MN",'C1'!L:L,'PCA SUMMARY'!P74,'C1'!R:R,"NEW")</f>
        <v>0</v>
      </c>
      <c r="R74" s="787">
        <f>COUNTIFS('C1'!$AA:$AA,"&gt;="&amp;$B$1,'C1'!$W:$W,"&gt;="&amp;$B$1,'C1'!P:P,"&lt;=100",'C1'!D:D,"&lt;&gt;MN",'C1'!L:L,'PCA SUMMARY'!P74,'C1'!R:R,"NEW")</f>
        <v>0</v>
      </c>
      <c r="S74" s="786">
        <f>COUNTIFS('C1'!$W:$W,"&gt;="&amp;$B$1,'C1'!P:P,"&lt;=100",'C1'!D:D,"&lt;&gt;MN",'C1'!L:L,'PCA SUMMARY'!P74,'C1'!R:R,"NEW")</f>
        <v>0</v>
      </c>
      <c r="T74" s="790" t="e">
        <f t="shared" si="18"/>
        <v>#DIV/0!</v>
      </c>
      <c r="U74" s="785" t="e">
        <f t="shared" si="17"/>
        <v>#DIV/0!</v>
      </c>
    </row>
    <row r="75" spans="1:36" ht="15.75" hidden="1" x14ac:dyDescent="0.25">
      <c r="A75" s="846" t="s">
        <v>1201</v>
      </c>
      <c r="B75" s="467" t="str">
        <f>VLOOKUP(A75,'C1'!E:W,2,FALSE)</f>
        <v>DITO TELECOMMUNITY CORPORATION</v>
      </c>
      <c r="C75" s="841" t="str">
        <f>VLOOKUP(A75,'C1'!E:W,10,FALSE)</f>
        <v>Ronilo Gange Jr.</v>
      </c>
      <c r="D75" s="841" t="str">
        <f>VLOOKUP(A75,'C1'!E:W,8,FALSE)</f>
        <v>ECOM</v>
      </c>
      <c r="E75" s="842">
        <f>VLOOKUP(A75,'C1'!E:W,19,FALSE)</f>
        <v>45567.357638888891</v>
      </c>
      <c r="F75" s="847" t="str">
        <f>VLOOKUP(A75,'C1'!E:W,9,FALSE)</f>
        <v>CLOSED-CAN</v>
      </c>
      <c r="G75" s="651" t="s">
        <v>4197</v>
      </c>
      <c r="I75" s="1040" t="str">
        <f>VLOOKUP(A75,'C1'!E:Y,14,FALSE)</f>
        <v>NEW</v>
      </c>
      <c r="P75" s="772"/>
      <c r="Q75" s="792">
        <f>SUM(Q67:Q74)</f>
        <v>67</v>
      </c>
      <c r="R75" s="792">
        <f>SUM(R67:R74)</f>
        <v>175</v>
      </c>
      <c r="S75" s="792">
        <f>SUM(S67:S74)</f>
        <v>199</v>
      </c>
      <c r="T75" s="793">
        <f>Q75/R75</f>
        <v>0.38285714285714284</v>
      </c>
      <c r="U75" s="794">
        <f t="shared" si="17"/>
        <v>0.33668341708542715</v>
      </c>
    </row>
    <row r="76" spans="1:36" x14ac:dyDescent="0.25">
      <c r="A76" s="844" t="s">
        <v>1215</v>
      </c>
      <c r="B76" s="320" t="str">
        <f>VLOOKUP(A76,'C1'!E:W,2,FALSE)</f>
        <v>CHONA RODRIGUEZ GAN</v>
      </c>
      <c r="C76" s="90" t="str">
        <f>VLOOKUP(A76,'C1'!E:W,10,FALSE)</f>
        <v>Isan Carlo Lazaro</v>
      </c>
      <c r="D76" s="90" t="str">
        <f>VLOOKUP(A76,'C1'!E:W,8,FALSE)</f>
        <v>CHALLENGER</v>
      </c>
      <c r="E76" s="649">
        <f>VLOOKUP(A76,'C1'!E:W,19,FALSE)</f>
        <v>45568.703726851854</v>
      </c>
      <c r="F76" s="845" t="str">
        <f>VLOOKUP(A76,'C1'!E:W,9,FALSE)</f>
        <v>PCAN3</v>
      </c>
      <c r="G76" s="1015" t="s">
        <v>4183</v>
      </c>
      <c r="I76" s="1052" t="str">
        <f>VLOOKUP(A76,'C1'!E:Y,14,FALSE)</f>
        <v>MODIFICATION</v>
      </c>
      <c r="P76" s="772"/>
      <c r="S76" s="788"/>
    </row>
    <row r="77" spans="1:36" hidden="1" x14ac:dyDescent="0.25">
      <c r="A77" s="846" t="s">
        <v>1462</v>
      </c>
      <c r="B77" s="467" t="str">
        <f>VLOOKUP(A77,'C1'!E:W,2,FALSE)</f>
        <v>CHAN JULIE TANG,</v>
      </c>
      <c r="C77" s="841" t="str">
        <f>VLOOKUP(A77,'C1'!E:W,10,FALSE)</f>
        <v>Ronilo Gange Jr.</v>
      </c>
      <c r="D77" s="841" t="str">
        <f>VLOOKUP(A77,'C1'!E:W,8,FALSE)</f>
        <v>ECOM</v>
      </c>
      <c r="E77" s="842">
        <f>VLOOKUP(A77,'C1'!E:W,19,FALSE)</f>
        <v>45608.688888888886</v>
      </c>
      <c r="F77" s="847" t="str">
        <f>VLOOKUP(A77,'C1'!E:W,9,FALSE)</f>
        <v>CLOSED-CAN</v>
      </c>
      <c r="G77" s="651" t="s">
        <v>4197</v>
      </c>
      <c r="I77" s="1040" t="str">
        <f>VLOOKUP(A77,'C1'!E:Y,14,FALSE)</f>
        <v>RELOC</v>
      </c>
      <c r="P77" s="772"/>
      <c r="S77" s="788"/>
    </row>
    <row r="78" spans="1:36" ht="45" x14ac:dyDescent="0.25">
      <c r="A78" s="844" t="s">
        <v>1825</v>
      </c>
      <c r="B78" s="320" t="str">
        <f>VLOOKUP(A78,'C1'!E:W,2,FALSE)</f>
        <v>DITO TELECOMMUNITY CORPORATION</v>
      </c>
      <c r="C78" s="90" t="str">
        <f>VLOOKUP(A78,'C1'!E:W,10,FALSE)</f>
        <v>Isan Carlo Lazaro</v>
      </c>
      <c r="D78" s="90" t="str">
        <f>VLOOKUP(A78,'C1'!E:W,8,FALSE)</f>
        <v>POWERHOUSE</v>
      </c>
      <c r="E78" s="649">
        <f>VLOOKUP(A78,'C1'!E:W,19,FALSE)</f>
        <v>45639</v>
      </c>
      <c r="F78" s="845" t="str">
        <f>VLOOKUP(A78,'C1'!E:W,9,FALSE)</f>
        <v>PCAN3</v>
      </c>
      <c r="G78" s="1015" t="s">
        <v>4183</v>
      </c>
      <c r="I78" s="1052" t="str">
        <f>VLOOKUP(A78,'C1'!E:Y,14,FALSE)</f>
        <v>NEW</v>
      </c>
      <c r="P78" s="773" t="s">
        <v>4171</v>
      </c>
      <c r="Q78" s="775" t="s">
        <v>4192</v>
      </c>
      <c r="R78" s="775" t="s">
        <v>4193</v>
      </c>
      <c r="S78" s="776" t="s">
        <v>4194</v>
      </c>
      <c r="T78" s="789" t="s">
        <v>4195</v>
      </c>
      <c r="U78" s="777" t="s">
        <v>4196</v>
      </c>
    </row>
    <row r="79" spans="1:36" ht="15.75" x14ac:dyDescent="0.25">
      <c r="A79" s="844" t="s">
        <v>2353</v>
      </c>
      <c r="B79" s="320" t="str">
        <f>VLOOKUP(A79,'C1'!E:W,2,FALSE)</f>
        <v>CITY GOVERNMENT OF MUNTINLUPA</v>
      </c>
      <c r="C79" s="90" t="str">
        <f>VLOOKUP(A79,'C1'!E:W,10,FALSE)</f>
        <v>Isan Carlo Lazaro</v>
      </c>
      <c r="D79" s="90" t="str">
        <f>VLOOKUP(A79,'C1'!E:W,8,FALSE)</f>
        <v>MAINTENANCE</v>
      </c>
      <c r="E79" s="649">
        <f>VLOOKUP(A79,'C1'!E:W,19,FALSE)</f>
        <v>45698.609027777777</v>
      </c>
      <c r="F79" s="845" t="str">
        <f>VLOOKUP(A79,'C1'!E:W,9,FALSE)</f>
        <v>PCAN</v>
      </c>
      <c r="G79" s="1015" t="s">
        <v>4183</v>
      </c>
      <c r="I79" s="1052" t="str">
        <f>VLOOKUP(A79,'C1'!E:Y,14,FALSE)</f>
        <v>MODIFICATION</v>
      </c>
      <c r="P79" s="271" t="s">
        <v>263</v>
      </c>
      <c r="Q79" s="774">
        <f>COUNTIFS('C1'!$AA:$AA,"&gt;="&amp;$B$1,'C1'!$W:$W,"&gt;="&amp;$B$1,'C1'!P:P,"&gt;100",'C1'!P:P,"&lt;500",'C1'!CB:CB,"&lt;=30",'C1'!D:D,"&lt;&gt;MN",'C1'!L:L,'PCA SUMMARY'!P79,'C1'!R:R,"NEW")</f>
        <v>5</v>
      </c>
      <c r="R79" s="271">
        <f>COUNTIFS('C1'!$AA:$AA,"&gt;="&amp;$B$1,'C1'!$W:$W,"&gt;="&amp;$B$1,'C1'!P:P,"&gt;100",'C1'!P:P,"&lt;500",'C1'!D:D,"&lt;&gt;MN",'C1'!L:L,'PCA SUMMARY'!P79,'C1'!R:R,"NEW")</f>
        <v>16</v>
      </c>
      <c r="S79" s="774">
        <f>COUNTIFS('C1'!$W:$W,"&gt;="&amp;$B$1,'C1'!P:P,"&gt;100",'C1'!P:P,"&lt;500",'C1'!D:D,"&lt;&gt;MN",'C1'!L:L,'PCA SUMMARY'!P79,'C1'!R:R,"NEW")</f>
        <v>31</v>
      </c>
      <c r="T79" s="791">
        <f>Q79/R79</f>
        <v>0.3125</v>
      </c>
      <c r="U79" s="785">
        <f t="shared" ref="U79:U86" si="19">Q79/S79</f>
        <v>0.16129032258064516</v>
      </c>
    </row>
    <row r="80" spans="1:36" ht="15.75" x14ac:dyDescent="0.25">
      <c r="A80" s="844" t="s">
        <v>3507</v>
      </c>
      <c r="B80" s="320" t="str">
        <f>VLOOKUP(A80,'C1'!E:W,2,FALSE)</f>
        <v>101 SUPPLY CHAIN SOLUTIONS,INC</v>
      </c>
      <c r="C80" s="90" t="str">
        <f>VLOOKUP(A80,'C1'!E:W,10,FALSE)</f>
        <v>Isan Carlo Lazaro</v>
      </c>
      <c r="D80" s="90" t="str">
        <f>VLOOKUP(A80,'C1'!E:W,8,FALSE)</f>
        <v>POWERHOUSE</v>
      </c>
      <c r="E80" s="649">
        <f>VLOOKUP(A80,'C1'!E:W,19,FALSE)</f>
        <v>45821.673020833332</v>
      </c>
      <c r="F80" s="845" t="str">
        <f>VLOOKUP(A80,'C1'!E:W,9,FALSE)</f>
        <v>PCAN</v>
      </c>
      <c r="G80" s="1015" t="s">
        <v>4183</v>
      </c>
      <c r="I80" s="1052" t="str">
        <f>VLOOKUP(A80,'C1'!E:Y,14,FALSE)</f>
        <v>TERMINATION</v>
      </c>
      <c r="P80" s="271" t="s">
        <v>5</v>
      </c>
      <c r="Q80" s="786">
        <f>COUNTIFS('C1'!$AA:$AA,"&gt;="&amp;$B$1,'C1'!$W:$W,"&gt;="&amp;$B$1,'C1'!P:P,"&gt;100",'C1'!P:P,"&lt;500",'C1'!CB:CB,"&lt;=30",'C1'!D:D,"&lt;&gt;MN",'C1'!L:L,'PCA SUMMARY'!P80,'C1'!R:R,"NEW")</f>
        <v>11</v>
      </c>
      <c r="R80" s="787">
        <f>COUNTIFS('C1'!$AA:$AA,"&gt;="&amp;$B$1,'C1'!$W:$W,"&gt;="&amp;$B$1,'C1'!P:P,"&gt;100",'C1'!P:P,"&lt;500",'C1'!D:D,"&lt;&gt;MN",'C1'!L:L,'PCA SUMMARY'!P80,'C1'!R:R,"NEW")</f>
        <v>22</v>
      </c>
      <c r="S80" s="786">
        <f>COUNTIFS('C1'!$W:$W,"&gt;="&amp;$B$1,'C1'!P:P,"&gt;100",'C1'!P:P,"&lt;500",'C1'!D:D,"&lt;&gt;MN",'C1'!L:L,'PCA SUMMARY'!P80,'C1'!R:R,"NEW")</f>
        <v>24</v>
      </c>
      <c r="T80" s="790">
        <f t="shared" ref="T80:T86" si="20">Q80/R80</f>
        <v>0.5</v>
      </c>
      <c r="U80" s="785">
        <f t="shared" si="19"/>
        <v>0.45833333333333331</v>
      </c>
    </row>
    <row r="81" spans="1:21" ht="15.75" hidden="1" x14ac:dyDescent="0.25">
      <c r="A81" s="846" t="s">
        <v>840</v>
      </c>
      <c r="B81" s="467" t="str">
        <f>VLOOKUP(A81,'C1'!E:W,2,FALSE)</f>
        <v>JESUS, THE GOOD SHEPHERD CHURCH OF MUNTINLUPA, INC</v>
      </c>
      <c r="C81" s="840" t="str">
        <f>VLOOKUP(A81,'C1'!E:W,10,FALSE)</f>
        <v>Jemuel Peralta</v>
      </c>
      <c r="D81" s="841" t="str">
        <f>VLOOKUP(A81,'C1'!E:W,8,FALSE)</f>
        <v>CHALLENGER</v>
      </c>
      <c r="E81" s="842">
        <f>VLOOKUP(A81,'C1'!E:W,19,FALSE)</f>
        <v>45359.4</v>
      </c>
      <c r="F81" s="847" t="str">
        <f>VLOOKUP(A81,'C1'!E:W,9,FALSE)</f>
        <v>CAN</v>
      </c>
      <c r="G81" s="651" t="s">
        <v>4197</v>
      </c>
      <c r="H81" s="301">
        <v>45671</v>
      </c>
      <c r="I81" s="1040" t="str">
        <f>VLOOKUP(A81,'C1'!E:Y,14,FALSE)</f>
        <v>NEW</v>
      </c>
      <c r="P81" s="271" t="s">
        <v>242</v>
      </c>
      <c r="Q81" s="786">
        <f>COUNTIFS('C1'!$AA:$AA,"&gt;="&amp;$B$1,'C1'!$W:$W,"&gt;="&amp;$B$1,'C1'!P:P,"&gt;100",'C1'!P:P,"&lt;500",'C1'!CB:CB,"&lt;=30",'C1'!D:D,"&lt;&gt;MN",'C1'!L:L,'PCA SUMMARY'!P81,'C1'!R:R,"NEW")</f>
        <v>2</v>
      </c>
      <c r="R81" s="787">
        <f>COUNTIFS('C1'!$AA:$AA,"&gt;="&amp;$B$1,'C1'!$W:$W,"&gt;="&amp;$B$1,'C1'!P:P,"&gt;100",'C1'!P:P,"&lt;500",'C1'!D:D,"&lt;&gt;MN",'C1'!L:L,'PCA SUMMARY'!P81,'C1'!R:R,"NEW")</f>
        <v>10</v>
      </c>
      <c r="S81" s="786">
        <f>COUNTIFS('C1'!$W:$W,"&gt;="&amp;$B$1,'C1'!P:P,"&gt;100",'C1'!P:P,"&lt;500",'C1'!D:D,"&lt;&gt;MN",'C1'!L:L,'PCA SUMMARY'!P81,'C1'!R:R,"NEW")</f>
        <v>16</v>
      </c>
      <c r="T81" s="790">
        <f t="shared" si="20"/>
        <v>0.2</v>
      </c>
      <c r="U81" s="785">
        <f t="shared" si="19"/>
        <v>0.125</v>
      </c>
    </row>
    <row r="82" spans="1:21" ht="15.75" hidden="1" x14ac:dyDescent="0.25">
      <c r="A82" s="846" t="s">
        <v>942</v>
      </c>
      <c r="B82" s="467" t="str">
        <f>VLOOKUP(A82,'C1'!E:W,2,FALSE)</f>
        <v>VILLA LIGHT NEIGHBORHOOD ASSOCIATION INC.</v>
      </c>
      <c r="C82" s="840" t="str">
        <f>VLOOKUP(A82,'C1'!E:W,10,FALSE)</f>
        <v>Jenneth Madrid</v>
      </c>
      <c r="D82" s="840" t="str">
        <f>VLOOKUP(A82,'C1'!E:W,8,FALSE)</f>
        <v>VJC</v>
      </c>
      <c r="E82" s="842">
        <f>VLOOKUP(A82,'C1'!E:W,19,FALSE)</f>
        <v>45463.919444444444</v>
      </c>
      <c r="F82" s="847" t="str">
        <f>VLOOKUP(A82,'C1'!E:W,9,FALSE)</f>
        <v>CLOSED-CAN</v>
      </c>
      <c r="G82" s="651" t="s">
        <v>4197</v>
      </c>
      <c r="H82" s="301">
        <v>45737</v>
      </c>
      <c r="I82" s="1040" t="str">
        <f>VLOOKUP(A82,'C1'!E:Y,14,FALSE)</f>
        <v>NEW</v>
      </c>
      <c r="P82" s="271" t="s">
        <v>255</v>
      </c>
      <c r="Q82" s="786">
        <f>COUNTIFS('C1'!$AA:$AA,"&gt;="&amp;$B$1,'C1'!$W:$W,"&gt;="&amp;$B$1,'C1'!P:P,"&gt;100",'C1'!P:P,"&lt;500",'C1'!CB:CB,"&lt;=30",'C1'!D:D,"&lt;&gt;MN",'C1'!L:L,'PCA SUMMARY'!P82,'C1'!R:R,"NEW")</f>
        <v>0</v>
      </c>
      <c r="R82" s="787">
        <f>COUNTIFS('C1'!$AA:$AA,"&gt;="&amp;$B$1,'C1'!$W:$W,"&gt;="&amp;$B$1,'C1'!P:P,"&gt;100",'C1'!P:P,"&lt;500",'C1'!D:D,"&lt;&gt;MN",'C1'!L:L,'PCA SUMMARY'!P82,'C1'!R:R,"NEW")</f>
        <v>5</v>
      </c>
      <c r="S82" s="786">
        <f>COUNTIFS('C1'!$W:$W,"&gt;="&amp;$B$1,'C1'!P:P,"&gt;100",'C1'!P:P,"&lt;500",'C1'!D:D,"&lt;&gt;MN",'C1'!L:L,'PCA SUMMARY'!P82,'C1'!R:R,"NEW")</f>
        <v>15</v>
      </c>
      <c r="T82" s="790">
        <f t="shared" si="20"/>
        <v>0</v>
      </c>
      <c r="U82" s="785">
        <f t="shared" si="19"/>
        <v>0</v>
      </c>
    </row>
    <row r="83" spans="1:21" ht="15.75" hidden="1" x14ac:dyDescent="0.25">
      <c r="A83" s="846" t="s">
        <v>958</v>
      </c>
      <c r="B83" s="467" t="str">
        <f>VLOOKUP(A83,'C1'!E:W,2,FALSE)</f>
        <v>JOAN ANTONIO QUIMPO</v>
      </c>
      <c r="C83" s="840" t="str">
        <f>VLOOKUP(A83,'C1'!E:W,10,FALSE)</f>
        <v>Jemuel Peralta</v>
      </c>
      <c r="D83" s="840" t="str">
        <f>VLOOKUP(A83,'C1'!E:W,8,FALSE)</f>
        <v>CHALLENGER</v>
      </c>
      <c r="E83" s="842">
        <f>VLOOKUP(A83,'C1'!E:W,19,FALSE)</f>
        <v>45484.359722222223</v>
      </c>
      <c r="F83" s="847" t="str">
        <f>VLOOKUP(A83,'C1'!E:W,9,FALSE)</f>
        <v>CAN</v>
      </c>
      <c r="G83" s="651" t="s">
        <v>4197</v>
      </c>
      <c r="H83" s="301">
        <v>45768</v>
      </c>
      <c r="I83" s="1040" t="str">
        <f>VLOOKUP(A83,'C1'!E:Y,14,FALSE)</f>
        <v>NEW</v>
      </c>
      <c r="P83" s="271" t="s">
        <v>288</v>
      </c>
      <c r="Q83" s="786">
        <f>COUNTIFS('C1'!$AA:$AA,"&gt;="&amp;$B$1,'C1'!$W:$W,"&gt;="&amp;$B$1,'C1'!P:P,"&gt;100",'C1'!P:P,"&lt;500",'C1'!CB:CB,"&lt;=30",'C1'!D:D,"&lt;&gt;MN",'C1'!L:L,'PCA SUMMARY'!P83,'C1'!R:R,"NEW")</f>
        <v>10</v>
      </c>
      <c r="R83" s="787">
        <f>COUNTIFS('C1'!$AA:$AA,"&gt;="&amp;$B$1,'C1'!$W:$W,"&gt;="&amp;$B$1,'C1'!P:P,"&gt;100",'C1'!P:P,"&lt;500",'C1'!D:D,"&lt;&gt;MN",'C1'!L:L,'PCA SUMMARY'!P83,'C1'!R:R,"NEW")</f>
        <v>29</v>
      </c>
      <c r="S83" s="786">
        <f>COUNTIFS('C1'!$W:$W,"&gt;="&amp;$B$1,'C1'!P:P,"&gt;100",'C1'!P:P,"&lt;500",'C1'!D:D,"&lt;&gt;MN",'C1'!L:L,'PCA SUMMARY'!P83,'C1'!R:R,"NEW")</f>
        <v>40</v>
      </c>
      <c r="T83" s="790">
        <f t="shared" si="20"/>
        <v>0.34482758620689657</v>
      </c>
      <c r="U83" s="785">
        <f t="shared" si="19"/>
        <v>0.25</v>
      </c>
    </row>
    <row r="84" spans="1:21" ht="15.75" hidden="1" x14ac:dyDescent="0.25">
      <c r="A84" s="846" t="s">
        <v>968</v>
      </c>
      <c r="B84" s="467" t="str">
        <f>VLOOKUP(A84,'C1'!E:W,2,FALSE)</f>
        <v>DITO TELECOMMUNITY CORPORATION</v>
      </c>
      <c r="C84" s="840" t="str">
        <f>VLOOKUP(A84,'C1'!E:W,10,FALSE)</f>
        <v>Jenneth Madrid</v>
      </c>
      <c r="D84" s="840" t="str">
        <f>VLOOKUP(A84,'C1'!E:W,8,FALSE)</f>
        <v>VJC</v>
      </c>
      <c r="E84" s="842">
        <f>VLOOKUP(A84,'C1'!E:W,19,FALSE)</f>
        <v>45496.655555555553</v>
      </c>
      <c r="F84" s="847" t="str">
        <f>VLOOKUP(A84,'C1'!E:W,9,FALSE)</f>
        <v>CLOSED-CAN</v>
      </c>
      <c r="G84" s="651" t="s">
        <v>4197</v>
      </c>
      <c r="H84" s="301">
        <v>45710</v>
      </c>
      <c r="I84" s="1040" t="str">
        <f>VLOOKUP(A84,'C1'!E:Y,14,FALSE)</f>
        <v>NEW</v>
      </c>
      <c r="P84" s="271" t="s">
        <v>1945</v>
      </c>
      <c r="Q84" s="786">
        <f>COUNTIFS('C1'!$AA:$AA,"&gt;="&amp;$B$1,'C1'!$W:$W,"&gt;="&amp;$B$1,'C1'!P:P,"&gt;100",'C1'!P:P,"&lt;500",'C1'!CB:CB,"&lt;=30",'C1'!D:D,"&lt;&gt;MN",'C1'!L:L,'PCA SUMMARY'!P84,'C1'!R:R,"NEW")</f>
        <v>0</v>
      </c>
      <c r="R84" s="787">
        <f>COUNTIFS('C1'!$AA:$AA,"&gt;="&amp;$B$1,'C1'!$W:$W,"&gt;="&amp;$B$1,'C1'!P:P,"&gt;100",'C1'!P:P,"&lt;500",'C1'!D:D,"&lt;&gt;MN",'C1'!L:L,'PCA SUMMARY'!P84,'C1'!R:R,"NEW")</f>
        <v>0</v>
      </c>
      <c r="S84" s="786">
        <f>COUNTIFS('C1'!$W:$W,"&gt;="&amp;$B$1,'C1'!P:P,"&gt;100",'C1'!P:P,"&lt;500",'C1'!D:D,"&lt;&gt;MN",'C1'!L:L,'PCA SUMMARY'!P84,'C1'!R:R,"NEW")</f>
        <v>0</v>
      </c>
      <c r="T84" s="790" t="e">
        <f t="shared" si="20"/>
        <v>#DIV/0!</v>
      </c>
      <c r="U84" s="785" t="e">
        <f t="shared" si="19"/>
        <v>#DIV/0!</v>
      </c>
    </row>
    <row r="85" spans="1:21" ht="18.600000000000001" hidden="1" customHeight="1" x14ac:dyDescent="0.25">
      <c r="A85" s="846" t="s">
        <v>1006</v>
      </c>
      <c r="B85" s="467" t="str">
        <f>VLOOKUP(A85,'C1'!E:W,2,FALSE)</f>
        <v>DITO TELECOMMUNITY CORPORATION</v>
      </c>
      <c r="C85" s="840" t="str">
        <f>VLOOKUP(A85,'C1'!E:W,10,FALSE)</f>
        <v>Jenneth Madrid</v>
      </c>
      <c r="D85" s="840" t="str">
        <f>VLOOKUP(A85,'C1'!E:W,8,FALSE)</f>
        <v>VJC</v>
      </c>
      <c r="E85" s="842">
        <f>VLOOKUP(A85,'C1'!E:W,19,FALSE)</f>
        <v>45511.375694444447</v>
      </c>
      <c r="F85" s="847" t="str">
        <f>VLOOKUP(A85,'C1'!E:W,9,FALSE)</f>
        <v>CLOSED-CAN</v>
      </c>
      <c r="G85" s="651" t="s">
        <v>4197</v>
      </c>
      <c r="H85" s="301">
        <v>45777</v>
      </c>
      <c r="I85" s="1040" t="str">
        <f>VLOOKUP(A85,'C1'!E:Y,14,FALSE)</f>
        <v>NEW</v>
      </c>
      <c r="P85" s="271" t="s">
        <v>1957</v>
      </c>
      <c r="Q85" s="786">
        <f>COUNTIFS('C1'!$AA:$AA,"&gt;="&amp;$B$1,'C1'!$W:$W,"&gt;="&amp;$B$1,'C1'!P:P,"&gt;100",'C1'!P:P,"&lt;500",'C1'!CB:CB,"&lt;=30",'C1'!D:D,"&lt;&gt;MN",'C1'!L:L,'PCA SUMMARY'!P85,'C1'!R:R,"NEW")</f>
        <v>2</v>
      </c>
      <c r="R85" s="787">
        <f>COUNTIFS('C1'!$AA:$AA,"&gt;="&amp;$B$1,'C1'!$W:$W,"&gt;="&amp;$B$1,'C1'!P:P,"&gt;100",'C1'!P:P,"&lt;500",'C1'!D:D,"&lt;&gt;MN",'C1'!L:L,'PCA SUMMARY'!P85,'C1'!R:R,"NEW")</f>
        <v>3</v>
      </c>
      <c r="S85" s="786">
        <f>COUNTIFS('C1'!$W:$W,"&gt;="&amp;$B$1,'C1'!P:P,"&gt;100",'C1'!P:P,"&lt;500",'C1'!D:D,"&lt;&gt;MN",'C1'!L:L,'PCA SUMMARY'!P85,'C1'!R:R,"NEW")</f>
        <v>3</v>
      </c>
      <c r="T85" s="790">
        <f t="shared" si="20"/>
        <v>0.66666666666666663</v>
      </c>
      <c r="U85" s="785">
        <f t="shared" si="19"/>
        <v>0.66666666666666663</v>
      </c>
    </row>
    <row r="86" spans="1:21" ht="15.75" hidden="1" x14ac:dyDescent="0.25">
      <c r="A86" s="846" t="s">
        <v>1092</v>
      </c>
      <c r="B86" s="467" t="str">
        <f>VLOOKUP(A86,'C1'!E:W,2,FALSE)</f>
        <v>DITO TELECOMMUNITY CORPORATION</v>
      </c>
      <c r="C86" s="840" t="str">
        <f>VLOOKUP(A86,'C1'!E:W,10,FALSE)</f>
        <v>Jenneth Madrid</v>
      </c>
      <c r="D86" s="840" t="str">
        <f>VLOOKUP(A86,'C1'!E:W,8,FALSE)</f>
        <v>VJC</v>
      </c>
      <c r="E86" s="842">
        <f>VLOOKUP(A86,'C1'!E:W,19,FALSE)</f>
        <v>45537.420138888891</v>
      </c>
      <c r="F86" s="847" t="str">
        <f>VLOOKUP(A86,'C1'!E:W,9,FALSE)</f>
        <v>CLOSED-CAN</v>
      </c>
      <c r="G86" s="651" t="s">
        <v>4197</v>
      </c>
      <c r="H86" s="301">
        <v>45694</v>
      </c>
      <c r="I86" s="1040" t="str">
        <f>VLOOKUP(A86,'C1'!E:Y,14,FALSE)</f>
        <v>NEW</v>
      </c>
      <c r="P86" s="271" t="s">
        <v>312</v>
      </c>
      <c r="Q86" s="786">
        <f>COUNTIFS('C1'!$AA:$AA,"&gt;="&amp;$B$1,'C1'!$W:$W,"&gt;="&amp;$B$1,'C1'!P:P,"&gt;100",'C1'!P:P,"&lt;500",'C1'!CB:CB,"&lt;=30",'C1'!D:D,"&lt;&gt;MN",'C1'!L:L,'PCA SUMMARY'!P86,'C1'!R:R,"NEW")</f>
        <v>0</v>
      </c>
      <c r="R86" s="787">
        <f>COUNTIFS('C1'!$AA:$AA,"&gt;="&amp;$B$1,'C1'!$W:$W,"&gt;="&amp;$B$1,'C1'!P:P,"&gt;100",'C1'!P:P,"&lt;500",'C1'!D:D,"&lt;&gt;MN",'C1'!L:L,'PCA SUMMARY'!P86,'C1'!R:R,"NEW")</f>
        <v>0</v>
      </c>
      <c r="S86" s="786">
        <f>COUNTIFS('C1'!$W:$W,"&gt;="&amp;$B$1,'C1'!P:P,"&gt;100",'C1'!P:P,"&lt;500",'C1'!D:D,"&lt;&gt;MN",'C1'!L:L,'PCA SUMMARY'!P86,'C1'!R:R,"NEW")</f>
        <v>0</v>
      </c>
      <c r="T86" s="790" t="e">
        <f t="shared" si="20"/>
        <v>#DIV/0!</v>
      </c>
      <c r="U86" s="785" t="e">
        <f t="shared" si="19"/>
        <v>#DIV/0!</v>
      </c>
    </row>
    <row r="87" spans="1:21" ht="15.75" hidden="1" x14ac:dyDescent="0.25">
      <c r="A87" s="846" t="s">
        <v>1192</v>
      </c>
      <c r="B87" s="467" t="str">
        <f>VLOOKUP(A87,'C1'!E:W,2,FALSE)</f>
        <v>GREENLAND NEW LOWER BICUTAN NEIGHBORHOOD ASSOCIATI</v>
      </c>
      <c r="C87" s="840" t="str">
        <f>VLOOKUP(A87,'C1'!E:W,10,FALSE)</f>
        <v>Jenneth Madrid</v>
      </c>
      <c r="D87" s="840" t="str">
        <f>VLOOKUP(A87,'C1'!E:W,8,FALSE)</f>
        <v>VJC</v>
      </c>
      <c r="E87" s="842">
        <f>VLOOKUP(A87,'C1'!E:W,19,FALSE)</f>
        <v>45565.623611111114</v>
      </c>
      <c r="F87" s="847" t="str">
        <f>VLOOKUP(A87,'C1'!E:W,9,FALSE)</f>
        <v>CLOSED-CAN</v>
      </c>
      <c r="G87" s="651" t="s">
        <v>4197</v>
      </c>
      <c r="H87" s="301">
        <v>45730</v>
      </c>
      <c r="I87" s="1040" t="str">
        <f>VLOOKUP(A87,'C1'!E:Y,14,FALSE)</f>
        <v>NEW</v>
      </c>
      <c r="P87" s="771"/>
      <c r="Q87" s="792">
        <f>SUM(Q79:Q86)</f>
        <v>30</v>
      </c>
      <c r="R87" s="792">
        <f>SUM(R79:R86)</f>
        <v>85</v>
      </c>
      <c r="S87" s="792">
        <f>SUM(S79:S86)</f>
        <v>129</v>
      </c>
      <c r="T87" s="793">
        <f>Q87/R87</f>
        <v>0.35294117647058826</v>
      </c>
      <c r="U87" s="795">
        <f>Q87/S87</f>
        <v>0.23255813953488372</v>
      </c>
    </row>
    <row r="88" spans="1:21" hidden="1" x14ac:dyDescent="0.25">
      <c r="A88" s="846" t="s">
        <v>1198</v>
      </c>
      <c r="B88" s="467" t="str">
        <f>VLOOKUP(A88,'C1'!E:W,2,FALSE)</f>
        <v>DITO TELECOMMUNITY CORPORATION</v>
      </c>
      <c r="C88" s="840" t="str">
        <f>VLOOKUP(A88,'C1'!E:W,10,FALSE)</f>
        <v>Jenneth Madrid</v>
      </c>
      <c r="D88" s="840" t="str">
        <f>VLOOKUP(A88,'C1'!E:W,8,FALSE)</f>
        <v>VJC</v>
      </c>
      <c r="E88" s="842">
        <f>VLOOKUP(A88,'C1'!E:W,19,FALSE)</f>
        <v>45567.323611111111</v>
      </c>
      <c r="F88" s="847" t="str">
        <f>VLOOKUP(A88,'C1'!E:W,9,FALSE)</f>
        <v>CLOSED-CAN</v>
      </c>
      <c r="G88" s="651" t="s">
        <v>4197</v>
      </c>
      <c r="H88" s="301">
        <v>45694</v>
      </c>
      <c r="I88" s="1040" t="str">
        <f>VLOOKUP(A88,'C1'!E:Y,14,FALSE)</f>
        <v>NEW</v>
      </c>
      <c r="P88" s="772"/>
    </row>
    <row r="89" spans="1:21" ht="45" hidden="1" x14ac:dyDescent="0.25">
      <c r="A89" s="846" t="s">
        <v>1270</v>
      </c>
      <c r="B89" s="467" t="str">
        <f>VLOOKUP(A89,'C1'!E:W,2,FALSE)</f>
        <v>CONVERGE INFORMATION AND COMMUNICATIONS TECHNOLOGY</v>
      </c>
      <c r="C89" s="840" t="str">
        <f>VLOOKUP(A89,'C1'!E:W,10,FALSE)</f>
        <v>Jenneth Madrid</v>
      </c>
      <c r="D89" s="840" t="str">
        <f>VLOOKUP(A89,'C1'!E:W,8,FALSE)</f>
        <v>VJC</v>
      </c>
      <c r="E89" s="842">
        <f>VLOOKUP(A89,'C1'!E:W,19,FALSE)</f>
        <v>45580.627384259256</v>
      </c>
      <c r="F89" s="847" t="str">
        <f>VLOOKUP(A89,'C1'!E:W,9,FALSE)</f>
        <v>CLOSED-CAN</v>
      </c>
      <c r="G89" s="651" t="s">
        <v>4197</v>
      </c>
      <c r="H89" s="301">
        <v>45694</v>
      </c>
      <c r="I89" s="1040" t="str">
        <f>VLOOKUP(A89,'C1'!E:Y,14,FALSE)</f>
        <v>NEW</v>
      </c>
      <c r="P89" s="773" t="s">
        <v>4170</v>
      </c>
      <c r="Q89" s="775" t="s">
        <v>4192</v>
      </c>
      <c r="R89" s="775" t="s">
        <v>4193</v>
      </c>
      <c r="S89" s="776" t="s">
        <v>4194</v>
      </c>
      <c r="T89" s="789" t="s">
        <v>4195</v>
      </c>
      <c r="U89" s="777" t="s">
        <v>4196</v>
      </c>
    </row>
    <row r="90" spans="1:21" ht="15.75" hidden="1" x14ac:dyDescent="0.25">
      <c r="A90" s="846" t="s">
        <v>1531</v>
      </c>
      <c r="B90" s="467" t="str">
        <f>VLOOKUP(A90,'C1'!E:W,2,FALSE)</f>
        <v>NOEMI A SUMINISTRADO</v>
      </c>
      <c r="C90" s="840" t="str">
        <f>VLOOKUP(A90,'C1'!E:W,10,FALSE)</f>
        <v>Jenneth Madrid</v>
      </c>
      <c r="D90" s="841" t="str">
        <f>VLOOKUP(A90,'C1'!E:W,8,FALSE)</f>
        <v>VJC</v>
      </c>
      <c r="E90" s="842">
        <f>VLOOKUP(A90,'C1'!E:W,19,FALSE)</f>
        <v>45616.442974537036</v>
      </c>
      <c r="F90" s="847" t="str">
        <f>VLOOKUP(A90,'C1'!E:W,9,FALSE)</f>
        <v>CLOSED-CAN</v>
      </c>
      <c r="G90" s="651" t="s">
        <v>4197</v>
      </c>
      <c r="H90" s="301">
        <v>45749</v>
      </c>
      <c r="I90" s="1040" t="str">
        <f>VLOOKUP(A90,'C1'!E:Y,14,FALSE)</f>
        <v>NEW</v>
      </c>
      <c r="P90" s="271" t="s">
        <v>263</v>
      </c>
      <c r="Q90" s="786">
        <f>COUNTIFS('C1'!$AA:$AA,"&gt;="&amp;$B$1,'C1'!$W:$W,"&gt;="&amp;$B$1,'C1'!P:P,"&gt;500",'C1'!CB:CB,"&lt;=30",'C1'!D:D,"&lt;&gt;MN",'C1'!L:L,'PCA SUMMARY'!P90,'C1'!R:R,"NEW")</f>
        <v>1</v>
      </c>
      <c r="R90" s="787">
        <f>COUNTIFS('C1'!$AA:$AA,"&gt;="&amp;$B$1,'C1'!$W:$W,"&gt;="&amp;$B$1,'C1'!P:P,"&gt;500",'C1'!D:D,"&lt;&gt;MN",'C1'!L:L,'PCA SUMMARY'!P90,'C1'!R:R,"NEW")</f>
        <v>4</v>
      </c>
      <c r="S90" s="786">
        <f>COUNTIFS('C1'!$W:$W,"&gt;="&amp;$B$1,'C1'!P:P,"&gt;500",'C1'!D:D,"&lt;&gt;MN",'C1'!L:L,'PCA SUMMARY'!P90,'C1'!R:R,"NEW")</f>
        <v>11</v>
      </c>
      <c r="T90" s="790">
        <f>Q90/R90</f>
        <v>0.25</v>
      </c>
      <c r="U90" s="785">
        <f t="shared" ref="U90:U97" si="21">Q90/S90</f>
        <v>9.0909090909090912E-2</v>
      </c>
    </row>
    <row r="91" spans="1:21" ht="15.75" hidden="1" x14ac:dyDescent="0.25">
      <c r="A91" s="846" t="s">
        <v>1666</v>
      </c>
      <c r="B91" s="467" t="str">
        <f>VLOOKUP(A91,'C1'!E:W,2,FALSE)</f>
        <v>SM DEVELOPMENT CORPORATION,</v>
      </c>
      <c r="C91" s="840" t="str">
        <f>VLOOKUP(A91,'C1'!E:W,10,FALSE)</f>
        <v>Jenneth Madrid</v>
      </c>
      <c r="D91" s="841" t="str">
        <f>VLOOKUP(A91,'C1'!E:W,8,FALSE)</f>
        <v>VJC</v>
      </c>
      <c r="E91" s="842">
        <f>VLOOKUP(A91,'C1'!E:W,19,FALSE)</f>
        <v>45628.646527777775</v>
      </c>
      <c r="F91" s="847" t="str">
        <f>VLOOKUP(A91,'C1'!E:W,9,FALSE)</f>
        <v>CLOSED-CAN</v>
      </c>
      <c r="G91" s="651" t="s">
        <v>4197</v>
      </c>
      <c r="H91" s="301">
        <v>45737</v>
      </c>
      <c r="I91" s="1040" t="str">
        <f>VLOOKUP(A91,'C1'!E:Y,14,FALSE)</f>
        <v>NEW</v>
      </c>
      <c r="P91" s="271" t="s">
        <v>5</v>
      </c>
      <c r="Q91" s="786">
        <f>COUNTIFS('C1'!$AA:$AA,"&gt;="&amp;$B$1,'C1'!$W:$W,"&gt;="&amp;$B$1,'C1'!P:P,"&gt;500",'C1'!CB:CB,"&lt;=30",'C1'!D:D,"&lt;&gt;MN",'C1'!L:L,'PCA SUMMARY'!P91,'C1'!R:R,"NEW")</f>
        <v>0</v>
      </c>
      <c r="R91" s="787">
        <f>COUNTIFS('C1'!$AA:$AA,"&gt;="&amp;$B$1,'C1'!$W:$W,"&gt;="&amp;$B$1,'C1'!P:P,"&gt;500",'C1'!D:D,"&lt;&gt;MN",'C1'!L:L,'PCA SUMMARY'!P91,'C1'!R:R,"NEW")</f>
        <v>2</v>
      </c>
      <c r="S91" s="786">
        <f>COUNTIFS('C1'!$W:$W,"&gt;="&amp;$B$1,'C1'!P:P,"&gt;500",'C1'!D:D,"&lt;&gt;MN",'C1'!L:L,'PCA SUMMARY'!P91,'C1'!R:R,"NEW")</f>
        <v>4</v>
      </c>
      <c r="T91" s="790">
        <f t="shared" ref="T91:T97" si="22">Q91/R91</f>
        <v>0</v>
      </c>
      <c r="U91" s="785">
        <f t="shared" si="21"/>
        <v>0</v>
      </c>
    </row>
    <row r="92" spans="1:21" ht="15.75" hidden="1" x14ac:dyDescent="0.25">
      <c r="A92" s="848" t="s">
        <v>1810</v>
      </c>
      <c r="B92" s="467" t="str">
        <f>VLOOKUP(A92,'C1'!E:W,2,FALSE)</f>
        <v>VILLA LIGHT NEIGHBORHOOD ASSOCIATION INC.</v>
      </c>
      <c r="C92" s="849" t="str">
        <f>VLOOKUP(A92,'C1'!E:W,10,FALSE)</f>
        <v>Jenneth Madrid</v>
      </c>
      <c r="D92" s="849" t="str">
        <f>VLOOKUP(A92,'C1'!E:W,8,FALSE)</f>
        <v>VJC</v>
      </c>
      <c r="E92" s="850">
        <f>VLOOKUP(A92,'C1'!E:W,19,FALSE)</f>
        <v>45637.668449074074</v>
      </c>
      <c r="F92" s="851" t="str">
        <f>VLOOKUP(A92,'C1'!E:W,9,FALSE)</f>
        <v>CLOSED-CAN</v>
      </c>
      <c r="G92" s="651" t="s">
        <v>4197</v>
      </c>
      <c r="H92" s="301">
        <v>45737</v>
      </c>
      <c r="I92" s="1040" t="str">
        <f>VLOOKUP(A92,'C1'!E:Y,14,FALSE)</f>
        <v>NEW</v>
      </c>
      <c r="P92" s="271" t="s">
        <v>242</v>
      </c>
      <c r="Q92" s="786">
        <f>COUNTIFS('C1'!$AA:$AA,"&gt;="&amp;$B$1,'C1'!$W:$W,"&gt;="&amp;$B$1,'C1'!P:P,"&gt;500",'C1'!CB:CB,"&lt;=30",'C1'!D:D,"&lt;&gt;MN",'C1'!L:L,'PCA SUMMARY'!P92,'C1'!R:R,"NEW")</f>
        <v>0</v>
      </c>
      <c r="R92" s="787">
        <f>COUNTIFS('C1'!$AA:$AA,"&gt;="&amp;$B$1,'C1'!$W:$W,"&gt;="&amp;$B$1,'C1'!P:P,"&gt;500",'C1'!D:D,"&lt;&gt;MN",'C1'!L:L,'PCA SUMMARY'!P92,'C1'!R:R,"NEW")</f>
        <v>0</v>
      </c>
      <c r="S92" s="786">
        <f>COUNTIFS('C1'!$W:$W,"&gt;="&amp;$B$1,'C1'!P:P,"&gt;500",'C1'!D:D,"&lt;&gt;MN",'C1'!L:L,'PCA SUMMARY'!P92,'C1'!R:R,"NEW")</f>
        <v>7</v>
      </c>
      <c r="T92" s="790" t="e">
        <f t="shared" si="22"/>
        <v>#DIV/0!</v>
      </c>
      <c r="U92" s="785">
        <f t="shared" si="21"/>
        <v>0</v>
      </c>
    </row>
    <row r="93" spans="1:21" ht="15.75" x14ac:dyDescent="0.25">
      <c r="B93" s="320"/>
      <c r="P93" s="271" t="s">
        <v>255</v>
      </c>
      <c r="Q93" s="786">
        <f>COUNTIFS('C1'!$AA:$AA,"&gt;="&amp;$B$1,'C1'!$W:$W,"&gt;="&amp;$B$1,'C1'!P:P,"&gt;500",'C1'!CB:CB,"&lt;=30",'C1'!D:D,"&lt;&gt;MN",'C1'!L:L,'PCA SUMMARY'!P93,'C1'!R:R,"NEW")</f>
        <v>0</v>
      </c>
      <c r="R93" s="787">
        <f>COUNTIFS('C1'!$AA:$AA,"&gt;="&amp;$B$1,'C1'!$W:$W,"&gt;="&amp;$B$1,'C1'!P:P,"&gt;500",'C1'!D:D,"&lt;&gt;MN",'C1'!L:L,'PCA SUMMARY'!P93,'C1'!R:R,"NEW")</f>
        <v>2</v>
      </c>
      <c r="S93" s="786">
        <f>COUNTIFS('C1'!$W:$W,"&gt;="&amp;$B$1,'C1'!P:P,"&gt;500",'C1'!D:D,"&lt;&gt;MN",'C1'!L:L,'PCA SUMMARY'!P93,'C1'!R:R,"NEW")</f>
        <v>6</v>
      </c>
      <c r="T93" s="790">
        <f t="shared" si="22"/>
        <v>0</v>
      </c>
      <c r="U93" s="785">
        <f t="shared" si="21"/>
        <v>0</v>
      </c>
    </row>
    <row r="94" spans="1:21" ht="15.75" x14ac:dyDescent="0.25">
      <c r="P94" s="271" t="s">
        <v>288</v>
      </c>
      <c r="Q94" s="786">
        <f>COUNTIFS('C1'!$AA:$AA,"&gt;="&amp;$B$1,'C1'!$W:$W,"&gt;="&amp;$B$1,'C1'!P:P,"&gt;500",'C1'!CB:CB,"&lt;=30",'C1'!D:D,"&lt;&gt;MN",'C1'!L:L,'PCA SUMMARY'!P94,'C1'!R:R,"NEW")</f>
        <v>1</v>
      </c>
      <c r="R94" s="787">
        <f>COUNTIFS('C1'!$AA:$AA,"&gt;="&amp;$B$1,'C1'!$W:$W,"&gt;="&amp;$B$1,'C1'!P:P,"&gt;500",'C1'!D:D,"&lt;&gt;MN",'C1'!L:L,'PCA SUMMARY'!P94,'C1'!R:R,"NEW")</f>
        <v>7</v>
      </c>
      <c r="S94" s="786">
        <f>COUNTIFS('C1'!$W:$W,"&gt;="&amp;$B$1,'C1'!P:P,"&gt;500",'C1'!D:D,"&lt;&gt;MN",'C1'!L:L,'PCA SUMMARY'!P94,'C1'!R:R,"NEW")</f>
        <v>12</v>
      </c>
      <c r="T94" s="790">
        <f t="shared" si="22"/>
        <v>0.14285714285714285</v>
      </c>
      <c r="U94" s="785">
        <f t="shared" si="21"/>
        <v>8.3333333333333329E-2</v>
      </c>
    </row>
    <row r="95" spans="1:21" ht="15.75" x14ac:dyDescent="0.25">
      <c r="P95" s="271" t="s">
        <v>1945</v>
      </c>
      <c r="Q95" s="786">
        <f>COUNTIFS('C1'!$AA:$AA,"&gt;="&amp;$B$1,'C1'!$W:$W,"&gt;="&amp;$B$1,'C1'!P:P,"&gt;500",'C1'!CB:CB,"&lt;=30",'C1'!D:D,"&lt;&gt;MN",'C1'!L:L,'PCA SUMMARY'!P95,'C1'!R:R,"NEW")</f>
        <v>0</v>
      </c>
      <c r="R95" s="787">
        <f>COUNTIFS('C1'!$AA:$AA,"&gt;="&amp;$B$1,'C1'!$W:$W,"&gt;="&amp;$B$1,'C1'!P:P,"&gt;500",'C1'!D:D,"&lt;&gt;MN",'C1'!L:L,'PCA SUMMARY'!P95,'C1'!R:R,"NEW")</f>
        <v>0</v>
      </c>
      <c r="S95" s="786">
        <f>COUNTIFS('C1'!$W:$W,"&gt;="&amp;$B$1,'C1'!P:P,"&gt;500",'C1'!D:D,"&lt;&gt;MN",'C1'!L:L,'PCA SUMMARY'!P95,'C1'!R:R,"NEW")</f>
        <v>0</v>
      </c>
      <c r="T95" s="790" t="e">
        <f t="shared" si="22"/>
        <v>#DIV/0!</v>
      </c>
      <c r="U95" s="785" t="e">
        <f t="shared" si="21"/>
        <v>#DIV/0!</v>
      </c>
    </row>
    <row r="96" spans="1:21" ht="15.75" x14ac:dyDescent="0.25">
      <c r="P96" s="271" t="s">
        <v>1957</v>
      </c>
      <c r="Q96" s="786">
        <f>COUNTIFS('C1'!$AA:$AA,"&gt;="&amp;$B$1,'C1'!$W:$W,"&gt;="&amp;$B$1,'C1'!P:P,"&gt;500",'C1'!CB:CB,"&lt;=30",'C1'!D:D,"&lt;&gt;MN",'C1'!L:L,'PCA SUMMARY'!P96,'C1'!R:R,"NEW")</f>
        <v>0</v>
      </c>
      <c r="R96" s="787">
        <f>COUNTIFS('C1'!$AA:$AA,"&gt;="&amp;$B$1,'C1'!$W:$W,"&gt;="&amp;$B$1,'C1'!P:P,"&gt;500",'C1'!D:D,"&lt;&gt;MN",'C1'!L:L,'PCA SUMMARY'!P96,'C1'!R:R,"NEW")</f>
        <v>0</v>
      </c>
      <c r="S96" s="786">
        <f>COUNTIFS('C1'!$W:$W,"&gt;="&amp;$B$1,'C1'!P:P,"&gt;500",'C1'!D:D,"&lt;&gt;MN",'C1'!L:L,'PCA SUMMARY'!P96,'C1'!R:R,"NEW")</f>
        <v>0</v>
      </c>
      <c r="T96" s="790" t="e">
        <f t="shared" si="22"/>
        <v>#DIV/0!</v>
      </c>
      <c r="U96" s="785" t="e">
        <f t="shared" si="21"/>
        <v>#DIV/0!</v>
      </c>
    </row>
    <row r="97" spans="16:21" ht="15.75" x14ac:dyDescent="0.25">
      <c r="P97" s="271" t="s">
        <v>312</v>
      </c>
      <c r="Q97" s="786">
        <f>COUNTIFS('C1'!$AA:$AA,"&gt;="&amp;$B$1,'C1'!$W:$W,"&gt;="&amp;$B$1,'C1'!P:P,"&gt;500",'C1'!CB:CB,"&lt;=30",'C1'!D:D,"&lt;&gt;MN",'C1'!L:L,'PCA SUMMARY'!P97,'C1'!R:R,"NEW")</f>
        <v>0</v>
      </c>
      <c r="R97" s="787">
        <f>COUNTIFS('C1'!$AA:$AA,"&gt;="&amp;$B$1,'C1'!$W:$W,"&gt;="&amp;$B$1,'C1'!P:P,"&gt;500",'C1'!D:D,"&lt;&gt;MN",'C1'!L:L,'PCA SUMMARY'!P97,'C1'!R:R,"NEW")</f>
        <v>0</v>
      </c>
      <c r="S97" s="786">
        <f>COUNTIFS('C1'!$W:$W,"&gt;="&amp;$B$1,'C1'!P:P,"&gt;500",'C1'!D:D,"&lt;&gt;MN",'C1'!L:L,'PCA SUMMARY'!P97,'C1'!R:R,"NEW")</f>
        <v>0</v>
      </c>
      <c r="T97" s="790" t="e">
        <f t="shared" si="22"/>
        <v>#DIV/0!</v>
      </c>
      <c r="U97" s="785" t="e">
        <f t="shared" si="21"/>
        <v>#DIV/0!</v>
      </c>
    </row>
    <row r="98" spans="16:21" ht="15.75" x14ac:dyDescent="0.25">
      <c r="Q98" s="792">
        <f>SUM(Q90:Q97)</f>
        <v>2</v>
      </c>
      <c r="R98" s="792">
        <f>SUM(R90:R97)</f>
        <v>15</v>
      </c>
      <c r="S98" s="792">
        <f>SUM(S90:S97)</f>
        <v>40</v>
      </c>
      <c r="T98" s="793">
        <f>Q98/R98</f>
        <v>0.13333333333333333</v>
      </c>
      <c r="U98" s="795">
        <f>Q98/S98</f>
        <v>0.05</v>
      </c>
    </row>
    <row r="99" spans="16:21" ht="15.75" thickBot="1" x14ac:dyDescent="0.3"/>
    <row r="100" spans="16:21" ht="14.85" customHeight="1" x14ac:dyDescent="0.25">
      <c r="P100" s="1184" t="s">
        <v>4109</v>
      </c>
      <c r="Q100" s="1167">
        <f>Q75+Q87+Q98</f>
        <v>99</v>
      </c>
      <c r="R100" s="1167">
        <f t="shared" ref="R100:S100" si="23">R75+R87+R98</f>
        <v>275</v>
      </c>
      <c r="S100" s="1167">
        <f t="shared" si="23"/>
        <v>368</v>
      </c>
      <c r="T100" s="1185">
        <f>Q100/R100</f>
        <v>0.36</v>
      </c>
      <c r="U100" s="1169">
        <f>Q100/S100</f>
        <v>0.26902173913043476</v>
      </c>
    </row>
    <row r="101" spans="16:21" ht="15" customHeight="1" thickBot="1" x14ac:dyDescent="0.3">
      <c r="P101" s="1184"/>
      <c r="Q101" s="1168"/>
      <c r="R101" s="1168"/>
      <c r="S101" s="1168"/>
      <c r="T101" s="1186"/>
      <c r="U101" s="1170"/>
    </row>
    <row r="158" spans="2:5" ht="15.75" x14ac:dyDescent="0.25">
      <c r="B158" s="294" t="s">
        <v>4198</v>
      </c>
      <c r="C158" s="23"/>
    </row>
    <row r="159" spans="2:5" x14ac:dyDescent="0.25">
      <c r="B159" s="262">
        <v>2024</v>
      </c>
      <c r="C159" s="23"/>
    </row>
    <row r="160" spans="2:5" ht="15.75" x14ac:dyDescent="0.25">
      <c r="B160" s="265" t="s">
        <v>4199</v>
      </c>
      <c r="C160" s="263" t="s">
        <v>4157</v>
      </c>
      <c r="D160" s="293" t="s">
        <v>4200</v>
      </c>
      <c r="E160" s="263" t="s">
        <v>4139</v>
      </c>
    </row>
    <row r="161" spans="2:5" x14ac:dyDescent="0.25">
      <c r="B161" s="70" t="s">
        <v>4201</v>
      </c>
      <c r="C161" s="23">
        <v>321</v>
      </c>
      <c r="D161" s="261">
        <v>24351.415000000001</v>
      </c>
      <c r="E161" s="261">
        <v>35753.435179999979</v>
      </c>
    </row>
    <row r="162" spans="2:5" x14ac:dyDescent="0.25">
      <c r="B162" s="266" t="s">
        <v>284</v>
      </c>
      <c r="C162" s="23">
        <v>64</v>
      </c>
      <c r="D162" s="261">
        <v>4436</v>
      </c>
      <c r="E162" s="261">
        <v>3795.9807999999998</v>
      </c>
    </row>
    <row r="163" spans="2:5" x14ac:dyDescent="0.25">
      <c r="B163" s="355" t="s">
        <v>548</v>
      </c>
      <c r="C163" s="23">
        <v>5</v>
      </c>
      <c r="D163" s="261">
        <v>752</v>
      </c>
      <c r="E163" s="261">
        <v>945.49599999999987</v>
      </c>
    </row>
    <row r="164" spans="2:5" x14ac:dyDescent="0.25">
      <c r="B164" s="355" t="s">
        <v>244</v>
      </c>
      <c r="C164" s="23">
        <v>43</v>
      </c>
      <c r="D164" s="261">
        <v>3684</v>
      </c>
      <c r="E164" s="261">
        <v>1983.5809999999997</v>
      </c>
    </row>
    <row r="165" spans="2:5" x14ac:dyDescent="0.25">
      <c r="B165" s="355" t="s">
        <v>568</v>
      </c>
      <c r="C165" s="23">
        <v>2</v>
      </c>
      <c r="D165" s="261">
        <v>0</v>
      </c>
      <c r="E165" s="261">
        <v>275.75029999999998</v>
      </c>
    </row>
    <row r="166" spans="2:5" x14ac:dyDescent="0.25">
      <c r="B166" s="355" t="s">
        <v>327</v>
      </c>
      <c r="C166" s="23">
        <v>1</v>
      </c>
      <c r="D166" s="261">
        <v>0</v>
      </c>
      <c r="E166" s="261">
        <v>81.420100000000005</v>
      </c>
    </row>
    <row r="167" spans="2:5" x14ac:dyDescent="0.25">
      <c r="B167" s="355" t="s">
        <v>319</v>
      </c>
      <c r="C167" s="23">
        <v>13</v>
      </c>
      <c r="D167" s="261">
        <v>0</v>
      </c>
      <c r="E167" s="261">
        <v>509.73340000000007</v>
      </c>
    </row>
    <row r="168" spans="2:5" x14ac:dyDescent="0.25">
      <c r="B168" s="266" t="s">
        <v>234</v>
      </c>
      <c r="C168" s="23">
        <v>54</v>
      </c>
      <c r="D168" s="261">
        <v>11732</v>
      </c>
      <c r="E168" s="261">
        <v>8070.7594999999983</v>
      </c>
    </row>
    <row r="169" spans="2:5" x14ac:dyDescent="0.25">
      <c r="B169" s="355" t="s">
        <v>548</v>
      </c>
      <c r="C169" s="23">
        <v>5</v>
      </c>
      <c r="D169" s="261">
        <v>105</v>
      </c>
      <c r="E169" s="261">
        <v>318.8777</v>
      </c>
    </row>
    <row r="170" spans="2:5" x14ac:dyDescent="0.25">
      <c r="B170" s="355" t="s">
        <v>244</v>
      </c>
      <c r="C170" s="23">
        <v>32</v>
      </c>
      <c r="D170" s="261">
        <v>11627</v>
      </c>
      <c r="E170" s="261">
        <v>3930.3896000000009</v>
      </c>
    </row>
    <row r="171" spans="2:5" x14ac:dyDescent="0.25">
      <c r="B171" s="355" t="s">
        <v>568</v>
      </c>
      <c r="C171" s="23">
        <v>2</v>
      </c>
      <c r="D171" s="261">
        <v>0</v>
      </c>
      <c r="E171" s="261">
        <v>314.65350000000001</v>
      </c>
    </row>
    <row r="172" spans="2:5" x14ac:dyDescent="0.25">
      <c r="B172" s="355" t="s">
        <v>4202</v>
      </c>
      <c r="C172" s="23">
        <v>2</v>
      </c>
      <c r="D172" s="261">
        <v>0</v>
      </c>
      <c r="E172" s="261">
        <v>1442.094800000001</v>
      </c>
    </row>
    <row r="173" spans="2:5" x14ac:dyDescent="0.25">
      <c r="B173" s="355" t="s">
        <v>327</v>
      </c>
      <c r="C173" s="23">
        <v>7</v>
      </c>
      <c r="D173" s="261">
        <v>0</v>
      </c>
      <c r="E173" s="261">
        <v>1360.9624999999994</v>
      </c>
    </row>
    <row r="174" spans="2:5" x14ac:dyDescent="0.25">
      <c r="B174" s="355" t="s">
        <v>319</v>
      </c>
      <c r="C174" s="23">
        <v>6</v>
      </c>
      <c r="D174" s="261">
        <v>0</v>
      </c>
      <c r="E174" s="261">
        <v>703.78139999999985</v>
      </c>
    </row>
    <row r="175" spans="2:5" x14ac:dyDescent="0.25">
      <c r="B175" s="266" t="s">
        <v>320</v>
      </c>
      <c r="C175" s="23">
        <v>151</v>
      </c>
      <c r="D175" s="261">
        <v>8161.4149999999991</v>
      </c>
      <c r="E175" s="261">
        <v>18729.540279999983</v>
      </c>
    </row>
    <row r="176" spans="2:5" x14ac:dyDescent="0.25">
      <c r="B176" s="355" t="s">
        <v>548</v>
      </c>
      <c r="C176" s="23">
        <v>57</v>
      </c>
      <c r="D176" s="261">
        <v>3510.3749999999995</v>
      </c>
      <c r="E176" s="261">
        <v>5276.5132499999991</v>
      </c>
    </row>
    <row r="177" spans="2:5" x14ac:dyDescent="0.25">
      <c r="B177" s="355" t="s">
        <v>244</v>
      </c>
      <c r="C177" s="23">
        <v>65</v>
      </c>
      <c r="D177" s="261">
        <v>4651.0400000000009</v>
      </c>
      <c r="E177" s="261">
        <v>11830.078399999999</v>
      </c>
    </row>
    <row r="178" spans="2:5" x14ac:dyDescent="0.25">
      <c r="B178" s="355" t="s">
        <v>568</v>
      </c>
      <c r="C178" s="23">
        <v>7</v>
      </c>
      <c r="D178" s="261">
        <v>0</v>
      </c>
      <c r="E178" s="261">
        <v>390.91675000000004</v>
      </c>
    </row>
    <row r="179" spans="2:5" x14ac:dyDescent="0.25">
      <c r="B179" s="355" t="s">
        <v>4202</v>
      </c>
      <c r="C179" s="23">
        <v>1</v>
      </c>
      <c r="D179" s="261">
        <v>0</v>
      </c>
      <c r="E179" s="261">
        <v>261.88480000000004</v>
      </c>
    </row>
    <row r="180" spans="2:5" x14ac:dyDescent="0.25">
      <c r="B180" s="355" t="s">
        <v>327</v>
      </c>
      <c r="C180" s="23">
        <v>21</v>
      </c>
      <c r="D180" s="261">
        <v>0</v>
      </c>
      <c r="E180" s="261">
        <v>970.14707999999973</v>
      </c>
    </row>
    <row r="181" spans="2:5" x14ac:dyDescent="0.25">
      <c r="B181" s="266" t="s">
        <v>361</v>
      </c>
      <c r="C181" s="23">
        <v>47</v>
      </c>
      <c r="D181" s="261">
        <v>0</v>
      </c>
      <c r="E181" s="261">
        <v>2060.2747999999997</v>
      </c>
    </row>
    <row r="182" spans="2:5" x14ac:dyDescent="0.25">
      <c r="B182" s="355" t="s">
        <v>368</v>
      </c>
      <c r="C182" s="23">
        <v>19</v>
      </c>
      <c r="D182" s="261">
        <v>0</v>
      </c>
      <c r="E182" s="261">
        <v>934.85679999999991</v>
      </c>
    </row>
    <row r="183" spans="2:5" x14ac:dyDescent="0.25">
      <c r="B183" s="355" t="s">
        <v>468</v>
      </c>
      <c r="C183" s="23">
        <v>5</v>
      </c>
      <c r="D183" s="261">
        <v>0</v>
      </c>
      <c r="E183" s="261">
        <v>117.65279999999998</v>
      </c>
    </row>
    <row r="184" spans="2:5" x14ac:dyDescent="0.25">
      <c r="B184" s="355" t="s">
        <v>623</v>
      </c>
      <c r="C184" s="23">
        <v>22</v>
      </c>
      <c r="D184" s="261">
        <v>0</v>
      </c>
      <c r="E184" s="261">
        <v>996.93309999999974</v>
      </c>
    </row>
    <row r="185" spans="2:5" x14ac:dyDescent="0.25">
      <c r="B185" s="355" t="s">
        <v>867</v>
      </c>
      <c r="C185" s="23">
        <v>1</v>
      </c>
      <c r="D185" s="261">
        <v>0</v>
      </c>
      <c r="E185" s="261">
        <v>10.832100000000004</v>
      </c>
    </row>
    <row r="186" spans="2:5" x14ac:dyDescent="0.25">
      <c r="B186" s="266" t="s">
        <v>513</v>
      </c>
      <c r="C186" s="23">
        <v>4</v>
      </c>
      <c r="D186" s="261">
        <v>0</v>
      </c>
      <c r="E186" s="261">
        <v>3059.2636999999986</v>
      </c>
    </row>
    <row r="187" spans="2:5" x14ac:dyDescent="0.25">
      <c r="B187" s="355" t="s">
        <v>4202</v>
      </c>
      <c r="C187" s="23">
        <v>4</v>
      </c>
      <c r="D187" s="261">
        <v>0</v>
      </c>
      <c r="E187" s="261">
        <v>3059.2636999999986</v>
      </c>
    </row>
    <row r="188" spans="2:5" x14ac:dyDescent="0.25">
      <c r="B188" s="266" t="s">
        <v>4201</v>
      </c>
      <c r="C188" s="23"/>
      <c r="D188" s="261"/>
      <c r="E188" s="261"/>
    </row>
    <row r="189" spans="2:5" x14ac:dyDescent="0.25">
      <c r="B189" s="355" t="s">
        <v>4201</v>
      </c>
      <c r="C189" s="23"/>
      <c r="D189" s="261"/>
      <c r="E189" s="261"/>
    </row>
    <row r="190" spans="2:5" x14ac:dyDescent="0.25">
      <c r="B190" s="266" t="s">
        <v>4203</v>
      </c>
      <c r="C190" s="23">
        <v>1</v>
      </c>
      <c r="D190" s="261">
        <v>22</v>
      </c>
      <c r="E190" s="261">
        <v>37.616099999999996</v>
      </c>
    </row>
    <row r="191" spans="2:5" x14ac:dyDescent="0.25">
      <c r="B191" s="355" t="s">
        <v>244</v>
      </c>
      <c r="C191" s="23">
        <v>1</v>
      </c>
      <c r="D191" s="261">
        <v>22</v>
      </c>
      <c r="E191" s="261">
        <v>37.616099999999996</v>
      </c>
    </row>
    <row r="192" spans="2:5" x14ac:dyDescent="0.25">
      <c r="B192" s="307">
        <v>45667.6875</v>
      </c>
      <c r="C192" s="23">
        <v>1</v>
      </c>
      <c r="D192" s="261">
        <v>0</v>
      </c>
      <c r="E192" s="261">
        <v>37.03</v>
      </c>
    </row>
    <row r="193" spans="2:5" x14ac:dyDescent="0.25">
      <c r="B193" s="266" t="s">
        <v>320</v>
      </c>
      <c r="C193" s="23">
        <v>1</v>
      </c>
      <c r="D193" s="261">
        <v>0</v>
      </c>
      <c r="E193" s="261">
        <v>37.03</v>
      </c>
    </row>
    <row r="194" spans="2:5" x14ac:dyDescent="0.25">
      <c r="B194" s="355" t="s">
        <v>568</v>
      </c>
      <c r="C194" s="23">
        <v>1</v>
      </c>
      <c r="D194" s="261">
        <v>0</v>
      </c>
      <c r="E194" s="261">
        <v>37.03</v>
      </c>
    </row>
    <row r="195" spans="2:5" x14ac:dyDescent="0.25">
      <c r="B195" s="307">
        <v>45663.547222222223</v>
      </c>
      <c r="C195" s="23">
        <v>1</v>
      </c>
      <c r="D195" s="261">
        <v>32</v>
      </c>
      <c r="E195" s="261">
        <v>14.8103</v>
      </c>
    </row>
    <row r="196" spans="2:5" x14ac:dyDescent="0.25">
      <c r="B196" s="266" t="s">
        <v>320</v>
      </c>
      <c r="C196" s="23">
        <v>1</v>
      </c>
      <c r="D196" s="261">
        <v>32</v>
      </c>
      <c r="E196" s="261">
        <v>14.8103</v>
      </c>
    </row>
    <row r="197" spans="2:5" x14ac:dyDescent="0.25">
      <c r="B197" s="355" t="s">
        <v>548</v>
      </c>
      <c r="C197" s="23">
        <v>1</v>
      </c>
      <c r="D197" s="261">
        <v>32</v>
      </c>
      <c r="E197" s="261">
        <v>14.8103</v>
      </c>
    </row>
    <row r="198" spans="2:5" x14ac:dyDescent="0.25">
      <c r="B198" s="307">
        <v>45667.711111111108</v>
      </c>
      <c r="C198" s="23">
        <v>1</v>
      </c>
      <c r="D198" s="261">
        <v>4.5</v>
      </c>
      <c r="E198" s="261">
        <v>262.64100000000002</v>
      </c>
    </row>
    <row r="199" spans="2:5" x14ac:dyDescent="0.25">
      <c r="B199" s="266" t="s">
        <v>320</v>
      </c>
      <c r="C199" s="23">
        <v>1</v>
      </c>
      <c r="D199" s="261">
        <v>4.5</v>
      </c>
      <c r="E199" s="261">
        <v>262.64100000000002</v>
      </c>
    </row>
    <row r="200" spans="2:5" x14ac:dyDescent="0.25">
      <c r="B200" s="355" t="s">
        <v>244</v>
      </c>
      <c r="C200" s="23">
        <v>1</v>
      </c>
      <c r="D200" s="261">
        <v>4.5</v>
      </c>
      <c r="E200" s="261">
        <v>262.64100000000002</v>
      </c>
    </row>
    <row r="201" spans="2:5" x14ac:dyDescent="0.25">
      <c r="B201" s="307">
        <v>45667.734027777777</v>
      </c>
      <c r="C201" s="23">
        <v>1</v>
      </c>
      <c r="D201" s="261">
        <v>295.5</v>
      </c>
      <c r="E201" s="261">
        <v>954.85059999999999</v>
      </c>
    </row>
    <row r="202" spans="2:5" x14ac:dyDescent="0.25">
      <c r="B202" s="266" t="s">
        <v>320</v>
      </c>
      <c r="C202" s="23">
        <v>1</v>
      </c>
      <c r="D202" s="261">
        <v>295.5</v>
      </c>
      <c r="E202" s="261">
        <v>954.85059999999999</v>
      </c>
    </row>
    <row r="203" spans="2:5" x14ac:dyDescent="0.25">
      <c r="B203" s="355" t="s">
        <v>244</v>
      </c>
      <c r="C203" s="23">
        <v>1</v>
      </c>
      <c r="D203" s="261">
        <v>295.5</v>
      </c>
      <c r="E203" s="261">
        <v>954.85059999999999</v>
      </c>
    </row>
    <row r="204" spans="2:5" x14ac:dyDescent="0.25">
      <c r="B204" s="307">
        <v>45671.40902777778</v>
      </c>
      <c r="C204" s="23">
        <v>1</v>
      </c>
      <c r="D204" s="261">
        <v>54</v>
      </c>
      <c r="E204" s="261">
        <v>10.35</v>
      </c>
    </row>
    <row r="205" spans="2:5" x14ac:dyDescent="0.25">
      <c r="B205" s="266" t="s">
        <v>320</v>
      </c>
      <c r="C205" s="23">
        <v>1</v>
      </c>
      <c r="D205" s="261">
        <v>54</v>
      </c>
      <c r="E205" s="261">
        <v>10.35</v>
      </c>
    </row>
    <row r="206" spans="2:5" x14ac:dyDescent="0.25">
      <c r="B206" s="355" t="s">
        <v>548</v>
      </c>
      <c r="C206" s="23">
        <v>1</v>
      </c>
      <c r="D206" s="261">
        <v>54</v>
      </c>
      <c r="E206" s="261">
        <v>10.35</v>
      </c>
    </row>
    <row r="207" spans="2:5" x14ac:dyDescent="0.25">
      <c r="B207" s="307">
        <v>45668.468055555553</v>
      </c>
      <c r="C207" s="23">
        <v>1</v>
      </c>
      <c r="D207" s="261">
        <v>80</v>
      </c>
      <c r="E207" s="261">
        <v>47.435499999999998</v>
      </c>
    </row>
    <row r="208" spans="2:5" x14ac:dyDescent="0.25">
      <c r="B208" s="266" t="s">
        <v>320</v>
      </c>
      <c r="C208" s="23">
        <v>1</v>
      </c>
      <c r="D208" s="261">
        <v>80</v>
      </c>
      <c r="E208" s="261">
        <v>47.435499999999998</v>
      </c>
    </row>
    <row r="209" spans="2:5" x14ac:dyDescent="0.25">
      <c r="B209" s="355" t="s">
        <v>548</v>
      </c>
      <c r="C209" s="23">
        <v>1</v>
      </c>
      <c r="D209" s="261">
        <v>80</v>
      </c>
      <c r="E209" s="261">
        <v>47.435499999999998</v>
      </c>
    </row>
    <row r="210" spans="2:5" x14ac:dyDescent="0.25">
      <c r="B210" s="307">
        <v>45665.306944444441</v>
      </c>
      <c r="C210" s="23">
        <v>1</v>
      </c>
      <c r="D210" s="261">
        <v>44</v>
      </c>
      <c r="E210" s="261">
        <v>109.02404</v>
      </c>
    </row>
    <row r="211" spans="2:5" x14ac:dyDescent="0.25">
      <c r="B211" s="266" t="s">
        <v>320</v>
      </c>
      <c r="C211" s="23">
        <v>1</v>
      </c>
      <c r="D211" s="261">
        <v>44</v>
      </c>
      <c r="E211" s="261">
        <v>109.02404</v>
      </c>
    </row>
    <row r="212" spans="2:5" x14ac:dyDescent="0.25">
      <c r="B212" s="355" t="s">
        <v>244</v>
      </c>
      <c r="C212" s="23">
        <v>1</v>
      </c>
      <c r="D212" s="261">
        <v>44</v>
      </c>
      <c r="E212" s="261">
        <v>109.02404</v>
      </c>
    </row>
    <row r="213" spans="2:5" x14ac:dyDescent="0.25">
      <c r="B213" s="308">
        <v>45668</v>
      </c>
      <c r="C213" s="23">
        <v>4</v>
      </c>
      <c r="D213" s="261">
        <v>214</v>
      </c>
      <c r="E213" s="261">
        <v>201.27360000000002</v>
      </c>
    </row>
    <row r="214" spans="2:5" x14ac:dyDescent="0.25">
      <c r="B214" s="266" t="s">
        <v>284</v>
      </c>
      <c r="C214" s="23">
        <v>2</v>
      </c>
      <c r="D214" s="261">
        <v>86</v>
      </c>
      <c r="E214" s="261">
        <v>77.7149</v>
      </c>
    </row>
    <row r="215" spans="2:5" x14ac:dyDescent="0.25">
      <c r="B215" s="355" t="s">
        <v>244</v>
      </c>
      <c r="C215" s="23">
        <v>2</v>
      </c>
      <c r="D215" s="261">
        <v>86</v>
      </c>
      <c r="E215" s="261">
        <v>77.7149</v>
      </c>
    </row>
    <row r="216" spans="2:5" x14ac:dyDescent="0.25">
      <c r="B216" s="266" t="s">
        <v>320</v>
      </c>
      <c r="C216" s="23">
        <v>2</v>
      </c>
      <c r="D216" s="261">
        <v>128</v>
      </c>
      <c r="E216" s="261">
        <v>123.5587</v>
      </c>
    </row>
    <row r="217" spans="2:5" x14ac:dyDescent="0.25">
      <c r="B217" s="355" t="s">
        <v>548</v>
      </c>
      <c r="C217" s="23">
        <v>2</v>
      </c>
      <c r="D217" s="261">
        <v>128</v>
      </c>
      <c r="E217" s="261">
        <v>123.5587</v>
      </c>
    </row>
    <row r="218" spans="2:5" x14ac:dyDescent="0.25">
      <c r="B218" s="307">
        <v>45659.602083333331</v>
      </c>
      <c r="C218" s="23">
        <v>1</v>
      </c>
      <c r="D218" s="261">
        <v>127.5</v>
      </c>
      <c r="E218" s="261">
        <v>421.59</v>
      </c>
    </row>
    <row r="219" spans="2:5" x14ac:dyDescent="0.25">
      <c r="B219" s="266" t="s">
        <v>320</v>
      </c>
      <c r="C219" s="23">
        <v>1</v>
      </c>
      <c r="D219" s="261">
        <v>127.5</v>
      </c>
      <c r="E219" s="261">
        <v>421.59</v>
      </c>
    </row>
    <row r="220" spans="2:5" x14ac:dyDescent="0.25">
      <c r="B220" s="355" t="s">
        <v>244</v>
      </c>
      <c r="C220" s="23">
        <v>1</v>
      </c>
      <c r="D220" s="261">
        <v>127.5</v>
      </c>
      <c r="E220" s="261">
        <v>421.59</v>
      </c>
    </row>
    <row r="221" spans="2:5" x14ac:dyDescent="0.25">
      <c r="B221" s="307">
        <v>45666.495833333334</v>
      </c>
      <c r="C221" s="23">
        <v>1</v>
      </c>
      <c r="D221" s="261">
        <v>120</v>
      </c>
      <c r="E221" s="261">
        <v>93.061999999999998</v>
      </c>
    </row>
    <row r="222" spans="2:5" x14ac:dyDescent="0.25">
      <c r="B222" s="266" t="s">
        <v>284</v>
      </c>
      <c r="C222" s="23">
        <v>1</v>
      </c>
      <c r="D222" s="261">
        <v>120</v>
      </c>
      <c r="E222" s="261">
        <v>93.061999999999998</v>
      </c>
    </row>
    <row r="223" spans="2:5" x14ac:dyDescent="0.25">
      <c r="B223" s="355" t="s">
        <v>244</v>
      </c>
      <c r="C223" s="23">
        <v>1</v>
      </c>
      <c r="D223" s="261">
        <v>120</v>
      </c>
      <c r="E223" s="261">
        <v>93.061999999999998</v>
      </c>
    </row>
    <row r="224" spans="2:5" x14ac:dyDescent="0.25">
      <c r="B224" s="307">
        <v>45663.65</v>
      </c>
      <c r="C224" s="23">
        <v>1</v>
      </c>
      <c r="D224" s="261">
        <v>44</v>
      </c>
      <c r="E224" s="261">
        <v>45.667000000000002</v>
      </c>
    </row>
    <row r="225" spans="2:5" x14ac:dyDescent="0.25">
      <c r="B225" s="266" t="s">
        <v>284</v>
      </c>
      <c r="C225" s="23">
        <v>1</v>
      </c>
      <c r="D225" s="261">
        <v>44</v>
      </c>
      <c r="E225" s="261">
        <v>45.667000000000002</v>
      </c>
    </row>
    <row r="226" spans="2:5" x14ac:dyDescent="0.25">
      <c r="B226" s="355" t="s">
        <v>244</v>
      </c>
      <c r="C226" s="23">
        <v>1</v>
      </c>
      <c r="D226" s="261">
        <v>44</v>
      </c>
      <c r="E226" s="261">
        <v>45.667000000000002</v>
      </c>
    </row>
    <row r="227" spans="2:5" x14ac:dyDescent="0.25">
      <c r="B227" s="307">
        <v>45666.611805555556</v>
      </c>
      <c r="C227" s="23">
        <v>1</v>
      </c>
      <c r="D227" s="261">
        <v>31.5</v>
      </c>
      <c r="E227" s="261">
        <v>61.139499999999998</v>
      </c>
    </row>
    <row r="228" spans="2:5" x14ac:dyDescent="0.25">
      <c r="B228" s="266" t="s">
        <v>320</v>
      </c>
      <c r="C228" s="23">
        <v>1</v>
      </c>
      <c r="D228" s="261">
        <v>31.5</v>
      </c>
      <c r="E228" s="261">
        <v>61.139499999999998</v>
      </c>
    </row>
    <row r="229" spans="2:5" x14ac:dyDescent="0.25">
      <c r="B229" s="355" t="s">
        <v>244</v>
      </c>
      <c r="C229" s="23">
        <v>1</v>
      </c>
      <c r="D229" s="261">
        <v>31.5</v>
      </c>
      <c r="E229" s="261">
        <v>61.139499999999998</v>
      </c>
    </row>
    <row r="230" spans="2:5" x14ac:dyDescent="0.25">
      <c r="B230" s="307">
        <v>45663.649305555555</v>
      </c>
      <c r="C230" s="23">
        <v>1</v>
      </c>
      <c r="D230" s="261">
        <v>624</v>
      </c>
      <c r="E230" s="261">
        <v>341.17270000000002</v>
      </c>
    </row>
    <row r="231" spans="2:5" x14ac:dyDescent="0.25">
      <c r="B231" s="266" t="s">
        <v>284</v>
      </c>
      <c r="C231" s="23">
        <v>1</v>
      </c>
      <c r="D231" s="261">
        <v>624</v>
      </c>
      <c r="E231" s="261">
        <v>341.17270000000002</v>
      </c>
    </row>
    <row r="232" spans="2:5" x14ac:dyDescent="0.25">
      <c r="B232" s="355" t="s">
        <v>244</v>
      </c>
      <c r="C232" s="23">
        <v>1</v>
      </c>
      <c r="D232" s="261">
        <v>624</v>
      </c>
      <c r="E232" s="261">
        <v>341.17270000000002</v>
      </c>
    </row>
    <row r="233" spans="2:5" x14ac:dyDescent="0.25">
      <c r="B233" s="307">
        <v>45668.466666666667</v>
      </c>
      <c r="C233" s="23">
        <v>1</v>
      </c>
      <c r="D233" s="261">
        <v>131.5</v>
      </c>
      <c r="E233" s="261">
        <v>167.39709999999999</v>
      </c>
    </row>
    <row r="234" spans="2:5" x14ac:dyDescent="0.25">
      <c r="B234" s="266" t="s">
        <v>320</v>
      </c>
      <c r="C234" s="23">
        <v>1</v>
      </c>
      <c r="D234" s="261">
        <v>131.5</v>
      </c>
      <c r="E234" s="261">
        <v>167.39709999999999</v>
      </c>
    </row>
    <row r="235" spans="2:5" x14ac:dyDescent="0.25">
      <c r="B235" s="355" t="s">
        <v>244</v>
      </c>
      <c r="C235" s="23">
        <v>1</v>
      </c>
      <c r="D235" s="261">
        <v>131.5</v>
      </c>
      <c r="E235" s="261">
        <v>167.39709999999999</v>
      </c>
    </row>
    <row r="236" spans="2:5" x14ac:dyDescent="0.25">
      <c r="B236" s="307">
        <v>45666.400000000001</v>
      </c>
      <c r="C236" s="23">
        <v>1</v>
      </c>
      <c r="D236" s="261">
        <v>890.5</v>
      </c>
      <c r="E236" s="261">
        <v>283.27319999999997</v>
      </c>
    </row>
    <row r="237" spans="2:5" x14ac:dyDescent="0.25">
      <c r="B237" s="266" t="s">
        <v>320</v>
      </c>
      <c r="C237" s="23">
        <v>1</v>
      </c>
      <c r="D237" s="261">
        <v>890.5</v>
      </c>
      <c r="E237" s="261">
        <v>283.27319999999997</v>
      </c>
    </row>
    <row r="238" spans="2:5" x14ac:dyDescent="0.25">
      <c r="B238" s="355" t="s">
        <v>244</v>
      </c>
      <c r="C238" s="23">
        <v>1</v>
      </c>
      <c r="D238" s="261">
        <v>890.5</v>
      </c>
      <c r="E238" s="261">
        <v>283.27319999999997</v>
      </c>
    </row>
    <row r="239" spans="2:5" x14ac:dyDescent="0.25">
      <c r="B239" s="308">
        <v>45672</v>
      </c>
      <c r="C239" s="23">
        <v>6</v>
      </c>
      <c r="D239" s="261">
        <v>420.5</v>
      </c>
      <c r="E239" s="261">
        <v>264.14170000000001</v>
      </c>
    </row>
    <row r="240" spans="2:5" x14ac:dyDescent="0.25">
      <c r="B240" s="266" t="s">
        <v>284</v>
      </c>
      <c r="C240" s="23">
        <v>1</v>
      </c>
      <c r="D240" s="261">
        <v>60</v>
      </c>
      <c r="E240" s="261">
        <v>14.2433</v>
      </c>
    </row>
    <row r="241" spans="2:5" x14ac:dyDescent="0.25">
      <c r="B241" s="355" t="s">
        <v>244</v>
      </c>
      <c r="C241" s="23">
        <v>1</v>
      </c>
      <c r="D241" s="261">
        <v>60</v>
      </c>
      <c r="E241" s="261">
        <v>14.2433</v>
      </c>
    </row>
    <row r="242" spans="2:5" x14ac:dyDescent="0.25">
      <c r="B242" s="266" t="s">
        <v>234</v>
      </c>
      <c r="C242" s="23">
        <v>1</v>
      </c>
      <c r="D242" s="261">
        <v>117</v>
      </c>
      <c r="E242" s="261">
        <v>46.2</v>
      </c>
    </row>
    <row r="243" spans="2:5" x14ac:dyDescent="0.25">
      <c r="B243" s="355" t="s">
        <v>244</v>
      </c>
      <c r="C243" s="23">
        <v>1</v>
      </c>
      <c r="D243" s="261">
        <v>117</v>
      </c>
      <c r="E243" s="261">
        <v>46.2</v>
      </c>
    </row>
    <row r="244" spans="2:5" x14ac:dyDescent="0.25">
      <c r="B244" s="266" t="s">
        <v>320</v>
      </c>
      <c r="C244" s="23">
        <v>3</v>
      </c>
      <c r="D244" s="261">
        <v>243.5</v>
      </c>
      <c r="E244" s="261">
        <v>192.0206</v>
      </c>
    </row>
    <row r="245" spans="2:5" x14ac:dyDescent="0.25">
      <c r="B245" s="355" t="s">
        <v>244</v>
      </c>
      <c r="C245" s="23">
        <v>3</v>
      </c>
      <c r="D245" s="261">
        <v>243.5</v>
      </c>
      <c r="E245" s="261">
        <v>192.0206</v>
      </c>
    </row>
    <row r="246" spans="2:5" x14ac:dyDescent="0.25">
      <c r="B246" s="266" t="s">
        <v>361</v>
      </c>
      <c r="C246" s="23">
        <v>1</v>
      </c>
      <c r="D246" s="261">
        <v>0</v>
      </c>
      <c r="E246" s="261">
        <v>11.677800000000001</v>
      </c>
    </row>
    <row r="247" spans="2:5" x14ac:dyDescent="0.25">
      <c r="B247" s="355" t="s">
        <v>368</v>
      </c>
      <c r="C247" s="23">
        <v>1</v>
      </c>
      <c r="D247" s="261">
        <v>0</v>
      </c>
      <c r="E247" s="261">
        <v>11.677800000000001</v>
      </c>
    </row>
    <row r="248" spans="2:5" x14ac:dyDescent="0.25">
      <c r="B248" s="307">
        <v>45668.42083333333</v>
      </c>
      <c r="C248" s="23">
        <v>1</v>
      </c>
      <c r="D248" s="261">
        <v>115</v>
      </c>
      <c r="E248" s="261">
        <v>6.79</v>
      </c>
    </row>
    <row r="249" spans="2:5" x14ac:dyDescent="0.25">
      <c r="B249" s="266" t="s">
        <v>284</v>
      </c>
      <c r="C249" s="23">
        <v>1</v>
      </c>
      <c r="D249" s="261">
        <v>115</v>
      </c>
      <c r="E249" s="261">
        <v>6.79</v>
      </c>
    </row>
    <row r="250" spans="2:5" x14ac:dyDescent="0.25">
      <c r="B250" s="355" t="s">
        <v>244</v>
      </c>
      <c r="C250" s="23">
        <v>1</v>
      </c>
      <c r="D250" s="261">
        <v>115</v>
      </c>
      <c r="E250" s="261">
        <v>6.79</v>
      </c>
    </row>
    <row r="251" spans="2:5" x14ac:dyDescent="0.25">
      <c r="B251" s="308">
        <v>45675</v>
      </c>
      <c r="C251" s="23">
        <v>2</v>
      </c>
      <c r="D251" s="261">
        <v>68</v>
      </c>
      <c r="E251" s="261">
        <v>244.15979999999993</v>
      </c>
    </row>
    <row r="252" spans="2:5" x14ac:dyDescent="0.25">
      <c r="B252" s="266" t="s">
        <v>234</v>
      </c>
      <c r="C252" s="23">
        <v>2</v>
      </c>
      <c r="D252" s="261">
        <v>68</v>
      </c>
      <c r="E252" s="261">
        <v>244.15979999999993</v>
      </c>
    </row>
    <row r="253" spans="2:5" x14ac:dyDescent="0.25">
      <c r="B253" s="355" t="s">
        <v>770</v>
      </c>
      <c r="C253" s="23">
        <v>1</v>
      </c>
      <c r="D253" s="261">
        <v>68</v>
      </c>
      <c r="E253" s="261">
        <v>200.22979999999993</v>
      </c>
    </row>
    <row r="254" spans="2:5" x14ac:dyDescent="0.25">
      <c r="B254" s="355" t="s">
        <v>548</v>
      </c>
      <c r="C254" s="23">
        <v>1</v>
      </c>
      <c r="D254" s="261">
        <v>0</v>
      </c>
      <c r="E254" s="261">
        <v>43.93</v>
      </c>
    </row>
    <row r="255" spans="2:5" x14ac:dyDescent="0.25">
      <c r="B255" s="308">
        <v>45639</v>
      </c>
      <c r="C255" s="23">
        <v>5</v>
      </c>
      <c r="D255" s="261">
        <v>80</v>
      </c>
      <c r="E255" s="261">
        <v>2594.5537899999999</v>
      </c>
    </row>
    <row r="256" spans="2:5" x14ac:dyDescent="0.25">
      <c r="B256" s="266" t="s">
        <v>234</v>
      </c>
      <c r="C256" s="23">
        <v>2</v>
      </c>
      <c r="D256" s="261">
        <v>0</v>
      </c>
      <c r="E256" s="261">
        <v>156.32999999999998</v>
      </c>
    </row>
    <row r="257" spans="2:5" x14ac:dyDescent="0.25">
      <c r="B257" s="355" t="s">
        <v>548</v>
      </c>
      <c r="C257" s="23">
        <v>1</v>
      </c>
      <c r="D257" s="261">
        <v>0</v>
      </c>
      <c r="E257" s="261">
        <v>139.94999999999999</v>
      </c>
    </row>
    <row r="258" spans="2:5" x14ac:dyDescent="0.25">
      <c r="B258" s="355" t="s">
        <v>319</v>
      </c>
      <c r="C258" s="23">
        <v>1</v>
      </c>
      <c r="D258" s="261">
        <v>0</v>
      </c>
      <c r="E258" s="261">
        <v>16.38</v>
      </c>
    </row>
    <row r="259" spans="2:5" x14ac:dyDescent="0.25">
      <c r="B259" s="266" t="s">
        <v>320</v>
      </c>
      <c r="C259" s="23">
        <v>2</v>
      </c>
      <c r="D259" s="261">
        <v>80</v>
      </c>
      <c r="E259" s="261">
        <v>90.594650000000001</v>
      </c>
    </row>
    <row r="260" spans="2:5" x14ac:dyDescent="0.25">
      <c r="B260" s="355" t="s">
        <v>548</v>
      </c>
      <c r="C260" s="23">
        <v>1</v>
      </c>
      <c r="D260" s="261">
        <v>80</v>
      </c>
      <c r="E260" s="261">
        <v>71.452600000000004</v>
      </c>
    </row>
    <row r="261" spans="2:5" x14ac:dyDescent="0.25">
      <c r="B261" s="355" t="s">
        <v>327</v>
      </c>
      <c r="C261" s="23">
        <v>1</v>
      </c>
      <c r="D261" s="261">
        <v>0</v>
      </c>
      <c r="E261" s="261">
        <v>19.142050000000001</v>
      </c>
    </row>
    <row r="262" spans="2:5" x14ac:dyDescent="0.25">
      <c r="B262" s="266" t="s">
        <v>513</v>
      </c>
      <c r="C262" s="23">
        <v>1</v>
      </c>
      <c r="D262" s="261">
        <v>0</v>
      </c>
      <c r="E262" s="261">
        <v>2347.62914</v>
      </c>
    </row>
    <row r="263" spans="2:5" x14ac:dyDescent="0.25">
      <c r="B263" s="355" t="s">
        <v>4202</v>
      </c>
      <c r="C263" s="23">
        <v>1</v>
      </c>
      <c r="D263" s="261">
        <v>0</v>
      </c>
      <c r="E263" s="261">
        <v>2347.62914</v>
      </c>
    </row>
    <row r="264" spans="2:5" x14ac:dyDescent="0.25">
      <c r="B264" s="308">
        <v>45646</v>
      </c>
      <c r="C264" s="23">
        <v>1</v>
      </c>
      <c r="D264" s="261">
        <v>0</v>
      </c>
      <c r="E264" s="261">
        <v>9.1265000000000001</v>
      </c>
    </row>
    <row r="265" spans="2:5" x14ac:dyDescent="0.25">
      <c r="B265" s="266" t="s">
        <v>320</v>
      </c>
      <c r="C265" s="23">
        <v>1</v>
      </c>
      <c r="D265" s="261">
        <v>0</v>
      </c>
      <c r="E265" s="261">
        <v>9.1265000000000001</v>
      </c>
    </row>
    <row r="266" spans="2:5" x14ac:dyDescent="0.25">
      <c r="B266" s="355" t="s">
        <v>327</v>
      </c>
      <c r="C266" s="23">
        <v>1</v>
      </c>
      <c r="D266" s="261">
        <v>0</v>
      </c>
      <c r="E266" s="261">
        <v>9.1265000000000001</v>
      </c>
    </row>
    <row r="267" spans="2:5" x14ac:dyDescent="0.25">
      <c r="B267" s="308">
        <v>45681</v>
      </c>
      <c r="C267" s="23">
        <v>3</v>
      </c>
      <c r="D267" s="261">
        <v>77</v>
      </c>
      <c r="E267" s="261">
        <v>101.9701</v>
      </c>
    </row>
    <row r="268" spans="2:5" x14ac:dyDescent="0.25">
      <c r="B268" s="266" t="s">
        <v>284</v>
      </c>
      <c r="C268" s="23">
        <v>3</v>
      </c>
      <c r="D268" s="261">
        <v>77</v>
      </c>
      <c r="E268" s="261">
        <v>101.9701</v>
      </c>
    </row>
    <row r="269" spans="2:5" x14ac:dyDescent="0.25">
      <c r="B269" s="355" t="s">
        <v>244</v>
      </c>
      <c r="C269" s="23">
        <v>3</v>
      </c>
      <c r="D269" s="261">
        <v>77</v>
      </c>
      <c r="E269" s="261">
        <v>101.9701</v>
      </c>
    </row>
    <row r="270" spans="2:5" x14ac:dyDescent="0.25">
      <c r="B270" s="308">
        <v>45677</v>
      </c>
      <c r="C270" s="23">
        <v>4</v>
      </c>
      <c r="D270" s="261">
        <v>1038</v>
      </c>
      <c r="E270" s="261">
        <v>607.6694</v>
      </c>
    </row>
    <row r="271" spans="2:5" x14ac:dyDescent="0.25">
      <c r="B271" s="266" t="s">
        <v>284</v>
      </c>
      <c r="C271" s="23">
        <v>2</v>
      </c>
      <c r="D271" s="261">
        <v>139</v>
      </c>
      <c r="E271" s="261">
        <v>174.48169999999999</v>
      </c>
    </row>
    <row r="272" spans="2:5" x14ac:dyDescent="0.25">
      <c r="B272" s="355" t="s">
        <v>244</v>
      </c>
      <c r="C272" s="23">
        <v>1</v>
      </c>
      <c r="D272" s="261">
        <v>139</v>
      </c>
      <c r="E272" s="261">
        <v>29.504999999999999</v>
      </c>
    </row>
    <row r="273" spans="2:5" x14ac:dyDescent="0.25">
      <c r="B273" s="355" t="s">
        <v>319</v>
      </c>
      <c r="C273" s="23">
        <v>1</v>
      </c>
      <c r="D273" s="261">
        <v>0</v>
      </c>
      <c r="E273" s="261">
        <v>144.97669999999999</v>
      </c>
    </row>
    <row r="274" spans="2:5" x14ac:dyDescent="0.25">
      <c r="B274" s="266" t="s">
        <v>234</v>
      </c>
      <c r="C274" s="23">
        <v>1</v>
      </c>
      <c r="D274" s="261">
        <v>730</v>
      </c>
      <c r="E274" s="261">
        <v>209.17350000000002</v>
      </c>
    </row>
    <row r="275" spans="2:5" x14ac:dyDescent="0.25">
      <c r="B275" s="355" t="s">
        <v>244</v>
      </c>
      <c r="C275" s="23">
        <v>1</v>
      </c>
      <c r="D275" s="261">
        <v>730</v>
      </c>
      <c r="E275" s="261">
        <v>209.17350000000002</v>
      </c>
    </row>
    <row r="276" spans="2:5" x14ac:dyDescent="0.25">
      <c r="B276" s="266" t="s">
        <v>320</v>
      </c>
      <c r="C276" s="23">
        <v>1</v>
      </c>
      <c r="D276" s="261">
        <v>169</v>
      </c>
      <c r="E276" s="261">
        <v>224.01419999999999</v>
      </c>
    </row>
    <row r="277" spans="2:5" x14ac:dyDescent="0.25">
      <c r="B277" s="355" t="s">
        <v>244</v>
      </c>
      <c r="C277" s="23">
        <v>1</v>
      </c>
      <c r="D277" s="261">
        <v>169</v>
      </c>
      <c r="E277" s="261">
        <v>224.01419999999999</v>
      </c>
    </row>
    <row r="278" spans="2:5" x14ac:dyDescent="0.25">
      <c r="B278" s="308">
        <v>45678</v>
      </c>
      <c r="C278" s="23">
        <v>1</v>
      </c>
      <c r="D278" s="261">
        <v>87</v>
      </c>
      <c r="E278" s="261">
        <v>0</v>
      </c>
    </row>
    <row r="279" spans="2:5" x14ac:dyDescent="0.25">
      <c r="B279" s="266" t="s">
        <v>320</v>
      </c>
      <c r="C279" s="23">
        <v>1</v>
      </c>
      <c r="D279" s="261">
        <v>87</v>
      </c>
      <c r="E279" s="261">
        <v>0</v>
      </c>
    </row>
    <row r="280" spans="2:5" x14ac:dyDescent="0.25">
      <c r="B280" s="355" t="s">
        <v>548</v>
      </c>
      <c r="C280" s="23">
        <v>1</v>
      </c>
      <c r="D280" s="261">
        <v>87</v>
      </c>
      <c r="E280" s="261">
        <v>0</v>
      </c>
    </row>
    <row r="281" spans="2:5" x14ac:dyDescent="0.25">
      <c r="B281" s="308">
        <v>45667</v>
      </c>
      <c r="C281" s="23">
        <v>1</v>
      </c>
      <c r="D281" s="261">
        <v>200</v>
      </c>
      <c r="E281" s="261">
        <v>428.8492</v>
      </c>
    </row>
    <row r="282" spans="2:5" x14ac:dyDescent="0.25">
      <c r="B282" s="266" t="s">
        <v>320</v>
      </c>
      <c r="C282" s="23">
        <v>1</v>
      </c>
      <c r="D282" s="261">
        <v>200</v>
      </c>
      <c r="E282" s="261">
        <v>428.8492</v>
      </c>
    </row>
    <row r="283" spans="2:5" x14ac:dyDescent="0.25">
      <c r="B283" s="355" t="s">
        <v>244</v>
      </c>
      <c r="C283" s="23">
        <v>1</v>
      </c>
      <c r="D283" s="261">
        <v>200</v>
      </c>
      <c r="E283" s="261">
        <v>428.8492</v>
      </c>
    </row>
    <row r="284" spans="2:5" x14ac:dyDescent="0.25">
      <c r="B284" s="308">
        <v>45688</v>
      </c>
      <c r="C284" s="23">
        <v>8</v>
      </c>
      <c r="D284" s="261">
        <v>192</v>
      </c>
      <c r="E284" s="261">
        <v>954.28200000000004</v>
      </c>
    </row>
    <row r="285" spans="2:5" x14ac:dyDescent="0.25">
      <c r="B285" s="266" t="s">
        <v>284</v>
      </c>
      <c r="C285" s="23">
        <v>1</v>
      </c>
      <c r="D285" s="261">
        <v>0</v>
      </c>
      <c r="E285" s="261">
        <v>176.77010000000001</v>
      </c>
    </row>
    <row r="286" spans="2:5" x14ac:dyDescent="0.25">
      <c r="B286" s="355" t="s">
        <v>319</v>
      </c>
      <c r="C286" s="23">
        <v>1</v>
      </c>
      <c r="D286" s="261">
        <v>0</v>
      </c>
      <c r="E286" s="261">
        <v>176.77010000000001</v>
      </c>
    </row>
    <row r="287" spans="2:5" x14ac:dyDescent="0.25">
      <c r="B287" s="266" t="s">
        <v>234</v>
      </c>
      <c r="C287" s="23">
        <v>6</v>
      </c>
      <c r="D287" s="261">
        <v>163</v>
      </c>
      <c r="E287" s="261">
        <v>774.78189999999995</v>
      </c>
    </row>
    <row r="288" spans="2:5" x14ac:dyDescent="0.25">
      <c r="B288" s="355" t="s">
        <v>244</v>
      </c>
      <c r="C288" s="23">
        <v>4</v>
      </c>
      <c r="D288" s="261">
        <v>163</v>
      </c>
      <c r="E288" s="261">
        <v>492.77709999999996</v>
      </c>
    </row>
    <row r="289" spans="2:5" x14ac:dyDescent="0.25">
      <c r="B289" s="355" t="s">
        <v>319</v>
      </c>
      <c r="C289" s="23">
        <v>2</v>
      </c>
      <c r="D289" s="261">
        <v>0</v>
      </c>
      <c r="E289" s="261">
        <v>282.00480000000005</v>
      </c>
    </row>
    <row r="290" spans="2:5" x14ac:dyDescent="0.25">
      <c r="B290" s="266" t="s">
        <v>320</v>
      </c>
      <c r="C290" s="23">
        <v>1</v>
      </c>
      <c r="D290" s="261">
        <v>29</v>
      </c>
      <c r="E290" s="261">
        <v>2.73</v>
      </c>
    </row>
    <row r="291" spans="2:5" x14ac:dyDescent="0.25">
      <c r="B291" s="355" t="s">
        <v>244</v>
      </c>
      <c r="C291" s="23">
        <v>1</v>
      </c>
      <c r="D291" s="261">
        <v>29</v>
      </c>
      <c r="E291" s="261">
        <v>2.73</v>
      </c>
    </row>
    <row r="292" spans="2:5" x14ac:dyDescent="0.25">
      <c r="B292" s="308">
        <v>45671</v>
      </c>
      <c r="C292" s="23">
        <v>2</v>
      </c>
      <c r="D292" s="261">
        <v>276</v>
      </c>
      <c r="E292" s="261">
        <v>109.1904</v>
      </c>
    </row>
    <row r="293" spans="2:5" x14ac:dyDescent="0.25">
      <c r="B293" s="266" t="s">
        <v>284</v>
      </c>
      <c r="C293" s="23">
        <v>1</v>
      </c>
      <c r="D293" s="261">
        <v>196</v>
      </c>
      <c r="E293" s="261">
        <v>27.452799999999996</v>
      </c>
    </row>
    <row r="294" spans="2:5" x14ac:dyDescent="0.25">
      <c r="B294" s="355" t="s">
        <v>244</v>
      </c>
      <c r="C294" s="23">
        <v>1</v>
      </c>
      <c r="D294" s="261">
        <v>196</v>
      </c>
      <c r="E294" s="261">
        <v>27.452799999999996</v>
      </c>
    </row>
    <row r="295" spans="2:5" x14ac:dyDescent="0.25">
      <c r="B295" s="266" t="s">
        <v>320</v>
      </c>
      <c r="C295" s="23">
        <v>1</v>
      </c>
      <c r="D295" s="261">
        <v>80</v>
      </c>
      <c r="E295" s="261">
        <v>81.7376</v>
      </c>
    </row>
    <row r="296" spans="2:5" x14ac:dyDescent="0.25">
      <c r="B296" s="355" t="s">
        <v>244</v>
      </c>
      <c r="C296" s="23">
        <v>1</v>
      </c>
      <c r="D296" s="261">
        <v>80</v>
      </c>
      <c r="E296" s="261">
        <v>81.7376</v>
      </c>
    </row>
    <row r="297" spans="2:5" x14ac:dyDescent="0.25">
      <c r="B297" s="308">
        <v>45669</v>
      </c>
      <c r="C297" s="23">
        <v>1</v>
      </c>
      <c r="D297" s="261">
        <v>49</v>
      </c>
      <c r="E297" s="261">
        <v>68.040499999999994</v>
      </c>
    </row>
    <row r="298" spans="2:5" x14ac:dyDescent="0.25">
      <c r="B298" s="266" t="s">
        <v>284</v>
      </c>
      <c r="C298" s="23">
        <v>1</v>
      </c>
      <c r="D298" s="261">
        <v>49</v>
      </c>
      <c r="E298" s="261">
        <v>68.040499999999994</v>
      </c>
    </row>
    <row r="299" spans="2:5" x14ac:dyDescent="0.25">
      <c r="B299" s="355" t="s">
        <v>244</v>
      </c>
      <c r="C299" s="23">
        <v>1</v>
      </c>
      <c r="D299" s="261">
        <v>49</v>
      </c>
      <c r="E299" s="261">
        <v>68.040499999999994</v>
      </c>
    </row>
    <row r="300" spans="2:5" x14ac:dyDescent="0.25">
      <c r="B300" s="308">
        <v>45683</v>
      </c>
      <c r="C300" s="23">
        <v>2</v>
      </c>
      <c r="D300" s="261">
        <v>178</v>
      </c>
      <c r="E300" s="261">
        <v>123.7743</v>
      </c>
    </row>
    <row r="301" spans="2:5" x14ac:dyDescent="0.25">
      <c r="B301" s="266" t="s">
        <v>284</v>
      </c>
      <c r="C301" s="23">
        <v>1</v>
      </c>
      <c r="D301" s="261">
        <v>21</v>
      </c>
      <c r="E301" s="261">
        <v>39.92</v>
      </c>
    </row>
    <row r="302" spans="2:5" x14ac:dyDescent="0.25">
      <c r="B302" s="355" t="s">
        <v>548</v>
      </c>
      <c r="C302" s="23">
        <v>1</v>
      </c>
      <c r="D302" s="261">
        <v>21</v>
      </c>
      <c r="E302" s="261">
        <v>39.92</v>
      </c>
    </row>
    <row r="303" spans="2:5" x14ac:dyDescent="0.25">
      <c r="B303" s="266" t="s">
        <v>320</v>
      </c>
      <c r="C303" s="23">
        <v>1</v>
      </c>
      <c r="D303" s="261">
        <v>157</v>
      </c>
      <c r="E303" s="261">
        <v>83.854299999999995</v>
      </c>
    </row>
    <row r="304" spans="2:5" x14ac:dyDescent="0.25">
      <c r="B304" s="355" t="s">
        <v>244</v>
      </c>
      <c r="C304" s="23">
        <v>1</v>
      </c>
      <c r="D304" s="261">
        <v>157</v>
      </c>
      <c r="E304" s="261">
        <v>83.854299999999995</v>
      </c>
    </row>
    <row r="305" spans="2:5" x14ac:dyDescent="0.25">
      <c r="B305" s="308">
        <v>45684</v>
      </c>
      <c r="C305" s="23">
        <v>1</v>
      </c>
      <c r="D305" s="261">
        <v>66</v>
      </c>
      <c r="E305" s="261">
        <v>83.165199999999999</v>
      </c>
    </row>
    <row r="306" spans="2:5" x14ac:dyDescent="0.25">
      <c r="B306" s="266" t="s">
        <v>284</v>
      </c>
      <c r="C306" s="23">
        <v>1</v>
      </c>
      <c r="D306" s="261">
        <v>66</v>
      </c>
      <c r="E306" s="261">
        <v>83.165199999999999</v>
      </c>
    </row>
    <row r="307" spans="2:5" x14ac:dyDescent="0.25">
      <c r="B307" s="355" t="s">
        <v>244</v>
      </c>
      <c r="C307" s="23">
        <v>1</v>
      </c>
      <c r="D307" s="261">
        <v>66</v>
      </c>
      <c r="E307" s="261">
        <v>83.165199999999999</v>
      </c>
    </row>
    <row r="308" spans="2:5" x14ac:dyDescent="0.25">
      <c r="B308" s="308">
        <v>45687</v>
      </c>
      <c r="C308" s="23">
        <v>8</v>
      </c>
      <c r="D308" s="261">
        <v>3162.3</v>
      </c>
      <c r="E308" s="261">
        <v>1536.1634000000001</v>
      </c>
    </row>
    <row r="309" spans="2:5" x14ac:dyDescent="0.25">
      <c r="B309" s="266" t="s">
        <v>284</v>
      </c>
      <c r="C309" s="23">
        <v>1</v>
      </c>
      <c r="D309" s="261">
        <v>16</v>
      </c>
      <c r="E309" s="261">
        <v>1.73</v>
      </c>
    </row>
    <row r="310" spans="2:5" x14ac:dyDescent="0.25">
      <c r="B310" s="355" t="s">
        <v>244</v>
      </c>
      <c r="C310" s="23">
        <v>1</v>
      </c>
      <c r="D310" s="261">
        <v>16</v>
      </c>
      <c r="E310" s="261">
        <v>1.73</v>
      </c>
    </row>
    <row r="311" spans="2:5" x14ac:dyDescent="0.25">
      <c r="B311" s="266" t="s">
        <v>234</v>
      </c>
      <c r="C311" s="23">
        <v>5</v>
      </c>
      <c r="D311" s="261">
        <v>3101</v>
      </c>
      <c r="E311" s="261">
        <v>1052.7509</v>
      </c>
    </row>
    <row r="312" spans="2:5" x14ac:dyDescent="0.25">
      <c r="B312" s="355" t="s">
        <v>548</v>
      </c>
      <c r="C312" s="23">
        <v>1</v>
      </c>
      <c r="D312" s="261">
        <v>23</v>
      </c>
      <c r="E312" s="261">
        <v>36.013800000000003</v>
      </c>
    </row>
    <row r="313" spans="2:5" x14ac:dyDescent="0.25">
      <c r="B313" s="355" t="s">
        <v>244</v>
      </c>
      <c r="C313" s="23">
        <v>3</v>
      </c>
      <c r="D313" s="261">
        <v>3078</v>
      </c>
      <c r="E313" s="261">
        <v>937.06150000000002</v>
      </c>
    </row>
    <row r="314" spans="2:5" x14ac:dyDescent="0.25">
      <c r="B314" s="355" t="s">
        <v>4202</v>
      </c>
      <c r="C314" s="23">
        <v>1</v>
      </c>
      <c r="D314" s="261">
        <v>0</v>
      </c>
      <c r="E314" s="261">
        <v>79.675600000000017</v>
      </c>
    </row>
    <row r="315" spans="2:5" x14ac:dyDescent="0.25">
      <c r="B315" s="266" t="s">
        <v>320</v>
      </c>
      <c r="C315" s="23">
        <v>2</v>
      </c>
      <c r="D315" s="261">
        <v>45.3</v>
      </c>
      <c r="E315" s="261">
        <v>481.6825</v>
      </c>
    </row>
    <row r="316" spans="2:5" x14ac:dyDescent="0.25">
      <c r="B316" s="355" t="s">
        <v>548</v>
      </c>
      <c r="C316" s="23">
        <v>1</v>
      </c>
      <c r="D316" s="261">
        <v>41.5</v>
      </c>
      <c r="E316" s="261">
        <v>358.34300000000002</v>
      </c>
    </row>
    <row r="317" spans="2:5" x14ac:dyDescent="0.25">
      <c r="B317" s="355" t="s">
        <v>244</v>
      </c>
      <c r="C317" s="23">
        <v>1</v>
      </c>
      <c r="D317" s="261">
        <v>3.8</v>
      </c>
      <c r="E317" s="261">
        <v>123.3395</v>
      </c>
    </row>
    <row r="318" spans="2:5" x14ac:dyDescent="0.25">
      <c r="B318" s="308">
        <v>45661</v>
      </c>
      <c r="C318" s="23">
        <v>1</v>
      </c>
      <c r="D318" s="261">
        <v>82</v>
      </c>
      <c r="E318" s="261">
        <v>25.0823</v>
      </c>
    </row>
    <row r="319" spans="2:5" x14ac:dyDescent="0.25">
      <c r="B319" s="266" t="s">
        <v>320</v>
      </c>
      <c r="C319" s="23">
        <v>1</v>
      </c>
      <c r="D319" s="261">
        <v>82</v>
      </c>
      <c r="E319" s="261">
        <v>25.0823</v>
      </c>
    </row>
    <row r="320" spans="2:5" x14ac:dyDescent="0.25">
      <c r="B320" s="355" t="s">
        <v>244</v>
      </c>
      <c r="C320" s="23">
        <v>1</v>
      </c>
      <c r="D320" s="261">
        <v>82</v>
      </c>
      <c r="E320" s="261">
        <v>25.0823</v>
      </c>
    </row>
    <row r="321" spans="2:5" x14ac:dyDescent="0.25">
      <c r="B321" s="308">
        <v>45682</v>
      </c>
      <c r="C321" s="23">
        <v>1</v>
      </c>
      <c r="D321" s="261">
        <v>31</v>
      </c>
      <c r="E321" s="261">
        <v>12.312799999999999</v>
      </c>
    </row>
    <row r="322" spans="2:5" x14ac:dyDescent="0.25">
      <c r="B322" s="266" t="s">
        <v>234</v>
      </c>
      <c r="C322" s="23">
        <v>1</v>
      </c>
      <c r="D322" s="261">
        <v>31</v>
      </c>
      <c r="E322" s="261">
        <v>12.312799999999999</v>
      </c>
    </row>
    <row r="323" spans="2:5" x14ac:dyDescent="0.25">
      <c r="B323" s="355" t="s">
        <v>244</v>
      </c>
      <c r="C323" s="23">
        <v>1</v>
      </c>
      <c r="D323" s="261">
        <v>31</v>
      </c>
      <c r="E323" s="261">
        <v>12.312799999999999</v>
      </c>
    </row>
    <row r="324" spans="2:5" x14ac:dyDescent="0.25">
      <c r="B324" s="307">
        <v>45684.591666666667</v>
      </c>
      <c r="C324" s="23">
        <v>1</v>
      </c>
      <c r="D324" s="261">
        <v>155</v>
      </c>
      <c r="E324" s="261">
        <v>16.0428</v>
      </c>
    </row>
    <row r="325" spans="2:5" x14ac:dyDescent="0.25">
      <c r="B325" s="266" t="s">
        <v>320</v>
      </c>
      <c r="C325" s="23">
        <v>1</v>
      </c>
      <c r="D325" s="261">
        <v>155</v>
      </c>
      <c r="E325" s="261">
        <v>16.0428</v>
      </c>
    </row>
    <row r="326" spans="2:5" x14ac:dyDescent="0.25">
      <c r="B326" s="355" t="s">
        <v>244</v>
      </c>
      <c r="C326" s="23">
        <v>1</v>
      </c>
      <c r="D326" s="261">
        <v>155</v>
      </c>
      <c r="E326" s="261">
        <v>16.0428</v>
      </c>
    </row>
    <row r="327" spans="2:5" x14ac:dyDescent="0.25">
      <c r="B327" s="308">
        <v>45685</v>
      </c>
      <c r="C327" s="23">
        <v>2</v>
      </c>
      <c r="D327" s="261">
        <v>0</v>
      </c>
      <c r="E327" s="261">
        <v>206.75520000000009</v>
      </c>
    </row>
    <row r="328" spans="2:5" x14ac:dyDescent="0.25">
      <c r="B328" s="266" t="s">
        <v>234</v>
      </c>
      <c r="C328" s="23">
        <v>1</v>
      </c>
      <c r="D328" s="261">
        <v>0</v>
      </c>
      <c r="E328" s="261">
        <v>205.70570000000009</v>
      </c>
    </row>
    <row r="329" spans="2:5" x14ac:dyDescent="0.25">
      <c r="B329" s="355" t="s">
        <v>568</v>
      </c>
      <c r="C329" s="23">
        <v>1</v>
      </c>
      <c r="D329" s="261">
        <v>0</v>
      </c>
      <c r="E329" s="261">
        <v>205.70570000000009</v>
      </c>
    </row>
    <row r="330" spans="2:5" x14ac:dyDescent="0.25">
      <c r="B330" s="266" t="s">
        <v>320</v>
      </c>
      <c r="C330" s="23">
        <v>1</v>
      </c>
      <c r="D330" s="261">
        <v>0</v>
      </c>
      <c r="E330" s="261">
        <v>1.0495000000000001</v>
      </c>
    </row>
    <row r="331" spans="2:5" x14ac:dyDescent="0.25">
      <c r="B331" s="355" t="s">
        <v>327</v>
      </c>
      <c r="C331" s="23">
        <v>1</v>
      </c>
      <c r="D331" s="261">
        <v>0</v>
      </c>
      <c r="E331" s="261">
        <v>1.0495000000000001</v>
      </c>
    </row>
    <row r="332" spans="2:5" x14ac:dyDescent="0.25">
      <c r="B332" s="308">
        <v>45694</v>
      </c>
      <c r="C332" s="23">
        <v>2</v>
      </c>
      <c r="D332" s="261">
        <v>595</v>
      </c>
      <c r="E332" s="261">
        <v>1918.0137999999999</v>
      </c>
    </row>
    <row r="333" spans="2:5" x14ac:dyDescent="0.25">
      <c r="B333" s="266" t="s">
        <v>284</v>
      </c>
      <c r="C333" s="23">
        <v>1</v>
      </c>
      <c r="D333" s="261">
        <v>247</v>
      </c>
      <c r="E333" s="261">
        <v>144.6317</v>
      </c>
    </row>
    <row r="334" spans="2:5" x14ac:dyDescent="0.25">
      <c r="B334" s="355" t="s">
        <v>244</v>
      </c>
      <c r="C334" s="23">
        <v>1</v>
      </c>
      <c r="D334" s="261">
        <v>247</v>
      </c>
      <c r="E334" s="261">
        <v>144.6317</v>
      </c>
    </row>
    <row r="335" spans="2:5" x14ac:dyDescent="0.25">
      <c r="B335" s="266" t="s">
        <v>320</v>
      </c>
      <c r="C335" s="23">
        <v>1</v>
      </c>
      <c r="D335" s="261">
        <v>348</v>
      </c>
      <c r="E335" s="261">
        <v>1773.3821</v>
      </c>
    </row>
    <row r="336" spans="2:5" x14ac:dyDescent="0.25">
      <c r="B336" s="355" t="s">
        <v>244</v>
      </c>
      <c r="C336" s="23">
        <v>1</v>
      </c>
      <c r="D336" s="261">
        <v>348</v>
      </c>
      <c r="E336" s="261">
        <v>1773.3821</v>
      </c>
    </row>
    <row r="337" spans="2:5" x14ac:dyDescent="0.25">
      <c r="B337" s="308">
        <v>45689</v>
      </c>
      <c r="C337" s="23">
        <v>5</v>
      </c>
      <c r="D337" s="261">
        <v>1963</v>
      </c>
      <c r="E337" s="261">
        <v>615.43700000000001</v>
      </c>
    </row>
    <row r="338" spans="2:5" x14ac:dyDescent="0.25">
      <c r="B338" s="266" t="s">
        <v>284</v>
      </c>
      <c r="C338" s="23">
        <v>4</v>
      </c>
      <c r="D338" s="261">
        <v>1963</v>
      </c>
      <c r="E338" s="261">
        <v>418.93040000000002</v>
      </c>
    </row>
    <row r="339" spans="2:5" x14ac:dyDescent="0.25">
      <c r="B339" s="355" t="s">
        <v>244</v>
      </c>
      <c r="C339" s="23">
        <v>3</v>
      </c>
      <c r="D339" s="261">
        <v>1963</v>
      </c>
      <c r="E339" s="261">
        <v>383.387</v>
      </c>
    </row>
    <row r="340" spans="2:5" x14ac:dyDescent="0.25">
      <c r="B340" s="355" t="s">
        <v>319</v>
      </c>
      <c r="C340" s="23">
        <v>1</v>
      </c>
      <c r="D340" s="261">
        <v>0</v>
      </c>
      <c r="E340" s="261">
        <v>35.543399999999998</v>
      </c>
    </row>
    <row r="341" spans="2:5" x14ac:dyDescent="0.25">
      <c r="B341" s="266" t="s">
        <v>234</v>
      </c>
      <c r="C341" s="23">
        <v>1</v>
      </c>
      <c r="D341" s="261">
        <v>0</v>
      </c>
      <c r="E341" s="261">
        <v>196.50659999999999</v>
      </c>
    </row>
    <row r="342" spans="2:5" x14ac:dyDescent="0.25">
      <c r="B342" s="355" t="s">
        <v>319</v>
      </c>
      <c r="C342" s="23">
        <v>1</v>
      </c>
      <c r="D342" s="261">
        <v>0</v>
      </c>
      <c r="E342" s="261">
        <v>196.50659999999999</v>
      </c>
    </row>
    <row r="343" spans="2:5" x14ac:dyDescent="0.25">
      <c r="B343" s="308">
        <v>45695</v>
      </c>
      <c r="C343" s="23">
        <v>7</v>
      </c>
      <c r="D343" s="261">
        <v>280</v>
      </c>
      <c r="E343" s="261">
        <v>307.58479999999997</v>
      </c>
    </row>
    <row r="344" spans="2:5" x14ac:dyDescent="0.25">
      <c r="B344" s="266" t="s">
        <v>284</v>
      </c>
      <c r="C344" s="23">
        <v>2</v>
      </c>
      <c r="D344" s="261">
        <v>126</v>
      </c>
      <c r="E344" s="261">
        <v>111.5488</v>
      </c>
    </row>
    <row r="345" spans="2:5" x14ac:dyDescent="0.25">
      <c r="B345" s="355" t="s">
        <v>244</v>
      </c>
      <c r="C345" s="23">
        <v>2</v>
      </c>
      <c r="D345" s="261">
        <v>126</v>
      </c>
      <c r="E345" s="261">
        <v>111.5488</v>
      </c>
    </row>
    <row r="346" spans="2:5" x14ac:dyDescent="0.25">
      <c r="B346" s="266" t="s">
        <v>234</v>
      </c>
      <c r="C346" s="23">
        <v>2</v>
      </c>
      <c r="D346" s="261">
        <v>59</v>
      </c>
      <c r="E346" s="261">
        <v>44.789299999999997</v>
      </c>
    </row>
    <row r="347" spans="2:5" x14ac:dyDescent="0.25">
      <c r="B347" s="355" t="s">
        <v>548</v>
      </c>
      <c r="C347" s="23">
        <v>1</v>
      </c>
      <c r="D347" s="261">
        <v>39</v>
      </c>
      <c r="E347" s="261">
        <v>3.58</v>
      </c>
    </row>
    <row r="348" spans="2:5" x14ac:dyDescent="0.25">
      <c r="B348" s="355" t="s">
        <v>244</v>
      </c>
      <c r="C348" s="23">
        <v>1</v>
      </c>
      <c r="D348" s="261">
        <v>20</v>
      </c>
      <c r="E348" s="261">
        <v>41.209299999999999</v>
      </c>
    </row>
    <row r="349" spans="2:5" x14ac:dyDescent="0.25">
      <c r="B349" s="266" t="s">
        <v>320</v>
      </c>
      <c r="C349" s="23">
        <v>3</v>
      </c>
      <c r="D349" s="261">
        <v>95</v>
      </c>
      <c r="E349" s="261">
        <v>151.2467</v>
      </c>
    </row>
    <row r="350" spans="2:5" x14ac:dyDescent="0.25">
      <c r="B350" s="355" t="s">
        <v>244</v>
      </c>
      <c r="C350" s="23">
        <v>3</v>
      </c>
      <c r="D350" s="261">
        <v>95</v>
      </c>
      <c r="E350" s="261">
        <v>151.2467</v>
      </c>
    </row>
    <row r="351" spans="2:5" x14ac:dyDescent="0.25">
      <c r="B351" s="308">
        <v>45693</v>
      </c>
      <c r="C351" s="23">
        <v>5</v>
      </c>
      <c r="D351" s="261">
        <v>325</v>
      </c>
      <c r="E351" s="261">
        <v>373.68589999999995</v>
      </c>
    </row>
    <row r="352" spans="2:5" x14ac:dyDescent="0.25">
      <c r="B352" s="266" t="s">
        <v>284</v>
      </c>
      <c r="C352" s="23">
        <v>2</v>
      </c>
      <c r="D352" s="261">
        <v>151</v>
      </c>
      <c r="E352" s="261">
        <v>313.84699999999998</v>
      </c>
    </row>
    <row r="353" spans="2:5" x14ac:dyDescent="0.25">
      <c r="B353" s="355" t="s">
        <v>244</v>
      </c>
      <c r="C353" s="23">
        <v>2</v>
      </c>
      <c r="D353" s="261">
        <v>151</v>
      </c>
      <c r="E353" s="261">
        <v>313.84699999999998</v>
      </c>
    </row>
    <row r="354" spans="2:5" x14ac:dyDescent="0.25">
      <c r="B354" s="266" t="s">
        <v>234</v>
      </c>
      <c r="C354" s="23">
        <v>1</v>
      </c>
      <c r="D354" s="261">
        <v>0</v>
      </c>
      <c r="E354" s="261">
        <v>29.5181</v>
      </c>
    </row>
    <row r="355" spans="2:5" x14ac:dyDescent="0.25">
      <c r="B355" s="355" t="s">
        <v>327</v>
      </c>
      <c r="C355" s="23">
        <v>1</v>
      </c>
      <c r="D355" s="261">
        <v>0</v>
      </c>
      <c r="E355" s="261">
        <v>29.5181</v>
      </c>
    </row>
    <row r="356" spans="2:5" x14ac:dyDescent="0.25">
      <c r="B356" s="266" t="s">
        <v>320</v>
      </c>
      <c r="C356" s="23">
        <v>2</v>
      </c>
      <c r="D356" s="261">
        <v>174</v>
      </c>
      <c r="E356" s="261">
        <v>30.320799999999998</v>
      </c>
    </row>
    <row r="357" spans="2:5" x14ac:dyDescent="0.25">
      <c r="B357" s="355" t="s">
        <v>548</v>
      </c>
      <c r="C357" s="23">
        <v>1</v>
      </c>
      <c r="D357" s="261">
        <v>60</v>
      </c>
      <c r="E357" s="261">
        <v>11.4428</v>
      </c>
    </row>
    <row r="358" spans="2:5" x14ac:dyDescent="0.25">
      <c r="B358" s="355" t="s">
        <v>244</v>
      </c>
      <c r="C358" s="23">
        <v>1</v>
      </c>
      <c r="D358" s="261">
        <v>114</v>
      </c>
      <c r="E358" s="261">
        <v>18.878</v>
      </c>
    </row>
    <row r="359" spans="2:5" x14ac:dyDescent="0.25">
      <c r="B359" s="308">
        <v>45692</v>
      </c>
      <c r="C359" s="23">
        <v>1</v>
      </c>
      <c r="D359" s="261">
        <v>0</v>
      </c>
      <c r="E359" s="261">
        <v>54.72</v>
      </c>
    </row>
    <row r="360" spans="2:5" x14ac:dyDescent="0.25">
      <c r="B360" s="266" t="s">
        <v>284</v>
      </c>
      <c r="C360" s="23">
        <v>1</v>
      </c>
      <c r="D360" s="261">
        <v>0</v>
      </c>
      <c r="E360" s="261">
        <v>54.72</v>
      </c>
    </row>
    <row r="361" spans="2:5" x14ac:dyDescent="0.25">
      <c r="B361" s="355" t="s">
        <v>319</v>
      </c>
      <c r="C361" s="23">
        <v>1</v>
      </c>
      <c r="D361" s="261">
        <v>0</v>
      </c>
      <c r="E361" s="261">
        <v>54.72</v>
      </c>
    </row>
    <row r="362" spans="2:5" x14ac:dyDescent="0.25">
      <c r="B362" s="308">
        <v>45703</v>
      </c>
      <c r="C362" s="23">
        <v>6</v>
      </c>
      <c r="D362" s="261">
        <v>303.10000000000002</v>
      </c>
      <c r="E362" s="261">
        <v>330.59759999999994</v>
      </c>
    </row>
    <row r="363" spans="2:5" x14ac:dyDescent="0.25">
      <c r="B363" s="266" t="s">
        <v>320</v>
      </c>
      <c r="C363" s="23">
        <v>6</v>
      </c>
      <c r="D363" s="261">
        <v>303.10000000000002</v>
      </c>
      <c r="E363" s="261">
        <v>330.59759999999994</v>
      </c>
    </row>
    <row r="364" spans="2:5" x14ac:dyDescent="0.25">
      <c r="B364" s="355" t="s">
        <v>548</v>
      </c>
      <c r="C364" s="23">
        <v>1</v>
      </c>
      <c r="D364" s="261">
        <v>44</v>
      </c>
      <c r="E364" s="261">
        <v>138.44569999999993</v>
      </c>
    </row>
    <row r="365" spans="2:5" x14ac:dyDescent="0.25">
      <c r="B365" s="355" t="s">
        <v>244</v>
      </c>
      <c r="C365" s="23">
        <v>5</v>
      </c>
      <c r="D365" s="261">
        <v>259.10000000000002</v>
      </c>
      <c r="E365" s="261">
        <v>192.15190000000001</v>
      </c>
    </row>
    <row r="366" spans="2:5" x14ac:dyDescent="0.25">
      <c r="B366" s="308">
        <v>45699</v>
      </c>
      <c r="C366" s="23">
        <v>7</v>
      </c>
      <c r="D366" s="261">
        <v>521.5</v>
      </c>
      <c r="E366" s="261">
        <v>306.17240000000004</v>
      </c>
    </row>
    <row r="367" spans="2:5" x14ac:dyDescent="0.25">
      <c r="B367" s="266" t="s">
        <v>284</v>
      </c>
      <c r="C367" s="23">
        <v>3</v>
      </c>
      <c r="D367" s="261">
        <v>77</v>
      </c>
      <c r="E367" s="261">
        <v>37.639500000000005</v>
      </c>
    </row>
    <row r="368" spans="2:5" x14ac:dyDescent="0.25">
      <c r="B368" s="355" t="s">
        <v>244</v>
      </c>
      <c r="C368" s="23">
        <v>2</v>
      </c>
      <c r="D368" s="261">
        <v>77</v>
      </c>
      <c r="E368" s="261">
        <v>37.639500000000005</v>
      </c>
    </row>
    <row r="369" spans="2:5" x14ac:dyDescent="0.25">
      <c r="B369" s="355" t="s">
        <v>319</v>
      </c>
      <c r="C369" s="23">
        <v>1</v>
      </c>
      <c r="D369" s="261"/>
      <c r="E369" s="261">
        <v>0</v>
      </c>
    </row>
    <row r="370" spans="2:5" x14ac:dyDescent="0.25">
      <c r="B370" s="266" t="s">
        <v>320</v>
      </c>
      <c r="C370" s="23">
        <v>4</v>
      </c>
      <c r="D370" s="261">
        <v>444.5</v>
      </c>
      <c r="E370" s="261">
        <v>268.53290000000004</v>
      </c>
    </row>
    <row r="371" spans="2:5" x14ac:dyDescent="0.25">
      <c r="B371" s="355" t="s">
        <v>548</v>
      </c>
      <c r="C371" s="23">
        <v>1</v>
      </c>
      <c r="D371" s="261">
        <v>100</v>
      </c>
      <c r="E371" s="261">
        <v>92.761799999999994</v>
      </c>
    </row>
    <row r="372" spans="2:5" x14ac:dyDescent="0.25">
      <c r="B372" s="355" t="s">
        <v>244</v>
      </c>
      <c r="C372" s="23">
        <v>3</v>
      </c>
      <c r="D372" s="261">
        <v>344.5</v>
      </c>
      <c r="E372" s="261">
        <v>175.77109999999999</v>
      </c>
    </row>
    <row r="373" spans="2:5" x14ac:dyDescent="0.25">
      <c r="B373" s="308">
        <v>45702</v>
      </c>
      <c r="C373" s="23">
        <v>3</v>
      </c>
      <c r="D373" s="261">
        <v>52.6</v>
      </c>
      <c r="E373" s="261">
        <v>441.92040000000003</v>
      </c>
    </row>
    <row r="374" spans="2:5" x14ac:dyDescent="0.25">
      <c r="B374" s="266" t="s">
        <v>284</v>
      </c>
      <c r="C374" s="23">
        <v>2</v>
      </c>
      <c r="D374" s="261">
        <v>48</v>
      </c>
      <c r="E374" s="261">
        <v>394.1397</v>
      </c>
    </row>
    <row r="375" spans="2:5" x14ac:dyDescent="0.25">
      <c r="B375" s="355" t="s">
        <v>244</v>
      </c>
      <c r="C375" s="23">
        <v>2</v>
      </c>
      <c r="D375" s="261">
        <v>48</v>
      </c>
      <c r="E375" s="261">
        <v>394.1397</v>
      </c>
    </row>
    <row r="376" spans="2:5" x14ac:dyDescent="0.25">
      <c r="B376" s="266" t="s">
        <v>320</v>
      </c>
      <c r="C376" s="23">
        <v>1</v>
      </c>
      <c r="D376" s="261">
        <v>4.5999999999999996</v>
      </c>
      <c r="E376" s="261">
        <v>47.780700000000003</v>
      </c>
    </row>
    <row r="377" spans="2:5" x14ac:dyDescent="0.25">
      <c r="B377" s="355" t="s">
        <v>244</v>
      </c>
      <c r="C377" s="23">
        <v>1</v>
      </c>
      <c r="D377" s="261">
        <v>4.5999999999999996</v>
      </c>
      <c r="E377" s="261">
        <v>47.780700000000003</v>
      </c>
    </row>
    <row r="378" spans="2:5" x14ac:dyDescent="0.25">
      <c r="B378" s="308">
        <v>45696</v>
      </c>
      <c r="C378" s="23">
        <v>3</v>
      </c>
      <c r="D378" s="261">
        <v>208.9</v>
      </c>
      <c r="E378" s="261">
        <v>134.0051</v>
      </c>
    </row>
    <row r="379" spans="2:5" x14ac:dyDescent="0.25">
      <c r="B379" s="266" t="s">
        <v>320</v>
      </c>
      <c r="C379" s="23">
        <v>3</v>
      </c>
      <c r="D379" s="261">
        <v>208.9</v>
      </c>
      <c r="E379" s="261">
        <v>134.0051</v>
      </c>
    </row>
    <row r="380" spans="2:5" x14ac:dyDescent="0.25">
      <c r="B380" s="355" t="s">
        <v>548</v>
      </c>
      <c r="C380" s="23">
        <v>2</v>
      </c>
      <c r="D380" s="261">
        <v>204</v>
      </c>
      <c r="E380" s="261">
        <v>112.56479999999999</v>
      </c>
    </row>
    <row r="381" spans="2:5" x14ac:dyDescent="0.25">
      <c r="B381" s="355" t="s">
        <v>1514</v>
      </c>
      <c r="C381" s="23">
        <v>1</v>
      </c>
      <c r="D381" s="261">
        <v>4.9000000000000004</v>
      </c>
      <c r="E381" s="261">
        <v>21.440300000000001</v>
      </c>
    </row>
    <row r="382" spans="2:5" x14ac:dyDescent="0.25">
      <c r="B382" s="308">
        <v>45700</v>
      </c>
      <c r="C382" s="23">
        <v>1</v>
      </c>
      <c r="D382" s="261">
        <v>70.5</v>
      </c>
      <c r="E382" s="261">
        <v>34.519500000000001</v>
      </c>
    </row>
    <row r="383" spans="2:5" x14ac:dyDescent="0.25">
      <c r="B383" s="266" t="s">
        <v>320</v>
      </c>
      <c r="C383" s="23">
        <v>1</v>
      </c>
      <c r="D383" s="261">
        <v>70.5</v>
      </c>
      <c r="E383" s="261">
        <v>34.519500000000001</v>
      </c>
    </row>
    <row r="384" spans="2:5" x14ac:dyDescent="0.25">
      <c r="B384" s="355" t="s">
        <v>244</v>
      </c>
      <c r="C384" s="23">
        <v>1</v>
      </c>
      <c r="D384" s="261">
        <v>70.5</v>
      </c>
      <c r="E384" s="261">
        <v>34.519500000000001</v>
      </c>
    </row>
    <row r="385" spans="2:5" x14ac:dyDescent="0.25">
      <c r="B385" s="308">
        <v>45698</v>
      </c>
      <c r="C385" s="23">
        <v>4</v>
      </c>
      <c r="D385" s="261">
        <v>144</v>
      </c>
      <c r="E385" s="261">
        <v>109.61980000000001</v>
      </c>
    </row>
    <row r="386" spans="2:5" x14ac:dyDescent="0.25">
      <c r="B386" s="266" t="s">
        <v>284</v>
      </c>
      <c r="C386" s="23">
        <v>2</v>
      </c>
      <c r="D386" s="261">
        <v>62</v>
      </c>
      <c r="E386" s="261">
        <v>0</v>
      </c>
    </row>
    <row r="387" spans="2:5" x14ac:dyDescent="0.25">
      <c r="B387" s="355" t="s">
        <v>244</v>
      </c>
      <c r="C387" s="23">
        <v>2</v>
      </c>
      <c r="D387" s="261">
        <v>62</v>
      </c>
      <c r="E387" s="261">
        <v>0</v>
      </c>
    </row>
    <row r="388" spans="2:5" x14ac:dyDescent="0.25">
      <c r="B388" s="266" t="s">
        <v>320</v>
      </c>
      <c r="C388" s="23">
        <v>2</v>
      </c>
      <c r="D388" s="261">
        <v>82</v>
      </c>
      <c r="E388" s="261">
        <v>109.61980000000001</v>
      </c>
    </row>
    <row r="389" spans="2:5" x14ac:dyDescent="0.25">
      <c r="B389" s="355" t="s">
        <v>548</v>
      </c>
      <c r="C389" s="23">
        <v>1</v>
      </c>
      <c r="D389" s="261">
        <v>67</v>
      </c>
      <c r="E389" s="261">
        <v>109.61980000000001</v>
      </c>
    </row>
    <row r="390" spans="2:5" x14ac:dyDescent="0.25">
      <c r="B390" s="355" t="s">
        <v>244</v>
      </c>
      <c r="C390" s="23">
        <v>1</v>
      </c>
      <c r="D390" s="261">
        <v>15</v>
      </c>
      <c r="E390" s="261">
        <v>0</v>
      </c>
    </row>
    <row r="391" spans="2:5" x14ac:dyDescent="0.25">
      <c r="B391" s="308">
        <v>45697</v>
      </c>
      <c r="C391" s="23">
        <v>2</v>
      </c>
      <c r="D391" s="261">
        <v>115</v>
      </c>
      <c r="E391" s="261">
        <v>45.708999999999996</v>
      </c>
    </row>
    <row r="392" spans="2:5" x14ac:dyDescent="0.25">
      <c r="B392" s="266" t="s">
        <v>284</v>
      </c>
      <c r="C392" s="23">
        <v>1</v>
      </c>
      <c r="D392" s="261">
        <v>30</v>
      </c>
      <c r="E392" s="261">
        <v>3.92</v>
      </c>
    </row>
    <row r="393" spans="2:5" x14ac:dyDescent="0.25">
      <c r="B393" s="355" t="s">
        <v>244</v>
      </c>
      <c r="C393" s="23">
        <v>1</v>
      </c>
      <c r="D393" s="261">
        <v>30</v>
      </c>
      <c r="E393" s="261">
        <v>3.92</v>
      </c>
    </row>
    <row r="394" spans="2:5" x14ac:dyDescent="0.25">
      <c r="B394" s="266" t="s">
        <v>320</v>
      </c>
      <c r="C394" s="23">
        <v>1</v>
      </c>
      <c r="D394" s="261">
        <v>85</v>
      </c>
      <c r="E394" s="261">
        <v>41.788999999999994</v>
      </c>
    </row>
    <row r="395" spans="2:5" x14ac:dyDescent="0.25">
      <c r="B395" s="355" t="s">
        <v>244</v>
      </c>
      <c r="C395" s="23">
        <v>1</v>
      </c>
      <c r="D395" s="261">
        <v>85</v>
      </c>
      <c r="E395" s="261">
        <v>41.788999999999994</v>
      </c>
    </row>
    <row r="396" spans="2:5" x14ac:dyDescent="0.25">
      <c r="B396" s="308">
        <v>45710</v>
      </c>
      <c r="C396" s="23">
        <v>4</v>
      </c>
      <c r="D396" s="261">
        <v>395</v>
      </c>
      <c r="E396" s="261">
        <v>665.79599999999994</v>
      </c>
    </row>
    <row r="397" spans="2:5" x14ac:dyDescent="0.25">
      <c r="B397" s="266" t="s">
        <v>284</v>
      </c>
      <c r="C397" s="23">
        <v>1</v>
      </c>
      <c r="D397" s="261">
        <v>220</v>
      </c>
      <c r="E397" s="261">
        <v>183.2653</v>
      </c>
    </row>
    <row r="398" spans="2:5" x14ac:dyDescent="0.25">
      <c r="B398" s="355" t="s">
        <v>548</v>
      </c>
      <c r="C398" s="23">
        <v>1</v>
      </c>
      <c r="D398" s="261">
        <v>220</v>
      </c>
      <c r="E398" s="261">
        <v>183.2653</v>
      </c>
    </row>
    <row r="399" spans="2:5" x14ac:dyDescent="0.25">
      <c r="B399" s="266" t="s">
        <v>234</v>
      </c>
      <c r="C399" s="23">
        <v>2</v>
      </c>
      <c r="D399" s="261">
        <v>35</v>
      </c>
      <c r="E399" s="261">
        <v>349.65929999999992</v>
      </c>
    </row>
    <row r="400" spans="2:5" x14ac:dyDescent="0.25">
      <c r="B400" s="355" t="s">
        <v>244</v>
      </c>
      <c r="C400" s="23">
        <v>1</v>
      </c>
      <c r="D400" s="261">
        <v>35</v>
      </c>
      <c r="E400" s="261">
        <v>207.18429999999995</v>
      </c>
    </row>
    <row r="401" spans="2:5" x14ac:dyDescent="0.25">
      <c r="B401" s="355" t="s">
        <v>327</v>
      </c>
      <c r="C401" s="23">
        <v>1</v>
      </c>
      <c r="D401" s="261">
        <v>0</v>
      </c>
      <c r="E401" s="261">
        <v>142.47499999999999</v>
      </c>
    </row>
    <row r="402" spans="2:5" x14ac:dyDescent="0.25">
      <c r="B402" s="266" t="s">
        <v>320</v>
      </c>
      <c r="C402" s="23">
        <v>1</v>
      </c>
      <c r="D402" s="261">
        <v>140</v>
      </c>
      <c r="E402" s="261">
        <v>132.87139999999999</v>
      </c>
    </row>
    <row r="403" spans="2:5" x14ac:dyDescent="0.25">
      <c r="B403" s="355" t="s">
        <v>548</v>
      </c>
      <c r="C403" s="23">
        <v>1</v>
      </c>
      <c r="D403" s="261">
        <v>140</v>
      </c>
      <c r="E403" s="261">
        <v>132.87139999999999</v>
      </c>
    </row>
    <row r="404" spans="2:5" x14ac:dyDescent="0.25">
      <c r="B404" s="308">
        <v>45716</v>
      </c>
      <c r="C404" s="23">
        <v>2</v>
      </c>
      <c r="D404" s="261">
        <v>110</v>
      </c>
      <c r="E404" s="261">
        <v>2.1979500000000001</v>
      </c>
    </row>
    <row r="405" spans="2:5" x14ac:dyDescent="0.25">
      <c r="B405" s="266" t="s">
        <v>284</v>
      </c>
      <c r="C405" s="23">
        <v>1</v>
      </c>
      <c r="D405" s="261">
        <v>0</v>
      </c>
      <c r="E405" s="261">
        <v>2.1979500000000001</v>
      </c>
    </row>
    <row r="406" spans="2:5" x14ac:dyDescent="0.25">
      <c r="B406" s="355" t="s">
        <v>319</v>
      </c>
      <c r="C406" s="23">
        <v>1</v>
      </c>
      <c r="D406" s="261">
        <v>0</v>
      </c>
      <c r="E406" s="261">
        <v>2.1979500000000001</v>
      </c>
    </row>
    <row r="407" spans="2:5" x14ac:dyDescent="0.25">
      <c r="B407" s="266" t="s">
        <v>320</v>
      </c>
      <c r="C407" s="23">
        <v>1</v>
      </c>
      <c r="D407" s="261">
        <v>110</v>
      </c>
      <c r="E407" s="261">
        <v>0</v>
      </c>
    </row>
    <row r="408" spans="2:5" x14ac:dyDescent="0.25">
      <c r="B408" s="355" t="s">
        <v>244</v>
      </c>
      <c r="C408" s="23">
        <v>1</v>
      </c>
      <c r="D408" s="261">
        <v>110</v>
      </c>
      <c r="E408" s="261">
        <v>0</v>
      </c>
    </row>
    <row r="409" spans="2:5" x14ac:dyDescent="0.25">
      <c r="B409" s="308">
        <v>45706</v>
      </c>
      <c r="C409" s="23">
        <v>1</v>
      </c>
      <c r="D409" s="261">
        <v>52</v>
      </c>
      <c r="E409" s="261">
        <v>48.755000000000003</v>
      </c>
    </row>
    <row r="410" spans="2:5" x14ac:dyDescent="0.25">
      <c r="B410" s="266" t="s">
        <v>284</v>
      </c>
      <c r="C410" s="23">
        <v>1</v>
      </c>
      <c r="D410" s="261">
        <v>52</v>
      </c>
      <c r="E410" s="261">
        <v>48.755000000000003</v>
      </c>
    </row>
    <row r="411" spans="2:5" x14ac:dyDescent="0.25">
      <c r="B411" s="355" t="s">
        <v>244</v>
      </c>
      <c r="C411" s="23">
        <v>1</v>
      </c>
      <c r="D411" s="261">
        <v>52</v>
      </c>
      <c r="E411" s="261">
        <v>48.755000000000003</v>
      </c>
    </row>
    <row r="412" spans="2:5" x14ac:dyDescent="0.25">
      <c r="B412" s="308">
        <v>45712</v>
      </c>
      <c r="C412" s="23">
        <v>3</v>
      </c>
      <c r="D412" s="261">
        <v>95.5</v>
      </c>
      <c r="E412" s="261">
        <v>330.9883999999999</v>
      </c>
    </row>
    <row r="413" spans="2:5" x14ac:dyDescent="0.25">
      <c r="B413" s="266" t="s">
        <v>234</v>
      </c>
      <c r="C413" s="23">
        <v>1</v>
      </c>
      <c r="D413" s="261">
        <v>31</v>
      </c>
      <c r="E413" s="261">
        <v>273.93739999999991</v>
      </c>
    </row>
    <row r="414" spans="2:5" x14ac:dyDescent="0.25">
      <c r="B414" s="355" t="s">
        <v>244</v>
      </c>
      <c r="C414" s="23">
        <v>1</v>
      </c>
      <c r="D414" s="261">
        <v>31</v>
      </c>
      <c r="E414" s="261">
        <v>273.93739999999991</v>
      </c>
    </row>
    <row r="415" spans="2:5" x14ac:dyDescent="0.25">
      <c r="B415" s="266" t="s">
        <v>320</v>
      </c>
      <c r="C415" s="23">
        <v>2</v>
      </c>
      <c r="D415" s="261">
        <v>64.5</v>
      </c>
      <c r="E415" s="261">
        <v>57.051000000000002</v>
      </c>
    </row>
    <row r="416" spans="2:5" x14ac:dyDescent="0.25">
      <c r="B416" s="355" t="s">
        <v>244</v>
      </c>
      <c r="C416" s="23">
        <v>2</v>
      </c>
      <c r="D416" s="261">
        <v>64.5</v>
      </c>
      <c r="E416" s="261">
        <v>57.051000000000002</v>
      </c>
    </row>
    <row r="417" spans="2:5" x14ac:dyDescent="0.25">
      <c r="B417" s="308">
        <v>45713</v>
      </c>
      <c r="C417" s="23">
        <v>2</v>
      </c>
      <c r="D417" s="261">
        <v>83</v>
      </c>
      <c r="E417" s="261">
        <v>298.87909999999999</v>
      </c>
    </row>
    <row r="418" spans="2:5" x14ac:dyDescent="0.25">
      <c r="B418" s="266" t="s">
        <v>284</v>
      </c>
      <c r="C418" s="23">
        <v>1</v>
      </c>
      <c r="D418" s="261">
        <v>10</v>
      </c>
      <c r="E418" s="261">
        <v>2.58</v>
      </c>
    </row>
    <row r="419" spans="2:5" x14ac:dyDescent="0.25">
      <c r="B419" s="355" t="s">
        <v>244</v>
      </c>
      <c r="C419" s="23">
        <v>1</v>
      </c>
      <c r="D419" s="261">
        <v>10</v>
      </c>
      <c r="E419" s="261">
        <v>2.58</v>
      </c>
    </row>
    <row r="420" spans="2:5" x14ac:dyDescent="0.25">
      <c r="B420" s="266" t="s">
        <v>320</v>
      </c>
      <c r="C420" s="23">
        <v>1</v>
      </c>
      <c r="D420" s="261">
        <v>73</v>
      </c>
      <c r="E420" s="261">
        <v>296.29910000000001</v>
      </c>
    </row>
    <row r="421" spans="2:5" x14ac:dyDescent="0.25">
      <c r="B421" s="355" t="s">
        <v>244</v>
      </c>
      <c r="C421" s="23">
        <v>1</v>
      </c>
      <c r="D421" s="261">
        <v>73</v>
      </c>
      <c r="E421" s="261">
        <v>296.29910000000001</v>
      </c>
    </row>
    <row r="422" spans="2:5" x14ac:dyDescent="0.25">
      <c r="B422" s="308">
        <v>45715</v>
      </c>
      <c r="C422" s="23">
        <v>2</v>
      </c>
      <c r="D422" s="261">
        <v>57</v>
      </c>
      <c r="E422" s="261">
        <v>274.06979999999999</v>
      </c>
    </row>
    <row r="423" spans="2:5" x14ac:dyDescent="0.25">
      <c r="B423" s="266" t="s">
        <v>284</v>
      </c>
      <c r="C423" s="23">
        <v>1</v>
      </c>
      <c r="D423" s="261">
        <v>42</v>
      </c>
      <c r="E423" s="261">
        <v>214.8948</v>
      </c>
    </row>
    <row r="424" spans="2:5" x14ac:dyDescent="0.25">
      <c r="B424" s="355" t="s">
        <v>548</v>
      </c>
      <c r="C424" s="23">
        <v>1</v>
      </c>
      <c r="D424" s="261">
        <v>42</v>
      </c>
      <c r="E424" s="261">
        <v>214.8948</v>
      </c>
    </row>
    <row r="425" spans="2:5" x14ac:dyDescent="0.25">
      <c r="B425" s="266" t="s">
        <v>320</v>
      </c>
      <c r="C425" s="23">
        <v>1</v>
      </c>
      <c r="D425" s="261">
        <v>15</v>
      </c>
      <c r="E425" s="261">
        <v>59.174999999999997</v>
      </c>
    </row>
    <row r="426" spans="2:5" x14ac:dyDescent="0.25">
      <c r="B426" s="355" t="s">
        <v>244</v>
      </c>
      <c r="C426" s="23">
        <v>1</v>
      </c>
      <c r="D426" s="261">
        <v>15</v>
      </c>
      <c r="E426" s="261">
        <v>59.174999999999997</v>
      </c>
    </row>
    <row r="427" spans="2:5" x14ac:dyDescent="0.25">
      <c r="B427" s="307">
        <v>45714.636805555558</v>
      </c>
      <c r="C427" s="23">
        <v>1</v>
      </c>
      <c r="D427" s="261">
        <v>78</v>
      </c>
      <c r="E427" s="261">
        <v>666.33040000000028</v>
      </c>
    </row>
    <row r="428" spans="2:5" x14ac:dyDescent="0.25">
      <c r="B428" s="266" t="s">
        <v>284</v>
      </c>
      <c r="C428" s="23">
        <v>1</v>
      </c>
      <c r="D428" s="261">
        <v>78</v>
      </c>
      <c r="E428" s="261">
        <v>666.33040000000028</v>
      </c>
    </row>
    <row r="429" spans="2:5" x14ac:dyDescent="0.25">
      <c r="B429" s="355" t="s">
        <v>244</v>
      </c>
      <c r="C429" s="23">
        <v>1</v>
      </c>
      <c r="D429" s="261">
        <v>78</v>
      </c>
      <c r="E429" s="261">
        <v>666.33040000000028</v>
      </c>
    </row>
    <row r="430" spans="2:5" ht="15.75" x14ac:dyDescent="0.25">
      <c r="B430" s="354" t="s">
        <v>6</v>
      </c>
      <c r="C430" s="263">
        <v>451</v>
      </c>
      <c r="D430" s="353">
        <v>38770.315000000002</v>
      </c>
      <c r="E430" s="353">
        <v>53155.22305999996</v>
      </c>
    </row>
  </sheetData>
  <autoFilter ref="A60:G92" xr:uid="{EA716FB9-25E2-455D-8ED0-CBD1A743A97E}">
    <filterColumn colId="6">
      <filters>
        <filter val="pending"/>
      </filters>
    </filterColumn>
    <sortState xmlns:xlrd2="http://schemas.microsoft.com/office/spreadsheetml/2017/richdata2" ref="A61:G80">
      <sortCondition ref="E60:E92"/>
    </sortState>
  </autoFilter>
  <mergeCells count="35">
    <mergeCell ref="K3:K4"/>
    <mergeCell ref="C5:D5"/>
    <mergeCell ref="E5:F5"/>
    <mergeCell ref="C6:D6"/>
    <mergeCell ref="E6:F6"/>
    <mergeCell ref="C4:D4"/>
    <mergeCell ref="E4:F4"/>
    <mergeCell ref="G4:G5"/>
    <mergeCell ref="O14:O15"/>
    <mergeCell ref="P100:P101"/>
    <mergeCell ref="T100:T101"/>
    <mergeCell ref="S100:S101"/>
    <mergeCell ref="P61:Q61"/>
    <mergeCell ref="R61:S61"/>
    <mergeCell ref="T22:U22"/>
    <mergeCell ref="S20:T20"/>
    <mergeCell ref="U20:V20"/>
    <mergeCell ref="P47:P48"/>
    <mergeCell ref="Q47:R47"/>
    <mergeCell ref="AK19:AL19"/>
    <mergeCell ref="AK8:AL8"/>
    <mergeCell ref="U9:V9"/>
    <mergeCell ref="AJ18:AJ19"/>
    <mergeCell ref="Q100:Q101"/>
    <mergeCell ref="R100:R101"/>
    <mergeCell ref="U100:U101"/>
    <mergeCell ref="U61:X64"/>
    <mergeCell ref="U35:V35"/>
    <mergeCell ref="W35:X35"/>
    <mergeCell ref="T46:U46"/>
    <mergeCell ref="V46:W46"/>
    <mergeCell ref="X46:Y46"/>
    <mergeCell ref="T47:U47"/>
    <mergeCell ref="V47:W47"/>
    <mergeCell ref="X47:Y47"/>
  </mergeCells>
  <conditionalFormatting sqref="Z49:Z56">
    <cfRule type="cellIs" dxfId="11029" priority="1789" operator="equal">
      <formula>$Q$50</formula>
    </cfRule>
    <cfRule type="cellIs" dxfId="11028" priority="1790" operator="equal">
      <formula>$T$50</formula>
    </cfRule>
    <cfRule type="expression" dxfId="11027" priority="1791">
      <formula>"IF+$AH$47=$Y$48"</formula>
    </cfRule>
  </conditionalFormatting>
  <conditionalFormatting sqref="Z49:AA56">
    <cfRule type="cellIs" dxfId="11026" priority="1788" operator="equal">
      <formula>Q49</formula>
    </cfRule>
  </conditionalFormatting>
  <conditionalFormatting sqref="A61:A64">
    <cfRule type="duplicateValues" dxfId="11025" priority="1753"/>
  </conditionalFormatting>
  <conditionalFormatting sqref="A61:A64">
    <cfRule type="duplicateValues" dxfId="11024" priority="1760"/>
  </conditionalFormatting>
  <conditionalFormatting sqref="A61:A64">
    <cfRule type="duplicateValues" dxfId="11023" priority="1754"/>
    <cfRule type="duplicateValues" dxfId="11022" priority="1755"/>
    <cfRule type="duplicateValues" dxfId="11021" priority="1756"/>
    <cfRule type="duplicateValues" dxfId="11020" priority="1757"/>
    <cfRule type="duplicateValues" dxfId="11019" priority="1758"/>
    <cfRule type="duplicateValues" dxfId="11018" priority="1759"/>
  </conditionalFormatting>
  <conditionalFormatting sqref="A61:A64">
    <cfRule type="duplicateValues" dxfId="11017" priority="1742"/>
    <cfRule type="duplicateValues" dxfId="11016" priority="1743"/>
    <cfRule type="duplicateValues" dxfId="11015" priority="1744"/>
    <cfRule type="duplicateValues" dxfId="11014" priority="1745"/>
    <cfRule type="duplicateValues" dxfId="11013" priority="1746"/>
    <cfRule type="duplicateValues" dxfId="11012" priority="1747"/>
    <cfRule type="duplicateValues" dxfId="11011" priority="1748"/>
    <cfRule type="duplicateValues" dxfId="11010" priority="1749"/>
    <cfRule type="duplicateValues" dxfId="11009" priority="1750"/>
    <cfRule type="duplicateValues" dxfId="11008" priority="1751"/>
    <cfRule type="duplicateValues" dxfId="11007" priority="1752"/>
  </conditionalFormatting>
  <conditionalFormatting sqref="A61:A64">
    <cfRule type="duplicateValues" dxfId="11006" priority="1761"/>
    <cfRule type="duplicateValues" dxfId="11005" priority="1762"/>
    <cfRule type="duplicateValues" dxfId="11004" priority="1763"/>
    <cfRule type="duplicateValues" dxfId="11003" priority="1764"/>
    <cfRule type="duplicateValues" dxfId="11002" priority="1765"/>
    <cfRule type="duplicateValues" dxfId="11001" priority="1766"/>
    <cfRule type="duplicateValues" dxfId="11000" priority="1767"/>
    <cfRule type="duplicateValues" dxfId="10999" priority="1768"/>
    <cfRule type="duplicateValues" dxfId="10998" priority="1769"/>
    <cfRule type="duplicateValues" dxfId="10997" priority="1770"/>
    <cfRule type="duplicateValues" dxfId="10996" priority="1771"/>
    <cfRule type="duplicateValues" dxfId="10995" priority="1772"/>
    <cfRule type="duplicateValues" dxfId="10994" priority="1773"/>
    <cfRule type="duplicateValues" dxfId="10993" priority="1774"/>
    <cfRule type="duplicateValues" dxfId="10992" priority="1775"/>
    <cfRule type="duplicateValues" dxfId="10991" priority="1776"/>
    <cfRule type="duplicateValues" dxfId="10990" priority="1777"/>
  </conditionalFormatting>
  <conditionalFormatting sqref="A61:A64">
    <cfRule type="duplicateValues" dxfId="10989" priority="1732"/>
    <cfRule type="duplicateValues" dxfId="10988" priority="1733"/>
    <cfRule type="duplicateValues" dxfId="10987" priority="1734"/>
    <cfRule type="duplicateValues" dxfId="10986" priority="1735"/>
  </conditionalFormatting>
  <conditionalFormatting sqref="A61:A64">
    <cfRule type="duplicateValues" dxfId="10985" priority="1737"/>
    <cfRule type="duplicateValues" dxfId="10984" priority="1738"/>
    <cfRule type="duplicateValues" dxfId="10983" priority="1739"/>
    <cfRule type="duplicateValues" dxfId="10982" priority="1740"/>
    <cfRule type="duplicateValues" dxfId="10981" priority="1741"/>
  </conditionalFormatting>
  <conditionalFormatting sqref="A61:A64">
    <cfRule type="duplicateValues" dxfId="10980" priority="1736"/>
  </conditionalFormatting>
  <conditionalFormatting sqref="A61:A64">
    <cfRule type="duplicateValues" dxfId="10979" priority="1783"/>
    <cfRule type="duplicateValues" dxfId="10978" priority="1784"/>
    <cfRule type="duplicateValues" dxfId="10977" priority="1785"/>
  </conditionalFormatting>
  <conditionalFormatting sqref="A84">
    <cfRule type="duplicateValues" dxfId="10976" priority="53417"/>
  </conditionalFormatting>
  <conditionalFormatting sqref="A84">
    <cfRule type="duplicateValues" dxfId="10975" priority="53419"/>
    <cfRule type="duplicateValues" dxfId="10974" priority="53420"/>
  </conditionalFormatting>
  <conditionalFormatting sqref="A84">
    <cfRule type="duplicateValues" dxfId="10973" priority="53433"/>
    <cfRule type="duplicateValues" dxfId="10972" priority="53434"/>
    <cfRule type="duplicateValues" dxfId="10971" priority="53435"/>
    <cfRule type="duplicateValues" dxfId="10970" priority="53436"/>
    <cfRule type="duplicateValues" dxfId="10969" priority="53437"/>
    <cfRule type="duplicateValues" dxfId="10968" priority="53438"/>
  </conditionalFormatting>
  <conditionalFormatting sqref="A84">
    <cfRule type="duplicateValues" dxfId="10967" priority="53445"/>
    <cfRule type="duplicateValues" dxfId="10966" priority="53446"/>
    <cfRule type="duplicateValues" dxfId="10965" priority="53447"/>
    <cfRule type="duplicateValues" dxfId="10964" priority="53448"/>
    <cfRule type="duplicateValues" dxfId="10963" priority="53449"/>
  </conditionalFormatting>
  <conditionalFormatting sqref="A84">
    <cfRule type="duplicateValues" dxfId="10962" priority="53455"/>
    <cfRule type="duplicateValues" dxfId="10961" priority="53456"/>
    <cfRule type="duplicateValues" dxfId="10960" priority="53457"/>
    <cfRule type="duplicateValues" dxfId="10959" priority="53458"/>
    <cfRule type="duplicateValues" dxfId="10958" priority="53459"/>
    <cfRule type="duplicateValues" dxfId="10957" priority="53460"/>
    <cfRule type="duplicateValues" dxfId="10956" priority="53461"/>
    <cfRule type="duplicateValues" dxfId="10955" priority="53462"/>
    <cfRule type="duplicateValues" dxfId="10954" priority="53463"/>
    <cfRule type="duplicateValues" dxfId="10953" priority="53464"/>
    <cfRule type="duplicateValues" dxfId="10952" priority="53465"/>
    <cfRule type="duplicateValues" dxfId="10951" priority="53466"/>
    <cfRule type="duplicateValues" dxfId="10950" priority="53467"/>
    <cfRule type="duplicateValues" dxfId="10949" priority="53468"/>
    <cfRule type="duplicateValues" dxfId="10948" priority="53469"/>
    <cfRule type="duplicateValues" dxfId="10947" priority="53470"/>
    <cfRule type="duplicateValues" dxfId="10946" priority="53471"/>
    <cfRule type="duplicateValues" dxfId="10945" priority="53472"/>
    <cfRule type="duplicateValues" dxfId="10944" priority="53473"/>
    <cfRule type="duplicateValues" dxfId="10943" priority="53474"/>
    <cfRule type="duplicateValues" dxfId="10942" priority="53475"/>
    <cfRule type="duplicateValues" dxfId="10941" priority="53476"/>
    <cfRule type="duplicateValues" dxfId="10940" priority="53477"/>
    <cfRule type="duplicateValues" dxfId="10939" priority="53478"/>
    <cfRule type="duplicateValues" dxfId="10938" priority="53479"/>
    <cfRule type="duplicateValues" dxfId="10937" priority="53480"/>
    <cfRule type="duplicateValues" dxfId="10936" priority="53481"/>
    <cfRule type="duplicateValues" dxfId="10935" priority="53482"/>
  </conditionalFormatting>
  <conditionalFormatting sqref="A85">
    <cfRule type="duplicateValues" dxfId="10934" priority="53525"/>
  </conditionalFormatting>
  <conditionalFormatting sqref="A85">
    <cfRule type="duplicateValues" dxfId="10933" priority="53526"/>
    <cfRule type="duplicateValues" dxfId="10932" priority="53527"/>
  </conditionalFormatting>
  <conditionalFormatting sqref="A85">
    <cfRule type="duplicateValues" dxfId="10931" priority="53533"/>
    <cfRule type="duplicateValues" dxfId="10930" priority="53534"/>
    <cfRule type="duplicateValues" dxfId="10929" priority="53535"/>
    <cfRule type="duplicateValues" dxfId="10928" priority="53536"/>
    <cfRule type="duplicateValues" dxfId="10927" priority="53537"/>
    <cfRule type="duplicateValues" dxfId="10926" priority="53538"/>
  </conditionalFormatting>
  <conditionalFormatting sqref="A85">
    <cfRule type="duplicateValues" dxfId="10925" priority="53539"/>
    <cfRule type="duplicateValues" dxfId="10924" priority="53540"/>
    <cfRule type="duplicateValues" dxfId="10923" priority="53541"/>
    <cfRule type="duplicateValues" dxfId="10922" priority="53542"/>
    <cfRule type="duplicateValues" dxfId="10921" priority="53543"/>
  </conditionalFormatting>
  <conditionalFormatting sqref="A85">
    <cfRule type="duplicateValues" dxfId="10920" priority="53544"/>
    <cfRule type="duplicateValues" dxfId="10919" priority="53545"/>
    <cfRule type="duplicateValues" dxfId="10918" priority="53546"/>
    <cfRule type="duplicateValues" dxfId="10917" priority="53547"/>
    <cfRule type="duplicateValues" dxfId="10916" priority="53548"/>
    <cfRule type="duplicateValues" dxfId="10915" priority="53549"/>
    <cfRule type="duplicateValues" dxfId="10914" priority="53550"/>
    <cfRule type="duplicateValues" dxfId="10913" priority="53551"/>
    <cfRule type="duplicateValues" dxfId="10912" priority="53552"/>
    <cfRule type="duplicateValues" dxfId="10911" priority="53553"/>
    <cfRule type="duplicateValues" dxfId="10910" priority="53554"/>
    <cfRule type="duplicateValues" dxfId="10909" priority="53555"/>
    <cfRule type="duplicateValues" dxfId="10908" priority="53556"/>
    <cfRule type="duplicateValues" dxfId="10907" priority="53557"/>
    <cfRule type="duplicateValues" dxfId="10906" priority="53558"/>
    <cfRule type="duplicateValues" dxfId="10905" priority="53559"/>
    <cfRule type="duplicateValues" dxfId="10904" priority="53560"/>
    <cfRule type="duplicateValues" dxfId="10903" priority="53561"/>
    <cfRule type="duplicateValues" dxfId="10902" priority="53562"/>
    <cfRule type="duplicateValues" dxfId="10901" priority="53563"/>
    <cfRule type="duplicateValues" dxfId="10900" priority="53564"/>
    <cfRule type="duplicateValues" dxfId="10899" priority="53565"/>
    <cfRule type="duplicateValues" dxfId="10898" priority="53566"/>
    <cfRule type="duplicateValues" dxfId="10897" priority="53567"/>
    <cfRule type="duplicateValues" dxfId="10896" priority="53568"/>
    <cfRule type="duplicateValues" dxfId="10895" priority="53569"/>
    <cfRule type="duplicateValues" dxfId="10894" priority="53570"/>
    <cfRule type="duplicateValues" dxfId="10893" priority="53571"/>
  </conditionalFormatting>
  <conditionalFormatting sqref="A86:A88">
    <cfRule type="duplicateValues" dxfId="10892" priority="1255"/>
  </conditionalFormatting>
  <conditionalFormatting sqref="A86:A88">
    <cfRule type="duplicateValues" dxfId="10891" priority="1253"/>
    <cfRule type="duplicateValues" dxfId="10890" priority="1254"/>
  </conditionalFormatting>
  <conditionalFormatting sqref="A86:A88">
    <cfRule type="duplicateValues" dxfId="10889" priority="1304"/>
  </conditionalFormatting>
  <conditionalFormatting sqref="A86:A88">
    <cfRule type="duplicateValues" dxfId="10888" priority="1305"/>
    <cfRule type="duplicateValues" dxfId="10887" priority="1306"/>
  </conditionalFormatting>
  <conditionalFormatting sqref="A86:A88">
    <cfRule type="duplicateValues" dxfId="10886" priority="1303"/>
  </conditionalFormatting>
  <conditionalFormatting sqref="A86:A88">
    <cfRule type="duplicateValues" dxfId="10885" priority="1277"/>
  </conditionalFormatting>
  <conditionalFormatting sqref="A86:A88">
    <cfRule type="duplicateValues" dxfId="10884" priority="1284"/>
  </conditionalFormatting>
  <conditionalFormatting sqref="A86:A88">
    <cfRule type="duplicateValues" dxfId="10883" priority="1278"/>
    <cfRule type="duplicateValues" dxfId="10882" priority="1279"/>
    <cfRule type="duplicateValues" dxfId="10881" priority="1280"/>
    <cfRule type="duplicateValues" dxfId="10880" priority="1281"/>
    <cfRule type="duplicateValues" dxfId="10879" priority="1282"/>
    <cfRule type="duplicateValues" dxfId="10878" priority="1283"/>
  </conditionalFormatting>
  <conditionalFormatting sqref="A86:A88">
    <cfRule type="duplicateValues" dxfId="10877" priority="1266"/>
    <cfRule type="duplicateValues" dxfId="10876" priority="1267"/>
    <cfRule type="duplicateValues" dxfId="10875" priority="1268"/>
    <cfRule type="duplicateValues" dxfId="10874" priority="1269"/>
    <cfRule type="duplicateValues" dxfId="10873" priority="1270"/>
    <cfRule type="duplicateValues" dxfId="10872" priority="1271"/>
    <cfRule type="duplicateValues" dxfId="10871" priority="1272"/>
    <cfRule type="duplicateValues" dxfId="10870" priority="1273"/>
    <cfRule type="duplicateValues" dxfId="10869" priority="1274"/>
    <cfRule type="duplicateValues" dxfId="10868" priority="1275"/>
    <cfRule type="duplicateValues" dxfId="10867" priority="1276"/>
  </conditionalFormatting>
  <conditionalFormatting sqref="A86:A88">
    <cfRule type="duplicateValues" dxfId="10866" priority="1285"/>
    <cfRule type="duplicateValues" dxfId="10865" priority="1286"/>
    <cfRule type="duplicateValues" dxfId="10864" priority="1287"/>
    <cfRule type="duplicateValues" dxfId="10863" priority="1288"/>
    <cfRule type="duplicateValues" dxfId="10862" priority="1289"/>
    <cfRule type="duplicateValues" dxfId="10861" priority="1290"/>
    <cfRule type="duplicateValues" dxfId="10860" priority="1291"/>
    <cfRule type="duplicateValues" dxfId="10859" priority="1292"/>
    <cfRule type="duplicateValues" dxfId="10858" priority="1293"/>
    <cfRule type="duplicateValues" dxfId="10857" priority="1294"/>
    <cfRule type="duplicateValues" dxfId="10856" priority="1295"/>
    <cfRule type="duplicateValues" dxfId="10855" priority="1296"/>
    <cfRule type="duplicateValues" dxfId="10854" priority="1297"/>
    <cfRule type="duplicateValues" dxfId="10853" priority="1298"/>
    <cfRule type="duplicateValues" dxfId="10852" priority="1299"/>
    <cfRule type="duplicateValues" dxfId="10851" priority="1300"/>
    <cfRule type="duplicateValues" dxfId="10850" priority="1301"/>
  </conditionalFormatting>
  <conditionalFormatting sqref="A86:A88">
    <cfRule type="duplicateValues" dxfId="10849" priority="1302"/>
  </conditionalFormatting>
  <conditionalFormatting sqref="A86:A88">
    <cfRule type="duplicateValues" dxfId="10848" priority="1256"/>
    <cfRule type="duplicateValues" dxfId="10847" priority="1257"/>
    <cfRule type="duplicateValues" dxfId="10846" priority="1258"/>
    <cfRule type="duplicateValues" dxfId="10845" priority="1259"/>
  </conditionalFormatting>
  <conditionalFormatting sqref="A86:A88">
    <cfRule type="duplicateValues" dxfId="10844" priority="1261"/>
    <cfRule type="duplicateValues" dxfId="10843" priority="1262"/>
    <cfRule type="duplicateValues" dxfId="10842" priority="1263"/>
    <cfRule type="duplicateValues" dxfId="10841" priority="1264"/>
    <cfRule type="duplicateValues" dxfId="10840" priority="1265"/>
  </conditionalFormatting>
  <conditionalFormatting sqref="A86:A88">
    <cfRule type="duplicateValues" dxfId="10839" priority="1260"/>
  </conditionalFormatting>
  <conditionalFormatting sqref="A86:A88">
    <cfRule type="duplicateValues" dxfId="10838" priority="1247"/>
    <cfRule type="duplicateValues" dxfId="10837" priority="1248"/>
    <cfRule type="duplicateValues" dxfId="10836" priority="1249"/>
    <cfRule type="duplicateValues" dxfId="10835" priority="1250"/>
    <cfRule type="duplicateValues" dxfId="10834" priority="1251"/>
    <cfRule type="duplicateValues" dxfId="10833" priority="1252"/>
  </conditionalFormatting>
  <conditionalFormatting sqref="A86:A88">
    <cfRule type="duplicateValues" dxfId="10832" priority="1242"/>
    <cfRule type="duplicateValues" dxfId="10831" priority="1243"/>
    <cfRule type="duplicateValues" dxfId="10830" priority="1244"/>
    <cfRule type="duplicateValues" dxfId="10829" priority="1245"/>
    <cfRule type="duplicateValues" dxfId="10828" priority="1246"/>
  </conditionalFormatting>
  <conditionalFormatting sqref="A86:A88">
    <cfRule type="duplicateValues" dxfId="10827" priority="1307"/>
    <cfRule type="duplicateValues" dxfId="10826" priority="1308"/>
    <cfRule type="duplicateValues" dxfId="10825" priority="1309"/>
  </conditionalFormatting>
  <conditionalFormatting sqref="A86:A88">
    <cfRule type="duplicateValues" dxfId="10824" priority="1241"/>
  </conditionalFormatting>
  <conditionalFormatting sqref="A86:A88">
    <cfRule type="duplicateValues" dxfId="10823" priority="1240"/>
  </conditionalFormatting>
  <conditionalFormatting sqref="A81">
    <cfRule type="duplicateValues" dxfId="10822" priority="1124"/>
  </conditionalFormatting>
  <conditionalFormatting sqref="A81">
    <cfRule type="duplicateValues" dxfId="10821" priority="1125"/>
    <cfRule type="duplicateValues" dxfId="10820" priority="1126"/>
  </conditionalFormatting>
  <conditionalFormatting sqref="A81">
    <cfRule type="duplicateValues" dxfId="10819" priority="1127"/>
    <cfRule type="duplicateValues" dxfId="10818" priority="1128"/>
  </conditionalFormatting>
  <conditionalFormatting sqref="A81">
    <cfRule type="duplicateValues" dxfId="10817" priority="1129"/>
    <cfRule type="duplicateValues" dxfId="10816" priority="1130"/>
    <cfRule type="duplicateValues" dxfId="10815" priority="1131"/>
    <cfRule type="duplicateValues" dxfId="10814" priority="1132"/>
    <cfRule type="duplicateValues" dxfId="10813" priority="1133"/>
    <cfRule type="duplicateValues" dxfId="10812" priority="1134"/>
  </conditionalFormatting>
  <conditionalFormatting sqref="A81">
    <cfRule type="duplicateValues" dxfId="10811" priority="1135"/>
    <cfRule type="duplicateValues" dxfId="10810" priority="1136"/>
    <cfRule type="duplicateValues" dxfId="10809" priority="1137"/>
    <cfRule type="duplicateValues" dxfId="10808" priority="1138"/>
    <cfRule type="duplicateValues" dxfId="10807" priority="1139"/>
  </conditionalFormatting>
  <conditionalFormatting sqref="A81">
    <cfRule type="duplicateValues" dxfId="10806" priority="1140"/>
    <cfRule type="duplicateValues" dxfId="10805" priority="1141"/>
    <cfRule type="duplicateValues" dxfId="10804" priority="1142"/>
    <cfRule type="duplicateValues" dxfId="10803" priority="1143"/>
    <cfRule type="duplicateValues" dxfId="10802" priority="1144"/>
    <cfRule type="duplicateValues" dxfId="10801" priority="1145"/>
    <cfRule type="duplicateValues" dxfId="10800" priority="1146"/>
    <cfRule type="duplicateValues" dxfId="10799" priority="1147"/>
    <cfRule type="duplicateValues" dxfId="10798" priority="1148"/>
    <cfRule type="duplicateValues" dxfId="10797" priority="1149"/>
    <cfRule type="duplicateValues" dxfId="10796" priority="1150"/>
    <cfRule type="duplicateValues" dxfId="10795" priority="1151"/>
    <cfRule type="duplicateValues" dxfId="10794" priority="1152"/>
    <cfRule type="duplicateValues" dxfId="10793" priority="1153"/>
    <cfRule type="duplicateValues" dxfId="10792" priority="1154"/>
    <cfRule type="duplicateValues" dxfId="10791" priority="1155"/>
    <cfRule type="duplicateValues" dxfId="10790" priority="1156"/>
    <cfRule type="duplicateValues" dxfId="10789" priority="1157"/>
    <cfRule type="duplicateValues" dxfId="10788" priority="1158"/>
    <cfRule type="duplicateValues" dxfId="10787" priority="1159"/>
    <cfRule type="duplicateValues" dxfId="10786" priority="1160"/>
    <cfRule type="duplicateValues" dxfId="10785" priority="1161"/>
    <cfRule type="duplicateValues" dxfId="10784" priority="1162"/>
    <cfRule type="duplicateValues" dxfId="10783" priority="1163"/>
    <cfRule type="duplicateValues" dxfId="10782" priority="1164"/>
    <cfRule type="duplicateValues" dxfId="10781" priority="1165"/>
    <cfRule type="duplicateValues" dxfId="10780" priority="1166"/>
    <cfRule type="duplicateValues" dxfId="10779" priority="1167"/>
  </conditionalFormatting>
  <conditionalFormatting sqref="A81">
    <cfRule type="duplicateValues" dxfId="10778" priority="1168"/>
  </conditionalFormatting>
  <conditionalFormatting sqref="A81">
    <cfRule type="duplicateValues" dxfId="10777" priority="1169"/>
  </conditionalFormatting>
  <conditionalFormatting sqref="A89:A90">
    <cfRule type="duplicateValues" dxfId="10776" priority="56534"/>
  </conditionalFormatting>
  <conditionalFormatting sqref="A89:A90">
    <cfRule type="duplicateValues" dxfId="10775" priority="56535"/>
    <cfRule type="duplicateValues" dxfId="10774" priority="56536"/>
  </conditionalFormatting>
  <conditionalFormatting sqref="A89:A90">
    <cfRule type="duplicateValues" dxfId="10773" priority="56542"/>
    <cfRule type="duplicateValues" dxfId="10772" priority="56543"/>
    <cfRule type="duplicateValues" dxfId="10771" priority="56544"/>
    <cfRule type="duplicateValues" dxfId="10770" priority="56545"/>
    <cfRule type="duplicateValues" dxfId="10769" priority="56546"/>
    <cfRule type="duplicateValues" dxfId="10768" priority="56547"/>
  </conditionalFormatting>
  <conditionalFormatting sqref="A89:A90">
    <cfRule type="duplicateValues" dxfId="10767" priority="56548"/>
    <cfRule type="duplicateValues" dxfId="10766" priority="56549"/>
    <cfRule type="duplicateValues" dxfId="10765" priority="56550"/>
    <cfRule type="duplicateValues" dxfId="10764" priority="56551"/>
    <cfRule type="duplicateValues" dxfId="10763" priority="56552"/>
  </conditionalFormatting>
  <conditionalFormatting sqref="A89:A90">
    <cfRule type="duplicateValues" dxfId="10762" priority="56553"/>
    <cfRule type="duplicateValues" dxfId="10761" priority="56554"/>
    <cfRule type="duplicateValues" dxfId="10760" priority="56555"/>
    <cfRule type="duplicateValues" dxfId="10759" priority="56556"/>
    <cfRule type="duplicateValues" dxfId="10758" priority="56557"/>
    <cfRule type="duplicateValues" dxfId="10757" priority="56558"/>
    <cfRule type="duplicateValues" dxfId="10756" priority="56559"/>
    <cfRule type="duplicateValues" dxfId="10755" priority="56560"/>
    <cfRule type="duplicateValues" dxfId="10754" priority="56561"/>
    <cfRule type="duplicateValues" dxfId="10753" priority="56562"/>
    <cfRule type="duplicateValues" dxfId="10752" priority="56563"/>
    <cfRule type="duplicateValues" dxfId="10751" priority="56564"/>
    <cfRule type="duplicateValues" dxfId="10750" priority="56565"/>
    <cfRule type="duplicateValues" dxfId="10749" priority="56566"/>
    <cfRule type="duplicateValues" dxfId="10748" priority="56567"/>
    <cfRule type="duplicateValues" dxfId="10747" priority="56568"/>
    <cfRule type="duplicateValues" dxfId="10746" priority="56569"/>
    <cfRule type="duplicateValues" dxfId="10745" priority="56570"/>
    <cfRule type="duplicateValues" dxfId="10744" priority="56571"/>
    <cfRule type="duplicateValues" dxfId="10743" priority="56572"/>
    <cfRule type="duplicateValues" dxfId="10742" priority="56573"/>
    <cfRule type="duplicateValues" dxfId="10741" priority="56574"/>
    <cfRule type="duplicateValues" dxfId="10740" priority="56575"/>
    <cfRule type="duplicateValues" dxfId="10739" priority="56576"/>
    <cfRule type="duplicateValues" dxfId="10738" priority="56577"/>
    <cfRule type="duplicateValues" dxfId="10737" priority="56578"/>
    <cfRule type="duplicateValues" dxfId="10736" priority="56579"/>
    <cfRule type="duplicateValues" dxfId="10735" priority="56580"/>
  </conditionalFormatting>
  <conditionalFormatting sqref="A82">
    <cfRule type="duplicateValues" dxfId="10734" priority="1078"/>
  </conditionalFormatting>
  <conditionalFormatting sqref="A82">
    <cfRule type="duplicateValues" dxfId="10733" priority="1079"/>
    <cfRule type="duplicateValues" dxfId="10732" priority="1080"/>
  </conditionalFormatting>
  <conditionalFormatting sqref="A82">
    <cfRule type="duplicateValues" dxfId="10731" priority="1081"/>
    <cfRule type="duplicateValues" dxfId="10730" priority="1082"/>
  </conditionalFormatting>
  <conditionalFormatting sqref="A82">
    <cfRule type="duplicateValues" dxfId="10729" priority="1083"/>
    <cfRule type="duplicateValues" dxfId="10728" priority="1084"/>
    <cfRule type="duplicateValues" dxfId="10727" priority="1085"/>
    <cfRule type="duplicateValues" dxfId="10726" priority="1086"/>
    <cfRule type="duplicateValues" dxfId="10725" priority="1087"/>
    <cfRule type="duplicateValues" dxfId="10724" priority="1088"/>
  </conditionalFormatting>
  <conditionalFormatting sqref="A82">
    <cfRule type="duplicateValues" dxfId="10723" priority="1089"/>
    <cfRule type="duplicateValues" dxfId="10722" priority="1090"/>
    <cfRule type="duplicateValues" dxfId="10721" priority="1091"/>
    <cfRule type="duplicateValues" dxfId="10720" priority="1092"/>
    <cfRule type="duplicateValues" dxfId="10719" priority="1093"/>
  </conditionalFormatting>
  <conditionalFormatting sqref="A82">
    <cfRule type="duplicateValues" dxfId="10718" priority="1094"/>
    <cfRule type="duplicateValues" dxfId="10717" priority="1095"/>
    <cfRule type="duplicateValues" dxfId="10716" priority="1096"/>
    <cfRule type="duplicateValues" dxfId="10715" priority="1097"/>
    <cfRule type="duplicateValues" dxfId="10714" priority="1098"/>
    <cfRule type="duplicateValues" dxfId="10713" priority="1099"/>
    <cfRule type="duplicateValues" dxfId="10712" priority="1100"/>
    <cfRule type="duplicateValues" dxfId="10711" priority="1101"/>
    <cfRule type="duplicateValues" dxfId="10710" priority="1102"/>
    <cfRule type="duplicateValues" dxfId="10709" priority="1103"/>
    <cfRule type="duplicateValues" dxfId="10708" priority="1104"/>
    <cfRule type="duplicateValues" dxfId="10707" priority="1105"/>
    <cfRule type="duplicateValues" dxfId="10706" priority="1106"/>
    <cfRule type="duplicateValues" dxfId="10705" priority="1107"/>
    <cfRule type="duplicateValues" dxfId="10704" priority="1108"/>
    <cfRule type="duplicateValues" dxfId="10703" priority="1109"/>
    <cfRule type="duplicateValues" dxfId="10702" priority="1110"/>
    <cfRule type="duplicateValues" dxfId="10701" priority="1111"/>
    <cfRule type="duplicateValues" dxfId="10700" priority="1112"/>
    <cfRule type="duplicateValues" dxfId="10699" priority="1113"/>
    <cfRule type="duplicateValues" dxfId="10698" priority="1114"/>
    <cfRule type="duplicateValues" dxfId="10697" priority="1115"/>
    <cfRule type="duplicateValues" dxfId="10696" priority="1116"/>
    <cfRule type="duplicateValues" dxfId="10695" priority="1117"/>
    <cfRule type="duplicateValues" dxfId="10694" priority="1118"/>
    <cfRule type="duplicateValues" dxfId="10693" priority="1119"/>
    <cfRule type="duplicateValues" dxfId="10692" priority="1120"/>
    <cfRule type="duplicateValues" dxfId="10691" priority="1121"/>
  </conditionalFormatting>
  <conditionalFormatting sqref="A82">
    <cfRule type="duplicateValues" dxfId="10690" priority="1122"/>
  </conditionalFormatting>
  <conditionalFormatting sqref="A82">
    <cfRule type="duplicateValues" dxfId="10689" priority="1123"/>
  </conditionalFormatting>
  <conditionalFormatting sqref="A89:A90">
    <cfRule type="duplicateValues" dxfId="10688" priority="905"/>
  </conditionalFormatting>
  <conditionalFormatting sqref="A89:A90">
    <cfRule type="duplicateValues" dxfId="10687" priority="903"/>
    <cfRule type="duplicateValues" dxfId="10686" priority="904"/>
  </conditionalFormatting>
  <conditionalFormatting sqref="A89:A90">
    <cfRule type="duplicateValues" dxfId="10685" priority="908"/>
  </conditionalFormatting>
  <conditionalFormatting sqref="A89:A90">
    <cfRule type="duplicateValues" dxfId="10684" priority="909"/>
    <cfRule type="duplicateValues" dxfId="10683" priority="910"/>
  </conditionalFormatting>
  <conditionalFormatting sqref="A89:A90">
    <cfRule type="duplicateValues" dxfId="10682" priority="907"/>
  </conditionalFormatting>
  <conditionalFormatting sqref="A89:A90">
    <cfRule type="duplicateValues" dxfId="10681" priority="906"/>
  </conditionalFormatting>
  <conditionalFormatting sqref="A89:A90">
    <cfRule type="duplicateValues" dxfId="10680" priority="897"/>
    <cfRule type="duplicateValues" dxfId="10679" priority="898"/>
    <cfRule type="duplicateValues" dxfId="10678" priority="899"/>
    <cfRule type="duplicateValues" dxfId="10677" priority="900"/>
    <cfRule type="duplicateValues" dxfId="10676" priority="901"/>
    <cfRule type="duplicateValues" dxfId="10675" priority="902"/>
  </conditionalFormatting>
  <conditionalFormatting sqref="A89:A90">
    <cfRule type="duplicateValues" dxfId="10674" priority="892"/>
    <cfRule type="duplicateValues" dxfId="10673" priority="893"/>
    <cfRule type="duplicateValues" dxfId="10672" priority="894"/>
    <cfRule type="duplicateValues" dxfId="10671" priority="895"/>
    <cfRule type="duplicateValues" dxfId="10670" priority="896"/>
  </conditionalFormatting>
  <conditionalFormatting sqref="A89:A90">
    <cfRule type="duplicateValues" dxfId="10669" priority="911"/>
    <cfRule type="duplicateValues" dxfId="10668" priority="912"/>
    <cfRule type="duplicateValues" dxfId="10667" priority="913"/>
    <cfRule type="duplicateValues" dxfId="10666" priority="914"/>
    <cfRule type="duplicateValues" dxfId="10665" priority="915"/>
    <cfRule type="duplicateValues" dxfId="10664" priority="916"/>
    <cfRule type="duplicateValues" dxfId="10663" priority="917"/>
    <cfRule type="duplicateValues" dxfId="10662" priority="918"/>
    <cfRule type="duplicateValues" dxfId="10661" priority="919"/>
    <cfRule type="duplicateValues" dxfId="10660" priority="920"/>
    <cfRule type="duplicateValues" dxfId="10659" priority="921"/>
    <cfRule type="duplicateValues" dxfId="10658" priority="922"/>
    <cfRule type="duplicateValues" dxfId="10657" priority="923"/>
    <cfRule type="duplicateValues" dxfId="10656" priority="924"/>
    <cfRule type="duplicateValues" dxfId="10655" priority="925"/>
    <cfRule type="duplicateValues" dxfId="10654" priority="926"/>
    <cfRule type="duplicateValues" dxfId="10653" priority="927"/>
    <cfRule type="duplicateValues" dxfId="10652" priority="928"/>
    <cfRule type="duplicateValues" dxfId="10651" priority="929"/>
    <cfRule type="duplicateValues" dxfId="10650" priority="930"/>
    <cfRule type="duplicateValues" dxfId="10649" priority="931"/>
    <cfRule type="duplicateValues" dxfId="10648" priority="932"/>
    <cfRule type="duplicateValues" dxfId="10647" priority="933"/>
    <cfRule type="duplicateValues" dxfId="10646" priority="934"/>
    <cfRule type="duplicateValues" dxfId="10645" priority="935"/>
    <cfRule type="duplicateValues" dxfId="10644" priority="936"/>
    <cfRule type="duplicateValues" dxfId="10643" priority="937"/>
    <cfRule type="duplicateValues" dxfId="10642" priority="938"/>
  </conditionalFormatting>
  <conditionalFormatting sqref="A91">
    <cfRule type="duplicateValues" dxfId="10641" priority="857"/>
  </conditionalFormatting>
  <conditionalFormatting sqref="A91">
    <cfRule type="duplicateValues" dxfId="10640" priority="855"/>
    <cfRule type="duplicateValues" dxfId="10639" priority="856"/>
  </conditionalFormatting>
  <conditionalFormatting sqref="A91">
    <cfRule type="duplicateValues" dxfId="10638" priority="861"/>
  </conditionalFormatting>
  <conditionalFormatting sqref="A91">
    <cfRule type="duplicateValues" dxfId="10637" priority="862"/>
    <cfRule type="duplicateValues" dxfId="10636" priority="863"/>
  </conditionalFormatting>
  <conditionalFormatting sqref="A91">
    <cfRule type="duplicateValues" dxfId="10635" priority="859"/>
  </conditionalFormatting>
  <conditionalFormatting sqref="A91">
    <cfRule type="duplicateValues" dxfId="10634" priority="860"/>
  </conditionalFormatting>
  <conditionalFormatting sqref="A91">
    <cfRule type="duplicateValues" dxfId="10633" priority="858"/>
  </conditionalFormatting>
  <conditionalFormatting sqref="A91">
    <cfRule type="duplicateValues" dxfId="10632" priority="849"/>
    <cfRule type="duplicateValues" dxfId="10631" priority="850"/>
    <cfRule type="duplicateValues" dxfId="10630" priority="851"/>
    <cfRule type="duplicateValues" dxfId="10629" priority="852"/>
    <cfRule type="duplicateValues" dxfId="10628" priority="853"/>
    <cfRule type="duplicateValues" dxfId="10627" priority="854"/>
  </conditionalFormatting>
  <conditionalFormatting sqref="A91">
    <cfRule type="duplicateValues" dxfId="10626" priority="844"/>
    <cfRule type="duplicateValues" dxfId="10625" priority="845"/>
    <cfRule type="duplicateValues" dxfId="10624" priority="846"/>
    <cfRule type="duplicateValues" dxfId="10623" priority="847"/>
    <cfRule type="duplicateValues" dxfId="10622" priority="848"/>
  </conditionalFormatting>
  <conditionalFormatting sqref="A91">
    <cfRule type="duplicateValues" dxfId="10621" priority="864"/>
    <cfRule type="duplicateValues" dxfId="10620" priority="865"/>
    <cfRule type="duplicateValues" dxfId="10619" priority="866"/>
    <cfRule type="duplicateValues" dxfId="10618" priority="867"/>
    <cfRule type="duplicateValues" dxfId="10617" priority="868"/>
    <cfRule type="duplicateValues" dxfId="10616" priority="869"/>
    <cfRule type="duplicateValues" dxfId="10615" priority="870"/>
    <cfRule type="duplicateValues" dxfId="10614" priority="871"/>
    <cfRule type="duplicateValues" dxfId="10613" priority="872"/>
    <cfRule type="duplicateValues" dxfId="10612" priority="873"/>
    <cfRule type="duplicateValues" dxfId="10611" priority="874"/>
    <cfRule type="duplicateValues" dxfId="10610" priority="875"/>
    <cfRule type="duplicateValues" dxfId="10609" priority="876"/>
    <cfRule type="duplicateValues" dxfId="10608" priority="877"/>
    <cfRule type="duplicateValues" dxfId="10607" priority="878"/>
    <cfRule type="duplicateValues" dxfId="10606" priority="879"/>
    <cfRule type="duplicateValues" dxfId="10605" priority="880"/>
    <cfRule type="duplicateValues" dxfId="10604" priority="881"/>
    <cfRule type="duplicateValues" dxfId="10603" priority="882"/>
    <cfRule type="duplicateValues" dxfId="10602" priority="883"/>
    <cfRule type="duplicateValues" dxfId="10601" priority="884"/>
    <cfRule type="duplicateValues" dxfId="10600" priority="885"/>
    <cfRule type="duplicateValues" dxfId="10599" priority="886"/>
    <cfRule type="duplicateValues" dxfId="10598" priority="887"/>
    <cfRule type="duplicateValues" dxfId="10597" priority="888"/>
    <cfRule type="duplicateValues" dxfId="10596" priority="889"/>
    <cfRule type="duplicateValues" dxfId="10595" priority="890"/>
    <cfRule type="duplicateValues" dxfId="10594" priority="891"/>
  </conditionalFormatting>
  <conditionalFormatting sqref="A89:A91">
    <cfRule type="duplicateValues" dxfId="10593" priority="789"/>
  </conditionalFormatting>
  <conditionalFormatting sqref="A89:A91">
    <cfRule type="duplicateValues" dxfId="10592" priority="787"/>
    <cfRule type="duplicateValues" dxfId="10591" priority="788"/>
  </conditionalFormatting>
  <conditionalFormatting sqref="A89:A91">
    <cfRule type="duplicateValues" dxfId="10590" priority="838"/>
  </conditionalFormatting>
  <conditionalFormatting sqref="A89:A91">
    <cfRule type="duplicateValues" dxfId="10589" priority="839"/>
    <cfRule type="duplicateValues" dxfId="10588" priority="840"/>
  </conditionalFormatting>
  <conditionalFormatting sqref="A89:A91">
    <cfRule type="duplicateValues" dxfId="10587" priority="837"/>
  </conditionalFormatting>
  <conditionalFormatting sqref="A89:A91">
    <cfRule type="duplicateValues" dxfId="10586" priority="811"/>
  </conditionalFormatting>
  <conditionalFormatting sqref="A89:A91">
    <cfRule type="duplicateValues" dxfId="10585" priority="818"/>
  </conditionalFormatting>
  <conditionalFormatting sqref="A89:A91">
    <cfRule type="duplicateValues" dxfId="10584" priority="812"/>
    <cfRule type="duplicateValues" dxfId="10583" priority="813"/>
    <cfRule type="duplicateValues" dxfId="10582" priority="814"/>
    <cfRule type="duplicateValues" dxfId="10581" priority="815"/>
    <cfRule type="duplicateValues" dxfId="10580" priority="816"/>
    <cfRule type="duplicateValues" dxfId="10579" priority="817"/>
  </conditionalFormatting>
  <conditionalFormatting sqref="A89:A91">
    <cfRule type="duplicateValues" dxfId="10578" priority="800"/>
    <cfRule type="duplicateValues" dxfId="10577" priority="801"/>
    <cfRule type="duplicateValues" dxfId="10576" priority="802"/>
    <cfRule type="duplicateValues" dxfId="10575" priority="803"/>
    <cfRule type="duplicateValues" dxfId="10574" priority="804"/>
    <cfRule type="duplicateValues" dxfId="10573" priority="805"/>
    <cfRule type="duplicateValues" dxfId="10572" priority="806"/>
    <cfRule type="duplicateValues" dxfId="10571" priority="807"/>
    <cfRule type="duplicateValues" dxfId="10570" priority="808"/>
    <cfRule type="duplicateValues" dxfId="10569" priority="809"/>
    <cfRule type="duplicateValues" dxfId="10568" priority="810"/>
  </conditionalFormatting>
  <conditionalFormatting sqref="A89:A91">
    <cfRule type="duplicateValues" dxfId="10567" priority="819"/>
    <cfRule type="duplicateValues" dxfId="10566" priority="820"/>
    <cfRule type="duplicateValues" dxfId="10565" priority="821"/>
    <cfRule type="duplicateValues" dxfId="10564" priority="822"/>
    <cfRule type="duplicateValues" dxfId="10563" priority="823"/>
    <cfRule type="duplicateValues" dxfId="10562" priority="824"/>
    <cfRule type="duplicateValues" dxfId="10561" priority="825"/>
    <cfRule type="duplicateValues" dxfId="10560" priority="826"/>
    <cfRule type="duplicateValues" dxfId="10559" priority="827"/>
    <cfRule type="duplicateValues" dxfId="10558" priority="828"/>
    <cfRule type="duplicateValues" dxfId="10557" priority="829"/>
    <cfRule type="duplicateValues" dxfId="10556" priority="830"/>
    <cfRule type="duplicateValues" dxfId="10555" priority="831"/>
    <cfRule type="duplicateValues" dxfId="10554" priority="832"/>
    <cfRule type="duplicateValues" dxfId="10553" priority="833"/>
    <cfRule type="duplicateValues" dxfId="10552" priority="834"/>
    <cfRule type="duplicateValues" dxfId="10551" priority="835"/>
  </conditionalFormatting>
  <conditionalFormatting sqref="A89:A91">
    <cfRule type="duplicateValues" dxfId="10550" priority="836"/>
  </conditionalFormatting>
  <conditionalFormatting sqref="A89:A91">
    <cfRule type="duplicateValues" dxfId="10549" priority="790"/>
    <cfRule type="duplicateValues" dxfId="10548" priority="791"/>
    <cfRule type="duplicateValues" dxfId="10547" priority="792"/>
    <cfRule type="duplicateValues" dxfId="10546" priority="793"/>
  </conditionalFormatting>
  <conditionalFormatting sqref="A89:A91">
    <cfRule type="duplicateValues" dxfId="10545" priority="795"/>
    <cfRule type="duplicateValues" dxfId="10544" priority="796"/>
    <cfRule type="duplicateValues" dxfId="10543" priority="797"/>
    <cfRule type="duplicateValues" dxfId="10542" priority="798"/>
    <cfRule type="duplicateValues" dxfId="10541" priority="799"/>
  </conditionalFormatting>
  <conditionalFormatting sqref="A89:A91">
    <cfRule type="duplicateValues" dxfId="10540" priority="794"/>
  </conditionalFormatting>
  <conditionalFormatting sqref="A89:A91">
    <cfRule type="duplicateValues" dxfId="10539" priority="781"/>
    <cfRule type="duplicateValues" dxfId="10538" priority="782"/>
    <cfRule type="duplicateValues" dxfId="10537" priority="783"/>
    <cfRule type="duplicateValues" dxfId="10536" priority="784"/>
    <cfRule type="duplicateValues" dxfId="10535" priority="785"/>
    <cfRule type="duplicateValues" dxfId="10534" priority="786"/>
  </conditionalFormatting>
  <conditionalFormatting sqref="A89:A91">
    <cfRule type="duplicateValues" dxfId="10533" priority="776"/>
    <cfRule type="duplicateValues" dxfId="10532" priority="777"/>
    <cfRule type="duplicateValues" dxfId="10531" priority="778"/>
    <cfRule type="duplicateValues" dxfId="10530" priority="779"/>
    <cfRule type="duplicateValues" dxfId="10529" priority="780"/>
  </conditionalFormatting>
  <conditionalFormatting sqref="A89:A91">
    <cfRule type="duplicateValues" dxfId="10528" priority="841"/>
    <cfRule type="duplicateValues" dxfId="10527" priority="842"/>
    <cfRule type="duplicateValues" dxfId="10526" priority="843"/>
  </conditionalFormatting>
  <conditionalFormatting sqref="A89:A91">
    <cfRule type="duplicateValues" dxfId="10525" priority="775"/>
  </conditionalFormatting>
  <conditionalFormatting sqref="A89:A91">
    <cfRule type="duplicateValues" dxfId="10524" priority="774"/>
  </conditionalFormatting>
  <conditionalFormatting sqref="A92">
    <cfRule type="duplicateValues" dxfId="10523" priority="600"/>
  </conditionalFormatting>
  <conditionalFormatting sqref="A92">
    <cfRule type="duplicateValues" dxfId="10522" priority="598"/>
    <cfRule type="duplicateValues" dxfId="10521" priority="599"/>
  </conditionalFormatting>
  <conditionalFormatting sqref="A92">
    <cfRule type="duplicateValues" dxfId="10520" priority="603"/>
  </conditionalFormatting>
  <conditionalFormatting sqref="A92">
    <cfRule type="duplicateValues" dxfId="10519" priority="604"/>
    <cfRule type="duplicateValues" dxfId="10518" priority="605"/>
  </conditionalFormatting>
  <conditionalFormatting sqref="A92">
    <cfRule type="duplicateValues" dxfId="10517" priority="602"/>
  </conditionalFormatting>
  <conditionalFormatting sqref="A92">
    <cfRule type="duplicateValues" dxfId="10516" priority="601"/>
  </conditionalFormatting>
  <conditionalFormatting sqref="A92">
    <cfRule type="duplicateValues" dxfId="10515" priority="592"/>
    <cfRule type="duplicateValues" dxfId="10514" priority="593"/>
    <cfRule type="duplicateValues" dxfId="10513" priority="594"/>
    <cfRule type="duplicateValues" dxfId="10512" priority="595"/>
    <cfRule type="duplicateValues" dxfId="10511" priority="596"/>
    <cfRule type="duplicateValues" dxfId="10510" priority="597"/>
  </conditionalFormatting>
  <conditionalFormatting sqref="A92">
    <cfRule type="duplicateValues" dxfId="10509" priority="587"/>
    <cfRule type="duplicateValues" dxfId="10508" priority="588"/>
    <cfRule type="duplicateValues" dxfId="10507" priority="589"/>
    <cfRule type="duplicateValues" dxfId="10506" priority="590"/>
    <cfRule type="duplicateValues" dxfId="10505" priority="591"/>
  </conditionalFormatting>
  <conditionalFormatting sqref="A92">
    <cfRule type="duplicateValues" dxfId="10504" priority="559"/>
    <cfRule type="duplicateValues" dxfId="10503" priority="560"/>
    <cfRule type="duplicateValues" dxfId="10502" priority="561"/>
    <cfRule type="duplicateValues" dxfId="10501" priority="562"/>
    <cfRule type="duplicateValues" dxfId="10500" priority="563"/>
    <cfRule type="duplicateValues" dxfId="10499" priority="564"/>
    <cfRule type="duplicateValues" dxfId="10498" priority="565"/>
    <cfRule type="duplicateValues" dxfId="10497" priority="566"/>
    <cfRule type="duplicateValues" dxfId="10496" priority="567"/>
    <cfRule type="duplicateValues" dxfId="10495" priority="568"/>
    <cfRule type="duplicateValues" dxfId="10494" priority="569"/>
    <cfRule type="duplicateValues" dxfId="10493" priority="570"/>
    <cfRule type="duplicateValues" dxfId="10492" priority="571"/>
    <cfRule type="duplicateValues" dxfId="10491" priority="572"/>
    <cfRule type="duplicateValues" dxfId="10490" priority="573"/>
    <cfRule type="duplicateValues" dxfId="10489" priority="574"/>
    <cfRule type="duplicateValues" dxfId="10488" priority="575"/>
    <cfRule type="duplicateValues" dxfId="10487" priority="576"/>
    <cfRule type="duplicateValues" dxfId="10486" priority="577"/>
    <cfRule type="duplicateValues" dxfId="10485" priority="578"/>
    <cfRule type="duplicateValues" dxfId="10484" priority="579"/>
    <cfRule type="duplicateValues" dxfId="10483" priority="580"/>
    <cfRule type="duplicateValues" dxfId="10482" priority="581"/>
    <cfRule type="duplicateValues" dxfId="10481" priority="582"/>
    <cfRule type="duplicateValues" dxfId="10480" priority="583"/>
    <cfRule type="duplicateValues" dxfId="10479" priority="584"/>
    <cfRule type="duplicateValues" dxfId="10478" priority="585"/>
    <cfRule type="duplicateValues" dxfId="10477" priority="586"/>
  </conditionalFormatting>
  <conditionalFormatting sqref="A65">
    <cfRule type="duplicateValues" dxfId="10476" priority="376"/>
    <cfRule type="duplicateValues" dxfId="10475" priority="377"/>
    <cfRule type="duplicateValues" dxfId="10474" priority="378"/>
    <cfRule type="duplicateValues" dxfId="10473" priority="379"/>
    <cfRule type="duplicateValues" dxfId="10472" priority="380"/>
    <cfRule type="duplicateValues" dxfId="10471" priority="381"/>
    <cfRule type="duplicateValues" dxfId="10470" priority="382"/>
    <cfRule type="duplicateValues" dxfId="10469" priority="383"/>
    <cfRule type="duplicateValues" dxfId="10468" priority="384"/>
    <cfRule type="duplicateValues" dxfId="10467" priority="385"/>
    <cfRule type="duplicateValues" dxfId="10466" priority="386"/>
    <cfRule type="duplicateValues" dxfId="10465" priority="387"/>
    <cfRule type="duplicateValues" dxfId="10464" priority="388"/>
    <cfRule type="duplicateValues" dxfId="10463" priority="389"/>
    <cfRule type="duplicateValues" dxfId="10462" priority="390"/>
    <cfRule type="duplicateValues" dxfId="10461" priority="391"/>
    <cfRule type="duplicateValues" dxfId="10460" priority="392"/>
    <cfRule type="duplicateValues" dxfId="10459" priority="393"/>
    <cfRule type="duplicateValues" dxfId="10458" priority="394"/>
    <cfRule type="duplicateValues" dxfId="10457" priority="395"/>
    <cfRule type="duplicateValues" dxfId="10456" priority="396"/>
    <cfRule type="duplicateValues" dxfId="10455" priority="397"/>
    <cfRule type="duplicateValues" dxfId="10454" priority="398"/>
    <cfRule type="duplicateValues" dxfId="10453" priority="399"/>
    <cfRule type="duplicateValues" dxfId="10452" priority="400"/>
    <cfRule type="duplicateValues" dxfId="10451" priority="401"/>
    <cfRule type="duplicateValues" dxfId="10450" priority="402"/>
    <cfRule type="duplicateValues" dxfId="10449" priority="403"/>
    <cfRule type="duplicateValues" dxfId="10448" priority="404"/>
    <cfRule type="duplicateValues" dxfId="10447" priority="405"/>
    <cfRule type="duplicateValues" dxfId="10446" priority="406"/>
    <cfRule type="duplicateValues" dxfId="10445" priority="407"/>
    <cfRule type="duplicateValues" dxfId="10444" priority="408"/>
    <cfRule type="duplicateValues" dxfId="10443" priority="409"/>
    <cfRule type="duplicateValues" dxfId="10442" priority="410"/>
    <cfRule type="duplicateValues" dxfId="10441" priority="411"/>
    <cfRule type="duplicateValues" dxfId="10440" priority="412"/>
    <cfRule type="duplicateValues" dxfId="10439" priority="413"/>
    <cfRule type="duplicateValues" dxfId="10438" priority="414"/>
    <cfRule type="duplicateValues" dxfId="10437" priority="415"/>
    <cfRule type="duplicateValues" dxfId="10436" priority="416"/>
    <cfRule type="duplicateValues" dxfId="10435" priority="417"/>
    <cfRule type="duplicateValues" dxfId="10434" priority="418"/>
  </conditionalFormatting>
  <conditionalFormatting sqref="O14:O15">
    <cfRule type="cellIs" dxfId="10433" priority="71993" operator="equal">
      <formula>$N$21</formula>
    </cfRule>
  </conditionalFormatting>
  <conditionalFormatting sqref="A92">
    <cfRule type="duplicateValues" dxfId="10432" priority="71994"/>
  </conditionalFormatting>
  <conditionalFormatting sqref="A92">
    <cfRule type="duplicateValues" dxfId="10431" priority="71995"/>
    <cfRule type="duplicateValues" dxfId="10430" priority="71996"/>
  </conditionalFormatting>
  <conditionalFormatting sqref="A92">
    <cfRule type="duplicateValues" dxfId="10429" priority="71997"/>
    <cfRule type="duplicateValues" dxfId="10428" priority="71998"/>
    <cfRule type="duplicateValues" dxfId="10427" priority="71999"/>
    <cfRule type="duplicateValues" dxfId="10426" priority="72000"/>
    <cfRule type="duplicateValues" dxfId="10425" priority="72001"/>
    <cfRule type="duplicateValues" dxfId="10424" priority="72002"/>
  </conditionalFormatting>
  <conditionalFormatting sqref="A92">
    <cfRule type="duplicateValues" dxfId="10423" priority="72003"/>
    <cfRule type="duplicateValues" dxfId="10422" priority="72004"/>
    <cfRule type="duplicateValues" dxfId="10421" priority="72005"/>
    <cfRule type="duplicateValues" dxfId="10420" priority="72006"/>
    <cfRule type="duplicateValues" dxfId="10419" priority="72007"/>
  </conditionalFormatting>
  <conditionalFormatting sqref="A92">
    <cfRule type="duplicateValues" dxfId="10418" priority="72008"/>
    <cfRule type="duplicateValues" dxfId="10417" priority="72009"/>
    <cfRule type="duplicateValues" dxfId="10416" priority="72010"/>
    <cfRule type="duplicateValues" dxfId="10415" priority="72011"/>
    <cfRule type="duplicateValues" dxfId="10414" priority="72012"/>
    <cfRule type="duplicateValues" dxfId="10413" priority="72013"/>
    <cfRule type="duplicateValues" dxfId="10412" priority="72014"/>
    <cfRule type="duplicateValues" dxfId="10411" priority="72015"/>
    <cfRule type="duplicateValues" dxfId="10410" priority="72016"/>
    <cfRule type="duplicateValues" dxfId="10409" priority="72017"/>
    <cfRule type="duplicateValues" dxfId="10408" priority="72018"/>
    <cfRule type="duplicateValues" dxfId="10407" priority="72019"/>
    <cfRule type="duplicateValues" dxfId="10406" priority="72020"/>
    <cfRule type="duplicateValues" dxfId="10405" priority="72021"/>
    <cfRule type="duplicateValues" dxfId="10404" priority="72022"/>
    <cfRule type="duplicateValues" dxfId="10403" priority="72023"/>
    <cfRule type="duplicateValues" dxfId="10402" priority="72024"/>
    <cfRule type="duplicateValues" dxfId="10401" priority="72025"/>
    <cfRule type="duplicateValues" dxfId="10400" priority="72026"/>
    <cfRule type="duplicateValues" dxfId="10399" priority="72027"/>
    <cfRule type="duplicateValues" dxfId="10398" priority="72028"/>
    <cfRule type="duplicateValues" dxfId="10397" priority="72029"/>
    <cfRule type="duplicateValues" dxfId="10396" priority="72030"/>
    <cfRule type="duplicateValues" dxfId="10395" priority="72031"/>
    <cfRule type="duplicateValues" dxfId="10394" priority="72032"/>
    <cfRule type="duplicateValues" dxfId="10393" priority="72033"/>
    <cfRule type="duplicateValues" dxfId="10392" priority="72034"/>
    <cfRule type="duplicateValues" dxfId="10391" priority="72035"/>
  </conditionalFormatting>
  <conditionalFormatting sqref="A68:A75 A79">
    <cfRule type="duplicateValues" dxfId="10390" priority="147"/>
  </conditionalFormatting>
  <conditionalFormatting sqref="A68:A75 A79">
    <cfRule type="duplicateValues" dxfId="10389" priority="145"/>
    <cfRule type="duplicateValues" dxfId="10388" priority="146"/>
  </conditionalFormatting>
  <conditionalFormatting sqref="A68:A75 A79">
    <cfRule type="duplicateValues" dxfId="10387" priority="143"/>
    <cfRule type="duplicateValues" dxfId="10386" priority="144"/>
  </conditionalFormatting>
  <conditionalFormatting sqref="A68:A75 A79">
    <cfRule type="duplicateValues" dxfId="10385" priority="137"/>
    <cfRule type="duplicateValues" dxfId="10384" priority="138"/>
    <cfRule type="duplicateValues" dxfId="10383" priority="139"/>
    <cfRule type="duplicateValues" dxfId="10382" priority="140"/>
    <cfRule type="duplicateValues" dxfId="10381" priority="141"/>
    <cfRule type="duplicateValues" dxfId="10380" priority="142"/>
  </conditionalFormatting>
  <conditionalFormatting sqref="A68:A75 A79">
    <cfRule type="duplicateValues" dxfId="10379" priority="132"/>
    <cfRule type="duplicateValues" dxfId="10378" priority="133"/>
    <cfRule type="duplicateValues" dxfId="10377" priority="134"/>
    <cfRule type="duplicateValues" dxfId="10376" priority="135"/>
    <cfRule type="duplicateValues" dxfId="10375" priority="136"/>
  </conditionalFormatting>
  <conditionalFormatting sqref="A68:A75 A79">
    <cfRule type="duplicateValues" dxfId="10374" priority="104"/>
    <cfRule type="duplicateValues" dxfId="10373" priority="105"/>
    <cfRule type="duplicateValues" dxfId="10372" priority="106"/>
    <cfRule type="duplicateValues" dxfId="10371" priority="107"/>
    <cfRule type="duplicateValues" dxfId="10370" priority="108"/>
    <cfRule type="duplicateValues" dxfId="10369" priority="109"/>
    <cfRule type="duplicateValues" dxfId="10368" priority="110"/>
    <cfRule type="duplicateValues" dxfId="10367" priority="111"/>
    <cfRule type="duplicateValues" dxfId="10366" priority="112"/>
    <cfRule type="duplicateValues" dxfId="10365" priority="113"/>
    <cfRule type="duplicateValues" dxfId="10364" priority="114"/>
    <cfRule type="duplicateValues" dxfId="10363" priority="115"/>
    <cfRule type="duplicateValues" dxfId="10362" priority="116"/>
    <cfRule type="duplicateValues" dxfId="10361" priority="117"/>
    <cfRule type="duplicateValues" dxfId="10360" priority="118"/>
    <cfRule type="duplicateValues" dxfId="10359" priority="119"/>
    <cfRule type="duplicateValues" dxfId="10358" priority="120"/>
    <cfRule type="duplicateValues" dxfId="10357" priority="121"/>
    <cfRule type="duplicateValues" dxfId="10356" priority="122"/>
    <cfRule type="duplicateValues" dxfId="10355" priority="123"/>
    <cfRule type="duplicateValues" dxfId="10354" priority="124"/>
    <cfRule type="duplicateValues" dxfId="10353" priority="125"/>
    <cfRule type="duplicateValues" dxfId="10352" priority="126"/>
    <cfRule type="duplicateValues" dxfId="10351" priority="127"/>
    <cfRule type="duplicateValues" dxfId="10350" priority="128"/>
    <cfRule type="duplicateValues" dxfId="10349" priority="129"/>
    <cfRule type="duplicateValues" dxfId="10348" priority="130"/>
    <cfRule type="duplicateValues" dxfId="10347" priority="131"/>
  </conditionalFormatting>
  <conditionalFormatting sqref="A68:A75 A79">
    <cfRule type="duplicateValues" dxfId="10346" priority="103"/>
  </conditionalFormatting>
  <conditionalFormatting sqref="A68:A75 A79">
    <cfRule type="duplicateValues" dxfId="10345" priority="102"/>
  </conditionalFormatting>
  <conditionalFormatting sqref="A68:A75 A79">
    <cfRule type="duplicateValues" dxfId="10344" priority="101"/>
  </conditionalFormatting>
  <conditionalFormatting sqref="A68:A75 A79">
    <cfRule type="duplicateValues" dxfId="10343" priority="100"/>
  </conditionalFormatting>
  <conditionalFormatting sqref="A68:A75 A79">
    <cfRule type="duplicateValues" dxfId="10342" priority="99"/>
  </conditionalFormatting>
  <conditionalFormatting sqref="A83 A61:A67">
    <cfRule type="duplicateValues" dxfId="10341" priority="73859"/>
  </conditionalFormatting>
  <conditionalFormatting sqref="A83 A61:A67">
    <cfRule type="duplicateValues" dxfId="10340" priority="73861"/>
    <cfRule type="duplicateValues" dxfId="10339" priority="73862"/>
  </conditionalFormatting>
  <conditionalFormatting sqref="A83">
    <cfRule type="duplicateValues" dxfId="10338" priority="73865"/>
    <cfRule type="duplicateValues" dxfId="10337" priority="73866"/>
  </conditionalFormatting>
  <conditionalFormatting sqref="A83 A61:A67">
    <cfRule type="duplicateValues" dxfId="10336" priority="73869"/>
    <cfRule type="duplicateValues" dxfId="10335" priority="73870"/>
    <cfRule type="duplicateValues" dxfId="10334" priority="73871"/>
    <cfRule type="duplicateValues" dxfId="10333" priority="73872"/>
    <cfRule type="duplicateValues" dxfId="10332" priority="73873"/>
    <cfRule type="duplicateValues" dxfId="10331" priority="73874"/>
  </conditionalFormatting>
  <conditionalFormatting sqref="A83 A61:A67">
    <cfRule type="duplicateValues" dxfId="10330" priority="73881"/>
    <cfRule type="duplicateValues" dxfId="10329" priority="73882"/>
    <cfRule type="duplicateValues" dxfId="10328" priority="73883"/>
    <cfRule type="duplicateValues" dxfId="10327" priority="73884"/>
    <cfRule type="duplicateValues" dxfId="10326" priority="73885"/>
  </conditionalFormatting>
  <conditionalFormatting sqref="A83 A65:A67">
    <cfRule type="duplicateValues" dxfId="10325" priority="73891"/>
    <cfRule type="duplicateValues" dxfId="10324" priority="73892"/>
    <cfRule type="duplicateValues" dxfId="10323" priority="73893"/>
    <cfRule type="duplicateValues" dxfId="10322" priority="73894"/>
    <cfRule type="duplicateValues" dxfId="10321" priority="73895"/>
    <cfRule type="duplicateValues" dxfId="10320" priority="73896"/>
    <cfRule type="duplicateValues" dxfId="10319" priority="73897"/>
    <cfRule type="duplicateValues" dxfId="10318" priority="73898"/>
    <cfRule type="duplicateValues" dxfId="10317" priority="73899"/>
    <cfRule type="duplicateValues" dxfId="10316" priority="73900"/>
    <cfRule type="duplicateValues" dxfId="10315" priority="73901"/>
    <cfRule type="duplicateValues" dxfId="10314" priority="73902"/>
    <cfRule type="duplicateValues" dxfId="10313" priority="73903"/>
    <cfRule type="duplicateValues" dxfId="10312" priority="73904"/>
    <cfRule type="duplicateValues" dxfId="10311" priority="73905"/>
    <cfRule type="duplicateValues" dxfId="10310" priority="73906"/>
    <cfRule type="duplicateValues" dxfId="10309" priority="73907"/>
    <cfRule type="duplicateValues" dxfId="10308" priority="73908"/>
    <cfRule type="duplicateValues" dxfId="10307" priority="73909"/>
    <cfRule type="duplicateValues" dxfId="10306" priority="73910"/>
    <cfRule type="duplicateValues" dxfId="10305" priority="73911"/>
    <cfRule type="duplicateValues" dxfId="10304" priority="73912"/>
    <cfRule type="duplicateValues" dxfId="10303" priority="73913"/>
    <cfRule type="duplicateValues" dxfId="10302" priority="73914"/>
    <cfRule type="duplicateValues" dxfId="10301" priority="73915"/>
    <cfRule type="duplicateValues" dxfId="10300" priority="73916"/>
    <cfRule type="duplicateValues" dxfId="10299" priority="73917"/>
    <cfRule type="duplicateValues" dxfId="10298" priority="73918"/>
  </conditionalFormatting>
  <conditionalFormatting sqref="A83">
    <cfRule type="duplicateValues" dxfId="10297" priority="73947"/>
  </conditionalFormatting>
  <conditionalFormatting sqref="A83:A85 A89:A92 A61:A67">
    <cfRule type="duplicateValues" dxfId="10296" priority="73949"/>
  </conditionalFormatting>
  <conditionalFormatting sqref="A81:A92 A61:A67">
    <cfRule type="duplicateValues" dxfId="10295" priority="73952"/>
  </conditionalFormatting>
  <conditionalFormatting sqref="A76:A78">
    <cfRule type="duplicateValues" dxfId="10294" priority="98"/>
  </conditionalFormatting>
  <conditionalFormatting sqref="A76:A78">
    <cfRule type="duplicateValues" dxfId="10293" priority="96"/>
    <cfRule type="duplicateValues" dxfId="10292" priority="97"/>
  </conditionalFormatting>
  <conditionalFormatting sqref="A76:A78">
    <cfRule type="duplicateValues" dxfId="10291" priority="94"/>
    <cfRule type="duplicateValues" dxfId="10290" priority="95"/>
  </conditionalFormatting>
  <conditionalFormatting sqref="A76:A78">
    <cfRule type="duplicateValues" dxfId="10289" priority="88"/>
    <cfRule type="duplicateValues" dxfId="10288" priority="89"/>
    <cfRule type="duplicateValues" dxfId="10287" priority="90"/>
    <cfRule type="duplicateValues" dxfId="10286" priority="91"/>
    <cfRule type="duplicateValues" dxfId="10285" priority="92"/>
    <cfRule type="duplicateValues" dxfId="10284" priority="93"/>
  </conditionalFormatting>
  <conditionalFormatting sqref="A76:A78">
    <cfRule type="duplicateValues" dxfId="10283" priority="83"/>
    <cfRule type="duplicateValues" dxfId="10282" priority="84"/>
    <cfRule type="duplicateValues" dxfId="10281" priority="85"/>
    <cfRule type="duplicateValues" dxfId="10280" priority="86"/>
    <cfRule type="duplicateValues" dxfId="10279" priority="87"/>
  </conditionalFormatting>
  <conditionalFormatting sqref="A76:A78">
    <cfRule type="duplicateValues" dxfId="10278" priority="55"/>
    <cfRule type="duplicateValues" dxfId="10277" priority="56"/>
    <cfRule type="duplicateValues" dxfId="10276" priority="57"/>
    <cfRule type="duplicateValues" dxfId="10275" priority="58"/>
    <cfRule type="duplicateValues" dxfId="10274" priority="59"/>
    <cfRule type="duplicateValues" dxfId="10273" priority="60"/>
    <cfRule type="duplicateValues" dxfId="10272" priority="61"/>
    <cfRule type="duplicateValues" dxfId="10271" priority="62"/>
    <cfRule type="duplicateValues" dxfId="10270" priority="63"/>
    <cfRule type="duplicateValues" dxfId="10269" priority="64"/>
    <cfRule type="duplicateValues" dxfId="10268" priority="65"/>
    <cfRule type="duplicateValues" dxfId="10267" priority="66"/>
    <cfRule type="duplicateValues" dxfId="10266" priority="67"/>
    <cfRule type="duplicateValues" dxfId="10265" priority="68"/>
    <cfRule type="duplicateValues" dxfId="10264" priority="69"/>
    <cfRule type="duplicateValues" dxfId="10263" priority="70"/>
    <cfRule type="duplicateValues" dxfId="10262" priority="71"/>
    <cfRule type="duplicateValues" dxfId="10261" priority="72"/>
    <cfRule type="duplicateValues" dxfId="10260" priority="73"/>
    <cfRule type="duplicateValues" dxfId="10259" priority="74"/>
    <cfRule type="duplicateValues" dxfId="10258" priority="75"/>
    <cfRule type="duplicateValues" dxfId="10257" priority="76"/>
    <cfRule type="duplicateValues" dxfId="10256" priority="77"/>
    <cfRule type="duplicateValues" dxfId="10255" priority="78"/>
    <cfRule type="duplicateValues" dxfId="10254" priority="79"/>
    <cfRule type="duplicateValues" dxfId="10253" priority="80"/>
    <cfRule type="duplicateValues" dxfId="10252" priority="81"/>
    <cfRule type="duplicateValues" dxfId="10251" priority="82"/>
  </conditionalFormatting>
  <conditionalFormatting sqref="A76:A78">
    <cfRule type="duplicateValues" dxfId="10250" priority="54"/>
  </conditionalFormatting>
  <conditionalFormatting sqref="A76:A78">
    <cfRule type="duplicateValues" dxfId="10249" priority="53"/>
  </conditionalFormatting>
  <conditionalFormatting sqref="A76:A78">
    <cfRule type="duplicateValues" dxfId="10248" priority="52"/>
  </conditionalFormatting>
  <conditionalFormatting sqref="A76:A78">
    <cfRule type="duplicateValues" dxfId="10247" priority="51"/>
  </conditionalFormatting>
  <conditionalFormatting sqref="A76:A78">
    <cfRule type="duplicateValues" dxfId="10246" priority="50"/>
  </conditionalFormatting>
  <conditionalFormatting sqref="A80">
    <cfRule type="duplicateValues" dxfId="10245" priority="49"/>
  </conditionalFormatting>
  <conditionalFormatting sqref="A80">
    <cfRule type="duplicateValues" dxfId="10244" priority="47"/>
    <cfRule type="duplicateValues" dxfId="10243" priority="48"/>
  </conditionalFormatting>
  <conditionalFormatting sqref="A80">
    <cfRule type="duplicateValues" dxfId="10242" priority="45"/>
    <cfRule type="duplicateValues" dxfId="10241" priority="46"/>
  </conditionalFormatting>
  <conditionalFormatting sqref="A80">
    <cfRule type="duplicateValues" dxfId="10240" priority="39"/>
    <cfRule type="duplicateValues" dxfId="10239" priority="40"/>
    <cfRule type="duplicateValues" dxfId="10238" priority="41"/>
    <cfRule type="duplicateValues" dxfId="10237" priority="42"/>
    <cfRule type="duplicateValues" dxfId="10236" priority="43"/>
    <cfRule type="duplicateValues" dxfId="10235" priority="44"/>
  </conditionalFormatting>
  <conditionalFormatting sqref="A80">
    <cfRule type="duplicateValues" dxfId="10234" priority="34"/>
    <cfRule type="duplicateValues" dxfId="10233" priority="35"/>
    <cfRule type="duplicateValues" dxfId="10232" priority="36"/>
    <cfRule type="duplicateValues" dxfId="10231" priority="37"/>
    <cfRule type="duplicateValues" dxfId="10230" priority="38"/>
  </conditionalFormatting>
  <conditionalFormatting sqref="A80">
    <cfRule type="duplicateValues" dxfId="10229" priority="6"/>
    <cfRule type="duplicateValues" dxfId="10228" priority="7"/>
    <cfRule type="duplicateValues" dxfId="10227" priority="8"/>
    <cfRule type="duplicateValues" dxfId="10226" priority="9"/>
    <cfRule type="duplicateValues" dxfId="10225" priority="10"/>
    <cfRule type="duplicateValues" dxfId="10224" priority="11"/>
    <cfRule type="duplicateValues" dxfId="10223" priority="12"/>
    <cfRule type="duplicateValues" dxfId="10222" priority="13"/>
    <cfRule type="duplicateValues" dxfId="10221" priority="14"/>
    <cfRule type="duplicateValues" dxfId="10220" priority="15"/>
    <cfRule type="duplicateValues" dxfId="10219" priority="16"/>
    <cfRule type="duplicateValues" dxfId="10218" priority="17"/>
    <cfRule type="duplicateValues" dxfId="10217" priority="18"/>
    <cfRule type="duplicateValues" dxfId="10216" priority="19"/>
    <cfRule type="duplicateValues" dxfId="10215" priority="20"/>
    <cfRule type="duplicateValues" dxfId="10214" priority="21"/>
    <cfRule type="duplicateValues" dxfId="10213" priority="22"/>
    <cfRule type="duplicateValues" dxfId="10212" priority="23"/>
    <cfRule type="duplicateValues" dxfId="10211" priority="24"/>
    <cfRule type="duplicateValues" dxfId="10210" priority="25"/>
    <cfRule type="duplicateValues" dxfId="10209" priority="26"/>
    <cfRule type="duplicateValues" dxfId="10208" priority="27"/>
    <cfRule type="duplicateValues" dxfId="10207" priority="28"/>
    <cfRule type="duplicateValues" dxfId="10206" priority="29"/>
    <cfRule type="duplicateValues" dxfId="10205" priority="30"/>
    <cfRule type="duplicateValues" dxfId="10204" priority="31"/>
    <cfRule type="duplicateValues" dxfId="10203" priority="32"/>
    <cfRule type="duplicateValues" dxfId="10202" priority="33"/>
  </conditionalFormatting>
  <conditionalFormatting sqref="A80">
    <cfRule type="duplicateValues" dxfId="10201" priority="5"/>
  </conditionalFormatting>
  <conditionalFormatting sqref="A80">
    <cfRule type="duplicateValues" dxfId="10200" priority="4"/>
  </conditionalFormatting>
  <conditionalFormatting sqref="A80">
    <cfRule type="duplicateValues" dxfId="10199" priority="3"/>
  </conditionalFormatting>
  <conditionalFormatting sqref="A80">
    <cfRule type="duplicateValues" dxfId="10198" priority="2"/>
  </conditionalFormatting>
  <conditionalFormatting sqref="A80">
    <cfRule type="duplicateValues" dxfId="10197" priority="1"/>
  </conditionalFormatting>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43C02-E0EA-4CAA-83E5-C6106C62E7DC}">
  <sheetPr>
    <tabColor rgb="FF00B050"/>
  </sheetPr>
  <dimension ref="A1:AY99"/>
  <sheetViews>
    <sheetView zoomScale="85" zoomScaleNormal="85" workbookViewId="0">
      <pane xSplit="8" topLeftCell="I1" activePane="topRight" state="frozen"/>
      <selection pane="topRight" activeCell="L23" sqref="L23"/>
    </sheetView>
  </sheetViews>
  <sheetFormatPr defaultRowHeight="15" x14ac:dyDescent="0.25"/>
  <cols>
    <col min="1" max="1" width="11.140625" hidden="1" customWidth="1"/>
    <col min="2" max="2" width="10.42578125" hidden="1" customWidth="1"/>
    <col min="3" max="3" width="0" hidden="1" customWidth="1"/>
    <col min="4" max="4" width="15.140625" hidden="1" customWidth="1"/>
    <col min="5" max="5" width="11" hidden="1" customWidth="1"/>
    <col min="6" max="6" width="0" hidden="1" customWidth="1"/>
    <col min="7" max="7" width="3.85546875" hidden="1" customWidth="1"/>
    <col min="8" max="8" width="2.140625" hidden="1" customWidth="1"/>
    <col min="9" max="9" width="7.140625" style="496" customWidth="1"/>
    <col min="10" max="10" width="14.140625" style="70" customWidth="1"/>
    <col min="11" max="11" width="43.85546875" style="70" customWidth="1"/>
    <col min="12" max="12" width="33.5703125" style="70" customWidth="1"/>
    <col min="13" max="13" width="15.42578125" style="899" customWidth="1"/>
    <col min="14" max="14" width="18.5703125" customWidth="1"/>
    <col min="15" max="15" width="9.5703125" style="510" bestFit="1" customWidth="1"/>
    <col min="17" max="17" width="9.140625" style="496"/>
    <col min="18" max="18" width="22.5703125" bestFit="1" customWidth="1"/>
    <col min="19" max="19" width="38" customWidth="1"/>
    <col min="20" max="20" width="44.85546875" bestFit="1" customWidth="1"/>
    <col min="21" max="21" width="18.42578125" customWidth="1"/>
    <col min="22" max="22" width="18.42578125" hidden="1" customWidth="1"/>
    <col min="23" max="23" width="19" customWidth="1"/>
    <col min="24" max="24" width="15.42578125" style="510" customWidth="1"/>
    <col min="26" max="26" width="9.140625" style="496"/>
    <col min="27" max="27" width="14.85546875" customWidth="1"/>
    <col min="28" max="28" width="31.85546875" customWidth="1"/>
    <col min="29" max="29" width="32" customWidth="1"/>
    <col min="30" max="30" width="14.85546875" style="23" customWidth="1"/>
    <col min="31" max="31" width="18.140625" customWidth="1"/>
    <col min="32" max="32" width="9.140625" style="510"/>
    <col min="33" max="33" width="8.85546875" style="301"/>
    <col min="34" max="34" width="9" style="505" customWidth="1"/>
    <col min="35" max="35" width="15" customWidth="1"/>
    <col min="36" max="36" width="33.5703125" bestFit="1" customWidth="1"/>
    <col min="37" max="37" width="34.85546875" customWidth="1"/>
    <col min="38" max="38" width="12.85546875" customWidth="1"/>
    <col min="39" max="39" width="13.5703125" hidden="1" customWidth="1"/>
    <col min="40" max="40" width="10.85546875" customWidth="1"/>
    <col min="41" max="41" width="10.85546875" style="507" customWidth="1"/>
    <col min="42" max="42" width="10.5703125" customWidth="1"/>
    <col min="43" max="43" width="9.140625" style="496"/>
    <col min="44" max="44" width="24.5703125" customWidth="1"/>
    <col min="45" max="46" width="36.5703125" bestFit="1" customWidth="1"/>
    <col min="47" max="47" width="16.85546875" bestFit="1" customWidth="1"/>
    <col min="48" max="48" width="16.85546875" hidden="1" customWidth="1"/>
    <col min="49" max="49" width="19" customWidth="1"/>
    <col min="50" max="50" width="12.42578125" style="500" customWidth="1"/>
    <col min="51" max="51" width="19.5703125" bestFit="1" customWidth="1"/>
  </cols>
  <sheetData>
    <row r="1" spans="1:51" ht="19.5" customHeight="1" x14ac:dyDescent="0.25">
      <c r="A1" s="619" t="s">
        <v>4204</v>
      </c>
      <c r="B1" s="620"/>
      <c r="C1" s="620"/>
      <c r="D1" s="620"/>
      <c r="E1" s="621" t="s">
        <v>4205</v>
      </c>
      <c r="F1" s="621" t="s">
        <v>4205</v>
      </c>
      <c r="G1" s="486" t="s">
        <v>4205</v>
      </c>
      <c r="I1" s="493" t="s">
        <v>263</v>
      </c>
      <c r="J1" s="417" t="s">
        <v>4206</v>
      </c>
      <c r="K1" s="972">
        <f>'VENDOR PRODUCTIVITY'!F13</f>
        <v>1958.5569000000003</v>
      </c>
      <c r="M1" s="897"/>
      <c r="N1" s="478" t="s">
        <v>4207</v>
      </c>
      <c r="O1" s="497">
        <f>K2-K1</f>
        <v>891.54309999999964</v>
      </c>
      <c r="P1" s="478"/>
      <c r="Q1" s="493" t="s">
        <v>4208</v>
      </c>
      <c r="R1" s="478" t="s">
        <v>4206</v>
      </c>
      <c r="S1" s="487">
        <f>'VENDOR PRODUCTIVITY'!F14</f>
        <v>2319.5444799999991</v>
      </c>
      <c r="U1" s="478"/>
      <c r="V1" s="478"/>
      <c r="W1" s="478" t="s">
        <v>4207</v>
      </c>
      <c r="X1" s="506">
        <f>S2-S1</f>
        <v>986.56552000000102</v>
      </c>
      <c r="Y1" s="478"/>
      <c r="Z1" s="493" t="s">
        <v>242</v>
      </c>
      <c r="AA1" s="478" t="s">
        <v>4206</v>
      </c>
      <c r="AB1" s="478"/>
      <c r="AC1" s="478"/>
      <c r="AD1" s="950"/>
      <c r="AE1" s="478" t="s">
        <v>4207</v>
      </c>
      <c r="AF1" s="508"/>
      <c r="AG1" s="656"/>
      <c r="AH1" s="493" t="s">
        <v>255</v>
      </c>
      <c r="AI1" s="478" t="s">
        <v>4206</v>
      </c>
      <c r="AJ1" s="661">
        <f>'VENDOR PRODUCTIVITY'!F16</f>
        <v>1213.7616799999996</v>
      </c>
      <c r="AL1" s="478"/>
      <c r="AM1" s="478"/>
      <c r="AN1" s="478" t="s">
        <v>4207</v>
      </c>
      <c r="AO1" s="506">
        <f>AJ2-AJ1</f>
        <v>2092.3495833598249</v>
      </c>
      <c r="AP1" s="659">
        <v>2394.0805700191831</v>
      </c>
      <c r="AQ1" s="493" t="s">
        <v>288</v>
      </c>
      <c r="AR1" s="478" t="s">
        <v>4206</v>
      </c>
      <c r="AS1" s="658">
        <f>'VENDOR PRODUCTIVITY'!F17</f>
        <v>1443.0291</v>
      </c>
      <c r="AU1" s="490"/>
      <c r="AV1" s="490"/>
      <c r="AW1" s="490" t="s">
        <v>4207</v>
      </c>
      <c r="AX1" s="497">
        <f>AS2-AS1</f>
        <v>280.18273885996177</v>
      </c>
      <c r="AY1" s="488" t="s">
        <v>4209</v>
      </c>
    </row>
    <row r="2" spans="1:51" x14ac:dyDescent="0.25">
      <c r="A2" s="622">
        <v>1</v>
      </c>
      <c r="B2" s="617" t="s">
        <v>4210</v>
      </c>
      <c r="C2" s="617" t="s">
        <v>4205</v>
      </c>
      <c r="D2" s="617" t="s">
        <v>4205</v>
      </c>
      <c r="E2" s="617" t="s">
        <v>4205</v>
      </c>
      <c r="F2" s="617" t="s">
        <v>4205</v>
      </c>
      <c r="G2" s="486" t="s">
        <v>4205</v>
      </c>
      <c r="I2" s="494"/>
      <c r="J2" s="417" t="s">
        <v>4211</v>
      </c>
      <c r="K2" s="973">
        <v>2850.1</v>
      </c>
      <c r="L2" s="417"/>
      <c r="M2" s="897"/>
      <c r="N2" s="478"/>
      <c r="O2" s="508"/>
      <c r="P2" s="478"/>
      <c r="Q2" s="494"/>
      <c r="R2" s="478" t="s">
        <v>4211</v>
      </c>
      <c r="S2" s="489">
        <v>3306.11</v>
      </c>
      <c r="U2" s="478"/>
      <c r="V2" s="478"/>
      <c r="W2" s="478"/>
      <c r="X2" s="506"/>
      <c r="Y2" s="478"/>
      <c r="Z2" s="494"/>
      <c r="AA2" s="478" t="s">
        <v>4211</v>
      </c>
      <c r="AB2" s="489">
        <v>2394.08</v>
      </c>
      <c r="AC2" s="478"/>
      <c r="AD2" s="950"/>
      <c r="AE2" s="478"/>
      <c r="AF2" s="508"/>
      <c r="AG2" s="656"/>
      <c r="AH2" s="494"/>
      <c r="AI2" s="478" t="s">
        <v>4211</v>
      </c>
      <c r="AJ2" s="662">
        <f>'VENDOR PRODUCTIVITY'!Q79</f>
        <v>3306.1112633598245</v>
      </c>
      <c r="AL2" s="478"/>
      <c r="AM2" s="478"/>
      <c r="AN2" s="478"/>
      <c r="AO2" s="506"/>
      <c r="AP2" s="660">
        <f>AP1-AJ1</f>
        <v>1180.3188900191835</v>
      </c>
      <c r="AQ2" s="494"/>
      <c r="AR2" s="478" t="s">
        <v>4211</v>
      </c>
      <c r="AS2" s="657">
        <f>'VENDOR PRODUCTIVITY'!F30</f>
        <v>1723.2118388599617</v>
      </c>
      <c r="AU2" s="490"/>
      <c r="AV2" s="490"/>
      <c r="AW2" s="490"/>
      <c r="AX2" s="497"/>
      <c r="AY2" s="478"/>
    </row>
    <row r="3" spans="1:51" ht="42.6" customHeight="1" x14ac:dyDescent="0.25">
      <c r="A3" s="622">
        <v>2</v>
      </c>
      <c r="B3" s="625" t="s">
        <v>4212</v>
      </c>
      <c r="C3" s="626"/>
      <c r="D3" s="626"/>
      <c r="E3" s="626"/>
      <c r="F3" s="626"/>
      <c r="G3" s="486" t="s">
        <v>4205</v>
      </c>
      <c r="I3" s="494"/>
      <c r="J3" s="417" t="s">
        <v>4213</v>
      </c>
      <c r="K3" s="974">
        <f>K2/4</f>
        <v>712.52499999999998</v>
      </c>
      <c r="L3" s="417"/>
      <c r="M3" s="897"/>
      <c r="N3" s="478"/>
      <c r="O3" s="861">
        <f>SUM(O5:O23)</f>
        <v>6011.75</v>
      </c>
      <c r="P3" s="478"/>
      <c r="Q3" s="494"/>
      <c r="R3" s="478" t="s">
        <v>4213</v>
      </c>
      <c r="S3" s="504">
        <f>S2/4</f>
        <v>826.52750000000003</v>
      </c>
      <c r="U3" s="874"/>
      <c r="V3" s="874"/>
      <c r="W3" s="503" t="s">
        <v>4214</v>
      </c>
      <c r="X3" s="506">
        <f>SUM(X5:X1048576)</f>
        <v>1457.7134999999998</v>
      </c>
      <c r="Y3" s="478"/>
      <c r="Z3" s="494"/>
      <c r="AA3" s="478" t="s">
        <v>4213</v>
      </c>
      <c r="AB3" s="478"/>
      <c r="AC3" s="478"/>
      <c r="AD3" s="950"/>
      <c r="AE3" s="503" t="s">
        <v>4214</v>
      </c>
      <c r="AF3" s="861">
        <f>SUM(AF5:AF26)</f>
        <v>1943.9717999999996</v>
      </c>
      <c r="AG3" s="656"/>
      <c r="AH3" s="494"/>
      <c r="AI3" s="891" t="s">
        <v>4213</v>
      </c>
      <c r="AJ3" s="661">
        <f>AJ2/4</f>
        <v>826.52781583995613</v>
      </c>
      <c r="AL3" s="874"/>
      <c r="AM3" s="874"/>
      <c r="AN3" s="503" t="s">
        <v>4214</v>
      </c>
      <c r="AO3" s="506">
        <f>SUM(AO5:AO1048576)</f>
        <v>2813.1476999999991</v>
      </c>
      <c r="AQ3" s="494"/>
      <c r="AR3" s="478" t="s">
        <v>4215</v>
      </c>
      <c r="AS3" s="658">
        <f>AS2/4</f>
        <v>430.80295971499044</v>
      </c>
      <c r="AU3" s="875"/>
      <c r="AV3" s="875"/>
      <c r="AW3" s="501" t="s">
        <v>4214</v>
      </c>
      <c r="AX3" s="502" t="e">
        <f>SUM(AX5:AX1048576)</f>
        <v>#N/A</v>
      </c>
      <c r="AY3" s="478"/>
    </row>
    <row r="4" spans="1:51" ht="30" x14ac:dyDescent="0.25">
      <c r="A4" s="622" t="s">
        <v>4205</v>
      </c>
      <c r="B4" s="626" t="s">
        <v>4216</v>
      </c>
      <c r="C4" s="626" t="s">
        <v>4217</v>
      </c>
      <c r="D4" s="626" t="s">
        <v>4205</v>
      </c>
      <c r="E4" s="626" t="s">
        <v>4205</v>
      </c>
      <c r="F4" s="626" t="s">
        <v>4205</v>
      </c>
      <c r="G4" s="486" t="s">
        <v>4205</v>
      </c>
      <c r="I4" s="495" t="s">
        <v>4218</v>
      </c>
      <c r="J4" s="971" t="s">
        <v>4179</v>
      </c>
      <c r="K4" s="971" t="s">
        <v>4219</v>
      </c>
      <c r="L4" s="971" t="s">
        <v>4220</v>
      </c>
      <c r="M4" s="884" t="s">
        <v>4180</v>
      </c>
      <c r="N4" s="872" t="s">
        <v>165</v>
      </c>
      <c r="O4" s="509" t="s">
        <v>4221</v>
      </c>
      <c r="P4" s="478"/>
      <c r="Q4" s="511" t="s">
        <v>4218</v>
      </c>
      <c r="R4" s="491" t="s">
        <v>4179</v>
      </c>
      <c r="S4" s="491" t="s">
        <v>4219</v>
      </c>
      <c r="T4" s="491" t="s">
        <v>4220</v>
      </c>
      <c r="U4" s="871" t="s">
        <v>4180</v>
      </c>
      <c r="V4" s="872" t="s">
        <v>4222</v>
      </c>
      <c r="W4" s="871" t="s">
        <v>165</v>
      </c>
      <c r="X4" s="498" t="s">
        <v>4221</v>
      </c>
      <c r="Y4" s="478"/>
      <c r="Z4" s="495" t="s">
        <v>4218</v>
      </c>
      <c r="AA4" s="491" t="s">
        <v>4179</v>
      </c>
      <c r="AB4" s="491" t="s">
        <v>4219</v>
      </c>
      <c r="AC4" s="491" t="s">
        <v>4220</v>
      </c>
      <c r="AD4" s="872" t="s">
        <v>4180</v>
      </c>
      <c r="AE4" s="872" t="s">
        <v>165</v>
      </c>
      <c r="AF4" s="509" t="s">
        <v>4221</v>
      </c>
      <c r="AG4" s="656"/>
      <c r="AH4" s="495" t="s">
        <v>4218</v>
      </c>
      <c r="AI4" s="491" t="s">
        <v>4179</v>
      </c>
      <c r="AJ4" s="491" t="s">
        <v>4219</v>
      </c>
      <c r="AK4" s="491" t="s">
        <v>4220</v>
      </c>
      <c r="AL4" s="872" t="s">
        <v>4180</v>
      </c>
      <c r="AM4" s="872" t="s">
        <v>4222</v>
      </c>
      <c r="AN4" s="872" t="s">
        <v>165</v>
      </c>
      <c r="AO4" s="498" t="s">
        <v>4221</v>
      </c>
      <c r="AP4" s="478"/>
      <c r="AQ4" s="495" t="s">
        <v>4218</v>
      </c>
      <c r="AR4" s="491" t="s">
        <v>4179</v>
      </c>
      <c r="AS4" s="492" t="s">
        <v>4219</v>
      </c>
      <c r="AT4" s="492" t="s">
        <v>4220</v>
      </c>
      <c r="AU4" s="872" t="s">
        <v>4180</v>
      </c>
      <c r="AV4" s="872" t="s">
        <v>4222</v>
      </c>
      <c r="AW4" s="872" t="s">
        <v>165</v>
      </c>
      <c r="AX4" s="498" t="s">
        <v>4221</v>
      </c>
      <c r="AY4" s="478"/>
    </row>
    <row r="5" spans="1:51" x14ac:dyDescent="0.25">
      <c r="A5" s="622" t="s">
        <v>4205</v>
      </c>
      <c r="B5" s="626" t="s">
        <v>4223</v>
      </c>
      <c r="C5" s="626" t="s">
        <v>4224</v>
      </c>
      <c r="D5" s="626"/>
      <c r="E5" s="626"/>
      <c r="F5" s="626" t="s">
        <v>4205</v>
      </c>
      <c r="G5" s="618" t="s">
        <v>4205</v>
      </c>
      <c r="I5" s="494">
        <v>1</v>
      </c>
      <c r="J5" s="404" t="s">
        <v>3219</v>
      </c>
      <c r="K5" s="108" t="s">
        <v>4225</v>
      </c>
      <c r="L5" s="108" t="s">
        <v>4226</v>
      </c>
      <c r="M5" s="898">
        <v>45784</v>
      </c>
      <c r="N5" s="101" t="s">
        <v>568</v>
      </c>
      <c r="O5" s="165">
        <v>975.48</v>
      </c>
      <c r="P5" s="478"/>
      <c r="Q5" s="494">
        <v>1</v>
      </c>
      <c r="R5" s="404" t="s">
        <v>2696</v>
      </c>
      <c r="S5" s="95" t="s">
        <v>926</v>
      </c>
      <c r="T5" s="95" t="s">
        <v>2697</v>
      </c>
      <c r="U5" s="885">
        <f>VLOOKUP(R5,'C1'!$E:$W,19,FALSE)</f>
        <v>45723.526388888888</v>
      </c>
      <c r="V5">
        <f t="shared" ref="V5:V9" si="0">$D$16-U5</f>
        <v>69.473611111112405</v>
      </c>
      <c r="W5" s="95" t="str">
        <f>VLOOKUP(R5,'C1'!$E:$W,14,FALSE)</f>
        <v>NEW</v>
      </c>
      <c r="X5" s="165">
        <f>VLOOKUP(R5,'C1'!$E:$W,11,FALSE)</f>
        <v>98.487099999999998</v>
      </c>
      <c r="Y5" s="478"/>
      <c r="Z5" s="494">
        <v>1</v>
      </c>
      <c r="AA5" s="404"/>
      <c r="AB5" s="95"/>
      <c r="AC5" s="95"/>
      <c r="AD5" s="898"/>
      <c r="AE5" s="95"/>
      <c r="AF5" s="165"/>
      <c r="AG5" s="656"/>
      <c r="AH5" s="513" t="s">
        <v>4227</v>
      </c>
      <c r="AI5" s="868" t="s">
        <v>2932</v>
      </c>
      <c r="AJ5" s="869" t="s">
        <v>2933</v>
      </c>
      <c r="AK5" s="869" t="s">
        <v>2721</v>
      </c>
      <c r="AL5" s="886">
        <f>VLOOKUP(AI5,'C1'!$E:$W,19,FALSE)</f>
        <v>45749.540972222225</v>
      </c>
      <c r="AM5">
        <f t="shared" ref="AM5:AM38" si="1">$D$16-AL5</f>
        <v>43.459027777775191</v>
      </c>
      <c r="AN5" s="869" t="str">
        <f>VLOOKUP(AI5,'C1'!$E:$W,14,FALSE)</f>
        <v>NEW</v>
      </c>
      <c r="AO5" s="887">
        <f>VLOOKUP(AI5,'C1'!$E:$W,11,FALSE)</f>
        <v>14.322799999999999</v>
      </c>
      <c r="AP5" s="656"/>
      <c r="AQ5" s="513" t="s">
        <v>4227</v>
      </c>
      <c r="AR5" s="868"/>
      <c r="AS5" s="869"/>
      <c r="AT5" s="869"/>
      <c r="AU5" s="886" t="e">
        <f>VLOOKUP(AR5,'C1'!$E:$W,19,FALSE)</f>
        <v>#N/A</v>
      </c>
      <c r="AV5" t="e">
        <f t="shared" ref="AV5:AV13" si="2">$D$16-AU5</f>
        <v>#N/A</v>
      </c>
      <c r="AW5" s="869" t="e">
        <f>VLOOKUP(AR5,'C1'!$E:$W,14,FALSE)</f>
        <v>#N/A</v>
      </c>
      <c r="AX5" s="887" t="e">
        <f>VLOOKUP(AR5,'C1'!$E:$W,11,FALSE)</f>
        <v>#N/A</v>
      </c>
      <c r="AY5" s="478"/>
    </row>
    <row r="6" spans="1:51" x14ac:dyDescent="0.25">
      <c r="A6" s="46"/>
      <c r="B6" s="627" t="s">
        <v>4228</v>
      </c>
      <c r="C6" s="627" t="s">
        <v>4229</v>
      </c>
      <c r="D6" s="628"/>
      <c r="E6" s="628"/>
      <c r="F6" s="628"/>
      <c r="G6" s="612"/>
      <c r="I6" s="494">
        <v>2</v>
      </c>
      <c r="J6" s="404" t="s">
        <v>3211</v>
      </c>
      <c r="K6" s="108" t="s">
        <v>4230</v>
      </c>
      <c r="L6" s="108" t="s">
        <v>4231</v>
      </c>
      <c r="M6" s="898">
        <v>45783</v>
      </c>
      <c r="N6" s="101" t="s">
        <v>568</v>
      </c>
      <c r="O6" s="165">
        <v>1756.02</v>
      </c>
      <c r="P6" s="478"/>
      <c r="Q6" s="494">
        <v>2</v>
      </c>
      <c r="R6" s="404" t="s">
        <v>2284</v>
      </c>
      <c r="S6" s="95" t="s">
        <v>926</v>
      </c>
      <c r="T6" s="95" t="s">
        <v>2285</v>
      </c>
      <c r="U6" s="885">
        <f>VLOOKUP(R6,'C1'!$E:$W,19,FALSE)</f>
        <v>45692.585416666669</v>
      </c>
      <c r="V6">
        <f t="shared" si="0"/>
        <v>100.41458333333139</v>
      </c>
      <c r="W6" s="95" t="str">
        <f>VLOOKUP(R6,'C1'!$E:$W,14,FALSE)</f>
        <v>NEW</v>
      </c>
      <c r="X6" s="165">
        <f>VLOOKUP(R6,'C1'!$E:$W,11,FALSE)</f>
        <v>49.433199999999999</v>
      </c>
      <c r="Y6" s="478"/>
      <c r="Z6" s="494">
        <v>2</v>
      </c>
      <c r="AA6" s="404" t="s">
        <v>1060</v>
      </c>
      <c r="AB6" s="95" t="s">
        <v>1061</v>
      </c>
      <c r="AC6" s="95" t="s">
        <v>1062</v>
      </c>
      <c r="AD6" s="898">
        <f>VLOOKUP(AA6,'C1'!$E:$W,19,FALSE)</f>
        <v>45526.617361111108</v>
      </c>
      <c r="AE6" s="95" t="str">
        <f>VLOOKUP(AA6,'C1'!$E:$W,14,FALSE)</f>
        <v>RELOC</v>
      </c>
      <c r="AF6" s="165">
        <f>VLOOKUP(AA6,'C1'!$E:$W,11,FALSE)</f>
        <v>153.46879999999999</v>
      </c>
      <c r="AG6" s="656"/>
      <c r="AH6" s="513" t="s">
        <v>4232</v>
      </c>
      <c r="AI6" s="868" t="s">
        <v>2397</v>
      </c>
      <c r="AJ6" s="870" t="s">
        <v>876</v>
      </c>
      <c r="AK6" s="869" t="s">
        <v>2398</v>
      </c>
      <c r="AL6" s="886">
        <f>VLOOKUP(AI6,'C1'!$E:$W,19,FALSE)</f>
        <v>45701.579861111109</v>
      </c>
      <c r="AM6">
        <f t="shared" si="1"/>
        <v>91.420138888890506</v>
      </c>
      <c r="AN6" s="869" t="str">
        <f>VLOOKUP(AI6,'C1'!$E:$W,14,FALSE)</f>
        <v>NEW</v>
      </c>
      <c r="AO6" s="887">
        <f>VLOOKUP(AI6,'C1'!$E:$W,11,FALSE)</f>
        <v>308.19279999999992</v>
      </c>
      <c r="AP6" s="656"/>
      <c r="AQ6" s="513" t="s">
        <v>4232</v>
      </c>
      <c r="AR6" s="868"/>
      <c r="AS6" s="869"/>
      <c r="AT6" s="869"/>
      <c r="AU6" s="886" t="e">
        <f>VLOOKUP(AR6,'C1'!$E:$W,19,FALSE)</f>
        <v>#N/A</v>
      </c>
      <c r="AV6" t="e">
        <f t="shared" si="2"/>
        <v>#N/A</v>
      </c>
      <c r="AW6" s="869" t="e">
        <f>VLOOKUP(AR6,'C1'!$E:$W,14,FALSE)</f>
        <v>#N/A</v>
      </c>
      <c r="AX6" s="887" t="e">
        <f>VLOOKUP(AR6,'C1'!$E:$W,11,FALSE)</f>
        <v>#N/A</v>
      </c>
      <c r="AY6" s="478"/>
    </row>
    <row r="7" spans="1:51" ht="15" customHeight="1" x14ac:dyDescent="0.25">
      <c r="A7" s="46"/>
      <c r="B7" s="627" t="s">
        <v>4233</v>
      </c>
      <c r="C7" s="627" t="s">
        <v>4234</v>
      </c>
      <c r="D7" s="628" t="s">
        <v>4235</v>
      </c>
      <c r="E7" s="628"/>
      <c r="F7" s="628"/>
      <c r="G7" s="612"/>
      <c r="I7" s="494">
        <v>3</v>
      </c>
      <c r="J7" s="404" t="s">
        <v>558</v>
      </c>
      <c r="K7" s="108" t="s">
        <v>559</v>
      </c>
      <c r="L7" s="108" t="s">
        <v>560</v>
      </c>
      <c r="M7" s="898">
        <v>44533</v>
      </c>
      <c r="N7" s="101" t="s">
        <v>568</v>
      </c>
      <c r="O7" s="165">
        <v>1071.6500000000001</v>
      </c>
      <c r="P7" s="478"/>
      <c r="Q7" s="494">
        <v>3</v>
      </c>
      <c r="R7" s="404" t="s">
        <v>3130</v>
      </c>
      <c r="S7" s="95" t="s">
        <v>926</v>
      </c>
      <c r="T7" s="95" t="s">
        <v>3131</v>
      </c>
      <c r="U7" s="885">
        <f>VLOOKUP(R7,'C1'!$E:$W,19,FALSE)</f>
        <v>45775.556944444441</v>
      </c>
      <c r="V7">
        <f t="shared" si="0"/>
        <v>17.443055555559113</v>
      </c>
      <c r="W7" s="95" t="str">
        <f>VLOOKUP(R7,'C1'!$E:$W,14,FALSE)</f>
        <v>NEW</v>
      </c>
      <c r="X7" s="165">
        <f>VLOOKUP(R7,'C1'!$E:$W,11,FALSE)</f>
        <v>22.84</v>
      </c>
      <c r="Y7" s="478"/>
      <c r="Z7" s="494">
        <v>3</v>
      </c>
      <c r="AA7" s="404" t="s">
        <v>2737</v>
      </c>
      <c r="AB7" s="95" t="s">
        <v>2354</v>
      </c>
      <c r="AC7" s="95" t="s">
        <v>2355</v>
      </c>
      <c r="AD7" s="898">
        <v>45727</v>
      </c>
      <c r="AE7" s="109" t="s">
        <v>548</v>
      </c>
      <c r="AF7" s="165">
        <v>57.366599999999991</v>
      </c>
      <c r="AG7" s="656"/>
      <c r="AH7" s="513" t="s">
        <v>4236</v>
      </c>
      <c r="AI7" s="868" t="s">
        <v>2632</v>
      </c>
      <c r="AJ7" s="869" t="s">
        <v>2581</v>
      </c>
      <c r="AK7" s="869" t="s">
        <v>2633</v>
      </c>
      <c r="AL7" s="886">
        <f>VLOOKUP(AI7,'C1'!$E:$W,19,FALSE)</f>
        <v>45719.695138888892</v>
      </c>
      <c r="AM7">
        <f t="shared" si="1"/>
        <v>73.304861111108039</v>
      </c>
      <c r="AN7" s="869" t="str">
        <f>VLOOKUP(AI7,'C1'!$E:$W,14,FALSE)</f>
        <v>NEW</v>
      </c>
      <c r="AO7" s="887">
        <f>VLOOKUP(AI7,'C1'!$E:$W,11,FALSE)</f>
        <v>144.3689</v>
      </c>
      <c r="AP7" s="656"/>
      <c r="AQ7" s="513" t="s">
        <v>4236</v>
      </c>
      <c r="AR7" s="868"/>
      <c r="AS7" s="869"/>
      <c r="AT7" s="869"/>
      <c r="AU7" s="886" t="e">
        <f>VLOOKUP(AR7,'C1'!$E:$W,19,FALSE)</f>
        <v>#N/A</v>
      </c>
      <c r="AV7" s="467" t="e">
        <f t="shared" si="2"/>
        <v>#N/A</v>
      </c>
      <c r="AW7" s="869" t="e">
        <f>VLOOKUP(AR7,'C1'!$E:$W,14,FALSE)</f>
        <v>#N/A</v>
      </c>
      <c r="AX7" s="887" t="e">
        <f>VLOOKUP(AR7,'C1'!$E:$W,11,FALSE)</f>
        <v>#N/A</v>
      </c>
      <c r="AY7" s="478"/>
    </row>
    <row r="8" spans="1:51" ht="15" customHeight="1" x14ac:dyDescent="0.25">
      <c r="A8" s="46"/>
      <c r="B8" s="627" t="s">
        <v>4237</v>
      </c>
      <c r="C8" s="627" t="s">
        <v>4238</v>
      </c>
      <c r="D8" s="628"/>
      <c r="E8" s="628"/>
      <c r="F8" s="628"/>
      <c r="G8" s="612"/>
      <c r="I8" s="494">
        <v>4</v>
      </c>
      <c r="J8" s="404" t="s">
        <v>514</v>
      </c>
      <c r="K8" s="108" t="s">
        <v>4239</v>
      </c>
      <c r="L8" s="108" t="s">
        <v>1740</v>
      </c>
      <c r="M8" s="898">
        <v>44475</v>
      </c>
      <c r="N8" s="101" t="s">
        <v>568</v>
      </c>
      <c r="O8" s="165">
        <v>1133.23</v>
      </c>
      <c r="P8" s="478"/>
      <c r="Q8" s="494">
        <v>4</v>
      </c>
      <c r="R8" s="404" t="s">
        <v>3096</v>
      </c>
      <c r="S8" s="155" t="s">
        <v>926</v>
      </c>
      <c r="T8" s="95" t="s">
        <v>3097</v>
      </c>
      <c r="U8" s="885">
        <f>VLOOKUP(R8,'C1'!$E:$W,19,FALSE)</f>
        <v>45769.667361111111</v>
      </c>
      <c r="V8">
        <f t="shared" si="0"/>
        <v>23.332638888889051</v>
      </c>
      <c r="W8" s="95" t="str">
        <f>VLOOKUP(R8,'C1'!$E:$W,14,FALSE)</f>
        <v>NEW</v>
      </c>
      <c r="X8" s="165">
        <f>VLOOKUP(R8,'C1'!$E:$W,11,FALSE)</f>
        <v>35.181800000000003</v>
      </c>
      <c r="Y8" s="478"/>
      <c r="Z8" s="494">
        <v>4</v>
      </c>
      <c r="AA8" s="404" t="s">
        <v>2182</v>
      </c>
      <c r="AB8" s="95" t="s">
        <v>2183</v>
      </c>
      <c r="AC8" s="95" t="s">
        <v>2184</v>
      </c>
      <c r="AD8" s="898">
        <f>VLOOKUP(AA8,'C1'!$E:$W,19,FALSE)</f>
        <v>45681.584027777775</v>
      </c>
      <c r="AE8" s="95" t="str">
        <f>VLOOKUP(AA8,'C1'!$E:$W,14,FALSE)</f>
        <v>MODIFICATION</v>
      </c>
      <c r="AF8" s="165">
        <f>VLOOKUP(AA8,'C1'!$E:$W,11,FALSE)</f>
        <v>37.549500000000002</v>
      </c>
      <c r="AG8" s="656"/>
      <c r="AH8" s="513" t="s">
        <v>4240</v>
      </c>
      <c r="AI8" s="868" t="s">
        <v>2100</v>
      </c>
      <c r="AJ8" s="869" t="s">
        <v>2101</v>
      </c>
      <c r="AK8" s="869" t="s">
        <v>1709</v>
      </c>
      <c r="AL8" s="886">
        <f>VLOOKUP(AI8,'C1'!$E:$W,19,FALSE)</f>
        <v>45673.697222222225</v>
      </c>
      <c r="AM8">
        <f t="shared" si="1"/>
        <v>119.30277777777519</v>
      </c>
      <c r="AN8" s="869" t="str">
        <f>VLOOKUP(AI8,'C1'!$E:$W,14,FALSE)</f>
        <v>NEW</v>
      </c>
      <c r="AO8" s="887">
        <f>VLOOKUP(AI8,'C1'!$E:$W,11,FALSE)</f>
        <v>33.738500000000002</v>
      </c>
      <c r="AP8" s="656"/>
      <c r="AQ8" s="513" t="s">
        <v>4240</v>
      </c>
      <c r="AR8" s="404"/>
      <c r="AS8" s="95"/>
      <c r="AT8" s="95"/>
      <c r="AU8" s="885" t="e">
        <f>VLOOKUP(AR8,'C1'!$E:$W,19,FALSE)</f>
        <v>#N/A</v>
      </c>
      <c r="AV8" t="e">
        <f t="shared" si="2"/>
        <v>#N/A</v>
      </c>
      <c r="AW8" s="95" t="e">
        <f>VLOOKUP(AR8,'C1'!$E:$W,14,FALSE)</f>
        <v>#N/A</v>
      </c>
      <c r="AX8" s="165" t="e">
        <f>VLOOKUP(AR8,'C1'!$E:$W,11,FALSE)</f>
        <v>#N/A</v>
      </c>
      <c r="AY8" s="478"/>
    </row>
    <row r="9" spans="1:51" ht="15" customHeight="1" x14ac:dyDescent="0.25">
      <c r="A9" s="622">
        <v>3</v>
      </c>
      <c r="B9" s="626" t="s">
        <v>4241</v>
      </c>
      <c r="C9" s="626" t="s">
        <v>4205</v>
      </c>
      <c r="D9" s="626" t="s">
        <v>4205</v>
      </c>
      <c r="E9" s="626" t="s">
        <v>4205</v>
      </c>
      <c r="F9" s="626" t="s">
        <v>4205</v>
      </c>
      <c r="G9" s="618" t="s">
        <v>4205</v>
      </c>
      <c r="I9" s="494">
        <v>5</v>
      </c>
      <c r="J9" s="404" t="s">
        <v>2457</v>
      </c>
      <c r="K9" s="108" t="s">
        <v>2458</v>
      </c>
      <c r="L9" s="108" t="s">
        <v>2459</v>
      </c>
      <c r="M9" s="898">
        <v>45712</v>
      </c>
      <c r="N9" s="101" t="s">
        <v>244</v>
      </c>
      <c r="O9" s="165">
        <v>219.82</v>
      </c>
      <c r="P9" s="478"/>
      <c r="Q9" s="494">
        <v>5</v>
      </c>
      <c r="R9" s="404" t="s">
        <v>3102</v>
      </c>
      <c r="S9" s="155" t="s">
        <v>926</v>
      </c>
      <c r="T9" s="95" t="s">
        <v>3103</v>
      </c>
      <c r="U9" s="885">
        <f>VLOOKUP(R9,'C1'!$E:$W,19,FALSE)</f>
        <v>45770.35</v>
      </c>
      <c r="V9">
        <f t="shared" si="0"/>
        <v>22.650000000001455</v>
      </c>
      <c r="W9" s="95" t="str">
        <f>VLOOKUP(R9,'C1'!$E:$W,14,FALSE)</f>
        <v>NEW</v>
      </c>
      <c r="X9" s="165">
        <f>VLOOKUP(R9,'C1'!$E:$W,11,FALSE)</f>
        <v>18.102799999999998</v>
      </c>
      <c r="Y9" s="478"/>
      <c r="Z9" s="494">
        <v>5</v>
      </c>
      <c r="AA9" s="404" t="s">
        <v>4242</v>
      </c>
      <c r="AB9" s="95" t="s">
        <v>4243</v>
      </c>
      <c r="AC9" s="95" t="s">
        <v>4244</v>
      </c>
      <c r="AD9" s="898" t="s">
        <v>4245</v>
      </c>
      <c r="AE9" s="95" t="s">
        <v>327</v>
      </c>
      <c r="AF9" s="765" t="s">
        <v>4246</v>
      </c>
      <c r="AG9" s="656"/>
      <c r="AH9" s="513" t="s">
        <v>4247</v>
      </c>
      <c r="AI9" s="404" t="s">
        <v>1478</v>
      </c>
      <c r="AJ9" s="95" t="s">
        <v>1479</v>
      </c>
      <c r="AK9" s="95" t="s">
        <v>1480</v>
      </c>
      <c r="AL9" s="885">
        <f>VLOOKUP(AI9,'C1'!$E:$W,19,FALSE)</f>
        <v>45610.673437500001</v>
      </c>
      <c r="AM9">
        <f t="shared" si="1"/>
        <v>182.32656249999854</v>
      </c>
      <c r="AN9" s="95" t="str">
        <f>VLOOKUP(AI9,'C1'!$E:$W,14,FALSE)</f>
        <v>RELOC</v>
      </c>
      <c r="AO9" s="165">
        <f>VLOOKUP(AI9,'C1'!$E:$W,11,FALSE)</f>
        <v>80.494100000000003</v>
      </c>
      <c r="AP9" s="656"/>
      <c r="AQ9" s="513" t="s">
        <v>4247</v>
      </c>
      <c r="AR9" s="344"/>
      <c r="AS9" s="343"/>
      <c r="AT9" s="95"/>
      <c r="AU9" s="885" t="e">
        <f>VLOOKUP(AR9,'C1'!$E:$W,19,FALSE)</f>
        <v>#N/A</v>
      </c>
      <c r="AV9" t="e">
        <f t="shared" si="2"/>
        <v>#N/A</v>
      </c>
      <c r="AW9" s="95" t="e">
        <f>VLOOKUP(AR9,'C1'!$E:$W,14,FALSE)</f>
        <v>#N/A</v>
      </c>
      <c r="AX9" s="165" t="e">
        <f>VLOOKUP(AR9,'C1'!$E:$W,11,FALSE)</f>
        <v>#N/A</v>
      </c>
      <c r="AY9" s="478"/>
    </row>
    <row r="10" spans="1:51" ht="15" customHeight="1" x14ac:dyDescent="0.25">
      <c r="A10" s="622" t="s">
        <v>4205</v>
      </c>
      <c r="B10" s="626" t="s">
        <v>4216</v>
      </c>
      <c r="C10" s="626" t="s">
        <v>4248</v>
      </c>
      <c r="D10" s="626" t="s">
        <v>4205</v>
      </c>
      <c r="E10" s="626" t="s">
        <v>4205</v>
      </c>
      <c r="F10" s="626" t="s">
        <v>4205</v>
      </c>
      <c r="G10" s="618" t="s">
        <v>4205</v>
      </c>
      <c r="I10" s="494">
        <v>6</v>
      </c>
      <c r="J10" s="404" t="s">
        <v>3319</v>
      </c>
      <c r="K10" s="108" t="s">
        <v>4249</v>
      </c>
      <c r="L10" s="108" t="s">
        <v>4250</v>
      </c>
      <c r="M10" s="898">
        <v>45800</v>
      </c>
      <c r="N10" s="101" t="s">
        <v>244</v>
      </c>
      <c r="O10" s="165">
        <v>129.72</v>
      </c>
      <c r="P10" s="478"/>
      <c r="Q10" s="494">
        <v>6</v>
      </c>
      <c r="R10" s="404" t="s">
        <v>3216</v>
      </c>
      <c r="S10" s="95" t="s">
        <v>926</v>
      </c>
      <c r="T10" s="95" t="s">
        <v>3217</v>
      </c>
      <c r="U10" s="885">
        <v>45784.311111111114</v>
      </c>
      <c r="W10" s="109" t="s">
        <v>244</v>
      </c>
      <c r="X10" s="165">
        <v>154.58429999999998</v>
      </c>
      <c r="Y10" s="478"/>
      <c r="Z10" s="494">
        <v>6</v>
      </c>
      <c r="AA10" s="404" t="s">
        <v>3307</v>
      </c>
      <c r="AB10" s="95" t="s">
        <v>3308</v>
      </c>
      <c r="AC10" s="155" t="s">
        <v>4251</v>
      </c>
      <c r="AD10" s="898">
        <v>45799</v>
      </c>
      <c r="AE10" s="95" t="str">
        <f>VLOOKUP(AA10,'C1'!$E:$W,14,FALSE)</f>
        <v>NEW</v>
      </c>
      <c r="AF10" s="165">
        <v>97.74</v>
      </c>
      <c r="AG10" s="656"/>
      <c r="AH10" s="513" t="s">
        <v>4252</v>
      </c>
      <c r="AI10" s="404" t="s">
        <v>1825</v>
      </c>
      <c r="AJ10" s="95" t="s">
        <v>926</v>
      </c>
      <c r="AK10" s="95" t="s">
        <v>1826</v>
      </c>
      <c r="AL10" s="885">
        <f>VLOOKUP(AI10,'C1'!$E:$W,19,FALSE)</f>
        <v>45639</v>
      </c>
      <c r="AM10">
        <f t="shared" si="1"/>
        <v>154</v>
      </c>
      <c r="AN10" s="95" t="str">
        <f>VLOOKUP(AI10,'C1'!$E:$W,14,FALSE)</f>
        <v>NEW</v>
      </c>
      <c r="AO10" s="165">
        <f>VLOOKUP(AI10,'C1'!$E:$W,11,FALSE)</f>
        <v>134.78100000000001</v>
      </c>
      <c r="AP10" s="656"/>
      <c r="AQ10" s="513" t="s">
        <v>4252</v>
      </c>
      <c r="AR10" s="404"/>
      <c r="AS10" s="95"/>
      <c r="AT10" s="95"/>
      <c r="AU10" s="885" t="e">
        <f>VLOOKUP(AR10,'C1'!$E:$W,19,FALSE)</f>
        <v>#N/A</v>
      </c>
      <c r="AV10" t="e">
        <f t="shared" si="2"/>
        <v>#N/A</v>
      </c>
      <c r="AW10" s="95" t="e">
        <f>VLOOKUP(AR10,'C1'!$E:$W,14,FALSE)</f>
        <v>#N/A</v>
      </c>
      <c r="AX10" s="165" t="e">
        <f>VLOOKUP(AR10,'C1'!$E:$W,11,FALSE)</f>
        <v>#N/A</v>
      </c>
      <c r="AY10" s="478"/>
    </row>
    <row r="11" spans="1:51" ht="15" customHeight="1" x14ac:dyDescent="0.25">
      <c r="A11" s="622" t="s">
        <v>4205</v>
      </c>
      <c r="B11" s="626" t="s">
        <v>4223</v>
      </c>
      <c r="C11" s="625" t="s">
        <v>4253</v>
      </c>
      <c r="D11" s="626"/>
      <c r="E11" s="626"/>
      <c r="F11" s="626"/>
      <c r="G11" s="486" t="s">
        <v>4205</v>
      </c>
      <c r="I11" s="494">
        <v>7</v>
      </c>
      <c r="J11" s="404" t="s">
        <v>1692</v>
      </c>
      <c r="K11" s="108" t="s">
        <v>1693</v>
      </c>
      <c r="L11" s="108" t="s">
        <v>4254</v>
      </c>
      <c r="M11" s="898">
        <v>45636</v>
      </c>
      <c r="N11" s="101" t="s">
        <v>548</v>
      </c>
      <c r="O11" s="165">
        <v>220.04</v>
      </c>
      <c r="P11" s="478"/>
      <c r="Q11" s="494">
        <v>7</v>
      </c>
      <c r="R11" s="404" t="s">
        <v>1495</v>
      </c>
      <c r="S11" s="95" t="s">
        <v>926</v>
      </c>
      <c r="T11" s="95" t="s">
        <v>1496</v>
      </c>
      <c r="U11" s="885">
        <v>45785.582638888889</v>
      </c>
      <c r="W11" s="109" t="s">
        <v>244</v>
      </c>
      <c r="X11" s="165">
        <v>40.271299999999997</v>
      </c>
      <c r="Y11" s="478"/>
      <c r="Z11" s="494">
        <v>7</v>
      </c>
      <c r="AA11" s="404" t="s">
        <v>3310</v>
      </c>
      <c r="AB11" s="95" t="s">
        <v>3311</v>
      </c>
      <c r="AC11" s="155" t="s">
        <v>4255</v>
      </c>
      <c r="AD11" s="898">
        <v>45799</v>
      </c>
      <c r="AE11" s="95" t="str">
        <f>VLOOKUP(AA11,'C1'!$E:$W,14,FALSE)</f>
        <v>NEW</v>
      </c>
      <c r="AF11" s="165">
        <v>55.14</v>
      </c>
      <c r="AG11" s="656"/>
      <c r="AH11" s="513" t="s">
        <v>4256</v>
      </c>
      <c r="AI11" s="868" t="s">
        <v>1873</v>
      </c>
      <c r="AJ11" s="869" t="s">
        <v>1874</v>
      </c>
      <c r="AK11" s="869" t="s">
        <v>1875</v>
      </c>
      <c r="AL11" s="886">
        <f>VLOOKUP(AI11,'C1'!$E:$W,19,FALSE)</f>
        <v>45646</v>
      </c>
      <c r="AM11" s="467">
        <f t="shared" si="1"/>
        <v>147</v>
      </c>
      <c r="AN11" s="869" t="str">
        <f>VLOOKUP(AI11,'C1'!$E:$W,14,FALSE)</f>
        <v>NEW</v>
      </c>
      <c r="AO11" s="887">
        <f>VLOOKUP(AI11,'C1'!$E:$W,11,FALSE)</f>
        <v>125.09089999999999</v>
      </c>
      <c r="AP11" s="656"/>
      <c r="AQ11" s="513" t="s">
        <v>4256</v>
      </c>
      <c r="AR11" s="868"/>
      <c r="AS11" s="870"/>
      <c r="AT11" s="869"/>
      <c r="AU11" s="886" t="e">
        <f>VLOOKUP(AR11,'C1'!$E:$W,19,FALSE)</f>
        <v>#N/A</v>
      </c>
      <c r="AV11" s="467" t="e">
        <f t="shared" si="2"/>
        <v>#N/A</v>
      </c>
      <c r="AW11" s="869" t="e">
        <f>VLOOKUP(AR11,'C1'!$E:$W,14,FALSE)</f>
        <v>#N/A</v>
      </c>
      <c r="AX11" s="887" t="e">
        <f>VLOOKUP(AR11,'C1'!$E:$W,11,FALSE)</f>
        <v>#N/A</v>
      </c>
      <c r="AY11" s="478"/>
    </row>
    <row r="12" spans="1:51" ht="15" customHeight="1" thickBot="1" x14ac:dyDescent="0.3">
      <c r="A12" s="623">
        <v>4</v>
      </c>
      <c r="B12" s="624" t="s">
        <v>4257</v>
      </c>
      <c r="C12" s="624" t="s">
        <v>4205</v>
      </c>
      <c r="D12" s="624" t="s">
        <v>4205</v>
      </c>
      <c r="E12" s="624" t="s">
        <v>4205</v>
      </c>
      <c r="F12" s="624" t="s">
        <v>4205</v>
      </c>
      <c r="G12" s="486" t="s">
        <v>4205</v>
      </c>
      <c r="I12" s="494">
        <v>8</v>
      </c>
      <c r="J12" s="1028" t="s">
        <v>3138</v>
      </c>
      <c r="K12" s="108" t="s">
        <v>4258</v>
      </c>
      <c r="L12" s="108" t="s">
        <v>4259</v>
      </c>
      <c r="M12" s="898">
        <v>45775</v>
      </c>
      <c r="N12" s="101" t="s">
        <v>244</v>
      </c>
      <c r="O12" s="165">
        <v>255.02</v>
      </c>
      <c r="P12" s="478"/>
      <c r="Q12" s="494">
        <v>8</v>
      </c>
      <c r="R12" s="404" t="s">
        <v>3235</v>
      </c>
      <c r="S12" s="95" t="s">
        <v>926</v>
      </c>
      <c r="T12" s="95" t="s">
        <v>3236</v>
      </c>
      <c r="U12" s="885">
        <v>45786.356249999997</v>
      </c>
      <c r="W12" s="109" t="s">
        <v>244</v>
      </c>
      <c r="X12" s="165">
        <v>17.322799999999997</v>
      </c>
      <c r="Y12" s="478"/>
      <c r="Z12" s="494">
        <v>8</v>
      </c>
      <c r="AA12" s="404" t="s">
        <v>2440</v>
      </c>
      <c r="AB12" s="95" t="s">
        <v>2441</v>
      </c>
      <c r="AC12" s="95" t="s">
        <v>1588</v>
      </c>
      <c r="AD12" s="898">
        <f>VLOOKUP(AA12,'C1'!$E:$W,19,FALSE)</f>
        <v>45706.665972222225</v>
      </c>
      <c r="AE12" s="95" t="str">
        <f>VLOOKUP(AA12,'C1'!$E:$W,14,FALSE)</f>
        <v>NEW</v>
      </c>
      <c r="AF12" s="165">
        <f>VLOOKUP(AA12,'C1'!$E:$W,11,FALSE)</f>
        <v>31.368500000000001</v>
      </c>
      <c r="AG12" s="656"/>
      <c r="AH12" s="513" t="s">
        <v>4260</v>
      </c>
      <c r="AI12" s="404" t="s">
        <v>2275</v>
      </c>
      <c r="AJ12" s="155" t="s">
        <v>926</v>
      </c>
      <c r="AK12" s="95" t="s">
        <v>2276</v>
      </c>
      <c r="AL12" s="885">
        <f>VLOOKUP(AI12,'C1'!$E:$W,19,FALSE)</f>
        <v>45692</v>
      </c>
      <c r="AM12">
        <f t="shared" si="1"/>
        <v>101</v>
      </c>
      <c r="AN12" s="95" t="str">
        <f>VLOOKUP(AI12,'C1'!$E:$W,14,FALSE)</f>
        <v>NEW</v>
      </c>
      <c r="AO12" s="165">
        <f>VLOOKUP(AI12,'C1'!$E:$W,11,FALSE)</f>
        <v>37.616099999999996</v>
      </c>
      <c r="AP12" s="656"/>
      <c r="AQ12" s="513" t="s">
        <v>4260</v>
      </c>
      <c r="AR12" s="868"/>
      <c r="AS12" s="870"/>
      <c r="AT12" s="869"/>
      <c r="AU12" s="886" t="e">
        <f>VLOOKUP(AR12,'C1'!$E:$W,19,FALSE)</f>
        <v>#N/A</v>
      </c>
      <c r="AV12" s="467" t="e">
        <f t="shared" si="2"/>
        <v>#N/A</v>
      </c>
      <c r="AW12" s="869" t="e">
        <f>VLOOKUP(AR12,'C1'!$E:$W,14,FALSE)</f>
        <v>#N/A</v>
      </c>
      <c r="AX12" s="887" t="e">
        <f>VLOOKUP(AR12,'C1'!$E:$W,11,FALSE)</f>
        <v>#N/A</v>
      </c>
      <c r="AY12" s="478"/>
    </row>
    <row r="13" spans="1:51" ht="15" customHeight="1" x14ac:dyDescent="0.25">
      <c r="A13" s="890">
        <v>45658</v>
      </c>
      <c r="B13" s="486" t="s">
        <v>4205</v>
      </c>
      <c r="C13" s="486" t="s">
        <v>4205</v>
      </c>
      <c r="D13" s="486" t="s">
        <v>4205</v>
      </c>
      <c r="E13" s="486" t="s">
        <v>4205</v>
      </c>
      <c r="F13" s="486" t="s">
        <v>4205</v>
      </c>
      <c r="G13" s="486" t="s">
        <v>4205</v>
      </c>
      <c r="I13" s="494">
        <v>9</v>
      </c>
      <c r="J13" s="404" t="s">
        <v>1687</v>
      </c>
      <c r="K13" s="108" t="s">
        <v>1688</v>
      </c>
      <c r="L13" s="108" t="s">
        <v>1689</v>
      </c>
      <c r="M13" s="898">
        <v>45629</v>
      </c>
      <c r="N13" s="101" t="s">
        <v>568</v>
      </c>
      <c r="O13" s="165">
        <v>44.73</v>
      </c>
      <c r="P13" s="478"/>
      <c r="Q13" s="494">
        <v>9</v>
      </c>
      <c r="R13" s="404" t="s">
        <v>3135</v>
      </c>
      <c r="S13" s="95" t="s">
        <v>3136</v>
      </c>
      <c r="T13" s="95" t="s">
        <v>3137</v>
      </c>
      <c r="U13" s="885">
        <f>VLOOKUP(R13,'C1'!$E:$W,19,FALSE)</f>
        <v>45775.665972222225</v>
      </c>
      <c r="V13">
        <f t="shared" ref="V13:V20" si="3">$D$16-U13</f>
        <v>17.334027777775191</v>
      </c>
      <c r="W13" s="95" t="str">
        <f>VLOOKUP(R13,'C1'!$E:$W,14,FALSE)</f>
        <v>MODIFICATION</v>
      </c>
      <c r="X13" s="165">
        <f>VLOOKUP(R13,'C1'!$E:$W,11,FALSE)</f>
        <v>135.69099999999995</v>
      </c>
      <c r="Y13" s="478"/>
      <c r="Z13" s="494">
        <v>9</v>
      </c>
      <c r="AA13" s="404" t="s">
        <v>2693</v>
      </c>
      <c r="AB13" s="95" t="s">
        <v>614</v>
      </c>
      <c r="AC13" s="95" t="s">
        <v>2026</v>
      </c>
      <c r="AD13" s="898">
        <f>VLOOKUP(AA13,'C1'!$E:$W,19,FALSE)</f>
        <v>45723.519444444442</v>
      </c>
      <c r="AE13" s="95" t="str">
        <f>VLOOKUP(AA13,'C1'!$E:$W,14,FALSE)</f>
        <v>NEW</v>
      </c>
      <c r="AF13" s="165">
        <f>VLOOKUP(AA13,'C1'!$E:$W,11,FALSE)</f>
        <v>72.088399999999993</v>
      </c>
      <c r="AG13" s="656"/>
      <c r="AH13" s="513" t="s">
        <v>4261</v>
      </c>
      <c r="AI13" s="404" t="s">
        <v>3039</v>
      </c>
      <c r="AJ13" s="155" t="s">
        <v>926</v>
      </c>
      <c r="AK13" s="95" t="s">
        <v>3040</v>
      </c>
      <c r="AL13" s="885">
        <f>VLOOKUP(AI13,'C1'!$E:$W,19,FALSE)</f>
        <v>45758.395138888889</v>
      </c>
      <c r="AM13">
        <f t="shared" si="1"/>
        <v>34.604861111110949</v>
      </c>
      <c r="AN13" s="95" t="str">
        <f>VLOOKUP(AI13,'C1'!$E:$W,14,FALSE)</f>
        <v>NEW</v>
      </c>
      <c r="AO13" s="165">
        <f>VLOOKUP(AI13,'C1'!$E:$W,11,FALSE)</f>
        <v>3.3294999999999995</v>
      </c>
      <c r="AP13" s="656"/>
      <c r="AQ13" s="513" t="s">
        <v>4261</v>
      </c>
      <c r="AR13" s="404"/>
      <c r="AS13" s="155"/>
      <c r="AT13" s="95"/>
      <c r="AU13" s="885" t="e">
        <f>VLOOKUP(AR13,'C1'!$E:$W,19,FALSE)</f>
        <v>#N/A</v>
      </c>
      <c r="AV13" t="e">
        <f t="shared" si="2"/>
        <v>#N/A</v>
      </c>
      <c r="AW13" s="95" t="e">
        <f>VLOOKUP(AR13,'C1'!$E:$W,14,FALSE)</f>
        <v>#N/A</v>
      </c>
      <c r="AX13" s="165" t="e">
        <f>VLOOKUP(AR13,'C1'!$E:$W,11,FALSE)</f>
        <v>#N/A</v>
      </c>
      <c r="AY13" s="478"/>
    </row>
    <row r="14" spans="1:51" ht="15" customHeight="1" x14ac:dyDescent="0.25">
      <c r="A14" s="628"/>
      <c r="B14" s="628"/>
      <c r="C14" s="628"/>
      <c r="D14" s="628"/>
      <c r="E14" s="628"/>
      <c r="F14" s="628"/>
      <c r="G14" s="628"/>
      <c r="H14" s="628"/>
      <c r="I14" s="494">
        <v>10</v>
      </c>
      <c r="J14" s="404" t="s">
        <v>985</v>
      </c>
      <c r="K14" s="108" t="s">
        <v>986</v>
      </c>
      <c r="L14" s="108" t="s">
        <v>987</v>
      </c>
      <c r="M14" s="898">
        <v>45505</v>
      </c>
      <c r="N14" s="101" t="s">
        <v>548</v>
      </c>
      <c r="O14" s="165">
        <v>53.59</v>
      </c>
      <c r="P14" s="478"/>
      <c r="Q14" s="494">
        <v>10</v>
      </c>
      <c r="R14" s="404" t="s">
        <v>2788</v>
      </c>
      <c r="S14" s="155" t="s">
        <v>2789</v>
      </c>
      <c r="T14" s="95" t="s">
        <v>2790</v>
      </c>
      <c r="U14" s="885">
        <f>VLOOKUP(R14,'C1'!$E:$W,19,FALSE)</f>
        <v>45736.634722222225</v>
      </c>
      <c r="V14">
        <f t="shared" si="3"/>
        <v>56.365277777775191</v>
      </c>
      <c r="W14" s="95" t="str">
        <f>VLOOKUP(R14,'C1'!$E:$W,14,FALSE)</f>
        <v>NEW</v>
      </c>
      <c r="X14" s="165">
        <f>VLOOKUP(R14,'C1'!$E:$W,11,FALSE)</f>
        <v>42.445499999999996</v>
      </c>
      <c r="Y14" s="478"/>
      <c r="Z14" s="494">
        <v>10</v>
      </c>
      <c r="AA14" s="404" t="s">
        <v>2670</v>
      </c>
      <c r="AB14" s="95" t="s">
        <v>2306</v>
      </c>
      <c r="AC14" s="95" t="s">
        <v>2671</v>
      </c>
      <c r="AD14" s="898">
        <f>VLOOKUP(AA14,'C1'!$E:$W,19,FALSE)</f>
        <v>45722.691666666666</v>
      </c>
      <c r="AE14" s="95" t="str">
        <f>VLOOKUP(AA14,'C1'!$E:$W,14,FALSE)</f>
        <v>MODIFICATION</v>
      </c>
      <c r="AF14" s="165">
        <f>VLOOKUP(AA14,'C1'!$E:$W,11,FALSE)</f>
        <v>89.382599999999996</v>
      </c>
      <c r="AG14" s="656"/>
      <c r="AH14" s="513" t="s">
        <v>4262</v>
      </c>
      <c r="AI14" s="404" t="s">
        <v>3108</v>
      </c>
      <c r="AJ14" s="95" t="s">
        <v>926</v>
      </c>
      <c r="AK14" s="95" t="s">
        <v>3109</v>
      </c>
      <c r="AL14" s="885">
        <f>VLOOKUP(AI14,'C1'!$E:$W,19,FALSE)</f>
        <v>45771.531944444447</v>
      </c>
      <c r="AM14">
        <f t="shared" si="1"/>
        <v>21.468055555553292</v>
      </c>
      <c r="AN14" s="95" t="str">
        <f>VLOOKUP(AI14,'C1'!$E:$W,14,FALSE)</f>
        <v>NEW</v>
      </c>
      <c r="AO14" s="165">
        <f>VLOOKUP(AI14,'C1'!$E:$W,11,FALSE)</f>
        <v>55.94</v>
      </c>
      <c r="AP14" s="656"/>
      <c r="AQ14" s="513" t="s">
        <v>4262</v>
      </c>
      <c r="AR14" s="868"/>
      <c r="AS14" s="869"/>
      <c r="AT14" s="869"/>
      <c r="AU14" s="886" t="e">
        <f>VLOOKUP(AR14,'C1'!$E:$W,19,FALSE)</f>
        <v>#N/A</v>
      </c>
      <c r="AV14" s="467" t="e">
        <f t="shared" ref="AV14:AV15" si="4">$D$16-AU14</f>
        <v>#N/A</v>
      </c>
      <c r="AW14" s="869" t="e">
        <f>VLOOKUP(AR14,'C1'!$E:$W,14,FALSE)</f>
        <v>#N/A</v>
      </c>
      <c r="AX14" s="887" t="e">
        <f>VLOOKUP(AR14,'C1'!$E:$W,11,FALSE)</f>
        <v>#N/A</v>
      </c>
      <c r="AY14" s="478"/>
    </row>
    <row r="15" spans="1:51" ht="15" customHeight="1" x14ac:dyDescent="0.25">
      <c r="A15" s="628"/>
      <c r="B15" s="1213" t="s">
        <v>4263</v>
      </c>
      <c r="C15" s="1214"/>
      <c r="D15" s="1214"/>
      <c r="E15" s="1214"/>
      <c r="F15" s="1215"/>
      <c r="G15" s="628"/>
      <c r="H15" s="628"/>
      <c r="I15" s="494">
        <v>11</v>
      </c>
      <c r="J15" s="404" t="s">
        <v>2078</v>
      </c>
      <c r="K15" s="108" t="s">
        <v>2079</v>
      </c>
      <c r="L15" s="108" t="s">
        <v>2080</v>
      </c>
      <c r="M15" s="898">
        <v>45673</v>
      </c>
      <c r="N15" s="101" t="s">
        <v>244</v>
      </c>
      <c r="O15" s="165">
        <v>152.44999999999999</v>
      </c>
      <c r="P15" s="478"/>
      <c r="Q15" s="494">
        <v>11</v>
      </c>
      <c r="R15" s="404" t="s">
        <v>1813</v>
      </c>
      <c r="S15" s="95" t="s">
        <v>1814</v>
      </c>
      <c r="T15" s="95" t="s">
        <v>1815</v>
      </c>
      <c r="U15" s="885">
        <f>VLOOKUP(R15,'C1'!$E:$W,19,FALSE)</f>
        <v>45637.710196759261</v>
      </c>
      <c r="V15">
        <f t="shared" si="3"/>
        <v>155.28980324073927</v>
      </c>
      <c r="W15" s="95" t="str">
        <f>VLOOKUP(R15,'C1'!$E:$W,14,FALSE)</f>
        <v>MODIFICATION</v>
      </c>
      <c r="X15" s="165">
        <f>VLOOKUP(R15,'C1'!$E:$W,11,FALSE)</f>
        <v>222.63659999999999</v>
      </c>
      <c r="Y15" s="478"/>
      <c r="Z15" s="494">
        <v>11</v>
      </c>
      <c r="AA15" s="404" t="s">
        <v>2723</v>
      </c>
      <c r="AB15" s="95" t="s">
        <v>2724</v>
      </c>
      <c r="AC15" s="95" t="s">
        <v>2725</v>
      </c>
      <c r="AD15" s="898">
        <f>VLOOKUP(AA15,'C1'!$E:$W,19,FALSE)</f>
        <v>45726.711111111108</v>
      </c>
      <c r="AE15" s="95" t="str">
        <f>VLOOKUP(AA15,'C1'!$E:$W,14,FALSE)</f>
        <v>NEW</v>
      </c>
      <c r="AF15" s="165">
        <f>VLOOKUP(AA15,'C1'!$E:$W,11,FALSE)</f>
        <v>36.509499999999996</v>
      </c>
      <c r="AG15" s="656"/>
      <c r="AH15" s="513" t="s">
        <v>4264</v>
      </c>
      <c r="AI15" s="952" t="s">
        <v>2008</v>
      </c>
      <c r="AJ15" s="953" t="s">
        <v>2009</v>
      </c>
      <c r="AK15" s="869" t="s">
        <v>1007</v>
      </c>
      <c r="AL15" s="886">
        <f>VLOOKUP(AI15,'C1'!$E:$W,19,FALSE)</f>
        <v>45666.754166666666</v>
      </c>
      <c r="AM15" s="467">
        <f t="shared" si="1"/>
        <v>126.2458333333343</v>
      </c>
      <c r="AN15" s="869" t="str">
        <f>VLOOKUP(AI15,'C1'!$E:$W,14,FALSE)</f>
        <v>NEW</v>
      </c>
      <c r="AO15" s="887">
        <f>VLOOKUP(AI15,'C1'!$E:$W,11,FALSE)</f>
        <v>50.197499999999998</v>
      </c>
      <c r="AP15" s="656"/>
      <c r="AQ15" s="513" t="s">
        <v>4264</v>
      </c>
      <c r="AR15" s="868"/>
      <c r="AS15" s="869"/>
      <c r="AT15" s="869"/>
      <c r="AU15" s="886" t="e">
        <f>VLOOKUP(AR15,'C1'!$E:$W,19,FALSE)</f>
        <v>#N/A</v>
      </c>
      <c r="AV15" s="467" t="e">
        <f t="shared" si="4"/>
        <v>#N/A</v>
      </c>
      <c r="AW15" s="869" t="e">
        <f>VLOOKUP(AR15,'C1'!$E:$W,14,FALSE)</f>
        <v>#N/A</v>
      </c>
      <c r="AX15" s="887" t="e">
        <f>VLOOKUP(AR15,'C1'!$E:$W,11,FALSE)</f>
        <v>#N/A</v>
      </c>
      <c r="AY15" s="478"/>
    </row>
    <row r="16" spans="1:51" ht="15" customHeight="1" x14ac:dyDescent="0.25">
      <c r="A16" s="628"/>
      <c r="B16" s="628" t="s">
        <v>4265</v>
      </c>
      <c r="C16" s="628"/>
      <c r="D16" s="867">
        <v>45793</v>
      </c>
      <c r="E16" s="862"/>
      <c r="F16" s="862"/>
      <c r="G16" s="628"/>
      <c r="H16" s="628"/>
      <c r="I16" s="494">
        <v>12</v>
      </c>
      <c r="J16" s="404"/>
      <c r="K16" s="108"/>
      <c r="L16" s="108"/>
      <c r="M16" s="898"/>
      <c r="N16" s="101"/>
      <c r="O16" s="165"/>
      <c r="P16" s="478"/>
      <c r="Q16" s="494">
        <v>12</v>
      </c>
      <c r="R16" s="404" t="s">
        <v>1261</v>
      </c>
      <c r="S16" s="95" t="s">
        <v>1262</v>
      </c>
      <c r="T16" s="95" t="s">
        <v>1263</v>
      </c>
      <c r="U16" s="885">
        <f>VLOOKUP(R16,'C1'!$E:$W,19,FALSE)</f>
        <v>45576.655393518522</v>
      </c>
      <c r="V16">
        <f t="shared" si="3"/>
        <v>216.34460648147797</v>
      </c>
      <c r="W16" s="95" t="str">
        <f>VLOOKUP(R16,'C1'!$E:$W,14,FALSE)</f>
        <v>TERMINATION</v>
      </c>
      <c r="X16" s="165">
        <f>VLOOKUP(R16,'C1'!$E:$W,11,FALSE)</f>
        <v>8.93</v>
      </c>
      <c r="Y16" s="478"/>
      <c r="Z16" s="494">
        <v>12</v>
      </c>
      <c r="AA16" s="404" t="s">
        <v>2710</v>
      </c>
      <c r="AB16" s="95" t="s">
        <v>2711</v>
      </c>
      <c r="AC16" s="95" t="s">
        <v>2712</v>
      </c>
      <c r="AD16" s="898">
        <f>VLOOKUP(AA16,'C1'!$E:$W,19,FALSE)</f>
        <v>45726.5</v>
      </c>
      <c r="AE16" s="95" t="str">
        <f>VLOOKUP(AA16,'C1'!$E:$W,14,FALSE)</f>
        <v>MODIFICATION</v>
      </c>
      <c r="AF16" s="165">
        <f>VLOOKUP(AA16,'C1'!$E:$W,11,FALSE)</f>
        <v>151.47400000000005</v>
      </c>
      <c r="AG16" s="656"/>
      <c r="AH16" s="513" t="s">
        <v>4266</v>
      </c>
      <c r="AI16" s="404" t="s">
        <v>747</v>
      </c>
      <c r="AJ16" s="95" t="s">
        <v>748</v>
      </c>
      <c r="AK16" s="95" t="s">
        <v>749</v>
      </c>
      <c r="AL16" s="885">
        <f>VLOOKUP(AI16,'C1'!$E:$W,19,FALSE)</f>
        <v>45043</v>
      </c>
      <c r="AM16">
        <f t="shared" si="1"/>
        <v>750</v>
      </c>
      <c r="AN16" s="95" t="str">
        <f>VLOOKUP(AI16,'C1'!$E:$W,14,FALSE)</f>
        <v>MODIFICATION</v>
      </c>
      <c r="AO16" s="165">
        <f>VLOOKUP(AI16,'C1'!$E:$W,11,FALSE)</f>
        <v>64.748500000000007</v>
      </c>
      <c r="AP16" s="656"/>
      <c r="AQ16" s="513" t="s">
        <v>4266</v>
      </c>
      <c r="AR16" s="404"/>
      <c r="AS16" s="95"/>
      <c r="AT16" s="95"/>
      <c r="AU16" s="885" t="e">
        <f>VLOOKUP(AR16,'C1'!$E:$W,19,FALSE)</f>
        <v>#N/A</v>
      </c>
      <c r="AV16" t="e">
        <f t="shared" ref="AV16:AV22" si="5">$D$16-AU16</f>
        <v>#N/A</v>
      </c>
      <c r="AW16" s="95" t="e">
        <f>VLOOKUP(AR16,'C1'!$E:$W,14,FALSE)</f>
        <v>#N/A</v>
      </c>
      <c r="AX16" s="165" t="e">
        <f>VLOOKUP(AR16,'C1'!$E:$W,11,FALSE)</f>
        <v>#N/A</v>
      </c>
      <c r="AY16" s="478"/>
    </row>
    <row r="17" spans="1:51" x14ac:dyDescent="0.25">
      <c r="A17" s="628"/>
      <c r="C17" s="628"/>
      <c r="E17" s="628"/>
      <c r="F17" s="628"/>
      <c r="G17" s="628"/>
      <c r="H17" s="628"/>
      <c r="I17" s="494">
        <v>13</v>
      </c>
      <c r="J17" s="404"/>
      <c r="K17" s="108"/>
      <c r="L17" s="108"/>
      <c r="M17" s="898"/>
      <c r="N17" s="101"/>
      <c r="O17" s="165"/>
      <c r="P17" s="478"/>
      <c r="Q17" s="494">
        <v>13</v>
      </c>
      <c r="R17" s="404" t="s">
        <v>2869</v>
      </c>
      <c r="S17" s="343" t="s">
        <v>2870</v>
      </c>
      <c r="T17" s="95" t="s">
        <v>2871</v>
      </c>
      <c r="U17" s="885">
        <f>VLOOKUP(R17,'C1'!$E:$W,19,FALSE)</f>
        <v>45744</v>
      </c>
      <c r="V17">
        <f t="shared" si="3"/>
        <v>49</v>
      </c>
      <c r="W17" s="95" t="str">
        <f>VLOOKUP(R17,'C1'!$E:$W,14,FALSE)</f>
        <v>MODIFICATION</v>
      </c>
      <c r="X17" s="165">
        <f>VLOOKUP(R17,'C1'!$E:$W,11,FALSE)</f>
        <v>104.55</v>
      </c>
      <c r="Y17" s="478"/>
      <c r="Z17" s="494">
        <v>13</v>
      </c>
      <c r="AA17" s="404" t="s">
        <v>2751</v>
      </c>
      <c r="AB17" s="95" t="s">
        <v>2752</v>
      </c>
      <c r="AC17" s="95" t="s">
        <v>2753</v>
      </c>
      <c r="AD17" s="898">
        <f>VLOOKUP(AA17,'C1'!$E:$W,19,FALSE)</f>
        <v>45729.564583333333</v>
      </c>
      <c r="AE17" s="95" t="str">
        <f>VLOOKUP(AA17,'C1'!$E:$W,14,FALSE)</f>
        <v>RELOC</v>
      </c>
      <c r="AF17" s="165">
        <f>VLOOKUP(AA17,'C1'!$E:$W,11,FALSE)</f>
        <v>49.665199999999999</v>
      </c>
      <c r="AG17" s="656"/>
      <c r="AH17" s="513" t="s">
        <v>4267</v>
      </c>
      <c r="AI17" s="404" t="s">
        <v>953</v>
      </c>
      <c r="AJ17" s="95" t="s">
        <v>954</v>
      </c>
      <c r="AK17" s="95" t="s">
        <v>955</v>
      </c>
      <c r="AL17" s="885">
        <f>VLOOKUP(AI17,'C1'!$E:$W,19,FALSE)</f>
        <v>45483.689583333333</v>
      </c>
      <c r="AM17">
        <f t="shared" si="1"/>
        <v>309.31041666666715</v>
      </c>
      <c r="AN17" s="95" t="str">
        <f>VLOOKUP(AI17,'C1'!$E:$W,14,FALSE)</f>
        <v>MODIFICATION</v>
      </c>
      <c r="AO17" s="165">
        <f>VLOOKUP(AI17,'C1'!$E:$W,11,FALSE)</f>
        <v>68.463499999999996</v>
      </c>
      <c r="AP17" s="656"/>
      <c r="AQ17" s="513" t="s">
        <v>4267</v>
      </c>
      <c r="AR17" s="404"/>
      <c r="AS17" s="95"/>
      <c r="AT17" s="95"/>
      <c r="AU17" s="885" t="e">
        <f>VLOOKUP(AR17,'C1'!$E:$W,19,FALSE)</f>
        <v>#N/A</v>
      </c>
      <c r="AV17" t="e">
        <f t="shared" si="5"/>
        <v>#N/A</v>
      </c>
      <c r="AW17" s="95" t="e">
        <f>VLOOKUP(AR17,'C1'!$E:$W,14,FALSE)</f>
        <v>#N/A</v>
      </c>
      <c r="AX17" s="165" t="e">
        <f>VLOOKUP(AR17,'C1'!$E:$W,11,FALSE)</f>
        <v>#N/A</v>
      </c>
      <c r="AY17" s="478"/>
    </row>
    <row r="18" spans="1:51" ht="15.75" thickBot="1" x14ac:dyDescent="0.3">
      <c r="A18" s="628"/>
      <c r="B18" s="628"/>
      <c r="C18" s="628"/>
      <c r="D18" s="628"/>
      <c r="E18" s="628"/>
      <c r="F18" s="628"/>
      <c r="G18" s="628"/>
      <c r="H18" s="628"/>
      <c r="I18" s="494">
        <v>14</v>
      </c>
      <c r="J18" s="404"/>
      <c r="K18" s="108"/>
      <c r="L18" s="108"/>
      <c r="M18" s="898"/>
      <c r="N18" s="95"/>
      <c r="O18" s="165"/>
      <c r="P18" s="478"/>
      <c r="Q18" s="494">
        <v>14</v>
      </c>
      <c r="R18" s="404" t="s">
        <v>2874</v>
      </c>
      <c r="S18" s="343" t="s">
        <v>2875</v>
      </c>
      <c r="T18" s="95" t="s">
        <v>2876</v>
      </c>
      <c r="U18" s="885">
        <f>VLOOKUP(R18,'C1'!$E:$W,19,FALSE)</f>
        <v>45744</v>
      </c>
      <c r="V18">
        <f t="shared" si="3"/>
        <v>49</v>
      </c>
      <c r="W18" s="95" t="str">
        <f>VLOOKUP(R18,'C1'!$E:$W,14,FALSE)</f>
        <v>MODIFICATION</v>
      </c>
      <c r="X18" s="165">
        <f>VLOOKUP(R18,'C1'!$E:$W,11,FALSE)</f>
        <v>74.989999999999995</v>
      </c>
      <c r="Y18" s="478"/>
      <c r="Z18" s="494">
        <v>14</v>
      </c>
      <c r="AA18" s="404" t="s">
        <v>2737</v>
      </c>
      <c r="AB18" s="95" t="s">
        <v>2354</v>
      </c>
      <c r="AC18" s="95" t="s">
        <v>2355</v>
      </c>
      <c r="AD18" s="898">
        <f>VLOOKUP(AA18,'C1'!$E:$W,19,FALSE)</f>
        <v>45727.57916666667</v>
      </c>
      <c r="AE18" s="95" t="str">
        <f>VLOOKUP(AA18,'C1'!$E:$W,14,FALSE)</f>
        <v>MODIFICATION</v>
      </c>
      <c r="AF18" s="165">
        <f>VLOOKUP(AA18,'C1'!$E:$W,11,FALSE)</f>
        <v>57.366599999999991</v>
      </c>
      <c r="AG18" s="656"/>
      <c r="AH18" s="513" t="s">
        <v>4268</v>
      </c>
      <c r="AI18" s="404" t="s">
        <v>1097</v>
      </c>
      <c r="AJ18" s="95" t="s">
        <v>1098</v>
      </c>
      <c r="AK18" s="95" t="s">
        <v>1099</v>
      </c>
      <c r="AL18" s="885">
        <f>VLOOKUP(AI18,'C1'!$E:$W,19,FALSE)</f>
        <v>45538.404166666667</v>
      </c>
      <c r="AM18">
        <f t="shared" si="1"/>
        <v>254.59583333333285</v>
      </c>
      <c r="AN18" s="95" t="str">
        <f>VLOOKUP(AI18,'C1'!$E:$W,14,FALSE)</f>
        <v>RELOC</v>
      </c>
      <c r="AO18" s="165">
        <f>VLOOKUP(AI18,'C1'!$E:$W,11,FALSE)</f>
        <v>16.934100000000001</v>
      </c>
      <c r="AP18" s="656"/>
      <c r="AQ18" s="513" t="s">
        <v>4268</v>
      </c>
      <c r="AR18" s="404"/>
      <c r="AS18" s="95"/>
      <c r="AT18" s="95"/>
      <c r="AU18" s="885" t="e">
        <f>VLOOKUP(AR18,'C1'!$E:$W,19,FALSE)</f>
        <v>#N/A</v>
      </c>
      <c r="AV18" t="e">
        <f t="shared" si="5"/>
        <v>#N/A</v>
      </c>
      <c r="AW18" s="95" t="e">
        <f>VLOOKUP(AR18,'C1'!$E:$W,14,FALSE)</f>
        <v>#N/A</v>
      </c>
      <c r="AX18" s="165" t="e">
        <f>VLOOKUP(AR18,'C1'!$E:$W,11,FALSE)</f>
        <v>#N/A</v>
      </c>
      <c r="AY18" s="478"/>
    </row>
    <row r="19" spans="1:51" x14ac:dyDescent="0.25">
      <c r="A19" s="628"/>
      <c r="B19" s="866" t="s">
        <v>4269</v>
      </c>
      <c r="C19" s="628" t="s">
        <v>263</v>
      </c>
      <c r="D19" s="628"/>
      <c r="E19" s="863"/>
      <c r="F19" s="628"/>
      <c r="G19" s="628"/>
      <c r="H19" s="628"/>
      <c r="I19" s="494">
        <v>15</v>
      </c>
      <c r="J19" s="404"/>
      <c r="K19" s="108"/>
      <c r="L19" s="108"/>
      <c r="M19" s="898"/>
      <c r="N19" s="95"/>
      <c r="O19" s="165"/>
      <c r="P19" s="478"/>
      <c r="Q19" s="494">
        <v>15</v>
      </c>
      <c r="R19" s="404" t="s">
        <v>2908</v>
      </c>
      <c r="S19" s="95" t="s">
        <v>2909</v>
      </c>
      <c r="T19" s="95" t="s">
        <v>2905</v>
      </c>
      <c r="U19" s="885">
        <f>VLOOKUP(R19,'C1'!$E:$W,19,FALSE)</f>
        <v>45747.619444444441</v>
      </c>
      <c r="V19">
        <f t="shared" si="3"/>
        <v>45.380555555559113</v>
      </c>
      <c r="W19" s="95" t="str">
        <f>VLOOKUP(R19,'C1'!$E:$W,14,FALSE)</f>
        <v>MODIFICATION</v>
      </c>
      <c r="X19" s="165">
        <f>VLOOKUP(R19,'C1'!$E:$W,11,FALSE)</f>
        <v>123.13660000000002</v>
      </c>
      <c r="Y19" s="478"/>
      <c r="Z19" s="494">
        <v>15</v>
      </c>
      <c r="AA19" s="404" t="s">
        <v>2765</v>
      </c>
      <c r="AB19" s="95" t="s">
        <v>2766</v>
      </c>
      <c r="AC19" s="95" t="s">
        <v>2767</v>
      </c>
      <c r="AD19" s="898">
        <f>VLOOKUP(AA19,'C1'!$E:$W,19,FALSE)</f>
        <v>45730.674305555556</v>
      </c>
      <c r="AE19" s="95" t="str">
        <f>VLOOKUP(AA19,'C1'!$E:$W,14,FALSE)</f>
        <v>NEW</v>
      </c>
      <c r="AF19" s="165">
        <f>VLOOKUP(AA19,'C1'!$E:$W,11,FALSE)</f>
        <v>950.74769999999967</v>
      </c>
      <c r="AG19" s="656"/>
      <c r="AH19" s="513" t="s">
        <v>4270</v>
      </c>
      <c r="AI19" s="404" t="s">
        <v>1250</v>
      </c>
      <c r="AJ19" s="95" t="s">
        <v>1251</v>
      </c>
      <c r="AK19" s="95" t="s">
        <v>1252</v>
      </c>
      <c r="AL19" s="885">
        <f>VLOOKUP(AI19,'C1'!$E:$W,19,FALSE)</f>
        <v>45576.635706018518</v>
      </c>
      <c r="AM19">
        <f t="shared" si="1"/>
        <v>216.36429398148175</v>
      </c>
      <c r="AN19" s="95" t="str">
        <f>VLOOKUP(AI19,'C1'!$E:$W,14,FALSE)</f>
        <v>RELOC</v>
      </c>
      <c r="AO19" s="165">
        <f>VLOOKUP(AI19,'C1'!$E:$W,11,FALSE)</f>
        <v>35.965200000000003</v>
      </c>
      <c r="AP19" s="656"/>
      <c r="AQ19" s="513" t="s">
        <v>4270</v>
      </c>
      <c r="AR19" s="404"/>
      <c r="AS19" s="155"/>
      <c r="AT19" s="95"/>
      <c r="AU19" s="885" t="e">
        <f>VLOOKUP(AR19,'C1'!$E:$W,19,FALSE)</f>
        <v>#N/A</v>
      </c>
      <c r="AV19" t="e">
        <f t="shared" si="5"/>
        <v>#N/A</v>
      </c>
      <c r="AW19" s="95" t="e">
        <f>VLOOKUP(AR19,'C1'!$E:$W,14,FALSE)</f>
        <v>#N/A</v>
      </c>
      <c r="AX19" s="165" t="e">
        <f>VLOOKUP(AR19,'C1'!$E:$W,11,FALSE)</f>
        <v>#N/A</v>
      </c>
      <c r="AY19" s="478"/>
    </row>
    <row r="20" spans="1:51" x14ac:dyDescent="0.25">
      <c r="A20" s="628"/>
      <c r="B20" s="866"/>
      <c r="C20" s="628" t="s">
        <v>4208</v>
      </c>
      <c r="D20" s="628"/>
      <c r="E20" s="864"/>
      <c r="F20" s="628"/>
      <c r="G20" s="628"/>
      <c r="H20" s="628"/>
      <c r="I20" s="494">
        <v>16</v>
      </c>
      <c r="J20" s="404"/>
      <c r="K20" s="108"/>
      <c r="L20" s="108"/>
      <c r="M20" s="898"/>
      <c r="N20" s="95"/>
      <c r="O20" s="165"/>
      <c r="Q20" s="494">
        <v>16</v>
      </c>
      <c r="R20" s="404" t="s">
        <v>1215</v>
      </c>
      <c r="S20" s="95" t="s">
        <v>1216</v>
      </c>
      <c r="T20" s="95" t="s">
        <v>1217</v>
      </c>
      <c r="U20" s="885">
        <f>VLOOKUP(R20,'C1'!$E:$W,19,FALSE)</f>
        <v>45568.703726851854</v>
      </c>
      <c r="V20">
        <f t="shared" si="3"/>
        <v>224.2962731481457</v>
      </c>
      <c r="W20" s="95" t="str">
        <f>VLOOKUP(R20,'C1'!$E:$W,14,FALSE)</f>
        <v>MODIFICATION</v>
      </c>
      <c r="X20" s="165">
        <f>VLOOKUP(R20,'C1'!$E:$W,11,FALSE)</f>
        <v>91.226200000000006</v>
      </c>
      <c r="Z20" s="494">
        <v>16</v>
      </c>
      <c r="AA20" s="344" t="s">
        <v>2885</v>
      </c>
      <c r="AB20" s="343" t="s">
        <v>2886</v>
      </c>
      <c r="AC20" s="95" t="s">
        <v>2887</v>
      </c>
      <c r="AD20" s="898">
        <f>VLOOKUP(AA20,'C1'!$E:$W,19,FALSE)</f>
        <v>45744</v>
      </c>
      <c r="AE20" s="95" t="str">
        <f>VLOOKUP(AA20,'C1'!$E:$W,14,FALSE)</f>
        <v>TERMINATION</v>
      </c>
      <c r="AF20" s="165">
        <f>VLOOKUP(AA20,'C1'!$E:$W,11,FALSE)</f>
        <v>18.52</v>
      </c>
      <c r="AG20" s="656"/>
      <c r="AH20" s="513" t="s">
        <v>4271</v>
      </c>
      <c r="AI20" s="404" t="s">
        <v>2475</v>
      </c>
      <c r="AJ20" s="95" t="s">
        <v>2476</v>
      </c>
      <c r="AK20" s="95" t="s">
        <v>2477</v>
      </c>
      <c r="AL20" s="885">
        <f>VLOOKUP(AI20,'C1'!$E:$W,19,FALSE)</f>
        <v>45707.661805555559</v>
      </c>
      <c r="AM20">
        <f t="shared" si="1"/>
        <v>85.338194444440887</v>
      </c>
      <c r="AN20" s="95" t="str">
        <f>VLOOKUP(AI20,'C1'!$E:$W,14,FALSE)</f>
        <v>NEW</v>
      </c>
      <c r="AO20" s="165">
        <f>VLOOKUP(AI20,'C1'!$E:$W,11,FALSE)</f>
        <v>37.049500000000002</v>
      </c>
      <c r="AQ20" s="513" t="s">
        <v>4271</v>
      </c>
      <c r="AR20" s="404"/>
      <c r="AS20" s="95"/>
      <c r="AT20" s="95"/>
      <c r="AU20" s="885" t="e">
        <f>VLOOKUP(AR20,'C1'!$E:$W,19,FALSE)</f>
        <v>#N/A</v>
      </c>
      <c r="AV20" t="e">
        <f t="shared" si="5"/>
        <v>#N/A</v>
      </c>
      <c r="AW20" s="95" t="e">
        <f>VLOOKUP(AR20,'C1'!$E:$W,14,FALSE)</f>
        <v>#N/A</v>
      </c>
      <c r="AX20" s="165" t="e">
        <f>VLOOKUP(AR20,'C1'!$E:$W,11,FALSE)</f>
        <v>#N/A</v>
      </c>
    </row>
    <row r="21" spans="1:51" x14ac:dyDescent="0.25">
      <c r="A21" s="628"/>
      <c r="B21" s="866"/>
      <c r="C21" s="628" t="s">
        <v>242</v>
      </c>
      <c r="D21" s="628"/>
      <c r="E21" s="864"/>
      <c r="F21" s="628"/>
      <c r="G21" s="628"/>
      <c r="H21" s="628"/>
      <c r="I21" s="494">
        <v>17</v>
      </c>
      <c r="J21" s="404"/>
      <c r="K21" s="108"/>
      <c r="L21" s="108"/>
      <c r="M21" s="898"/>
      <c r="N21" s="95"/>
      <c r="O21" s="165"/>
      <c r="Q21" s="494">
        <v>17</v>
      </c>
      <c r="R21" s="404" t="s">
        <v>3270</v>
      </c>
      <c r="S21" s="95" t="s">
        <v>3271</v>
      </c>
      <c r="T21" s="95" t="s">
        <v>3272</v>
      </c>
      <c r="U21" s="885">
        <v>45792.430555555555</v>
      </c>
      <c r="W21" s="109" t="s">
        <v>244</v>
      </c>
      <c r="X21" s="165">
        <v>86.989500000000007</v>
      </c>
      <c r="AA21" s="478"/>
      <c r="AB21" s="478"/>
      <c r="AC21" s="478"/>
      <c r="AD21" s="950"/>
      <c r="AE21" s="478"/>
      <c r="AF21" s="508"/>
      <c r="AG21" s="656"/>
      <c r="AH21" s="513" t="s">
        <v>4272</v>
      </c>
      <c r="AI21" s="404" t="s">
        <v>2514</v>
      </c>
      <c r="AJ21" s="95" t="s">
        <v>2515</v>
      </c>
      <c r="AK21" s="95" t="s">
        <v>2516</v>
      </c>
      <c r="AL21" s="885">
        <f>VLOOKUP(AI21,'C1'!$E:$W,19,FALSE)</f>
        <v>45709.660416666666</v>
      </c>
      <c r="AM21">
        <f t="shared" si="1"/>
        <v>83.339583333334303</v>
      </c>
      <c r="AN21" s="95" t="str">
        <f>VLOOKUP(AI21,'C1'!$E:$W,14,FALSE)</f>
        <v>NEW</v>
      </c>
      <c r="AO21" s="165">
        <f>VLOOKUP(AI21,'C1'!$E:$W,11,FALSE)</f>
        <v>79.959500000000006</v>
      </c>
      <c r="AQ21" s="513" t="s">
        <v>4272</v>
      </c>
      <c r="AR21" s="404"/>
      <c r="AS21" s="95"/>
      <c r="AT21" s="95"/>
      <c r="AU21" s="885" t="e">
        <f>VLOOKUP(AR21,'C1'!$E:$W,19,FALSE)</f>
        <v>#N/A</v>
      </c>
      <c r="AV21" t="e">
        <f t="shared" si="5"/>
        <v>#N/A</v>
      </c>
      <c r="AW21" s="95" t="e">
        <f>VLOOKUP(AR21,'C1'!$E:$W,14,FALSE)</f>
        <v>#N/A</v>
      </c>
      <c r="AX21" s="165" t="e">
        <f>VLOOKUP(AR21,'C1'!$E:$W,11,FALSE)</f>
        <v>#N/A</v>
      </c>
    </row>
    <row r="22" spans="1:51" x14ac:dyDescent="0.25">
      <c r="A22" s="628"/>
      <c r="B22" s="866"/>
      <c r="C22" s="628" t="s">
        <v>255</v>
      </c>
      <c r="D22" s="628"/>
      <c r="E22" s="888"/>
      <c r="F22" s="628"/>
      <c r="G22" s="628"/>
      <c r="H22" s="628"/>
      <c r="I22" s="494">
        <v>18</v>
      </c>
      <c r="J22" s="404"/>
      <c r="K22" s="108"/>
      <c r="L22" s="108"/>
      <c r="M22" s="898"/>
      <c r="N22" s="95"/>
      <c r="O22" s="165"/>
      <c r="Q22" s="494">
        <v>18</v>
      </c>
      <c r="R22" s="404" t="s">
        <v>3257</v>
      </c>
      <c r="S22" s="95" t="s">
        <v>3258</v>
      </c>
      <c r="T22" s="95" t="s">
        <v>3259</v>
      </c>
      <c r="U22" s="885">
        <v>45790.543055555558</v>
      </c>
      <c r="W22" s="109" t="s">
        <v>244</v>
      </c>
      <c r="X22" s="165">
        <v>93.228700000000003</v>
      </c>
      <c r="AA22" s="412" t="s">
        <v>760</v>
      </c>
      <c r="AB22" s="931" t="s">
        <v>761</v>
      </c>
      <c r="AC22" s="931" t="s">
        <v>762</v>
      </c>
      <c r="AD22" s="932">
        <f>VLOOKUP(AA22,'C1'!$E:$W,19,FALSE)</f>
        <v>45169.518750000003</v>
      </c>
      <c r="AE22" s="931" t="str">
        <f>VLOOKUP(AA22,'C1'!$E:$W,14,FALSE)</f>
        <v>RELOC</v>
      </c>
      <c r="AF22" s="933">
        <f>VLOOKUP(AA22,'C1'!$E:$W,11,FALSE)</f>
        <v>85.584400000000002</v>
      </c>
      <c r="AG22" s="656"/>
      <c r="AH22" s="513" t="s">
        <v>4273</v>
      </c>
      <c r="AI22" s="404" t="s">
        <v>2684</v>
      </c>
      <c r="AJ22" s="95" t="s">
        <v>1045</v>
      </c>
      <c r="AK22" s="95" t="s">
        <v>715</v>
      </c>
      <c r="AL22" s="885">
        <f>VLOOKUP(AI22,'C1'!$E:$W,19,FALSE)</f>
        <v>45722.711805555555</v>
      </c>
      <c r="AM22">
        <f t="shared" si="1"/>
        <v>70.288194444445253</v>
      </c>
      <c r="AN22" s="95" t="str">
        <f>VLOOKUP(AI22,'C1'!$E:$W,14,FALSE)</f>
        <v>NEW</v>
      </c>
      <c r="AO22" s="165">
        <f>VLOOKUP(AI22,'C1'!$E:$W,11,FALSE)</f>
        <v>10.9328</v>
      </c>
      <c r="AQ22" s="513" t="s">
        <v>4273</v>
      </c>
      <c r="AR22" s="404"/>
      <c r="AS22" s="95"/>
      <c r="AT22" s="95"/>
      <c r="AU22" s="885" t="e">
        <f>VLOOKUP(AR22,'C1'!$E:$W,19,FALSE)</f>
        <v>#N/A</v>
      </c>
      <c r="AV22" t="e">
        <f t="shared" si="5"/>
        <v>#N/A</v>
      </c>
      <c r="AW22" s="95" t="e">
        <f>VLOOKUP(AR22,'C1'!$E:$W,14,FALSE)</f>
        <v>#N/A</v>
      </c>
      <c r="AX22" s="165" t="e">
        <f>VLOOKUP(AR22,'C1'!$E:$W,11,FALSE)</f>
        <v>#N/A</v>
      </c>
    </row>
    <row r="23" spans="1:51" ht="15.75" thickBot="1" x14ac:dyDescent="0.3">
      <c r="A23" s="628"/>
      <c r="B23" s="866"/>
      <c r="C23" s="628" t="s">
        <v>288</v>
      </c>
      <c r="D23" s="628"/>
      <c r="E23" s="889"/>
      <c r="F23" s="628"/>
      <c r="G23" s="628"/>
      <c r="H23" s="628"/>
      <c r="I23" s="494">
        <v>19</v>
      </c>
      <c r="J23" s="404"/>
      <c r="K23" s="108"/>
      <c r="L23" s="108"/>
      <c r="M23" s="898"/>
      <c r="N23" s="95"/>
      <c r="O23" s="165"/>
      <c r="Q23" s="494">
        <v>19</v>
      </c>
      <c r="R23" s="404" t="s">
        <v>3065</v>
      </c>
      <c r="S23" s="155" t="s">
        <v>3066</v>
      </c>
      <c r="T23" s="95" t="s">
        <v>3067</v>
      </c>
      <c r="U23" s="885">
        <v>45768.643750000003</v>
      </c>
      <c r="W23" s="109" t="s">
        <v>244</v>
      </c>
      <c r="X23" s="165">
        <v>12.213300000000002</v>
      </c>
      <c r="AG23" s="656"/>
      <c r="AH23" s="513" t="s">
        <v>4274</v>
      </c>
      <c r="AI23" s="404" t="s">
        <v>2705</v>
      </c>
      <c r="AJ23" s="95" t="s">
        <v>2706</v>
      </c>
      <c r="AK23" s="95" t="s">
        <v>2707</v>
      </c>
      <c r="AL23" s="885">
        <f>VLOOKUP(AI23,'C1'!$E:$W,19,FALSE)</f>
        <v>45723.7</v>
      </c>
      <c r="AM23">
        <f t="shared" si="1"/>
        <v>69.30000000000291</v>
      </c>
      <c r="AN23" s="95" t="str">
        <f>VLOOKUP(AI23,'C1'!$E:$W,14,FALSE)</f>
        <v>NEW</v>
      </c>
      <c r="AO23" s="165">
        <f>VLOOKUP(AI23,'C1'!$E:$W,11,FALSE)</f>
        <v>202.26939999999996</v>
      </c>
      <c r="AQ23" s="513"/>
    </row>
    <row r="24" spans="1:51" x14ac:dyDescent="0.25">
      <c r="A24" s="628"/>
      <c r="B24" s="866"/>
      <c r="C24" s="628"/>
      <c r="D24" s="628"/>
      <c r="E24" s="628"/>
      <c r="F24" s="628"/>
      <c r="G24" s="628"/>
      <c r="H24" s="628"/>
      <c r="I24" s="494">
        <v>20</v>
      </c>
      <c r="J24" s="404"/>
      <c r="K24" s="108"/>
      <c r="L24" s="108"/>
      <c r="M24" s="898"/>
      <c r="N24" s="95"/>
      <c r="O24" s="165"/>
      <c r="Q24" s="494">
        <v>20</v>
      </c>
      <c r="R24" s="404" t="s">
        <v>3142</v>
      </c>
      <c r="S24" s="95" t="s">
        <v>3143</v>
      </c>
      <c r="T24" s="95" t="s">
        <v>2157</v>
      </c>
      <c r="U24" s="885">
        <v>45775.668749999997</v>
      </c>
      <c r="W24" s="109" t="s">
        <v>244</v>
      </c>
      <c r="X24" s="165">
        <v>25.4528</v>
      </c>
      <c r="AA24" s="478"/>
      <c r="AB24" s="951"/>
      <c r="AG24" s="656"/>
      <c r="AH24" s="513" t="s">
        <v>4275</v>
      </c>
      <c r="AI24" s="404" t="s">
        <v>2811</v>
      </c>
      <c r="AJ24" s="155" t="s">
        <v>2812</v>
      </c>
      <c r="AK24" s="95" t="s">
        <v>2813</v>
      </c>
      <c r="AL24" s="885">
        <f>VLOOKUP(AI24,'C1'!$E:$W,19,FALSE)</f>
        <v>45741.654861111114</v>
      </c>
      <c r="AM24">
        <f t="shared" si="1"/>
        <v>51.34513888888614</v>
      </c>
      <c r="AN24" s="95" t="str">
        <f>VLOOKUP(AI24,'C1'!$E:$W,14,FALSE)</f>
        <v>NEW</v>
      </c>
      <c r="AO24" s="165">
        <f>VLOOKUP(AI24,'C1'!$E:$W,11,FALSE)</f>
        <v>1.73</v>
      </c>
      <c r="AQ24" s="513"/>
      <c r="AR24" s="878"/>
      <c r="AS24" s="42"/>
      <c r="AT24" s="42"/>
      <c r="AU24" s="42"/>
      <c r="AV24" s="42"/>
      <c r="AW24" s="42"/>
      <c r="AX24" s="499"/>
    </row>
    <row r="25" spans="1:51" ht="15.75" thickBot="1" x14ac:dyDescent="0.3">
      <c r="A25" s="628"/>
      <c r="B25" s="866"/>
      <c r="C25" s="628"/>
      <c r="D25" s="628"/>
      <c r="E25" s="628"/>
      <c r="F25" s="628"/>
      <c r="G25" s="628"/>
      <c r="H25" s="628"/>
      <c r="I25" s="494">
        <v>21</v>
      </c>
      <c r="J25" s="404"/>
      <c r="K25" s="108"/>
      <c r="L25" s="108"/>
      <c r="M25" s="898"/>
      <c r="N25" s="95"/>
      <c r="O25" s="165"/>
      <c r="Q25" s="494">
        <v>21</v>
      </c>
      <c r="AA25" s="478"/>
      <c r="AB25" s="951"/>
      <c r="AG25" s="656"/>
      <c r="AH25" s="513" t="s">
        <v>4276</v>
      </c>
      <c r="AI25" s="349" t="s">
        <v>2847</v>
      </c>
      <c r="AJ25" s="348" t="s">
        <v>2848</v>
      </c>
      <c r="AK25" s="95" t="s">
        <v>2849</v>
      </c>
      <c r="AL25" s="885">
        <f>VLOOKUP(AI25,'C1'!$E:$W,19,FALSE)</f>
        <v>45743</v>
      </c>
      <c r="AM25">
        <f t="shared" si="1"/>
        <v>50</v>
      </c>
      <c r="AN25" s="95" t="str">
        <f>VLOOKUP(AI25,'C1'!$E:$W,14,FALSE)</f>
        <v>NEW</v>
      </c>
      <c r="AO25" s="165">
        <f>VLOOKUP(AI25,'C1'!$E:$W,11,FALSE)</f>
        <v>127.88</v>
      </c>
      <c r="AQ25" s="513"/>
      <c r="AR25" s="879"/>
      <c r="AS25" s="42"/>
      <c r="AT25" s="42"/>
      <c r="AU25" s="42"/>
      <c r="AV25" s="42"/>
      <c r="AW25" s="42"/>
      <c r="AX25" s="499"/>
    </row>
    <row r="26" spans="1:51" x14ac:dyDescent="0.25">
      <c r="A26" s="628"/>
      <c r="B26" s="866" t="s">
        <v>4117</v>
      </c>
      <c r="C26" s="628" t="s">
        <v>263</v>
      </c>
      <c r="D26" s="628"/>
      <c r="E26" s="892"/>
      <c r="F26" s="628"/>
      <c r="G26" s="628"/>
      <c r="H26" s="628"/>
      <c r="I26" s="494">
        <v>22</v>
      </c>
      <c r="J26" s="404"/>
      <c r="K26" s="108"/>
      <c r="L26" s="108"/>
      <c r="M26" s="898"/>
      <c r="N26" s="95"/>
      <c r="O26" s="165"/>
      <c r="Q26" s="494">
        <v>22</v>
      </c>
      <c r="AG26" s="656"/>
      <c r="AH26" s="513" t="s">
        <v>4277</v>
      </c>
      <c r="AI26" s="404" t="s">
        <v>2944</v>
      </c>
      <c r="AJ26" s="95" t="s">
        <v>2945</v>
      </c>
      <c r="AK26" s="95" t="s">
        <v>2946</v>
      </c>
      <c r="AL26" s="885">
        <f>VLOOKUP(AI26,'C1'!$E:$W,19,FALSE)</f>
        <v>45749.597916666666</v>
      </c>
      <c r="AM26">
        <f t="shared" si="1"/>
        <v>43.402083333334303</v>
      </c>
      <c r="AN26" s="95" t="str">
        <f>VLOOKUP(AI26,'C1'!$E:$W,14,FALSE)</f>
        <v>NEW</v>
      </c>
      <c r="AO26" s="165">
        <f>VLOOKUP(AI26,'C1'!$E:$W,11,FALSE)</f>
        <v>43.490200000000002</v>
      </c>
      <c r="AQ26" s="513"/>
      <c r="AR26" s="880"/>
      <c r="AS26" s="873"/>
      <c r="AT26" s="873"/>
      <c r="AU26" s="873"/>
      <c r="AV26" s="873"/>
      <c r="AW26" s="873"/>
      <c r="AX26" s="499"/>
    </row>
    <row r="27" spans="1:51" x14ac:dyDescent="0.25">
      <c r="A27" s="628"/>
      <c r="B27" s="866"/>
      <c r="C27" s="628" t="s">
        <v>4208</v>
      </c>
      <c r="D27" s="628"/>
      <c r="E27" s="893">
        <f>AVERAGE(V:V)</f>
        <v>80.48649483618199</v>
      </c>
      <c r="F27" s="628"/>
      <c r="G27" s="628"/>
      <c r="H27" s="628"/>
      <c r="I27" s="494">
        <v>23</v>
      </c>
      <c r="J27" s="412" t="s">
        <v>1650</v>
      </c>
      <c r="K27" s="975" t="s">
        <v>1651</v>
      </c>
      <c r="L27" s="975" t="s">
        <v>1652</v>
      </c>
      <c r="M27" s="932">
        <v>45625</v>
      </c>
      <c r="N27" s="931" t="s">
        <v>244</v>
      </c>
      <c r="O27" s="933">
        <v>113.71</v>
      </c>
      <c r="Q27" s="494">
        <v>23</v>
      </c>
      <c r="AH27" s="513" t="s">
        <v>4278</v>
      </c>
      <c r="AI27" s="404" t="s">
        <v>2979</v>
      </c>
      <c r="AJ27" s="155" t="s">
        <v>2980</v>
      </c>
      <c r="AK27" s="95" t="s">
        <v>2975</v>
      </c>
      <c r="AL27" s="885">
        <f>VLOOKUP(AI27,'C1'!$E:$W,19,FALSE)</f>
        <v>45751.745138888888</v>
      </c>
      <c r="AM27">
        <f t="shared" si="1"/>
        <v>41.254861111112405</v>
      </c>
      <c r="AN27" s="95" t="str">
        <f>VLOOKUP(AI27,'C1'!$E:$W,14,FALSE)</f>
        <v>NEW</v>
      </c>
      <c r="AO27" s="165">
        <f>VLOOKUP(AI27,'C1'!$E:$W,11,FALSE)</f>
        <v>114.5162</v>
      </c>
      <c r="AQ27" s="513"/>
      <c r="AR27" s="880"/>
      <c r="AS27" s="873"/>
      <c r="AT27" s="873"/>
      <c r="AU27" s="873"/>
      <c r="AV27" s="873"/>
      <c r="AW27" s="873"/>
      <c r="AX27" s="499"/>
    </row>
    <row r="28" spans="1:51" x14ac:dyDescent="0.25">
      <c r="A28" s="628"/>
      <c r="B28" s="866"/>
      <c r="C28" s="628" t="s">
        <v>242</v>
      </c>
      <c r="D28" s="628"/>
      <c r="E28" s="893"/>
      <c r="F28" s="628"/>
      <c r="G28" s="628"/>
      <c r="H28" s="628"/>
      <c r="I28" s="494">
        <v>24</v>
      </c>
      <c r="J28" s="412" t="s">
        <v>3111</v>
      </c>
      <c r="K28" s="975" t="s">
        <v>3112</v>
      </c>
      <c r="L28" s="975" t="s">
        <v>3113</v>
      </c>
      <c r="M28" s="932">
        <v>45771</v>
      </c>
      <c r="N28" s="931" t="s">
        <v>244</v>
      </c>
      <c r="O28" s="933">
        <v>173.68</v>
      </c>
      <c r="Q28" s="496">
        <v>24</v>
      </c>
      <c r="AH28" s="513" t="s">
        <v>4279</v>
      </c>
      <c r="AI28" s="404" t="s">
        <v>3046</v>
      </c>
      <c r="AJ28" s="155" t="s">
        <v>3047</v>
      </c>
      <c r="AK28" s="95" t="s">
        <v>3048</v>
      </c>
      <c r="AL28" s="885">
        <f>VLOOKUP(AI28,'C1'!$E:$W,19,FALSE)</f>
        <v>45758.654166666667</v>
      </c>
      <c r="AM28">
        <f t="shared" si="1"/>
        <v>34.345833333332848</v>
      </c>
      <c r="AN28" s="95" t="str">
        <f>VLOOKUP(AI28,'C1'!$E:$W,14,FALSE)</f>
        <v>NEW</v>
      </c>
      <c r="AO28" s="165">
        <f>VLOOKUP(AI28,'C1'!$E:$W,11,FALSE)</f>
        <v>440.6819999999999</v>
      </c>
      <c r="AQ28" s="513"/>
      <c r="AR28" s="879"/>
      <c r="AS28" s="42"/>
      <c r="AT28" s="42"/>
      <c r="AU28" s="42"/>
      <c r="AV28" s="42"/>
      <c r="AW28" s="42"/>
      <c r="AX28" s="499"/>
    </row>
    <row r="29" spans="1:51" x14ac:dyDescent="0.25">
      <c r="A29" s="628"/>
      <c r="B29" s="866"/>
      <c r="C29" s="628" t="s">
        <v>255</v>
      </c>
      <c r="D29" s="628"/>
      <c r="E29" s="893">
        <f>AVERAGE(AM:AM)</f>
        <v>119.03864787581658</v>
      </c>
      <c r="F29" s="628"/>
      <c r="G29" s="628"/>
      <c r="H29" s="628"/>
      <c r="I29" s="494">
        <v>25</v>
      </c>
      <c r="J29" s="404"/>
      <c r="K29" s="108"/>
      <c r="L29" s="108"/>
      <c r="M29" s="898"/>
      <c r="N29" s="95"/>
      <c r="O29" s="165"/>
      <c r="Q29" s="494">
        <v>25</v>
      </c>
      <c r="R29" s="404"/>
      <c r="S29" s="95"/>
      <c r="T29" s="95"/>
      <c r="U29" s="885"/>
      <c r="W29" s="95"/>
      <c r="X29" s="165"/>
      <c r="AH29" s="513" t="s">
        <v>4280</v>
      </c>
      <c r="AI29" s="404" t="s">
        <v>3058</v>
      </c>
      <c r="AJ29" s="155" t="s">
        <v>3059</v>
      </c>
      <c r="AK29" s="95" t="s">
        <v>588</v>
      </c>
      <c r="AL29" s="885">
        <f>VLOOKUP(AI29,'C1'!$E:$W,19,FALSE)</f>
        <v>45762.581250000003</v>
      </c>
      <c r="AM29">
        <f t="shared" si="1"/>
        <v>30.41874999999709</v>
      </c>
      <c r="AN29" s="95" t="str">
        <f>VLOOKUP(AI29,'C1'!$E:$W,14,FALSE)</f>
        <v>NEW</v>
      </c>
      <c r="AO29" s="165">
        <f>VLOOKUP(AI29,'C1'!$E:$W,11,FALSE)</f>
        <v>103.6063</v>
      </c>
      <c r="AR29" s="878"/>
    </row>
    <row r="30" spans="1:51" ht="15.75" thickBot="1" x14ac:dyDescent="0.3">
      <c r="A30" s="628"/>
      <c r="B30" s="866"/>
      <c r="C30" s="628" t="s">
        <v>288</v>
      </c>
      <c r="D30" s="628"/>
      <c r="E30" s="894" t="e">
        <f>AVERAGE(AV:AV)</f>
        <v>#N/A</v>
      </c>
      <c r="F30" s="628"/>
      <c r="G30" s="628"/>
      <c r="H30" s="628"/>
      <c r="J30" s="404"/>
      <c r="K30" s="108"/>
      <c r="L30" s="108"/>
      <c r="M30" s="898"/>
      <c r="N30" s="95"/>
      <c r="O30" s="165"/>
      <c r="Q30" s="494">
        <v>26</v>
      </c>
      <c r="R30" s="404"/>
      <c r="S30" s="155"/>
      <c r="T30" s="95"/>
      <c r="U30" s="885"/>
      <c r="W30" s="95"/>
      <c r="X30" s="165"/>
      <c r="AH30" s="513" t="s">
        <v>4281</v>
      </c>
      <c r="AI30" s="404" t="s">
        <v>3063</v>
      </c>
      <c r="AJ30" s="155" t="s">
        <v>1134</v>
      </c>
      <c r="AK30" s="95" t="s">
        <v>3064</v>
      </c>
      <c r="AL30" s="885">
        <f>VLOOKUP(AI30,'C1'!$E:$W,19,FALSE)</f>
        <v>45768.637499999997</v>
      </c>
      <c r="AM30">
        <f t="shared" si="1"/>
        <v>24.36250000000291</v>
      </c>
      <c r="AN30" s="95" t="str">
        <f>VLOOKUP(AI30,'C1'!$E:$W,14,FALSE)</f>
        <v>NEW</v>
      </c>
      <c r="AO30" s="165">
        <f>VLOOKUP(AI30,'C1'!$E:$W,11,FALSE)</f>
        <v>11.292800000000002</v>
      </c>
      <c r="AR30" s="878"/>
    </row>
    <row r="31" spans="1:51" x14ac:dyDescent="0.25">
      <c r="A31" s="628"/>
      <c r="B31" s="866"/>
      <c r="C31" s="628"/>
      <c r="D31" s="628"/>
      <c r="E31" s="628"/>
      <c r="F31" s="628"/>
      <c r="G31" s="628"/>
      <c r="H31" s="628"/>
      <c r="J31" s="404"/>
      <c r="K31" s="108"/>
      <c r="L31" s="108"/>
      <c r="M31" s="898"/>
      <c r="N31" s="95"/>
      <c r="O31" s="165"/>
      <c r="Q31" s="494">
        <v>27</v>
      </c>
      <c r="R31" s="404"/>
      <c r="S31" s="155"/>
      <c r="T31" s="95"/>
      <c r="U31" s="885"/>
      <c r="W31" s="95"/>
      <c r="X31" s="165"/>
      <c r="AH31" s="513" t="s">
        <v>4282</v>
      </c>
      <c r="AI31" s="404" t="s">
        <v>3157</v>
      </c>
      <c r="AJ31" s="95" t="s">
        <v>3158</v>
      </c>
      <c r="AK31" s="95" t="s">
        <v>3159</v>
      </c>
      <c r="AL31" s="885">
        <f>VLOOKUP(AI31,'C1'!$E:$W,19,FALSE)</f>
        <v>45777.523611111108</v>
      </c>
      <c r="AM31">
        <f t="shared" si="1"/>
        <v>15.476388888891961</v>
      </c>
      <c r="AN31" s="95" t="str">
        <f>VLOOKUP(AI31,'C1'!$E:$W,14,FALSE)</f>
        <v>NEW</v>
      </c>
      <c r="AO31" s="165">
        <f>VLOOKUP(AI31,'C1'!$E:$W,11,FALSE)</f>
        <v>38.218499999999999</v>
      </c>
      <c r="AR31" s="878"/>
    </row>
    <row r="32" spans="1:51" ht="15.75" thickBot="1" x14ac:dyDescent="0.3">
      <c r="A32" s="628"/>
      <c r="B32" s="866"/>
      <c r="C32" s="628"/>
      <c r="D32" s="628"/>
      <c r="E32" s="628"/>
      <c r="F32" s="628"/>
      <c r="G32" s="628"/>
      <c r="H32" s="628"/>
      <c r="J32" s="404"/>
      <c r="K32" s="108"/>
      <c r="L32" s="108"/>
      <c r="M32" s="898"/>
      <c r="N32" s="95"/>
      <c r="O32" s="165"/>
      <c r="AH32" s="513" t="s">
        <v>4283</v>
      </c>
      <c r="AI32" s="404" t="s">
        <v>1596</v>
      </c>
      <c r="AJ32" s="95" t="s">
        <v>1597</v>
      </c>
      <c r="AK32" s="95" t="s">
        <v>854</v>
      </c>
      <c r="AL32" s="885">
        <f>VLOOKUP(AI32,'C1'!$E:$W,19,FALSE)</f>
        <v>45621.359467592592</v>
      </c>
      <c r="AM32">
        <f t="shared" si="1"/>
        <v>171.64053240740759</v>
      </c>
      <c r="AN32" s="95" t="str">
        <f>VLOOKUP(AI32,'C1'!$E:$W,14,FALSE)</f>
        <v>MODIFICATION</v>
      </c>
      <c r="AO32" s="165">
        <f>VLOOKUP(AI32,'C1'!$E:$W,11,FALSE)</f>
        <v>56.18</v>
      </c>
      <c r="AR32" s="878"/>
    </row>
    <row r="33" spans="1:45" x14ac:dyDescent="0.25">
      <c r="A33" s="628"/>
      <c r="B33" s="866" t="s">
        <v>4284</v>
      </c>
      <c r="C33" s="628" t="s">
        <v>263</v>
      </c>
      <c r="D33" s="628"/>
      <c r="E33" s="863"/>
      <c r="F33" s="628"/>
      <c r="G33" s="628"/>
      <c r="H33" s="628"/>
      <c r="Q33" s="494"/>
      <c r="AH33" s="513" t="s">
        <v>4285</v>
      </c>
      <c r="AI33" s="404" t="s">
        <v>1743</v>
      </c>
      <c r="AJ33" s="95" t="s">
        <v>1744</v>
      </c>
      <c r="AK33" s="95" t="s">
        <v>1745</v>
      </c>
      <c r="AL33" s="885">
        <f>VLOOKUP(AI33,'C1'!$E:$W,19,FALSE)</f>
        <v>45635.630555555559</v>
      </c>
      <c r="AM33">
        <f t="shared" si="1"/>
        <v>157.36944444444089</v>
      </c>
      <c r="AN33" s="95" t="str">
        <f>VLOOKUP(AI33,'C1'!$E:$W,14,FALSE)</f>
        <v>MODIFICATION</v>
      </c>
      <c r="AO33" s="165">
        <f>VLOOKUP(AI33,'C1'!$E:$W,11,FALSE)</f>
        <v>4.2366999999999999</v>
      </c>
      <c r="AR33" s="878"/>
    </row>
    <row r="34" spans="1:45" x14ac:dyDescent="0.25">
      <c r="A34" s="628"/>
      <c r="B34" s="628"/>
      <c r="C34" s="628" t="s">
        <v>4208</v>
      </c>
      <c r="D34" s="628"/>
      <c r="E34" s="864">
        <f>COUNTIFS(W:W,"NEW",U:U,"&lt;"&amp;A13)</f>
        <v>0</v>
      </c>
      <c r="F34" s="628"/>
      <c r="G34" s="628"/>
      <c r="H34" s="628"/>
      <c r="Q34" s="494"/>
      <c r="R34" s="954"/>
      <c r="AH34" s="513" t="s">
        <v>4286</v>
      </c>
      <c r="AI34" s="404" t="s">
        <v>1843</v>
      </c>
      <c r="AJ34" s="95" t="s">
        <v>1844</v>
      </c>
      <c r="AK34" s="95" t="s">
        <v>1845</v>
      </c>
      <c r="AL34" s="885">
        <f>VLOOKUP(AI34,'C1'!$E:$W,19,FALSE)</f>
        <v>45642</v>
      </c>
      <c r="AM34">
        <f t="shared" si="1"/>
        <v>151</v>
      </c>
      <c r="AN34" s="95" t="str">
        <f>VLOOKUP(AI34,'C1'!$E:$W,14,FALSE)</f>
        <v>MODIFICATION</v>
      </c>
      <c r="AO34" s="165">
        <f>VLOOKUP(AI34,'C1'!$E:$W,11,FALSE)</f>
        <v>193.60149999999999</v>
      </c>
      <c r="AR34" s="878"/>
      <c r="AS34" s="881"/>
    </row>
    <row r="35" spans="1:45" x14ac:dyDescent="0.25">
      <c r="A35" s="628"/>
      <c r="B35" s="628"/>
      <c r="C35" s="628" t="s">
        <v>242</v>
      </c>
      <c r="D35" s="628"/>
      <c r="E35" s="864"/>
      <c r="F35" s="628"/>
      <c r="G35" s="628"/>
      <c r="H35" s="628"/>
      <c r="R35" s="954"/>
      <c r="AH35" s="513" t="s">
        <v>4287</v>
      </c>
      <c r="AI35" s="414" t="s">
        <v>1917</v>
      </c>
      <c r="AJ35" s="322" t="s">
        <v>1918</v>
      </c>
      <c r="AK35" s="95" t="s">
        <v>1919</v>
      </c>
      <c r="AL35" s="885">
        <f>VLOOKUP(AI35,'C1'!$E:$W,19,FALSE)</f>
        <v>45659.67291666667</v>
      </c>
      <c r="AM35">
        <f t="shared" si="1"/>
        <v>133.32708333332994</v>
      </c>
      <c r="AN35" s="95" t="str">
        <f>VLOOKUP(AI35,'C1'!$E:$W,14,FALSE)</f>
        <v>TERMINATION</v>
      </c>
      <c r="AO35" s="165">
        <f>VLOOKUP(AI35,'C1'!$E:$W,11,FALSE)</f>
        <v>20.650000000000002</v>
      </c>
      <c r="AR35" s="878"/>
      <c r="AS35" s="881"/>
    </row>
    <row r="36" spans="1:45" x14ac:dyDescent="0.25">
      <c r="A36" s="628"/>
      <c r="B36" s="628"/>
      <c r="C36" s="628" t="s">
        <v>255</v>
      </c>
      <c r="D36" s="628"/>
      <c r="E36" s="864">
        <f>COUNTIFS(AN:AN,"NEW",AL:AL,"&lt;"&amp;A13)</f>
        <v>2</v>
      </c>
      <c r="F36" s="628"/>
      <c r="G36" s="628"/>
      <c r="H36" s="628"/>
      <c r="R36" s="954"/>
      <c r="AH36" s="513" t="s">
        <v>4288</v>
      </c>
      <c r="AI36" s="404" t="s">
        <v>2402</v>
      </c>
      <c r="AJ36" s="155" t="s">
        <v>2403</v>
      </c>
      <c r="AK36" s="95" t="s">
        <v>2404</v>
      </c>
      <c r="AL36" s="885">
        <f>VLOOKUP(AI36,'C1'!$E:$W,19,FALSE)</f>
        <v>45701.585416666669</v>
      </c>
      <c r="AM36">
        <f t="shared" si="1"/>
        <v>91.414583333331393</v>
      </c>
      <c r="AN36" s="95" t="str">
        <f>VLOOKUP(AI36,'C1'!$E:$W,14,FALSE)</f>
        <v>RELOC</v>
      </c>
      <c r="AO36" s="165">
        <f>VLOOKUP(AI36,'C1'!$E:$W,11,FALSE)</f>
        <v>52.976099999999995</v>
      </c>
      <c r="AS36" s="881"/>
    </row>
    <row r="37" spans="1:45" ht="15.75" thickBot="1" x14ac:dyDescent="0.3">
      <c r="A37" s="628"/>
      <c r="B37" s="628"/>
      <c r="C37" s="628" t="s">
        <v>288</v>
      </c>
      <c r="D37" s="628"/>
      <c r="E37" s="865">
        <f>COUNTIFS(AW:AW,"NEW",AU:AU,"&lt;"&amp;A13)</f>
        <v>0</v>
      </c>
      <c r="F37" s="628"/>
      <c r="G37" s="628"/>
      <c r="H37" s="628"/>
      <c r="R37" s="954"/>
      <c r="AH37" s="513" t="s">
        <v>4289</v>
      </c>
      <c r="AI37" s="404" t="s">
        <v>2687</v>
      </c>
      <c r="AJ37" s="95" t="s">
        <v>1045</v>
      </c>
      <c r="AK37" s="95" t="s">
        <v>2688</v>
      </c>
      <c r="AL37" s="885">
        <f>VLOOKUP(AI37,'C1'!$E:$W,19,FALSE)</f>
        <v>45722.711805555555</v>
      </c>
      <c r="AM37">
        <f t="shared" si="1"/>
        <v>70.288194444445253</v>
      </c>
      <c r="AN37" s="95" t="str">
        <f>VLOOKUP(AI37,'C1'!$E:$W,14,FALSE)</f>
        <v>MODIFICATION</v>
      </c>
      <c r="AO37" s="165">
        <f>VLOOKUP(AI37,'C1'!$E:$W,11,FALSE)</f>
        <v>10.4428</v>
      </c>
    </row>
    <row r="38" spans="1:45" x14ac:dyDescent="0.25">
      <c r="A38" s="628"/>
      <c r="B38" s="628"/>
      <c r="C38" s="628"/>
      <c r="D38" s="628"/>
      <c r="E38" s="628"/>
      <c r="F38" s="628"/>
      <c r="G38" s="628"/>
      <c r="H38" s="628"/>
      <c r="R38" s="954"/>
      <c r="AH38" s="513" t="s">
        <v>4290</v>
      </c>
      <c r="AI38" s="344" t="s">
        <v>2864</v>
      </c>
      <c r="AJ38" s="343" t="s">
        <v>2865</v>
      </c>
      <c r="AK38" s="95" t="s">
        <v>2866</v>
      </c>
      <c r="AL38" s="885">
        <f>VLOOKUP(AI38,'C1'!$E:$W,19,FALSE)</f>
        <v>45744</v>
      </c>
      <c r="AM38">
        <f t="shared" si="1"/>
        <v>49</v>
      </c>
      <c r="AN38" s="95" t="str">
        <f>VLOOKUP(AI38,'C1'!$E:$W,14,FALSE)</f>
        <v>TERMINATION</v>
      </c>
      <c r="AO38" s="165">
        <f>VLOOKUP(AI38,'C1'!$E:$W,11,FALSE)</f>
        <v>89.25</v>
      </c>
    </row>
    <row r="39" spans="1:45" ht="15.75" thickBot="1" x14ac:dyDescent="0.3">
      <c r="A39" s="628"/>
      <c r="B39" s="628"/>
      <c r="C39" s="628"/>
      <c r="D39" s="628"/>
      <c r="E39" s="628"/>
      <c r="F39" s="628"/>
      <c r="G39" s="628"/>
      <c r="H39" s="628"/>
      <c r="R39" s="954"/>
      <c r="AH39" s="513"/>
      <c r="AI39" s="954"/>
      <c r="AJ39" s="955"/>
      <c r="AK39" s="956"/>
      <c r="AL39" s="957"/>
      <c r="AN39" s="956"/>
      <c r="AO39" s="958"/>
    </row>
    <row r="40" spans="1:45" x14ac:dyDescent="0.25">
      <c r="A40" s="628"/>
      <c r="B40" s="866" t="s">
        <v>4081</v>
      </c>
      <c r="C40" s="628" t="s">
        <v>263</v>
      </c>
      <c r="D40" s="628"/>
      <c r="E40" s="863">
        <f>COUNTIFS(N:N,"NEW")</f>
        <v>6</v>
      </c>
      <c r="F40" s="628"/>
      <c r="G40" s="628"/>
      <c r="H40" s="628"/>
      <c r="R40" s="954"/>
      <c r="AH40" s="513"/>
      <c r="AI40" s="954"/>
      <c r="AJ40" s="956"/>
      <c r="AK40" s="956"/>
      <c r="AL40" s="957"/>
      <c r="AN40" s="956"/>
      <c r="AO40" s="958"/>
    </row>
    <row r="41" spans="1:45" x14ac:dyDescent="0.25">
      <c r="A41" s="628"/>
      <c r="B41" s="628"/>
      <c r="C41" s="628" t="s">
        <v>4208</v>
      </c>
      <c r="D41" s="628"/>
      <c r="E41" s="864">
        <f>COUNTIFS(W:W,"NEW")</f>
        <v>13</v>
      </c>
      <c r="F41" s="628"/>
      <c r="G41" s="628"/>
      <c r="H41" s="628"/>
      <c r="R41" s="954"/>
      <c r="AH41" s="513"/>
      <c r="AI41" s="959"/>
      <c r="AJ41" s="960"/>
      <c r="AK41" s="956"/>
      <c r="AL41" s="957"/>
      <c r="AN41" s="956"/>
      <c r="AO41" s="958"/>
    </row>
    <row r="42" spans="1:45" x14ac:dyDescent="0.25">
      <c r="A42" s="628"/>
      <c r="B42" s="628"/>
      <c r="C42" s="628" t="s">
        <v>242</v>
      </c>
      <c r="D42" s="628"/>
      <c r="E42" s="864">
        <f>COUNTIFS(AE:AE,"NEW")</f>
        <v>6</v>
      </c>
      <c r="F42" s="628"/>
      <c r="G42" s="628"/>
      <c r="H42" s="628"/>
      <c r="R42" s="954"/>
      <c r="AH42" s="513"/>
    </row>
    <row r="43" spans="1:45" x14ac:dyDescent="0.25">
      <c r="A43" s="628"/>
      <c r="B43" s="628"/>
      <c r="C43" s="628" t="s">
        <v>255</v>
      </c>
      <c r="D43" s="628"/>
      <c r="E43" s="864">
        <f>COUNTIFS(AN:AN,"NEW")</f>
        <v>22</v>
      </c>
      <c r="F43" s="628"/>
      <c r="G43" s="628"/>
      <c r="H43" s="628"/>
      <c r="R43" s="954"/>
      <c r="AH43" s="883"/>
    </row>
    <row r="44" spans="1:45" ht="15.75" thickBot="1" x14ac:dyDescent="0.3">
      <c r="A44" s="628"/>
      <c r="B44" s="628"/>
      <c r="C44" s="628" t="s">
        <v>288</v>
      </c>
      <c r="D44" s="628"/>
      <c r="E44" s="865">
        <f>COUNTIFS(AW:AW,"NEW")</f>
        <v>0</v>
      </c>
      <c r="F44" s="628"/>
      <c r="G44" s="628"/>
      <c r="H44" s="628"/>
      <c r="R44" s="954"/>
      <c r="AH44" s="883"/>
      <c r="AI44" s="878"/>
      <c r="AJ44" s="882"/>
      <c r="AK44" s="42"/>
      <c r="AL44" s="42"/>
      <c r="AM44" s="42"/>
      <c r="AN44" s="42"/>
      <c r="AO44" s="506"/>
    </row>
    <row r="45" spans="1:45" x14ac:dyDescent="0.25">
      <c r="A45" s="628"/>
      <c r="B45" s="628"/>
      <c r="C45" s="628"/>
      <c r="D45" s="628"/>
      <c r="E45" s="628"/>
      <c r="F45" s="628"/>
      <c r="G45" s="628"/>
      <c r="H45" s="628"/>
      <c r="R45" s="954"/>
      <c r="AH45" s="883"/>
      <c r="AI45" s="878"/>
      <c r="AJ45" s="882"/>
      <c r="AK45" s="42"/>
      <c r="AL45" s="42"/>
      <c r="AM45" s="42"/>
      <c r="AN45" s="42"/>
      <c r="AO45" s="506"/>
    </row>
    <row r="46" spans="1:45" x14ac:dyDescent="0.25">
      <c r="R46" s="954"/>
      <c r="AH46" s="883"/>
      <c r="AI46" s="878"/>
      <c r="AJ46" s="882"/>
      <c r="AK46" s="42"/>
      <c r="AL46" s="42"/>
      <c r="AM46" s="42"/>
      <c r="AN46" s="42"/>
      <c r="AO46" s="506"/>
    </row>
    <row r="47" spans="1:45" x14ac:dyDescent="0.25">
      <c r="R47" s="954"/>
      <c r="AH47" s="883"/>
      <c r="AI47" s="878"/>
      <c r="AJ47" s="882"/>
      <c r="AK47" s="42"/>
      <c r="AL47" s="42"/>
      <c r="AM47" s="42"/>
      <c r="AN47" s="42"/>
      <c r="AO47" s="506"/>
    </row>
    <row r="48" spans="1:45" x14ac:dyDescent="0.25">
      <c r="AH48" s="883"/>
      <c r="AI48" s="878"/>
      <c r="AJ48" s="882"/>
      <c r="AK48" s="42"/>
      <c r="AL48" s="42"/>
      <c r="AM48" s="42"/>
      <c r="AN48" s="42"/>
      <c r="AO48" s="506"/>
    </row>
    <row r="49" spans="32:41" x14ac:dyDescent="0.25">
      <c r="AH49" s="883"/>
      <c r="AI49" s="878"/>
      <c r="AJ49" s="882"/>
      <c r="AK49" s="42"/>
      <c r="AL49" s="42"/>
      <c r="AM49" s="42"/>
      <c r="AN49" s="42"/>
      <c r="AO49" s="506"/>
    </row>
    <row r="50" spans="32:41" x14ac:dyDescent="0.25">
      <c r="AH50" s="883"/>
      <c r="AI50" s="878"/>
      <c r="AJ50" s="882"/>
      <c r="AK50" s="42"/>
      <c r="AL50" s="42"/>
      <c r="AM50" s="42"/>
      <c r="AN50" s="42"/>
      <c r="AO50" s="506"/>
    </row>
    <row r="51" spans="32:41" x14ac:dyDescent="0.25">
      <c r="AH51" s="883"/>
      <c r="AI51" s="878"/>
      <c r="AJ51" s="882"/>
      <c r="AK51" s="42"/>
      <c r="AL51" s="42"/>
      <c r="AM51" s="42"/>
      <c r="AN51" s="42"/>
      <c r="AO51" s="506"/>
    </row>
    <row r="52" spans="32:41" x14ac:dyDescent="0.25">
      <c r="AH52" s="883"/>
      <c r="AI52" s="878"/>
      <c r="AJ52" s="42"/>
      <c r="AK52" s="42"/>
      <c r="AL52" s="42"/>
      <c r="AM52" s="42"/>
      <c r="AN52" s="42"/>
      <c r="AO52" s="506"/>
    </row>
    <row r="53" spans="32:41" x14ac:dyDescent="0.25">
      <c r="AH53" s="883"/>
      <c r="AI53" s="878"/>
      <c r="AJ53" s="42"/>
      <c r="AK53" s="42"/>
      <c r="AL53" s="42"/>
      <c r="AM53" s="42"/>
      <c r="AN53" s="42"/>
      <c r="AO53" s="506"/>
    </row>
    <row r="54" spans="32:41" x14ac:dyDescent="0.25">
      <c r="AH54" s="876"/>
    </row>
    <row r="55" spans="32:41" x14ac:dyDescent="0.25">
      <c r="AH55" s="876"/>
    </row>
    <row r="56" spans="32:41" x14ac:dyDescent="0.25">
      <c r="AH56" s="876"/>
    </row>
    <row r="57" spans="32:41" x14ac:dyDescent="0.25">
      <c r="AH57" s="876"/>
    </row>
    <row r="58" spans="32:41" x14ac:dyDescent="0.25">
      <c r="AH58" s="876"/>
    </row>
    <row r="59" spans="32:41" x14ac:dyDescent="0.25">
      <c r="AF59" s="877"/>
      <c r="AH59" s="876"/>
    </row>
    <row r="60" spans="32:41" x14ac:dyDescent="0.25">
      <c r="AF60" s="877"/>
      <c r="AH60" s="876"/>
    </row>
    <row r="61" spans="32:41" x14ac:dyDescent="0.25">
      <c r="AF61" s="877"/>
      <c r="AH61" s="876"/>
    </row>
    <row r="62" spans="32:41" x14ac:dyDescent="0.25">
      <c r="AF62" s="877"/>
      <c r="AH62" s="876"/>
    </row>
    <row r="63" spans="32:41" x14ac:dyDescent="0.25">
      <c r="AF63" s="877"/>
      <c r="AH63" s="876"/>
    </row>
    <row r="64" spans="32:41" x14ac:dyDescent="0.25">
      <c r="AF64" s="877"/>
      <c r="AH64" s="876"/>
    </row>
    <row r="65" spans="32:34" x14ac:dyDescent="0.25">
      <c r="AF65" s="877"/>
      <c r="AH65" s="876"/>
    </row>
    <row r="66" spans="32:34" x14ac:dyDescent="0.25">
      <c r="AF66" s="877"/>
      <c r="AH66" s="876"/>
    </row>
    <row r="67" spans="32:34" x14ac:dyDescent="0.25">
      <c r="AF67" s="877"/>
      <c r="AH67" s="876"/>
    </row>
    <row r="68" spans="32:34" x14ac:dyDescent="0.25">
      <c r="AF68" s="877"/>
      <c r="AH68" s="876"/>
    </row>
    <row r="69" spans="32:34" x14ac:dyDescent="0.25">
      <c r="AF69" s="877"/>
      <c r="AH69" s="876"/>
    </row>
    <row r="70" spans="32:34" x14ac:dyDescent="0.25">
      <c r="AF70" s="877"/>
      <c r="AH70" s="876"/>
    </row>
    <row r="71" spans="32:34" x14ac:dyDescent="0.25">
      <c r="AF71" s="877"/>
      <c r="AH71" s="876"/>
    </row>
    <row r="72" spans="32:34" x14ac:dyDescent="0.25">
      <c r="AF72" s="877"/>
      <c r="AH72" s="876"/>
    </row>
    <row r="73" spans="32:34" x14ac:dyDescent="0.25">
      <c r="AF73" s="877"/>
      <c r="AH73" s="876"/>
    </row>
    <row r="74" spans="32:34" x14ac:dyDescent="0.25">
      <c r="AF74" s="877"/>
      <c r="AH74" s="876"/>
    </row>
    <row r="75" spans="32:34" x14ac:dyDescent="0.25">
      <c r="AF75" s="877"/>
      <c r="AH75" s="876"/>
    </row>
    <row r="76" spans="32:34" x14ac:dyDescent="0.25">
      <c r="AF76" s="877"/>
      <c r="AH76" s="876"/>
    </row>
    <row r="77" spans="32:34" x14ac:dyDescent="0.25">
      <c r="AF77" s="877"/>
      <c r="AH77" s="876"/>
    </row>
    <row r="78" spans="32:34" x14ac:dyDescent="0.25">
      <c r="AF78" s="877"/>
      <c r="AH78" s="876"/>
    </row>
    <row r="79" spans="32:34" x14ac:dyDescent="0.25">
      <c r="AF79" s="877"/>
      <c r="AH79" s="876"/>
    </row>
    <row r="80" spans="32:34" x14ac:dyDescent="0.25">
      <c r="AF80" s="877"/>
      <c r="AH80" s="876"/>
    </row>
    <row r="81" spans="32:34" x14ac:dyDescent="0.25">
      <c r="AF81" s="877"/>
      <c r="AH81" s="876"/>
    </row>
    <row r="82" spans="32:34" x14ac:dyDescent="0.25">
      <c r="AF82" s="877"/>
      <c r="AH82" s="876"/>
    </row>
    <row r="83" spans="32:34" x14ac:dyDescent="0.25">
      <c r="AF83" s="877"/>
      <c r="AH83" s="876"/>
    </row>
    <row r="84" spans="32:34" x14ac:dyDescent="0.25">
      <c r="AF84" s="877"/>
      <c r="AH84" s="876"/>
    </row>
    <row r="85" spans="32:34" x14ac:dyDescent="0.25">
      <c r="AF85" s="877"/>
      <c r="AH85" s="876"/>
    </row>
    <row r="86" spans="32:34" x14ac:dyDescent="0.25">
      <c r="AF86" s="877"/>
      <c r="AH86" s="876"/>
    </row>
    <row r="87" spans="32:34" x14ac:dyDescent="0.25">
      <c r="AF87" s="877"/>
      <c r="AH87" s="876"/>
    </row>
    <row r="88" spans="32:34" x14ac:dyDescent="0.25">
      <c r="AF88" s="877"/>
      <c r="AH88" s="876"/>
    </row>
    <row r="89" spans="32:34" x14ac:dyDescent="0.25">
      <c r="AF89" s="877"/>
    </row>
    <row r="90" spans="32:34" x14ac:dyDescent="0.25">
      <c r="AF90" s="877"/>
    </row>
    <row r="91" spans="32:34" x14ac:dyDescent="0.25">
      <c r="AF91" s="877"/>
    </row>
    <row r="99" spans="46:48" x14ac:dyDescent="0.25">
      <c r="AT99" s="264"/>
      <c r="AU99" s="264"/>
      <c r="AV99" s="264"/>
    </row>
  </sheetData>
  <mergeCells count="1">
    <mergeCell ref="B15:F15"/>
  </mergeCells>
  <phoneticPr fontId="48" type="noConversion"/>
  <conditionalFormatting sqref="J13:J32">
    <cfRule type="duplicateValues" dxfId="10186" priority="13955"/>
  </conditionalFormatting>
  <conditionalFormatting sqref="J13:J32">
    <cfRule type="duplicateValues" dxfId="10185" priority="13953"/>
    <cfRule type="duplicateValues" dxfId="10184" priority="13954"/>
  </conditionalFormatting>
  <conditionalFormatting sqref="J13:J32">
    <cfRule type="duplicateValues" dxfId="10183" priority="13947"/>
    <cfRule type="duplicateValues" dxfId="10182" priority="13948"/>
    <cfRule type="duplicateValues" dxfId="10181" priority="13949"/>
    <cfRule type="duplicateValues" dxfId="10180" priority="13950"/>
    <cfRule type="duplicateValues" dxfId="10179" priority="13951"/>
    <cfRule type="duplicateValues" dxfId="10178" priority="13952"/>
  </conditionalFormatting>
  <conditionalFormatting sqref="J13:J32">
    <cfRule type="duplicateValues" dxfId="10177" priority="13942"/>
    <cfRule type="duplicateValues" dxfId="10176" priority="13943"/>
    <cfRule type="duplicateValues" dxfId="10175" priority="13944"/>
    <cfRule type="duplicateValues" dxfId="10174" priority="13945"/>
    <cfRule type="duplicateValues" dxfId="10173" priority="13946"/>
  </conditionalFormatting>
  <conditionalFormatting sqref="J13:J32">
    <cfRule type="duplicateValues" dxfId="10172" priority="13962"/>
    <cfRule type="duplicateValues" dxfId="10171" priority="13963"/>
    <cfRule type="duplicateValues" dxfId="10170" priority="13964"/>
    <cfRule type="duplicateValues" dxfId="10169" priority="13965"/>
    <cfRule type="duplicateValues" dxfId="10168" priority="13966"/>
    <cfRule type="duplicateValues" dxfId="10167" priority="13967"/>
    <cfRule type="duplicateValues" dxfId="10166" priority="13968"/>
    <cfRule type="duplicateValues" dxfId="10165" priority="13969"/>
    <cfRule type="duplicateValues" dxfId="10164" priority="13970"/>
    <cfRule type="duplicateValues" dxfId="10163" priority="13971"/>
    <cfRule type="duplicateValues" dxfId="10162" priority="13972"/>
    <cfRule type="duplicateValues" dxfId="10161" priority="13973"/>
    <cfRule type="duplicateValues" dxfId="10160" priority="13974"/>
    <cfRule type="duplicateValues" dxfId="10159" priority="13975"/>
    <cfRule type="duplicateValues" dxfId="10158" priority="13976"/>
    <cfRule type="duplicateValues" dxfId="10157" priority="13977"/>
    <cfRule type="duplicateValues" dxfId="10156" priority="13978"/>
    <cfRule type="duplicateValues" dxfId="10155" priority="13979"/>
    <cfRule type="duplicateValues" dxfId="10154" priority="13980"/>
    <cfRule type="duplicateValues" dxfId="10153" priority="13981"/>
    <cfRule type="duplicateValues" dxfId="10152" priority="13982"/>
    <cfRule type="duplicateValues" dxfId="10151" priority="13983"/>
    <cfRule type="duplicateValues" dxfId="10150" priority="13984"/>
    <cfRule type="duplicateValues" dxfId="10149" priority="13985"/>
    <cfRule type="duplicateValues" dxfId="10148" priority="13986"/>
    <cfRule type="duplicateValues" dxfId="10147" priority="13987"/>
    <cfRule type="duplicateValues" dxfId="10146" priority="13988"/>
    <cfRule type="duplicateValues" dxfId="10145" priority="13989"/>
  </conditionalFormatting>
  <conditionalFormatting sqref="AI18">
    <cfRule type="duplicateValues" dxfId="10144" priority="66929"/>
  </conditionalFormatting>
  <conditionalFormatting sqref="AR28">
    <cfRule type="duplicateValues" dxfId="10143" priority="13842"/>
  </conditionalFormatting>
  <conditionalFormatting sqref="AR28">
    <cfRule type="duplicateValues" dxfId="10142" priority="13840"/>
    <cfRule type="duplicateValues" dxfId="10141" priority="13841"/>
  </conditionalFormatting>
  <conditionalFormatting sqref="AR28">
    <cfRule type="duplicateValues" dxfId="10140" priority="13846"/>
  </conditionalFormatting>
  <conditionalFormatting sqref="AR28">
    <cfRule type="duplicateValues" dxfId="10139" priority="13847"/>
    <cfRule type="duplicateValues" dxfId="10138" priority="13848"/>
  </conditionalFormatting>
  <conditionalFormatting sqref="AR28">
    <cfRule type="duplicateValues" dxfId="10137" priority="13844"/>
  </conditionalFormatting>
  <conditionalFormatting sqref="AR28">
    <cfRule type="duplicateValues" dxfId="10136" priority="13845"/>
  </conditionalFormatting>
  <conditionalFormatting sqref="AR28">
    <cfRule type="duplicateValues" dxfId="10135" priority="13843"/>
  </conditionalFormatting>
  <conditionalFormatting sqref="AR28">
    <cfRule type="duplicateValues" dxfId="10134" priority="13834"/>
    <cfRule type="duplicateValues" dxfId="10133" priority="13835"/>
    <cfRule type="duplicateValues" dxfId="10132" priority="13836"/>
    <cfRule type="duplicateValues" dxfId="10131" priority="13837"/>
    <cfRule type="duplicateValues" dxfId="10130" priority="13838"/>
    <cfRule type="duplicateValues" dxfId="10129" priority="13839"/>
  </conditionalFormatting>
  <conditionalFormatting sqref="AR28">
    <cfRule type="duplicateValues" dxfId="10128" priority="13829"/>
    <cfRule type="duplicateValues" dxfId="10127" priority="13830"/>
    <cfRule type="duplicateValues" dxfId="10126" priority="13831"/>
    <cfRule type="duplicateValues" dxfId="10125" priority="13832"/>
    <cfRule type="duplicateValues" dxfId="10124" priority="13833"/>
  </conditionalFormatting>
  <conditionalFormatting sqref="AR28">
    <cfRule type="duplicateValues" dxfId="10123" priority="13849"/>
    <cfRule type="duplicateValues" dxfId="10122" priority="13850"/>
    <cfRule type="duplicateValues" dxfId="10121" priority="13851"/>
    <cfRule type="duplicateValues" dxfId="10120" priority="13852"/>
    <cfRule type="duplicateValues" dxfId="10119" priority="13853"/>
    <cfRule type="duplicateValues" dxfId="10118" priority="13854"/>
    <cfRule type="duplicateValues" dxfId="10117" priority="13855"/>
    <cfRule type="duplicateValues" dxfId="10116" priority="13856"/>
    <cfRule type="duplicateValues" dxfId="10115" priority="13857"/>
    <cfRule type="duplicateValues" dxfId="10114" priority="13858"/>
    <cfRule type="duplicateValues" dxfId="10113" priority="13859"/>
    <cfRule type="duplicateValues" dxfId="10112" priority="13860"/>
    <cfRule type="duplicateValues" dxfId="10111" priority="13861"/>
    <cfRule type="duplicateValues" dxfId="10110" priority="13862"/>
    <cfRule type="duplicateValues" dxfId="10109" priority="13863"/>
    <cfRule type="duplicateValues" dxfId="10108" priority="13864"/>
    <cfRule type="duplicateValues" dxfId="10107" priority="13865"/>
    <cfRule type="duplicateValues" dxfId="10106" priority="13866"/>
    <cfRule type="duplicateValues" dxfId="10105" priority="13867"/>
    <cfRule type="duplicateValues" dxfId="10104" priority="13868"/>
    <cfRule type="duplicateValues" dxfId="10103" priority="13869"/>
    <cfRule type="duplicateValues" dxfId="10102" priority="13870"/>
    <cfRule type="duplicateValues" dxfId="10101" priority="13871"/>
    <cfRule type="duplicateValues" dxfId="10100" priority="13872"/>
    <cfRule type="duplicateValues" dxfId="10099" priority="13873"/>
    <cfRule type="duplicateValues" dxfId="10098" priority="13874"/>
    <cfRule type="duplicateValues" dxfId="10097" priority="13875"/>
    <cfRule type="duplicateValues" dxfId="10096" priority="13876"/>
  </conditionalFormatting>
  <conditionalFormatting sqref="AR25">
    <cfRule type="duplicateValues" dxfId="10095" priority="13556"/>
  </conditionalFormatting>
  <conditionalFormatting sqref="AR25">
    <cfRule type="duplicateValues" dxfId="10094" priority="13554"/>
    <cfRule type="duplicateValues" dxfId="10093" priority="13555"/>
  </conditionalFormatting>
  <conditionalFormatting sqref="AR25">
    <cfRule type="duplicateValues" dxfId="10092" priority="13560"/>
  </conditionalFormatting>
  <conditionalFormatting sqref="AR25">
    <cfRule type="duplicateValues" dxfId="10091" priority="13561"/>
    <cfRule type="duplicateValues" dxfId="10090" priority="13562"/>
  </conditionalFormatting>
  <conditionalFormatting sqref="AR25">
    <cfRule type="duplicateValues" dxfId="10089" priority="13558"/>
  </conditionalFormatting>
  <conditionalFormatting sqref="AR25">
    <cfRule type="duplicateValues" dxfId="10088" priority="13559"/>
  </conditionalFormatting>
  <conditionalFormatting sqref="AR25">
    <cfRule type="duplicateValues" dxfId="10087" priority="13557"/>
  </conditionalFormatting>
  <conditionalFormatting sqref="AR25">
    <cfRule type="duplicateValues" dxfId="10086" priority="13548"/>
    <cfRule type="duplicateValues" dxfId="10085" priority="13549"/>
    <cfRule type="duplicateValues" dxfId="10084" priority="13550"/>
    <cfRule type="duplicateValues" dxfId="10083" priority="13551"/>
    <cfRule type="duplicateValues" dxfId="10082" priority="13552"/>
    <cfRule type="duplicateValues" dxfId="10081" priority="13553"/>
  </conditionalFormatting>
  <conditionalFormatting sqref="AR25">
    <cfRule type="duplicateValues" dxfId="10080" priority="13543"/>
    <cfRule type="duplicateValues" dxfId="10079" priority="13544"/>
    <cfRule type="duplicateValues" dxfId="10078" priority="13545"/>
    <cfRule type="duplicateValues" dxfId="10077" priority="13546"/>
    <cfRule type="duplicateValues" dxfId="10076" priority="13547"/>
  </conditionalFormatting>
  <conditionalFormatting sqref="AR25">
    <cfRule type="duplicateValues" dxfId="10075" priority="13563"/>
    <cfRule type="duplicateValues" dxfId="10074" priority="13564"/>
    <cfRule type="duplicateValues" dxfId="10073" priority="13565"/>
    <cfRule type="duplicateValues" dxfId="10072" priority="13566"/>
    <cfRule type="duplicateValues" dxfId="10071" priority="13567"/>
    <cfRule type="duplicateValues" dxfId="10070" priority="13568"/>
    <cfRule type="duplicateValues" dxfId="10069" priority="13569"/>
    <cfRule type="duplicateValues" dxfId="10068" priority="13570"/>
    <cfRule type="duplicateValues" dxfId="10067" priority="13571"/>
    <cfRule type="duplicateValues" dxfId="10066" priority="13572"/>
    <cfRule type="duplicateValues" dxfId="10065" priority="13573"/>
    <cfRule type="duplicateValues" dxfId="10064" priority="13574"/>
    <cfRule type="duplicateValues" dxfId="10063" priority="13575"/>
    <cfRule type="duplicateValues" dxfId="10062" priority="13576"/>
    <cfRule type="duplicateValues" dxfId="10061" priority="13577"/>
    <cfRule type="duplicateValues" dxfId="10060" priority="13578"/>
    <cfRule type="duplicateValues" dxfId="10059" priority="13579"/>
    <cfRule type="duplicateValues" dxfId="10058" priority="13580"/>
    <cfRule type="duplicateValues" dxfId="10057" priority="13581"/>
    <cfRule type="duplicateValues" dxfId="10056" priority="13582"/>
    <cfRule type="duplicateValues" dxfId="10055" priority="13583"/>
    <cfRule type="duplicateValues" dxfId="10054" priority="13584"/>
    <cfRule type="duplicateValues" dxfId="10053" priority="13585"/>
    <cfRule type="duplicateValues" dxfId="10052" priority="13586"/>
    <cfRule type="duplicateValues" dxfId="10051" priority="13587"/>
    <cfRule type="duplicateValues" dxfId="10050" priority="13588"/>
    <cfRule type="duplicateValues" dxfId="10049" priority="13589"/>
    <cfRule type="duplicateValues" dxfId="10048" priority="13590"/>
  </conditionalFormatting>
  <conditionalFormatting sqref="AI16:AI18">
    <cfRule type="duplicateValues" dxfId="10047" priority="66930"/>
  </conditionalFormatting>
  <conditionalFormatting sqref="AI16:AI18">
    <cfRule type="duplicateValues" dxfId="10046" priority="66934"/>
    <cfRule type="duplicateValues" dxfId="10045" priority="66935"/>
  </conditionalFormatting>
  <conditionalFormatting sqref="AI16:AI18">
    <cfRule type="duplicateValues" dxfId="10044" priority="66942"/>
    <cfRule type="duplicateValues" dxfId="10043" priority="66943"/>
    <cfRule type="duplicateValues" dxfId="10042" priority="66944"/>
    <cfRule type="duplicateValues" dxfId="10041" priority="66945"/>
    <cfRule type="duplicateValues" dxfId="10040" priority="66946"/>
    <cfRule type="duplicateValues" dxfId="10039" priority="66947"/>
  </conditionalFormatting>
  <conditionalFormatting sqref="AI16:AI18">
    <cfRule type="duplicateValues" dxfId="10038" priority="66966"/>
    <cfRule type="duplicateValues" dxfId="10037" priority="66967"/>
    <cfRule type="duplicateValues" dxfId="10036" priority="66968"/>
    <cfRule type="duplicateValues" dxfId="10035" priority="66969"/>
    <cfRule type="duplicateValues" dxfId="10034" priority="66970"/>
  </conditionalFormatting>
  <conditionalFormatting sqref="AI16:AI18">
    <cfRule type="duplicateValues" dxfId="10033" priority="66986"/>
    <cfRule type="duplicateValues" dxfId="10032" priority="66987"/>
    <cfRule type="duplicateValues" dxfId="10031" priority="66988"/>
    <cfRule type="duplicateValues" dxfId="10030" priority="66989"/>
    <cfRule type="duplicateValues" dxfId="10029" priority="66990"/>
    <cfRule type="duplicateValues" dxfId="10028" priority="66991"/>
    <cfRule type="duplicateValues" dxfId="10027" priority="66992"/>
    <cfRule type="duplicateValues" dxfId="10026" priority="66993"/>
    <cfRule type="duplicateValues" dxfId="10025" priority="66994"/>
    <cfRule type="duplicateValues" dxfId="10024" priority="66995"/>
    <cfRule type="duplicateValues" dxfId="10023" priority="66996"/>
    <cfRule type="duplicateValues" dxfId="10022" priority="66997"/>
    <cfRule type="duplicateValues" dxfId="10021" priority="66998"/>
    <cfRule type="duplicateValues" dxfId="10020" priority="66999"/>
    <cfRule type="duplicateValues" dxfId="10019" priority="67000"/>
    <cfRule type="duplicateValues" dxfId="10018" priority="67001"/>
    <cfRule type="duplicateValues" dxfId="10017" priority="67002"/>
    <cfRule type="duplicateValues" dxfId="10016" priority="67003"/>
    <cfRule type="duplicateValues" dxfId="10015" priority="67004"/>
    <cfRule type="duplicateValues" dxfId="10014" priority="67005"/>
    <cfRule type="duplicateValues" dxfId="10013" priority="67006"/>
    <cfRule type="duplicateValues" dxfId="10012" priority="67007"/>
    <cfRule type="duplicateValues" dxfId="10011" priority="67008"/>
    <cfRule type="duplicateValues" dxfId="10010" priority="67009"/>
    <cfRule type="duplicateValues" dxfId="10009" priority="67010"/>
    <cfRule type="duplicateValues" dxfId="10008" priority="67011"/>
    <cfRule type="duplicateValues" dxfId="10007" priority="67012"/>
    <cfRule type="duplicateValues" dxfId="10006" priority="67013"/>
  </conditionalFormatting>
  <conditionalFormatting sqref="AI21:AI22">
    <cfRule type="duplicateValues" dxfId="10005" priority="67014"/>
  </conditionalFormatting>
  <conditionalFormatting sqref="AI21:AI22">
    <cfRule type="duplicateValues" dxfId="10004" priority="67017"/>
    <cfRule type="duplicateValues" dxfId="10003" priority="67018"/>
  </conditionalFormatting>
  <conditionalFormatting sqref="AI21:AI22">
    <cfRule type="duplicateValues" dxfId="10002" priority="67023"/>
    <cfRule type="duplicateValues" dxfId="10001" priority="67024"/>
    <cfRule type="duplicateValues" dxfId="10000" priority="67025"/>
    <cfRule type="duplicateValues" dxfId="9999" priority="67026"/>
    <cfRule type="duplicateValues" dxfId="9998" priority="67027"/>
    <cfRule type="duplicateValues" dxfId="9997" priority="67028"/>
  </conditionalFormatting>
  <conditionalFormatting sqref="AI21:AI22">
    <cfRule type="duplicateValues" dxfId="9996" priority="67041"/>
    <cfRule type="duplicateValues" dxfId="9995" priority="67042"/>
    <cfRule type="duplicateValues" dxfId="9994" priority="67043"/>
    <cfRule type="duplicateValues" dxfId="9993" priority="67044"/>
    <cfRule type="duplicateValues" dxfId="9992" priority="67045"/>
  </conditionalFormatting>
  <conditionalFormatting sqref="AI21:AI22">
    <cfRule type="duplicateValues" dxfId="9991" priority="67056"/>
    <cfRule type="duplicateValues" dxfId="9990" priority="67057"/>
    <cfRule type="duplicateValues" dxfId="9989" priority="67058"/>
    <cfRule type="duplicateValues" dxfId="9988" priority="67059"/>
    <cfRule type="duplicateValues" dxfId="9987" priority="67060"/>
    <cfRule type="duplicateValues" dxfId="9986" priority="67061"/>
    <cfRule type="duplicateValues" dxfId="9985" priority="67062"/>
    <cfRule type="duplicateValues" dxfId="9984" priority="67063"/>
    <cfRule type="duplicateValues" dxfId="9983" priority="67064"/>
    <cfRule type="duplicateValues" dxfId="9982" priority="67065"/>
    <cfRule type="duplicateValues" dxfId="9981" priority="67066"/>
    <cfRule type="duplicateValues" dxfId="9980" priority="67067"/>
    <cfRule type="duplicateValues" dxfId="9979" priority="67068"/>
    <cfRule type="duplicateValues" dxfId="9978" priority="67069"/>
    <cfRule type="duplicateValues" dxfId="9977" priority="67070"/>
    <cfRule type="duplicateValues" dxfId="9976" priority="67071"/>
    <cfRule type="duplicateValues" dxfId="9975" priority="67072"/>
    <cfRule type="duplicateValues" dxfId="9974" priority="67073"/>
    <cfRule type="duplicateValues" dxfId="9973" priority="67074"/>
    <cfRule type="duplicateValues" dxfId="9972" priority="67075"/>
    <cfRule type="duplicateValues" dxfId="9971" priority="67076"/>
    <cfRule type="duplicateValues" dxfId="9970" priority="67077"/>
    <cfRule type="duplicateValues" dxfId="9969" priority="67078"/>
    <cfRule type="duplicateValues" dxfId="9968" priority="67079"/>
    <cfRule type="duplicateValues" dxfId="9967" priority="67080"/>
    <cfRule type="duplicateValues" dxfId="9966" priority="67081"/>
    <cfRule type="duplicateValues" dxfId="9965" priority="67082"/>
    <cfRule type="duplicateValues" dxfId="9964" priority="67083"/>
  </conditionalFormatting>
  <conditionalFormatting sqref="AR29:AR35">
    <cfRule type="duplicateValues" dxfId="9963" priority="13303"/>
  </conditionalFormatting>
  <conditionalFormatting sqref="AI21:AI22 AI1:AI4 AI54:AI1048576 AI16:AI18">
    <cfRule type="duplicateValues" dxfId="9962" priority="67881"/>
  </conditionalFormatting>
  <conditionalFormatting sqref="AI21:AI22">
    <cfRule type="duplicateValues" dxfId="9961" priority="67888"/>
  </conditionalFormatting>
  <conditionalFormatting sqref="AI21:AI22 AI54:AI1048576 AI1:AI4 AI16:AI18">
    <cfRule type="duplicateValues" dxfId="9960" priority="67893"/>
  </conditionalFormatting>
  <conditionalFormatting sqref="AR29:AR35">
    <cfRule type="duplicateValues" dxfId="9959" priority="67944"/>
    <cfRule type="duplicateValues" dxfId="9958" priority="67945"/>
  </conditionalFormatting>
  <conditionalFormatting sqref="AR29:AR35">
    <cfRule type="duplicateValues" dxfId="9957" priority="67951"/>
    <cfRule type="duplicateValues" dxfId="9956" priority="67952"/>
    <cfRule type="duplicateValues" dxfId="9955" priority="67953"/>
    <cfRule type="duplicateValues" dxfId="9954" priority="67954"/>
    <cfRule type="duplicateValues" dxfId="9953" priority="67955"/>
    <cfRule type="duplicateValues" dxfId="9952" priority="67956"/>
  </conditionalFormatting>
  <conditionalFormatting sqref="AR29:AR35">
    <cfRule type="duplicateValues" dxfId="9951" priority="67957"/>
    <cfRule type="duplicateValues" dxfId="9950" priority="67958"/>
    <cfRule type="duplicateValues" dxfId="9949" priority="67959"/>
    <cfRule type="duplicateValues" dxfId="9948" priority="67960"/>
    <cfRule type="duplicateValues" dxfId="9947" priority="67961"/>
  </conditionalFormatting>
  <conditionalFormatting sqref="AR29:AR35">
    <cfRule type="duplicateValues" dxfId="9946" priority="67962"/>
    <cfRule type="duplicateValues" dxfId="9945" priority="67963"/>
    <cfRule type="duplicateValues" dxfId="9944" priority="67964"/>
    <cfRule type="duplicateValues" dxfId="9943" priority="67965"/>
    <cfRule type="duplicateValues" dxfId="9942" priority="67966"/>
    <cfRule type="duplicateValues" dxfId="9941" priority="67967"/>
    <cfRule type="duplicateValues" dxfId="9940" priority="67968"/>
    <cfRule type="duplicateValues" dxfId="9939" priority="67969"/>
    <cfRule type="duplicateValues" dxfId="9938" priority="67970"/>
    <cfRule type="duplicateValues" dxfId="9937" priority="67971"/>
    <cfRule type="duplicateValues" dxfId="9936" priority="67972"/>
    <cfRule type="duplicateValues" dxfId="9935" priority="67973"/>
    <cfRule type="duplicateValues" dxfId="9934" priority="67974"/>
    <cfRule type="duplicateValues" dxfId="9933" priority="67975"/>
    <cfRule type="duplicateValues" dxfId="9932" priority="67976"/>
    <cfRule type="duplicateValues" dxfId="9931" priority="67977"/>
    <cfRule type="duplicateValues" dxfId="9930" priority="67978"/>
    <cfRule type="duplicateValues" dxfId="9929" priority="67979"/>
    <cfRule type="duplicateValues" dxfId="9928" priority="67980"/>
    <cfRule type="duplicateValues" dxfId="9927" priority="67981"/>
    <cfRule type="duplicateValues" dxfId="9926" priority="67982"/>
    <cfRule type="duplicateValues" dxfId="9925" priority="67983"/>
    <cfRule type="duplicateValues" dxfId="9924" priority="67984"/>
    <cfRule type="duplicateValues" dxfId="9923" priority="67985"/>
    <cfRule type="duplicateValues" dxfId="9922" priority="67986"/>
    <cfRule type="duplicateValues" dxfId="9921" priority="67987"/>
    <cfRule type="duplicateValues" dxfId="9920" priority="67988"/>
    <cfRule type="duplicateValues" dxfId="9919" priority="67989"/>
  </conditionalFormatting>
  <conditionalFormatting sqref="R5">
    <cfRule type="duplicateValues" dxfId="9918" priority="12557"/>
  </conditionalFormatting>
  <conditionalFormatting sqref="R5">
    <cfRule type="duplicateValues" dxfId="9917" priority="12555"/>
    <cfRule type="duplicateValues" dxfId="9916" priority="12556"/>
  </conditionalFormatting>
  <conditionalFormatting sqref="R5">
    <cfRule type="duplicateValues" dxfId="9915" priority="12561"/>
  </conditionalFormatting>
  <conditionalFormatting sqref="R5">
    <cfRule type="duplicateValues" dxfId="9914" priority="12562"/>
    <cfRule type="duplicateValues" dxfId="9913" priority="12563"/>
  </conditionalFormatting>
  <conditionalFormatting sqref="R5">
    <cfRule type="duplicateValues" dxfId="9912" priority="12559"/>
  </conditionalFormatting>
  <conditionalFormatting sqref="R5">
    <cfRule type="duplicateValues" dxfId="9911" priority="12560"/>
  </conditionalFormatting>
  <conditionalFormatting sqref="R5">
    <cfRule type="duplicateValues" dxfId="9910" priority="12558"/>
  </conditionalFormatting>
  <conditionalFormatting sqref="R5">
    <cfRule type="duplicateValues" dxfId="9909" priority="12549"/>
    <cfRule type="duplicateValues" dxfId="9908" priority="12550"/>
    <cfRule type="duplicateValues" dxfId="9907" priority="12551"/>
    <cfRule type="duplicateValues" dxfId="9906" priority="12552"/>
    <cfRule type="duplicateValues" dxfId="9905" priority="12553"/>
    <cfRule type="duplicateValues" dxfId="9904" priority="12554"/>
  </conditionalFormatting>
  <conditionalFormatting sqref="R5">
    <cfRule type="duplicateValues" dxfId="9903" priority="12544"/>
    <cfRule type="duplicateValues" dxfId="9902" priority="12545"/>
    <cfRule type="duplicateValues" dxfId="9901" priority="12546"/>
    <cfRule type="duplicateValues" dxfId="9900" priority="12547"/>
    <cfRule type="duplicateValues" dxfId="9899" priority="12548"/>
  </conditionalFormatting>
  <conditionalFormatting sqref="R5">
    <cfRule type="duplicateValues" dxfId="9898" priority="12564"/>
    <cfRule type="duplicateValues" dxfId="9897" priority="12565"/>
    <cfRule type="duplicateValues" dxfId="9896" priority="12566"/>
    <cfRule type="duplicateValues" dxfId="9895" priority="12567"/>
    <cfRule type="duplicateValues" dxfId="9894" priority="12568"/>
    <cfRule type="duplicateValues" dxfId="9893" priority="12569"/>
    <cfRule type="duplicateValues" dxfId="9892" priority="12570"/>
    <cfRule type="duplicateValues" dxfId="9891" priority="12571"/>
    <cfRule type="duplicateValues" dxfId="9890" priority="12572"/>
    <cfRule type="duplicateValues" dxfId="9889" priority="12573"/>
    <cfRule type="duplicateValues" dxfId="9888" priority="12574"/>
    <cfRule type="duplicateValues" dxfId="9887" priority="12575"/>
    <cfRule type="duplicateValues" dxfId="9886" priority="12576"/>
    <cfRule type="duplicateValues" dxfId="9885" priority="12577"/>
    <cfRule type="duplicateValues" dxfId="9884" priority="12578"/>
    <cfRule type="duplicateValues" dxfId="9883" priority="12579"/>
    <cfRule type="duplicateValues" dxfId="9882" priority="12580"/>
    <cfRule type="duplicateValues" dxfId="9881" priority="12581"/>
    <cfRule type="duplicateValues" dxfId="9880" priority="12582"/>
    <cfRule type="duplicateValues" dxfId="9879" priority="12583"/>
    <cfRule type="duplicateValues" dxfId="9878" priority="12584"/>
    <cfRule type="duplicateValues" dxfId="9877" priority="12585"/>
    <cfRule type="duplicateValues" dxfId="9876" priority="12586"/>
    <cfRule type="duplicateValues" dxfId="9875" priority="12587"/>
    <cfRule type="duplicateValues" dxfId="9874" priority="12588"/>
    <cfRule type="duplicateValues" dxfId="9873" priority="12589"/>
    <cfRule type="duplicateValues" dxfId="9872" priority="12590"/>
    <cfRule type="duplicateValues" dxfId="9871" priority="12591"/>
  </conditionalFormatting>
  <conditionalFormatting sqref="R29">
    <cfRule type="duplicateValues" dxfId="9870" priority="12308"/>
  </conditionalFormatting>
  <conditionalFormatting sqref="R29">
    <cfRule type="duplicateValues" dxfId="9869" priority="12306"/>
    <cfRule type="duplicateValues" dxfId="9868" priority="12307"/>
  </conditionalFormatting>
  <conditionalFormatting sqref="R29">
    <cfRule type="duplicateValues" dxfId="9867" priority="12312"/>
  </conditionalFormatting>
  <conditionalFormatting sqref="R29">
    <cfRule type="duplicateValues" dxfId="9866" priority="12313"/>
    <cfRule type="duplicateValues" dxfId="9865" priority="12314"/>
  </conditionalFormatting>
  <conditionalFormatting sqref="R29">
    <cfRule type="duplicateValues" dxfId="9864" priority="12310"/>
  </conditionalFormatting>
  <conditionalFormatting sqref="R29">
    <cfRule type="duplicateValues" dxfId="9863" priority="12311"/>
  </conditionalFormatting>
  <conditionalFormatting sqref="R29">
    <cfRule type="duplicateValues" dxfId="9862" priority="12309"/>
  </conditionalFormatting>
  <conditionalFormatting sqref="R29">
    <cfRule type="duplicateValues" dxfId="9861" priority="12300"/>
    <cfRule type="duplicateValues" dxfId="9860" priority="12301"/>
    <cfRule type="duplicateValues" dxfId="9859" priority="12302"/>
    <cfRule type="duplicateValues" dxfId="9858" priority="12303"/>
    <cfRule type="duplicateValues" dxfId="9857" priority="12304"/>
    <cfRule type="duplicateValues" dxfId="9856" priority="12305"/>
  </conditionalFormatting>
  <conditionalFormatting sqref="R29">
    <cfRule type="duplicateValues" dxfId="9855" priority="12295"/>
    <cfRule type="duplicateValues" dxfId="9854" priority="12296"/>
    <cfRule type="duplicateValues" dxfId="9853" priority="12297"/>
    <cfRule type="duplicateValues" dxfId="9852" priority="12298"/>
    <cfRule type="duplicateValues" dxfId="9851" priority="12299"/>
  </conditionalFormatting>
  <conditionalFormatting sqref="R29">
    <cfRule type="duplicateValues" dxfId="9850" priority="12315"/>
    <cfRule type="duplicateValues" dxfId="9849" priority="12316"/>
    <cfRule type="duplicateValues" dxfId="9848" priority="12317"/>
    <cfRule type="duplicateValues" dxfId="9847" priority="12318"/>
    <cfRule type="duplicateValues" dxfId="9846" priority="12319"/>
    <cfRule type="duplicateValues" dxfId="9845" priority="12320"/>
    <cfRule type="duplicateValues" dxfId="9844" priority="12321"/>
    <cfRule type="duplicateValues" dxfId="9843" priority="12322"/>
    <cfRule type="duplicateValues" dxfId="9842" priority="12323"/>
    <cfRule type="duplicateValues" dxfId="9841" priority="12324"/>
    <cfRule type="duplicateValues" dxfId="9840" priority="12325"/>
    <cfRule type="duplicateValues" dxfId="9839" priority="12326"/>
    <cfRule type="duplicateValues" dxfId="9838" priority="12327"/>
    <cfRule type="duplicateValues" dxfId="9837" priority="12328"/>
    <cfRule type="duplicateValues" dxfId="9836" priority="12329"/>
    <cfRule type="duplicateValues" dxfId="9835" priority="12330"/>
    <cfRule type="duplicateValues" dxfId="9834" priority="12331"/>
    <cfRule type="duplicateValues" dxfId="9833" priority="12332"/>
    <cfRule type="duplicateValues" dxfId="9832" priority="12333"/>
    <cfRule type="duplicateValues" dxfId="9831" priority="12334"/>
    <cfRule type="duplicateValues" dxfId="9830" priority="12335"/>
    <cfRule type="duplicateValues" dxfId="9829" priority="12336"/>
    <cfRule type="duplicateValues" dxfId="9828" priority="12337"/>
    <cfRule type="duplicateValues" dxfId="9827" priority="12338"/>
    <cfRule type="duplicateValues" dxfId="9826" priority="12339"/>
    <cfRule type="duplicateValues" dxfId="9825" priority="12340"/>
    <cfRule type="duplicateValues" dxfId="9824" priority="12341"/>
    <cfRule type="duplicateValues" dxfId="9823" priority="12342"/>
  </conditionalFormatting>
  <conditionalFormatting sqref="R30">
    <cfRule type="duplicateValues" dxfId="9822" priority="12260"/>
  </conditionalFormatting>
  <conditionalFormatting sqref="R30">
    <cfRule type="duplicateValues" dxfId="9821" priority="12258"/>
    <cfRule type="duplicateValues" dxfId="9820" priority="12259"/>
  </conditionalFormatting>
  <conditionalFormatting sqref="R30">
    <cfRule type="duplicateValues" dxfId="9819" priority="12264"/>
  </conditionalFormatting>
  <conditionalFormatting sqref="R30">
    <cfRule type="duplicateValues" dxfId="9818" priority="12265"/>
    <cfRule type="duplicateValues" dxfId="9817" priority="12266"/>
  </conditionalFormatting>
  <conditionalFormatting sqref="R30">
    <cfRule type="duplicateValues" dxfId="9816" priority="12262"/>
  </conditionalFormatting>
  <conditionalFormatting sqref="R30">
    <cfRule type="duplicateValues" dxfId="9815" priority="12263"/>
  </conditionalFormatting>
  <conditionalFormatting sqref="R30">
    <cfRule type="duplicateValues" dxfId="9814" priority="12261"/>
  </conditionalFormatting>
  <conditionalFormatting sqref="R30">
    <cfRule type="duplicateValues" dxfId="9813" priority="12252"/>
    <cfRule type="duplicateValues" dxfId="9812" priority="12253"/>
    <cfRule type="duplicateValues" dxfId="9811" priority="12254"/>
    <cfRule type="duplicateValues" dxfId="9810" priority="12255"/>
    <cfRule type="duplicateValues" dxfId="9809" priority="12256"/>
    <cfRule type="duplicateValues" dxfId="9808" priority="12257"/>
  </conditionalFormatting>
  <conditionalFormatting sqref="R30">
    <cfRule type="duplicateValues" dxfId="9807" priority="12247"/>
    <cfRule type="duplicateValues" dxfId="9806" priority="12248"/>
    <cfRule type="duplicateValues" dxfId="9805" priority="12249"/>
    <cfRule type="duplicateValues" dxfId="9804" priority="12250"/>
    <cfRule type="duplicateValues" dxfId="9803" priority="12251"/>
  </conditionalFormatting>
  <conditionalFormatting sqref="R30">
    <cfRule type="duplicateValues" dxfId="9802" priority="12267"/>
    <cfRule type="duplicateValues" dxfId="9801" priority="12268"/>
    <cfRule type="duplicateValues" dxfId="9800" priority="12269"/>
    <cfRule type="duplicateValues" dxfId="9799" priority="12270"/>
    <cfRule type="duplicateValues" dxfId="9798" priority="12271"/>
    <cfRule type="duplicateValues" dxfId="9797" priority="12272"/>
    <cfRule type="duplicateValues" dxfId="9796" priority="12273"/>
    <cfRule type="duplicateValues" dxfId="9795" priority="12274"/>
    <cfRule type="duplicateValues" dxfId="9794" priority="12275"/>
    <cfRule type="duplicateValues" dxfId="9793" priority="12276"/>
    <cfRule type="duplicateValues" dxfId="9792" priority="12277"/>
    <cfRule type="duplicateValues" dxfId="9791" priority="12278"/>
    <cfRule type="duplicateValues" dxfId="9790" priority="12279"/>
    <cfRule type="duplicateValues" dxfId="9789" priority="12280"/>
    <cfRule type="duplicateValues" dxfId="9788" priority="12281"/>
    <cfRule type="duplicateValues" dxfId="9787" priority="12282"/>
    <cfRule type="duplicateValues" dxfId="9786" priority="12283"/>
    <cfRule type="duplicateValues" dxfId="9785" priority="12284"/>
    <cfRule type="duplicateValues" dxfId="9784" priority="12285"/>
    <cfRule type="duplicateValues" dxfId="9783" priority="12286"/>
    <cfRule type="duplicateValues" dxfId="9782" priority="12287"/>
    <cfRule type="duplicateValues" dxfId="9781" priority="12288"/>
    <cfRule type="duplicateValues" dxfId="9780" priority="12289"/>
    <cfRule type="duplicateValues" dxfId="9779" priority="12290"/>
    <cfRule type="duplicateValues" dxfId="9778" priority="12291"/>
    <cfRule type="duplicateValues" dxfId="9777" priority="12292"/>
    <cfRule type="duplicateValues" dxfId="9776" priority="12293"/>
    <cfRule type="duplicateValues" dxfId="9775" priority="12294"/>
  </conditionalFormatting>
  <conditionalFormatting sqref="AR5">
    <cfRule type="duplicateValues" dxfId="9774" priority="12165"/>
  </conditionalFormatting>
  <conditionalFormatting sqref="AR5">
    <cfRule type="duplicateValues" dxfId="9773" priority="12163"/>
    <cfRule type="duplicateValues" dxfId="9772" priority="12164"/>
  </conditionalFormatting>
  <conditionalFormatting sqref="AR5">
    <cfRule type="duplicateValues" dxfId="9771" priority="12168"/>
  </conditionalFormatting>
  <conditionalFormatting sqref="AR5">
    <cfRule type="duplicateValues" dxfId="9770" priority="12169"/>
    <cfRule type="duplicateValues" dxfId="9769" priority="12170"/>
  </conditionalFormatting>
  <conditionalFormatting sqref="AR5">
    <cfRule type="duplicateValues" dxfId="9768" priority="12167"/>
  </conditionalFormatting>
  <conditionalFormatting sqref="AR5">
    <cfRule type="duplicateValues" dxfId="9767" priority="12166"/>
  </conditionalFormatting>
  <conditionalFormatting sqref="AR5">
    <cfRule type="duplicateValues" dxfId="9766" priority="12157"/>
    <cfRule type="duplicateValues" dxfId="9765" priority="12158"/>
    <cfRule type="duplicateValues" dxfId="9764" priority="12159"/>
    <cfRule type="duplicateValues" dxfId="9763" priority="12160"/>
    <cfRule type="duplicateValues" dxfId="9762" priority="12161"/>
    <cfRule type="duplicateValues" dxfId="9761" priority="12162"/>
  </conditionalFormatting>
  <conditionalFormatting sqref="AR5">
    <cfRule type="duplicateValues" dxfId="9760" priority="12152"/>
    <cfRule type="duplicateValues" dxfId="9759" priority="12153"/>
    <cfRule type="duplicateValues" dxfId="9758" priority="12154"/>
    <cfRule type="duplicateValues" dxfId="9757" priority="12155"/>
    <cfRule type="duplicateValues" dxfId="9756" priority="12156"/>
  </conditionalFormatting>
  <conditionalFormatting sqref="AR5">
    <cfRule type="duplicateValues" dxfId="9755" priority="12171"/>
    <cfRule type="duplicateValues" dxfId="9754" priority="12172"/>
    <cfRule type="duplicateValues" dxfId="9753" priority="12173"/>
    <cfRule type="duplicateValues" dxfId="9752" priority="12174"/>
    <cfRule type="duplicateValues" dxfId="9751" priority="12175"/>
    <cfRule type="duplicateValues" dxfId="9750" priority="12176"/>
    <cfRule type="duplicateValues" dxfId="9749" priority="12177"/>
    <cfRule type="duplicateValues" dxfId="9748" priority="12178"/>
    <cfRule type="duplicateValues" dxfId="9747" priority="12179"/>
    <cfRule type="duplicateValues" dxfId="9746" priority="12180"/>
    <cfRule type="duplicateValues" dxfId="9745" priority="12181"/>
    <cfRule type="duplicateValues" dxfId="9744" priority="12182"/>
    <cfRule type="duplicateValues" dxfId="9743" priority="12183"/>
    <cfRule type="duplicateValues" dxfId="9742" priority="12184"/>
    <cfRule type="duplicateValues" dxfId="9741" priority="12185"/>
    <cfRule type="duplicateValues" dxfId="9740" priority="12186"/>
    <cfRule type="duplicateValues" dxfId="9739" priority="12187"/>
    <cfRule type="duplicateValues" dxfId="9738" priority="12188"/>
    <cfRule type="duplicateValues" dxfId="9737" priority="12189"/>
    <cfRule type="duplicateValues" dxfId="9736" priority="12190"/>
    <cfRule type="duplicateValues" dxfId="9735" priority="12191"/>
    <cfRule type="duplicateValues" dxfId="9734" priority="12192"/>
    <cfRule type="duplicateValues" dxfId="9733" priority="12193"/>
    <cfRule type="duplicateValues" dxfId="9732" priority="12194"/>
    <cfRule type="duplicateValues" dxfId="9731" priority="12195"/>
    <cfRule type="duplicateValues" dxfId="9730" priority="12196"/>
    <cfRule type="duplicateValues" dxfId="9729" priority="12197"/>
    <cfRule type="duplicateValues" dxfId="9728" priority="12198"/>
  </conditionalFormatting>
  <conditionalFormatting sqref="AR6">
    <cfRule type="duplicateValues" dxfId="9727" priority="12084"/>
  </conditionalFormatting>
  <conditionalFormatting sqref="AR6">
    <cfRule type="duplicateValues" dxfId="9726" priority="12082"/>
    <cfRule type="duplicateValues" dxfId="9725" priority="12083"/>
  </conditionalFormatting>
  <conditionalFormatting sqref="AR6">
    <cfRule type="duplicateValues" dxfId="9724" priority="12121"/>
  </conditionalFormatting>
  <conditionalFormatting sqref="AR6">
    <cfRule type="duplicateValues" dxfId="9723" priority="12122"/>
    <cfRule type="duplicateValues" dxfId="9722" priority="12123"/>
  </conditionalFormatting>
  <conditionalFormatting sqref="AR6">
    <cfRule type="duplicateValues" dxfId="9721" priority="12119"/>
  </conditionalFormatting>
  <conditionalFormatting sqref="AR6">
    <cfRule type="duplicateValues" dxfId="9720" priority="12120"/>
  </conditionalFormatting>
  <conditionalFormatting sqref="AR6">
    <cfRule type="duplicateValues" dxfId="9719" priority="12118"/>
  </conditionalFormatting>
  <conditionalFormatting sqref="AR6">
    <cfRule type="duplicateValues" dxfId="9718" priority="12085"/>
    <cfRule type="duplicateValues" dxfId="9717" priority="12086"/>
    <cfRule type="duplicateValues" dxfId="9716" priority="12087"/>
    <cfRule type="duplicateValues" dxfId="9715" priority="12088"/>
  </conditionalFormatting>
  <conditionalFormatting sqref="AR6">
    <cfRule type="duplicateValues" dxfId="9714" priority="12090"/>
    <cfRule type="duplicateValues" dxfId="9713" priority="12091"/>
    <cfRule type="duplicateValues" dxfId="9712" priority="12092"/>
    <cfRule type="duplicateValues" dxfId="9711" priority="12093"/>
    <cfRule type="duplicateValues" dxfId="9710" priority="12094"/>
  </conditionalFormatting>
  <conditionalFormatting sqref="AR6">
    <cfRule type="duplicateValues" dxfId="9709" priority="12101"/>
    <cfRule type="duplicateValues" dxfId="9708" priority="12102"/>
    <cfRule type="duplicateValues" dxfId="9707" priority="12103"/>
    <cfRule type="duplicateValues" dxfId="9706" priority="12104"/>
    <cfRule type="duplicateValues" dxfId="9705" priority="12105"/>
    <cfRule type="duplicateValues" dxfId="9704" priority="12106"/>
    <cfRule type="duplicateValues" dxfId="9703" priority="12107"/>
    <cfRule type="duplicateValues" dxfId="9702" priority="12108"/>
    <cfRule type="duplicateValues" dxfId="9701" priority="12109"/>
    <cfRule type="duplicateValues" dxfId="9700" priority="12110"/>
    <cfRule type="duplicateValues" dxfId="9699" priority="12111"/>
  </conditionalFormatting>
  <conditionalFormatting sqref="AR6">
    <cfRule type="duplicateValues" dxfId="9698" priority="12095"/>
    <cfRule type="duplicateValues" dxfId="9697" priority="12096"/>
    <cfRule type="duplicateValues" dxfId="9696" priority="12097"/>
    <cfRule type="duplicateValues" dxfId="9695" priority="12098"/>
    <cfRule type="duplicateValues" dxfId="9694" priority="12099"/>
    <cfRule type="duplicateValues" dxfId="9693" priority="12100"/>
  </conditionalFormatting>
  <conditionalFormatting sqref="AR6">
    <cfRule type="duplicateValues" dxfId="9692" priority="12112"/>
    <cfRule type="duplicateValues" dxfId="9691" priority="12113"/>
    <cfRule type="duplicateValues" dxfId="9690" priority="12114"/>
    <cfRule type="duplicateValues" dxfId="9689" priority="12115"/>
    <cfRule type="duplicateValues" dxfId="9688" priority="12116"/>
    <cfRule type="duplicateValues" dxfId="9687" priority="12117"/>
  </conditionalFormatting>
  <conditionalFormatting sqref="AR6">
    <cfRule type="duplicateValues" dxfId="9686" priority="12089"/>
  </conditionalFormatting>
  <conditionalFormatting sqref="AR6">
    <cfRule type="duplicateValues" dxfId="9685" priority="12076"/>
    <cfRule type="duplicateValues" dxfId="9684" priority="12077"/>
    <cfRule type="duplicateValues" dxfId="9683" priority="12078"/>
    <cfRule type="duplicateValues" dxfId="9682" priority="12079"/>
    <cfRule type="duplicateValues" dxfId="9681" priority="12080"/>
    <cfRule type="duplicateValues" dxfId="9680" priority="12081"/>
  </conditionalFormatting>
  <conditionalFormatting sqref="AR6">
    <cfRule type="duplicateValues" dxfId="9679" priority="12071"/>
    <cfRule type="duplicateValues" dxfId="9678" priority="12072"/>
    <cfRule type="duplicateValues" dxfId="9677" priority="12073"/>
    <cfRule type="duplicateValues" dxfId="9676" priority="12074"/>
    <cfRule type="duplicateValues" dxfId="9675" priority="12075"/>
  </conditionalFormatting>
  <conditionalFormatting sqref="AR6">
    <cfRule type="duplicateValues" dxfId="9674" priority="12124"/>
    <cfRule type="duplicateValues" dxfId="9673" priority="12125"/>
    <cfRule type="duplicateValues" dxfId="9672" priority="12126"/>
    <cfRule type="duplicateValues" dxfId="9671" priority="12127"/>
    <cfRule type="duplicateValues" dxfId="9670" priority="12128"/>
    <cfRule type="duplicateValues" dxfId="9669" priority="12129"/>
    <cfRule type="duplicateValues" dxfId="9668" priority="12130"/>
    <cfRule type="duplicateValues" dxfId="9667" priority="12131"/>
    <cfRule type="duplicateValues" dxfId="9666" priority="12132"/>
    <cfRule type="duplicateValues" dxfId="9665" priority="12133"/>
    <cfRule type="duplicateValues" dxfId="9664" priority="12134"/>
    <cfRule type="duplicateValues" dxfId="9663" priority="12135"/>
    <cfRule type="duplicateValues" dxfId="9662" priority="12136"/>
    <cfRule type="duplicateValues" dxfId="9661" priority="12137"/>
    <cfRule type="duplicateValues" dxfId="9660" priority="12138"/>
    <cfRule type="duplicateValues" dxfId="9659" priority="12139"/>
    <cfRule type="duplicateValues" dxfId="9658" priority="12140"/>
    <cfRule type="duplicateValues" dxfId="9657" priority="12141"/>
    <cfRule type="duplicateValues" dxfId="9656" priority="12142"/>
    <cfRule type="duplicateValues" dxfId="9655" priority="12143"/>
    <cfRule type="duplicateValues" dxfId="9654" priority="12144"/>
    <cfRule type="duplicateValues" dxfId="9653" priority="12145"/>
  </conditionalFormatting>
  <conditionalFormatting sqref="AR6">
    <cfRule type="duplicateValues" dxfId="9652" priority="12146"/>
    <cfRule type="duplicateValues" dxfId="9651" priority="12147"/>
    <cfRule type="duplicateValues" dxfId="9650" priority="12148"/>
    <cfRule type="duplicateValues" dxfId="9649" priority="12149"/>
    <cfRule type="duplicateValues" dxfId="9648" priority="12150"/>
    <cfRule type="duplicateValues" dxfId="9647" priority="12151"/>
  </conditionalFormatting>
  <conditionalFormatting sqref="AR7">
    <cfRule type="duplicateValues" dxfId="9646" priority="12003"/>
  </conditionalFormatting>
  <conditionalFormatting sqref="AR7">
    <cfRule type="duplicateValues" dxfId="9645" priority="12001"/>
    <cfRule type="duplicateValues" dxfId="9644" priority="12002"/>
  </conditionalFormatting>
  <conditionalFormatting sqref="AR7">
    <cfRule type="duplicateValues" dxfId="9643" priority="12040"/>
  </conditionalFormatting>
  <conditionalFormatting sqref="AR7">
    <cfRule type="duplicateValues" dxfId="9642" priority="12041"/>
    <cfRule type="duplicateValues" dxfId="9641" priority="12042"/>
  </conditionalFormatting>
  <conditionalFormatting sqref="AR7">
    <cfRule type="duplicateValues" dxfId="9640" priority="12038"/>
  </conditionalFormatting>
  <conditionalFormatting sqref="AR7">
    <cfRule type="duplicateValues" dxfId="9639" priority="12039"/>
  </conditionalFormatting>
  <conditionalFormatting sqref="AR7">
    <cfRule type="duplicateValues" dxfId="9638" priority="12037"/>
  </conditionalFormatting>
  <conditionalFormatting sqref="AR7">
    <cfRule type="duplicateValues" dxfId="9637" priority="12004"/>
    <cfRule type="duplicateValues" dxfId="9636" priority="12005"/>
    <cfRule type="duplicateValues" dxfId="9635" priority="12006"/>
    <cfRule type="duplicateValues" dxfId="9634" priority="12007"/>
  </conditionalFormatting>
  <conditionalFormatting sqref="AR7">
    <cfRule type="duplicateValues" dxfId="9633" priority="12009"/>
    <cfRule type="duplicateValues" dxfId="9632" priority="12010"/>
    <cfRule type="duplicateValues" dxfId="9631" priority="12011"/>
    <cfRule type="duplicateValues" dxfId="9630" priority="12012"/>
    <cfRule type="duplicateValues" dxfId="9629" priority="12013"/>
  </conditionalFormatting>
  <conditionalFormatting sqref="AR7">
    <cfRule type="duplicateValues" dxfId="9628" priority="12020"/>
    <cfRule type="duplicateValues" dxfId="9627" priority="12021"/>
    <cfRule type="duplicateValues" dxfId="9626" priority="12022"/>
    <cfRule type="duplicateValues" dxfId="9625" priority="12023"/>
    <cfRule type="duplicateValues" dxfId="9624" priority="12024"/>
    <cfRule type="duplicateValues" dxfId="9623" priority="12025"/>
    <cfRule type="duplicateValues" dxfId="9622" priority="12026"/>
    <cfRule type="duplicateValues" dxfId="9621" priority="12027"/>
    <cfRule type="duplicateValues" dxfId="9620" priority="12028"/>
    <cfRule type="duplicateValues" dxfId="9619" priority="12029"/>
    <cfRule type="duplicateValues" dxfId="9618" priority="12030"/>
  </conditionalFormatting>
  <conditionalFormatting sqref="AR7">
    <cfRule type="duplicateValues" dxfId="9617" priority="12014"/>
    <cfRule type="duplicateValues" dxfId="9616" priority="12015"/>
    <cfRule type="duplicateValues" dxfId="9615" priority="12016"/>
    <cfRule type="duplicateValues" dxfId="9614" priority="12017"/>
    <cfRule type="duplicateValues" dxfId="9613" priority="12018"/>
    <cfRule type="duplicateValues" dxfId="9612" priority="12019"/>
  </conditionalFormatting>
  <conditionalFormatting sqref="AR7">
    <cfRule type="duplicateValues" dxfId="9611" priority="12031"/>
    <cfRule type="duplicateValues" dxfId="9610" priority="12032"/>
    <cfRule type="duplicateValues" dxfId="9609" priority="12033"/>
    <cfRule type="duplicateValues" dxfId="9608" priority="12034"/>
    <cfRule type="duplicateValues" dxfId="9607" priority="12035"/>
    <cfRule type="duplicateValues" dxfId="9606" priority="12036"/>
  </conditionalFormatting>
  <conditionalFormatting sqref="AR7">
    <cfRule type="duplicateValues" dxfId="9605" priority="12008"/>
  </conditionalFormatting>
  <conditionalFormatting sqref="AR7">
    <cfRule type="duplicateValues" dxfId="9604" priority="11995"/>
    <cfRule type="duplicateValues" dxfId="9603" priority="11996"/>
    <cfRule type="duplicateValues" dxfId="9602" priority="11997"/>
    <cfRule type="duplicateValues" dxfId="9601" priority="11998"/>
    <cfRule type="duplicateValues" dxfId="9600" priority="11999"/>
    <cfRule type="duplicateValues" dxfId="9599" priority="12000"/>
  </conditionalFormatting>
  <conditionalFormatting sqref="AR7">
    <cfRule type="duplicateValues" dxfId="9598" priority="11990"/>
    <cfRule type="duplicateValues" dxfId="9597" priority="11991"/>
    <cfRule type="duplicateValues" dxfId="9596" priority="11992"/>
    <cfRule type="duplicateValues" dxfId="9595" priority="11993"/>
    <cfRule type="duplicateValues" dxfId="9594" priority="11994"/>
  </conditionalFormatting>
  <conditionalFormatting sqref="AR7">
    <cfRule type="duplicateValues" dxfId="9593" priority="12043"/>
    <cfRule type="duplicateValues" dxfId="9592" priority="12044"/>
    <cfRule type="duplicateValues" dxfId="9591" priority="12045"/>
    <cfRule type="duplicateValues" dxfId="9590" priority="12046"/>
    <cfRule type="duplicateValues" dxfId="9589" priority="12047"/>
    <cfRule type="duplicateValues" dxfId="9588" priority="12048"/>
    <cfRule type="duplicateValues" dxfId="9587" priority="12049"/>
    <cfRule type="duplicateValues" dxfId="9586" priority="12050"/>
    <cfRule type="duplicateValues" dxfId="9585" priority="12051"/>
    <cfRule type="duplicateValues" dxfId="9584" priority="12052"/>
    <cfRule type="duplicateValues" dxfId="9583" priority="12053"/>
    <cfRule type="duplicateValues" dxfId="9582" priority="12054"/>
    <cfRule type="duplicateValues" dxfId="9581" priority="12055"/>
    <cfRule type="duplicateValues" dxfId="9580" priority="12056"/>
    <cfRule type="duplicateValues" dxfId="9579" priority="12057"/>
    <cfRule type="duplicateValues" dxfId="9578" priority="12058"/>
    <cfRule type="duplicateValues" dxfId="9577" priority="12059"/>
    <cfRule type="duplicateValues" dxfId="9576" priority="12060"/>
    <cfRule type="duplicateValues" dxfId="9575" priority="12061"/>
    <cfRule type="duplicateValues" dxfId="9574" priority="12062"/>
    <cfRule type="duplicateValues" dxfId="9573" priority="12063"/>
    <cfRule type="duplicateValues" dxfId="9572" priority="12064"/>
  </conditionalFormatting>
  <conditionalFormatting sqref="AR7">
    <cfRule type="duplicateValues" dxfId="9571" priority="12065"/>
    <cfRule type="duplicateValues" dxfId="9570" priority="12066"/>
    <cfRule type="duplicateValues" dxfId="9569" priority="12067"/>
    <cfRule type="duplicateValues" dxfId="9568" priority="12068"/>
    <cfRule type="duplicateValues" dxfId="9567" priority="12069"/>
    <cfRule type="duplicateValues" dxfId="9566" priority="12070"/>
  </conditionalFormatting>
  <conditionalFormatting sqref="AR14:AR15">
    <cfRule type="duplicateValues" dxfId="9565" priority="11922"/>
  </conditionalFormatting>
  <conditionalFormatting sqref="AR14:AR15">
    <cfRule type="duplicateValues" dxfId="9564" priority="11920"/>
    <cfRule type="duplicateValues" dxfId="9563" priority="11921"/>
  </conditionalFormatting>
  <conditionalFormatting sqref="AR14:AR15">
    <cfRule type="duplicateValues" dxfId="9562" priority="11959"/>
  </conditionalFormatting>
  <conditionalFormatting sqref="AR14:AR15">
    <cfRule type="duplicateValues" dxfId="9561" priority="11960"/>
    <cfRule type="duplicateValues" dxfId="9560" priority="11961"/>
  </conditionalFormatting>
  <conditionalFormatting sqref="AR14:AR15">
    <cfRule type="duplicateValues" dxfId="9559" priority="11957"/>
  </conditionalFormatting>
  <conditionalFormatting sqref="AR14:AR15">
    <cfRule type="duplicateValues" dxfId="9558" priority="11958"/>
  </conditionalFormatting>
  <conditionalFormatting sqref="AR14:AR15">
    <cfRule type="duplicateValues" dxfId="9557" priority="11956"/>
  </conditionalFormatting>
  <conditionalFormatting sqref="AR14:AR15">
    <cfRule type="duplicateValues" dxfId="9556" priority="11923"/>
    <cfRule type="duplicateValues" dxfId="9555" priority="11924"/>
    <cfRule type="duplicateValues" dxfId="9554" priority="11925"/>
    <cfRule type="duplicateValues" dxfId="9553" priority="11926"/>
  </conditionalFormatting>
  <conditionalFormatting sqref="AR14:AR15">
    <cfRule type="duplicateValues" dxfId="9552" priority="11928"/>
    <cfRule type="duplicateValues" dxfId="9551" priority="11929"/>
    <cfRule type="duplicateValues" dxfId="9550" priority="11930"/>
    <cfRule type="duplicateValues" dxfId="9549" priority="11931"/>
    <cfRule type="duplicateValues" dxfId="9548" priority="11932"/>
  </conditionalFormatting>
  <conditionalFormatting sqref="AR14:AR15">
    <cfRule type="duplicateValues" dxfId="9547" priority="11939"/>
    <cfRule type="duplicateValues" dxfId="9546" priority="11940"/>
    <cfRule type="duplicateValues" dxfId="9545" priority="11941"/>
    <cfRule type="duplicateValues" dxfId="9544" priority="11942"/>
    <cfRule type="duplicateValues" dxfId="9543" priority="11943"/>
    <cfRule type="duplicateValues" dxfId="9542" priority="11944"/>
    <cfRule type="duplicateValues" dxfId="9541" priority="11945"/>
    <cfRule type="duplicateValues" dxfId="9540" priority="11946"/>
    <cfRule type="duplicateValues" dxfId="9539" priority="11947"/>
    <cfRule type="duplicateValues" dxfId="9538" priority="11948"/>
    <cfRule type="duplicateValues" dxfId="9537" priority="11949"/>
  </conditionalFormatting>
  <conditionalFormatting sqref="AR14:AR15">
    <cfRule type="duplicateValues" dxfId="9536" priority="11933"/>
    <cfRule type="duplicateValues" dxfId="9535" priority="11934"/>
    <cfRule type="duplicateValues" dxfId="9534" priority="11935"/>
    <cfRule type="duplicateValues" dxfId="9533" priority="11936"/>
    <cfRule type="duplicateValues" dxfId="9532" priority="11937"/>
    <cfRule type="duplicateValues" dxfId="9531" priority="11938"/>
  </conditionalFormatting>
  <conditionalFormatting sqref="AR14:AR15">
    <cfRule type="duplicateValues" dxfId="9530" priority="11950"/>
    <cfRule type="duplicateValues" dxfId="9529" priority="11951"/>
    <cfRule type="duplicateValues" dxfId="9528" priority="11952"/>
    <cfRule type="duplicateValues" dxfId="9527" priority="11953"/>
    <cfRule type="duplicateValues" dxfId="9526" priority="11954"/>
    <cfRule type="duplicateValues" dxfId="9525" priority="11955"/>
  </conditionalFormatting>
  <conditionalFormatting sqref="AR14:AR15">
    <cfRule type="duplicateValues" dxfId="9524" priority="11927"/>
  </conditionalFormatting>
  <conditionalFormatting sqref="AR14:AR15">
    <cfRule type="duplicateValues" dxfId="9523" priority="11914"/>
    <cfRule type="duplicateValues" dxfId="9522" priority="11915"/>
    <cfRule type="duplicateValues" dxfId="9521" priority="11916"/>
    <cfRule type="duplicateValues" dxfId="9520" priority="11917"/>
    <cfRule type="duplicateValues" dxfId="9519" priority="11918"/>
    <cfRule type="duplicateValues" dxfId="9518" priority="11919"/>
  </conditionalFormatting>
  <conditionalFormatting sqref="AR14:AR15">
    <cfRule type="duplicateValues" dxfId="9517" priority="11909"/>
    <cfRule type="duplicateValues" dxfId="9516" priority="11910"/>
    <cfRule type="duplicateValues" dxfId="9515" priority="11911"/>
    <cfRule type="duplicateValues" dxfId="9514" priority="11912"/>
    <cfRule type="duplicateValues" dxfId="9513" priority="11913"/>
  </conditionalFormatting>
  <conditionalFormatting sqref="AR14:AR15">
    <cfRule type="duplicateValues" dxfId="9512" priority="11962"/>
    <cfRule type="duplicateValues" dxfId="9511" priority="11963"/>
    <cfRule type="duplicateValues" dxfId="9510" priority="11964"/>
    <cfRule type="duplicateValues" dxfId="9509" priority="11965"/>
    <cfRule type="duplicateValues" dxfId="9508" priority="11966"/>
    <cfRule type="duplicateValues" dxfId="9507" priority="11967"/>
    <cfRule type="duplicateValues" dxfId="9506" priority="11968"/>
    <cfRule type="duplicateValues" dxfId="9505" priority="11969"/>
    <cfRule type="duplicateValues" dxfId="9504" priority="11970"/>
    <cfRule type="duplicateValues" dxfId="9503" priority="11971"/>
    <cfRule type="duplicateValues" dxfId="9502" priority="11972"/>
    <cfRule type="duplicateValues" dxfId="9501" priority="11973"/>
    <cfRule type="duplicateValues" dxfId="9500" priority="11974"/>
    <cfRule type="duplicateValues" dxfId="9499" priority="11975"/>
    <cfRule type="duplicateValues" dxfId="9498" priority="11976"/>
    <cfRule type="duplicateValues" dxfId="9497" priority="11977"/>
    <cfRule type="duplicateValues" dxfId="9496" priority="11978"/>
    <cfRule type="duplicateValues" dxfId="9495" priority="11979"/>
    <cfRule type="duplicateValues" dxfId="9494" priority="11980"/>
    <cfRule type="duplicateValues" dxfId="9493" priority="11981"/>
    <cfRule type="duplicateValues" dxfId="9492" priority="11982"/>
    <cfRule type="duplicateValues" dxfId="9491" priority="11983"/>
  </conditionalFormatting>
  <conditionalFormatting sqref="AR14:AR15">
    <cfRule type="duplicateValues" dxfId="9490" priority="11984"/>
    <cfRule type="duplicateValues" dxfId="9489" priority="11985"/>
    <cfRule type="duplicateValues" dxfId="9488" priority="11986"/>
    <cfRule type="duplicateValues" dxfId="9487" priority="11987"/>
    <cfRule type="duplicateValues" dxfId="9486" priority="11988"/>
    <cfRule type="duplicateValues" dxfId="9485" priority="11989"/>
  </conditionalFormatting>
  <conditionalFormatting sqref="AR8">
    <cfRule type="duplicateValues" dxfId="9484" priority="11874"/>
  </conditionalFormatting>
  <conditionalFormatting sqref="AR8">
    <cfRule type="duplicateValues" dxfId="9483" priority="11872"/>
    <cfRule type="duplicateValues" dxfId="9482" priority="11873"/>
  </conditionalFormatting>
  <conditionalFormatting sqref="AR8">
    <cfRule type="duplicateValues" dxfId="9481" priority="11878"/>
  </conditionalFormatting>
  <conditionalFormatting sqref="AR8">
    <cfRule type="duplicateValues" dxfId="9480" priority="11879"/>
    <cfRule type="duplicateValues" dxfId="9479" priority="11880"/>
  </conditionalFormatting>
  <conditionalFormatting sqref="AR8">
    <cfRule type="duplicateValues" dxfId="9478" priority="11876"/>
  </conditionalFormatting>
  <conditionalFormatting sqref="AR8">
    <cfRule type="duplicateValues" dxfId="9477" priority="11877"/>
  </conditionalFormatting>
  <conditionalFormatting sqref="AR8">
    <cfRule type="duplicateValues" dxfId="9476" priority="11875"/>
  </conditionalFormatting>
  <conditionalFormatting sqref="AR8">
    <cfRule type="duplicateValues" dxfId="9475" priority="11866"/>
    <cfRule type="duplicateValues" dxfId="9474" priority="11867"/>
    <cfRule type="duplicateValues" dxfId="9473" priority="11868"/>
    <cfRule type="duplicateValues" dxfId="9472" priority="11869"/>
    <cfRule type="duplicateValues" dxfId="9471" priority="11870"/>
    <cfRule type="duplicateValues" dxfId="9470" priority="11871"/>
  </conditionalFormatting>
  <conditionalFormatting sqref="AR8">
    <cfRule type="duplicateValues" dxfId="9469" priority="11861"/>
    <cfRule type="duplicateValues" dxfId="9468" priority="11862"/>
    <cfRule type="duplicateValues" dxfId="9467" priority="11863"/>
    <cfRule type="duplicateValues" dxfId="9466" priority="11864"/>
    <cfRule type="duplicateValues" dxfId="9465" priority="11865"/>
  </conditionalFormatting>
  <conditionalFormatting sqref="AR8">
    <cfRule type="duplicateValues" dxfId="9464" priority="11881"/>
    <cfRule type="duplicateValues" dxfId="9463" priority="11882"/>
    <cfRule type="duplicateValues" dxfId="9462" priority="11883"/>
    <cfRule type="duplicateValues" dxfId="9461" priority="11884"/>
    <cfRule type="duplicateValues" dxfId="9460" priority="11885"/>
    <cfRule type="duplicateValues" dxfId="9459" priority="11886"/>
    <cfRule type="duplicateValues" dxfId="9458" priority="11887"/>
    <cfRule type="duplicateValues" dxfId="9457" priority="11888"/>
    <cfRule type="duplicateValues" dxfId="9456" priority="11889"/>
    <cfRule type="duplicateValues" dxfId="9455" priority="11890"/>
    <cfRule type="duplicateValues" dxfId="9454" priority="11891"/>
    <cfRule type="duplicateValues" dxfId="9453" priority="11892"/>
    <cfRule type="duplicateValues" dxfId="9452" priority="11893"/>
    <cfRule type="duplicateValues" dxfId="9451" priority="11894"/>
    <cfRule type="duplicateValues" dxfId="9450" priority="11895"/>
    <cfRule type="duplicateValues" dxfId="9449" priority="11896"/>
    <cfRule type="duplicateValues" dxfId="9448" priority="11897"/>
    <cfRule type="duplicateValues" dxfId="9447" priority="11898"/>
    <cfRule type="duplicateValues" dxfId="9446" priority="11899"/>
    <cfRule type="duplicateValues" dxfId="9445" priority="11900"/>
    <cfRule type="duplicateValues" dxfId="9444" priority="11901"/>
    <cfRule type="duplicateValues" dxfId="9443" priority="11902"/>
    <cfRule type="duplicateValues" dxfId="9442" priority="11903"/>
    <cfRule type="duplicateValues" dxfId="9441" priority="11904"/>
    <cfRule type="duplicateValues" dxfId="9440" priority="11905"/>
    <cfRule type="duplicateValues" dxfId="9439" priority="11906"/>
    <cfRule type="duplicateValues" dxfId="9438" priority="11907"/>
    <cfRule type="duplicateValues" dxfId="9437" priority="11908"/>
  </conditionalFormatting>
  <conditionalFormatting sqref="AR18">
    <cfRule type="duplicateValues" dxfId="9436" priority="11730"/>
  </conditionalFormatting>
  <conditionalFormatting sqref="AR18">
    <cfRule type="duplicateValues" dxfId="9435" priority="11728"/>
    <cfRule type="duplicateValues" dxfId="9434" priority="11729"/>
  </conditionalFormatting>
  <conditionalFormatting sqref="AR18">
    <cfRule type="duplicateValues" dxfId="9433" priority="11734"/>
  </conditionalFormatting>
  <conditionalFormatting sqref="AR18">
    <cfRule type="duplicateValues" dxfId="9432" priority="11735"/>
    <cfRule type="duplicateValues" dxfId="9431" priority="11736"/>
  </conditionalFormatting>
  <conditionalFormatting sqref="AR18">
    <cfRule type="duplicateValues" dxfId="9430" priority="11732"/>
  </conditionalFormatting>
  <conditionalFormatting sqref="AR18">
    <cfRule type="duplicateValues" dxfId="9429" priority="11733"/>
  </conditionalFormatting>
  <conditionalFormatting sqref="AR18">
    <cfRule type="duplicateValues" dxfId="9428" priority="11731"/>
  </conditionalFormatting>
  <conditionalFormatting sqref="AR18">
    <cfRule type="duplicateValues" dxfId="9427" priority="11722"/>
    <cfRule type="duplicateValues" dxfId="9426" priority="11723"/>
    <cfRule type="duplicateValues" dxfId="9425" priority="11724"/>
    <cfRule type="duplicateValues" dxfId="9424" priority="11725"/>
    <cfRule type="duplicateValues" dxfId="9423" priority="11726"/>
    <cfRule type="duplicateValues" dxfId="9422" priority="11727"/>
  </conditionalFormatting>
  <conditionalFormatting sqref="AR18">
    <cfRule type="duplicateValues" dxfId="9421" priority="11717"/>
    <cfRule type="duplicateValues" dxfId="9420" priority="11718"/>
    <cfRule type="duplicateValues" dxfId="9419" priority="11719"/>
    <cfRule type="duplicateValues" dxfId="9418" priority="11720"/>
    <cfRule type="duplicateValues" dxfId="9417" priority="11721"/>
  </conditionalFormatting>
  <conditionalFormatting sqref="AR18">
    <cfRule type="duplicateValues" dxfId="9416" priority="11737"/>
    <cfRule type="duplicateValues" dxfId="9415" priority="11738"/>
    <cfRule type="duplicateValues" dxfId="9414" priority="11739"/>
    <cfRule type="duplicateValues" dxfId="9413" priority="11740"/>
    <cfRule type="duplicateValues" dxfId="9412" priority="11741"/>
    <cfRule type="duplicateValues" dxfId="9411" priority="11742"/>
    <cfRule type="duplicateValues" dxfId="9410" priority="11743"/>
    <cfRule type="duplicateValues" dxfId="9409" priority="11744"/>
    <cfRule type="duplicateValues" dxfId="9408" priority="11745"/>
    <cfRule type="duplicateValues" dxfId="9407" priority="11746"/>
    <cfRule type="duplicateValues" dxfId="9406" priority="11747"/>
    <cfRule type="duplicateValues" dxfId="9405" priority="11748"/>
    <cfRule type="duplicateValues" dxfId="9404" priority="11749"/>
    <cfRule type="duplicateValues" dxfId="9403" priority="11750"/>
    <cfRule type="duplicateValues" dxfId="9402" priority="11751"/>
    <cfRule type="duplicateValues" dxfId="9401" priority="11752"/>
    <cfRule type="duplicateValues" dxfId="9400" priority="11753"/>
    <cfRule type="duplicateValues" dxfId="9399" priority="11754"/>
    <cfRule type="duplicateValues" dxfId="9398" priority="11755"/>
    <cfRule type="duplicateValues" dxfId="9397" priority="11756"/>
    <cfRule type="duplicateValues" dxfId="9396" priority="11757"/>
    <cfRule type="duplicateValues" dxfId="9395" priority="11758"/>
    <cfRule type="duplicateValues" dxfId="9394" priority="11759"/>
    <cfRule type="duplicateValues" dxfId="9393" priority="11760"/>
    <cfRule type="duplicateValues" dxfId="9392" priority="11761"/>
    <cfRule type="duplicateValues" dxfId="9391" priority="11762"/>
    <cfRule type="duplicateValues" dxfId="9390" priority="11763"/>
    <cfRule type="duplicateValues" dxfId="9389" priority="11764"/>
  </conditionalFormatting>
  <conditionalFormatting sqref="AR19">
    <cfRule type="duplicateValues" dxfId="9388" priority="11649"/>
  </conditionalFormatting>
  <conditionalFormatting sqref="AR19">
    <cfRule type="duplicateValues" dxfId="9387" priority="11647"/>
    <cfRule type="duplicateValues" dxfId="9386" priority="11648"/>
  </conditionalFormatting>
  <conditionalFormatting sqref="AR19">
    <cfRule type="duplicateValues" dxfId="9385" priority="11686"/>
  </conditionalFormatting>
  <conditionalFormatting sqref="AR19">
    <cfRule type="duplicateValues" dxfId="9384" priority="11687"/>
    <cfRule type="duplicateValues" dxfId="9383" priority="11688"/>
  </conditionalFormatting>
  <conditionalFormatting sqref="AR19">
    <cfRule type="duplicateValues" dxfId="9382" priority="11684"/>
  </conditionalFormatting>
  <conditionalFormatting sqref="AR19">
    <cfRule type="duplicateValues" dxfId="9381" priority="11685"/>
  </conditionalFormatting>
  <conditionalFormatting sqref="AR19">
    <cfRule type="duplicateValues" dxfId="9380" priority="11683"/>
  </conditionalFormatting>
  <conditionalFormatting sqref="AR19">
    <cfRule type="duplicateValues" dxfId="9379" priority="11650"/>
    <cfRule type="duplicateValues" dxfId="9378" priority="11651"/>
    <cfRule type="duplicateValues" dxfId="9377" priority="11652"/>
    <cfRule type="duplicateValues" dxfId="9376" priority="11653"/>
  </conditionalFormatting>
  <conditionalFormatting sqref="AR19">
    <cfRule type="duplicateValues" dxfId="9375" priority="11655"/>
    <cfRule type="duplicateValues" dxfId="9374" priority="11656"/>
    <cfRule type="duplicateValues" dxfId="9373" priority="11657"/>
    <cfRule type="duplicateValues" dxfId="9372" priority="11658"/>
    <cfRule type="duplicateValues" dxfId="9371" priority="11659"/>
  </conditionalFormatting>
  <conditionalFormatting sqref="AR19">
    <cfRule type="duplicateValues" dxfId="9370" priority="11666"/>
    <cfRule type="duplicateValues" dxfId="9369" priority="11667"/>
    <cfRule type="duplicateValues" dxfId="9368" priority="11668"/>
    <cfRule type="duplicateValues" dxfId="9367" priority="11669"/>
    <cfRule type="duplicateValues" dxfId="9366" priority="11670"/>
    <cfRule type="duplicateValues" dxfId="9365" priority="11671"/>
    <cfRule type="duplicateValues" dxfId="9364" priority="11672"/>
    <cfRule type="duplicateValues" dxfId="9363" priority="11673"/>
    <cfRule type="duplicateValues" dxfId="9362" priority="11674"/>
    <cfRule type="duplicateValues" dxfId="9361" priority="11675"/>
    <cfRule type="duplicateValues" dxfId="9360" priority="11676"/>
  </conditionalFormatting>
  <conditionalFormatting sqref="AR19">
    <cfRule type="duplicateValues" dxfId="9359" priority="11660"/>
    <cfRule type="duplicateValues" dxfId="9358" priority="11661"/>
    <cfRule type="duplicateValues" dxfId="9357" priority="11662"/>
    <cfRule type="duplicateValues" dxfId="9356" priority="11663"/>
    <cfRule type="duplicateValues" dxfId="9355" priority="11664"/>
    <cfRule type="duplicateValues" dxfId="9354" priority="11665"/>
  </conditionalFormatting>
  <conditionalFormatting sqref="AR19">
    <cfRule type="duplicateValues" dxfId="9353" priority="11677"/>
    <cfRule type="duplicateValues" dxfId="9352" priority="11678"/>
    <cfRule type="duplicateValues" dxfId="9351" priority="11679"/>
    <cfRule type="duplicateValues" dxfId="9350" priority="11680"/>
    <cfRule type="duplicateValues" dxfId="9349" priority="11681"/>
    <cfRule type="duplicateValues" dxfId="9348" priority="11682"/>
  </conditionalFormatting>
  <conditionalFormatting sqref="AR19">
    <cfRule type="duplicateValues" dxfId="9347" priority="11654"/>
  </conditionalFormatting>
  <conditionalFormatting sqref="AR19">
    <cfRule type="duplicateValues" dxfId="9346" priority="11641"/>
    <cfRule type="duplicateValues" dxfId="9345" priority="11642"/>
    <cfRule type="duplicateValues" dxfId="9344" priority="11643"/>
    <cfRule type="duplicateValues" dxfId="9343" priority="11644"/>
    <cfRule type="duplicateValues" dxfId="9342" priority="11645"/>
    <cfRule type="duplicateValues" dxfId="9341" priority="11646"/>
  </conditionalFormatting>
  <conditionalFormatting sqref="AR19">
    <cfRule type="duplicateValues" dxfId="9340" priority="11636"/>
    <cfRule type="duplicateValues" dxfId="9339" priority="11637"/>
    <cfRule type="duplicateValues" dxfId="9338" priority="11638"/>
    <cfRule type="duplicateValues" dxfId="9337" priority="11639"/>
    <cfRule type="duplicateValues" dxfId="9336" priority="11640"/>
  </conditionalFormatting>
  <conditionalFormatting sqref="AR19">
    <cfRule type="duplicateValues" dxfId="9335" priority="11689"/>
    <cfRule type="duplicateValues" dxfId="9334" priority="11690"/>
    <cfRule type="duplicateValues" dxfId="9333" priority="11691"/>
    <cfRule type="duplicateValues" dxfId="9332" priority="11692"/>
    <cfRule type="duplicateValues" dxfId="9331" priority="11693"/>
    <cfRule type="duplicateValues" dxfId="9330" priority="11694"/>
    <cfRule type="duplicateValues" dxfId="9329" priority="11695"/>
    <cfRule type="duplicateValues" dxfId="9328" priority="11696"/>
    <cfRule type="duplicateValues" dxfId="9327" priority="11697"/>
    <cfRule type="duplicateValues" dxfId="9326" priority="11698"/>
    <cfRule type="duplicateValues" dxfId="9325" priority="11699"/>
    <cfRule type="duplicateValues" dxfId="9324" priority="11700"/>
    <cfRule type="duplicateValues" dxfId="9323" priority="11701"/>
    <cfRule type="duplicateValues" dxfId="9322" priority="11702"/>
    <cfRule type="duplicateValues" dxfId="9321" priority="11703"/>
    <cfRule type="duplicateValues" dxfId="9320" priority="11704"/>
    <cfRule type="duplicateValues" dxfId="9319" priority="11705"/>
    <cfRule type="duplicateValues" dxfId="9318" priority="11706"/>
    <cfRule type="duplicateValues" dxfId="9317" priority="11707"/>
    <cfRule type="duplicateValues" dxfId="9316" priority="11708"/>
    <cfRule type="duplicateValues" dxfId="9315" priority="11709"/>
    <cfRule type="duplicateValues" dxfId="9314" priority="11710"/>
  </conditionalFormatting>
  <conditionalFormatting sqref="AR19">
    <cfRule type="duplicateValues" dxfId="9313" priority="11711"/>
    <cfRule type="duplicateValues" dxfId="9312" priority="11712"/>
    <cfRule type="duplicateValues" dxfId="9311" priority="11713"/>
    <cfRule type="duplicateValues" dxfId="9310" priority="11714"/>
    <cfRule type="duplicateValues" dxfId="9309" priority="11715"/>
    <cfRule type="duplicateValues" dxfId="9308" priority="11716"/>
  </conditionalFormatting>
  <conditionalFormatting sqref="AR1:AR4 AR25:AR1048576">
    <cfRule type="duplicateValues" dxfId="9307" priority="68909"/>
  </conditionalFormatting>
  <conditionalFormatting sqref="AR10:AR13">
    <cfRule type="duplicateValues" dxfId="9306" priority="11601"/>
  </conditionalFormatting>
  <conditionalFormatting sqref="AR10:AR13">
    <cfRule type="duplicateValues" dxfId="9305" priority="11599"/>
    <cfRule type="duplicateValues" dxfId="9304" priority="11600"/>
  </conditionalFormatting>
  <conditionalFormatting sqref="AR10:AR13">
    <cfRule type="duplicateValues" dxfId="9303" priority="11605"/>
  </conditionalFormatting>
  <conditionalFormatting sqref="AR10:AR13">
    <cfRule type="duplicateValues" dxfId="9302" priority="11606"/>
    <cfRule type="duplicateValues" dxfId="9301" priority="11607"/>
  </conditionalFormatting>
  <conditionalFormatting sqref="AR10:AR13">
    <cfRule type="duplicateValues" dxfId="9300" priority="11603"/>
  </conditionalFormatting>
  <conditionalFormatting sqref="AR10:AR13">
    <cfRule type="duplicateValues" dxfId="9299" priority="11604"/>
  </conditionalFormatting>
  <conditionalFormatting sqref="AR10:AR13">
    <cfRule type="duplicateValues" dxfId="9298" priority="11602"/>
  </conditionalFormatting>
  <conditionalFormatting sqref="AR10:AR13">
    <cfRule type="duplicateValues" dxfId="9297" priority="11593"/>
    <cfRule type="duplicateValues" dxfId="9296" priority="11594"/>
    <cfRule type="duplicateValues" dxfId="9295" priority="11595"/>
    <cfRule type="duplicateValues" dxfId="9294" priority="11596"/>
    <cfRule type="duplicateValues" dxfId="9293" priority="11597"/>
    <cfRule type="duplicateValues" dxfId="9292" priority="11598"/>
  </conditionalFormatting>
  <conditionalFormatting sqref="AR10:AR13">
    <cfRule type="duplicateValues" dxfId="9291" priority="11588"/>
    <cfRule type="duplicateValues" dxfId="9290" priority="11589"/>
    <cfRule type="duplicateValues" dxfId="9289" priority="11590"/>
    <cfRule type="duplicateValues" dxfId="9288" priority="11591"/>
    <cfRule type="duplicateValues" dxfId="9287" priority="11592"/>
  </conditionalFormatting>
  <conditionalFormatting sqref="AR10">
    <cfRule type="duplicateValues" dxfId="9286" priority="11608"/>
    <cfRule type="duplicateValues" dxfId="9285" priority="11609"/>
    <cfRule type="duplicateValues" dxfId="9284" priority="11610"/>
    <cfRule type="duplicateValues" dxfId="9283" priority="11611"/>
    <cfRule type="duplicateValues" dxfId="9282" priority="11612"/>
    <cfRule type="duplicateValues" dxfId="9281" priority="11613"/>
    <cfRule type="duplicateValues" dxfId="9280" priority="11614"/>
    <cfRule type="duplicateValues" dxfId="9279" priority="11615"/>
    <cfRule type="duplicateValues" dxfId="9278" priority="11616"/>
    <cfRule type="duplicateValues" dxfId="9277" priority="11617"/>
    <cfRule type="duplicateValues" dxfId="9276" priority="11618"/>
    <cfRule type="duplicateValues" dxfId="9275" priority="11619"/>
    <cfRule type="duplicateValues" dxfId="9274" priority="11620"/>
    <cfRule type="duplicateValues" dxfId="9273" priority="11621"/>
    <cfRule type="duplicateValues" dxfId="9272" priority="11622"/>
    <cfRule type="duplicateValues" dxfId="9271" priority="11623"/>
    <cfRule type="duplicateValues" dxfId="9270" priority="11624"/>
    <cfRule type="duplicateValues" dxfId="9269" priority="11625"/>
    <cfRule type="duplicateValues" dxfId="9268" priority="11626"/>
    <cfRule type="duplicateValues" dxfId="9267" priority="11627"/>
    <cfRule type="duplicateValues" dxfId="9266" priority="11628"/>
    <cfRule type="duplicateValues" dxfId="9265" priority="11629"/>
    <cfRule type="duplicateValues" dxfId="9264" priority="11630"/>
    <cfRule type="duplicateValues" dxfId="9263" priority="11631"/>
    <cfRule type="duplicateValues" dxfId="9262" priority="11632"/>
    <cfRule type="duplicateValues" dxfId="9261" priority="11633"/>
    <cfRule type="duplicateValues" dxfId="9260" priority="11634"/>
    <cfRule type="duplicateValues" dxfId="9259" priority="11635"/>
  </conditionalFormatting>
  <conditionalFormatting sqref="AR11:AR13">
    <cfRule type="duplicateValues" dxfId="9258" priority="11527"/>
    <cfRule type="duplicateValues" dxfId="9257" priority="11528"/>
    <cfRule type="duplicateValues" dxfId="9256" priority="11529"/>
    <cfRule type="duplicateValues" dxfId="9255" priority="11530"/>
  </conditionalFormatting>
  <conditionalFormatting sqref="AR11:AR13">
    <cfRule type="duplicateValues" dxfId="9254" priority="11532"/>
    <cfRule type="duplicateValues" dxfId="9253" priority="11533"/>
    <cfRule type="duplicateValues" dxfId="9252" priority="11534"/>
    <cfRule type="duplicateValues" dxfId="9251" priority="11535"/>
    <cfRule type="duplicateValues" dxfId="9250" priority="11536"/>
  </conditionalFormatting>
  <conditionalFormatting sqref="AR11:AR13">
    <cfRule type="duplicateValues" dxfId="9249" priority="11543"/>
    <cfRule type="duplicateValues" dxfId="9248" priority="11544"/>
    <cfRule type="duplicateValues" dxfId="9247" priority="11545"/>
    <cfRule type="duplicateValues" dxfId="9246" priority="11546"/>
    <cfRule type="duplicateValues" dxfId="9245" priority="11547"/>
    <cfRule type="duplicateValues" dxfId="9244" priority="11548"/>
    <cfRule type="duplicateValues" dxfId="9243" priority="11549"/>
    <cfRule type="duplicateValues" dxfId="9242" priority="11550"/>
    <cfRule type="duplicateValues" dxfId="9241" priority="11551"/>
    <cfRule type="duplicateValues" dxfId="9240" priority="11552"/>
    <cfRule type="duplicateValues" dxfId="9239" priority="11553"/>
  </conditionalFormatting>
  <conditionalFormatting sqref="AR11:AR13">
    <cfRule type="duplicateValues" dxfId="9238" priority="11537"/>
    <cfRule type="duplicateValues" dxfId="9237" priority="11538"/>
    <cfRule type="duplicateValues" dxfId="9236" priority="11539"/>
    <cfRule type="duplicateValues" dxfId="9235" priority="11540"/>
    <cfRule type="duplicateValues" dxfId="9234" priority="11541"/>
    <cfRule type="duplicateValues" dxfId="9233" priority="11542"/>
  </conditionalFormatting>
  <conditionalFormatting sqref="AR11:AR13">
    <cfRule type="duplicateValues" dxfId="9232" priority="11554"/>
    <cfRule type="duplicateValues" dxfId="9231" priority="11555"/>
    <cfRule type="duplicateValues" dxfId="9230" priority="11556"/>
    <cfRule type="duplicateValues" dxfId="9229" priority="11557"/>
    <cfRule type="duplicateValues" dxfId="9228" priority="11558"/>
    <cfRule type="duplicateValues" dxfId="9227" priority="11559"/>
  </conditionalFormatting>
  <conditionalFormatting sqref="AR11:AR13">
    <cfRule type="duplicateValues" dxfId="9226" priority="11531"/>
  </conditionalFormatting>
  <conditionalFormatting sqref="AR11:AR13">
    <cfRule type="duplicateValues" dxfId="9225" priority="11560"/>
    <cfRule type="duplicateValues" dxfId="9224" priority="11561"/>
    <cfRule type="duplicateValues" dxfId="9223" priority="11562"/>
    <cfRule type="duplicateValues" dxfId="9222" priority="11563"/>
    <cfRule type="duplicateValues" dxfId="9221" priority="11564"/>
    <cfRule type="duplicateValues" dxfId="9220" priority="11565"/>
    <cfRule type="duplicateValues" dxfId="9219" priority="11566"/>
    <cfRule type="duplicateValues" dxfId="9218" priority="11567"/>
    <cfRule type="duplicateValues" dxfId="9217" priority="11568"/>
    <cfRule type="duplicateValues" dxfId="9216" priority="11569"/>
    <cfRule type="duplicateValues" dxfId="9215" priority="11570"/>
    <cfRule type="duplicateValues" dxfId="9214" priority="11571"/>
    <cfRule type="duplicateValues" dxfId="9213" priority="11572"/>
    <cfRule type="duplicateValues" dxfId="9212" priority="11573"/>
    <cfRule type="duplicateValues" dxfId="9211" priority="11574"/>
    <cfRule type="duplicateValues" dxfId="9210" priority="11575"/>
    <cfRule type="duplicateValues" dxfId="9209" priority="11576"/>
    <cfRule type="duplicateValues" dxfId="9208" priority="11577"/>
    <cfRule type="duplicateValues" dxfId="9207" priority="11578"/>
    <cfRule type="duplicateValues" dxfId="9206" priority="11579"/>
    <cfRule type="duplicateValues" dxfId="9205" priority="11580"/>
    <cfRule type="duplicateValues" dxfId="9204" priority="11581"/>
  </conditionalFormatting>
  <conditionalFormatting sqref="AR11:AR13">
    <cfRule type="duplicateValues" dxfId="9203" priority="11582"/>
    <cfRule type="duplicateValues" dxfId="9202" priority="11583"/>
    <cfRule type="duplicateValues" dxfId="9201" priority="11584"/>
    <cfRule type="duplicateValues" dxfId="9200" priority="11585"/>
    <cfRule type="duplicateValues" dxfId="9199" priority="11586"/>
    <cfRule type="duplicateValues" dxfId="9198" priority="11587"/>
  </conditionalFormatting>
  <conditionalFormatting sqref="AR24 AR16:AR17 AR20:AR22">
    <cfRule type="duplicateValues" dxfId="9197" priority="68921"/>
  </conditionalFormatting>
  <conditionalFormatting sqref="AR24 AR16:AR17 AR20:AR22">
    <cfRule type="duplicateValues" dxfId="9196" priority="68925"/>
    <cfRule type="duplicateValues" dxfId="9195" priority="68926"/>
  </conditionalFormatting>
  <conditionalFormatting sqref="AR24 AR22">
    <cfRule type="duplicateValues" dxfId="9194" priority="68933"/>
  </conditionalFormatting>
  <conditionalFormatting sqref="AR24 AR22">
    <cfRule type="duplicateValues" dxfId="9193" priority="68935"/>
    <cfRule type="duplicateValues" dxfId="9192" priority="68936"/>
  </conditionalFormatting>
  <conditionalFormatting sqref="AR24 AR16:AR17 AR20:AR22">
    <cfRule type="duplicateValues" dxfId="9191" priority="68943"/>
    <cfRule type="duplicateValues" dxfId="9190" priority="68944"/>
    <cfRule type="duplicateValues" dxfId="9189" priority="68945"/>
    <cfRule type="duplicateValues" dxfId="9188" priority="68946"/>
    <cfRule type="duplicateValues" dxfId="9187" priority="68947"/>
    <cfRule type="duplicateValues" dxfId="9186" priority="68948"/>
  </conditionalFormatting>
  <conditionalFormatting sqref="AR24 AR16:AR17 AR20:AR22">
    <cfRule type="duplicateValues" dxfId="9185" priority="68967"/>
    <cfRule type="duplicateValues" dxfId="9184" priority="68968"/>
    <cfRule type="duplicateValues" dxfId="9183" priority="68969"/>
    <cfRule type="duplicateValues" dxfId="9182" priority="68970"/>
    <cfRule type="duplicateValues" dxfId="9181" priority="68971"/>
  </conditionalFormatting>
  <conditionalFormatting sqref="AR24 AR16:AR17 AR20:AR22">
    <cfRule type="duplicateValues" dxfId="9180" priority="68987"/>
    <cfRule type="duplicateValues" dxfId="9179" priority="68988"/>
    <cfRule type="duplicateValues" dxfId="9178" priority="68989"/>
    <cfRule type="duplicateValues" dxfId="9177" priority="68990"/>
    <cfRule type="duplicateValues" dxfId="9176" priority="68991"/>
    <cfRule type="duplicateValues" dxfId="9175" priority="68992"/>
    <cfRule type="duplicateValues" dxfId="9174" priority="68993"/>
    <cfRule type="duplicateValues" dxfId="9173" priority="68994"/>
    <cfRule type="duplicateValues" dxfId="9172" priority="68995"/>
    <cfRule type="duplicateValues" dxfId="9171" priority="68996"/>
    <cfRule type="duplicateValues" dxfId="9170" priority="68997"/>
    <cfRule type="duplicateValues" dxfId="9169" priority="68998"/>
    <cfRule type="duplicateValues" dxfId="9168" priority="68999"/>
    <cfRule type="duplicateValues" dxfId="9167" priority="69000"/>
    <cfRule type="duplicateValues" dxfId="9166" priority="69001"/>
    <cfRule type="duplicateValues" dxfId="9165" priority="69002"/>
    <cfRule type="duplicateValues" dxfId="9164" priority="69003"/>
    <cfRule type="duplicateValues" dxfId="9163" priority="69004"/>
    <cfRule type="duplicateValues" dxfId="9162" priority="69005"/>
    <cfRule type="duplicateValues" dxfId="9161" priority="69006"/>
    <cfRule type="duplicateValues" dxfId="9160" priority="69007"/>
    <cfRule type="duplicateValues" dxfId="9159" priority="69008"/>
    <cfRule type="duplicateValues" dxfId="9158" priority="69009"/>
    <cfRule type="duplicateValues" dxfId="9157" priority="69010"/>
    <cfRule type="duplicateValues" dxfId="9156" priority="69011"/>
    <cfRule type="duplicateValues" dxfId="9155" priority="69012"/>
    <cfRule type="duplicateValues" dxfId="9154" priority="69013"/>
    <cfRule type="duplicateValues" dxfId="9153" priority="69014"/>
  </conditionalFormatting>
  <conditionalFormatting sqref="J16 J14">
    <cfRule type="duplicateValues" dxfId="9152" priority="11396"/>
  </conditionalFormatting>
  <conditionalFormatting sqref="J16 J14">
    <cfRule type="duplicateValues" dxfId="9151" priority="11394"/>
    <cfRule type="duplicateValues" dxfId="9150" priority="11395"/>
  </conditionalFormatting>
  <conditionalFormatting sqref="J16 J14">
    <cfRule type="duplicateValues" dxfId="9149" priority="11400"/>
  </conditionalFormatting>
  <conditionalFormatting sqref="J16 J14">
    <cfRule type="duplicateValues" dxfId="9148" priority="11401"/>
    <cfRule type="duplicateValues" dxfId="9147" priority="11402"/>
  </conditionalFormatting>
  <conditionalFormatting sqref="J16 J14">
    <cfRule type="duplicateValues" dxfId="9146" priority="11398"/>
  </conditionalFormatting>
  <conditionalFormatting sqref="J16 J14">
    <cfRule type="duplicateValues" dxfId="9145" priority="11399"/>
  </conditionalFormatting>
  <conditionalFormatting sqref="J16 J14">
    <cfRule type="duplicateValues" dxfId="9144" priority="11397"/>
  </conditionalFormatting>
  <conditionalFormatting sqref="J16 J14">
    <cfRule type="duplicateValues" dxfId="9143" priority="11388"/>
    <cfRule type="duplicateValues" dxfId="9142" priority="11389"/>
    <cfRule type="duplicateValues" dxfId="9141" priority="11390"/>
    <cfRule type="duplicateValues" dxfId="9140" priority="11391"/>
    <cfRule type="duplicateValues" dxfId="9139" priority="11392"/>
    <cfRule type="duplicateValues" dxfId="9138" priority="11393"/>
  </conditionalFormatting>
  <conditionalFormatting sqref="J16 J14">
    <cfRule type="duplicateValues" dxfId="9137" priority="11383"/>
    <cfRule type="duplicateValues" dxfId="9136" priority="11384"/>
    <cfRule type="duplicateValues" dxfId="9135" priority="11385"/>
    <cfRule type="duplicateValues" dxfId="9134" priority="11386"/>
    <cfRule type="duplicateValues" dxfId="9133" priority="11387"/>
  </conditionalFormatting>
  <conditionalFormatting sqref="J16 J14">
    <cfRule type="duplicateValues" dxfId="9132" priority="11403"/>
    <cfRule type="duplicateValues" dxfId="9131" priority="11404"/>
    <cfRule type="duplicateValues" dxfId="9130" priority="11405"/>
    <cfRule type="duplicateValues" dxfId="9129" priority="11406"/>
    <cfRule type="duplicateValues" dxfId="9128" priority="11407"/>
    <cfRule type="duplicateValues" dxfId="9127" priority="11408"/>
    <cfRule type="duplicateValues" dxfId="9126" priority="11409"/>
    <cfRule type="duplicateValues" dxfId="9125" priority="11410"/>
    <cfRule type="duplicateValues" dxfId="9124" priority="11411"/>
    <cfRule type="duplicateValues" dxfId="9123" priority="11412"/>
    <cfRule type="duplicateValues" dxfId="9122" priority="11413"/>
    <cfRule type="duplicateValues" dxfId="9121" priority="11414"/>
    <cfRule type="duplicateValues" dxfId="9120" priority="11415"/>
    <cfRule type="duplicateValues" dxfId="9119" priority="11416"/>
    <cfRule type="duplicateValues" dxfId="9118" priority="11417"/>
    <cfRule type="duplicateValues" dxfId="9117" priority="11418"/>
    <cfRule type="duplicateValues" dxfId="9116" priority="11419"/>
    <cfRule type="duplicateValues" dxfId="9115" priority="11420"/>
    <cfRule type="duplicateValues" dxfId="9114" priority="11421"/>
    <cfRule type="duplicateValues" dxfId="9113" priority="11422"/>
    <cfRule type="duplicateValues" dxfId="9112" priority="11423"/>
    <cfRule type="duplicateValues" dxfId="9111" priority="11424"/>
    <cfRule type="duplicateValues" dxfId="9110" priority="11425"/>
    <cfRule type="duplicateValues" dxfId="9109" priority="11426"/>
    <cfRule type="duplicateValues" dxfId="9108" priority="11427"/>
    <cfRule type="duplicateValues" dxfId="9107" priority="11428"/>
    <cfRule type="duplicateValues" dxfId="9106" priority="11429"/>
    <cfRule type="duplicateValues" dxfId="9105" priority="11430"/>
  </conditionalFormatting>
  <conditionalFormatting sqref="J9">
    <cfRule type="duplicateValues" dxfId="9104" priority="11204"/>
  </conditionalFormatting>
  <conditionalFormatting sqref="J9">
    <cfRule type="duplicateValues" dxfId="9103" priority="11202"/>
    <cfRule type="duplicateValues" dxfId="9102" priority="11203"/>
  </conditionalFormatting>
  <conditionalFormatting sqref="J9">
    <cfRule type="duplicateValues" dxfId="9101" priority="11208"/>
  </conditionalFormatting>
  <conditionalFormatting sqref="J9">
    <cfRule type="duplicateValues" dxfId="9100" priority="11209"/>
    <cfRule type="duplicateValues" dxfId="9099" priority="11210"/>
  </conditionalFormatting>
  <conditionalFormatting sqref="J9">
    <cfRule type="duplicateValues" dxfId="9098" priority="11206"/>
  </conditionalFormatting>
  <conditionalFormatting sqref="J9">
    <cfRule type="duplicateValues" dxfId="9097" priority="11207"/>
  </conditionalFormatting>
  <conditionalFormatting sqref="J9">
    <cfRule type="duplicateValues" dxfId="9096" priority="11205"/>
  </conditionalFormatting>
  <conditionalFormatting sqref="J9">
    <cfRule type="duplicateValues" dxfId="9095" priority="11196"/>
    <cfRule type="duplicateValues" dxfId="9094" priority="11197"/>
    <cfRule type="duplicateValues" dxfId="9093" priority="11198"/>
    <cfRule type="duplicateValues" dxfId="9092" priority="11199"/>
    <cfRule type="duplicateValues" dxfId="9091" priority="11200"/>
    <cfRule type="duplicateValues" dxfId="9090" priority="11201"/>
  </conditionalFormatting>
  <conditionalFormatting sqref="J9">
    <cfRule type="duplicateValues" dxfId="9089" priority="11191"/>
    <cfRule type="duplicateValues" dxfId="9088" priority="11192"/>
    <cfRule type="duplicateValues" dxfId="9087" priority="11193"/>
    <cfRule type="duplicateValues" dxfId="9086" priority="11194"/>
    <cfRule type="duplicateValues" dxfId="9085" priority="11195"/>
  </conditionalFormatting>
  <conditionalFormatting sqref="J9">
    <cfRule type="duplicateValues" dxfId="9084" priority="11211"/>
    <cfRule type="duplicateValues" dxfId="9083" priority="11212"/>
    <cfRule type="duplicateValues" dxfId="9082" priority="11213"/>
    <cfRule type="duplicateValues" dxfId="9081" priority="11214"/>
    <cfRule type="duplicateValues" dxfId="9080" priority="11215"/>
    <cfRule type="duplicateValues" dxfId="9079" priority="11216"/>
    <cfRule type="duplicateValues" dxfId="9078" priority="11217"/>
    <cfRule type="duplicateValues" dxfId="9077" priority="11218"/>
    <cfRule type="duplicateValues" dxfId="9076" priority="11219"/>
    <cfRule type="duplicateValues" dxfId="9075" priority="11220"/>
    <cfRule type="duplicateValues" dxfId="9074" priority="11221"/>
    <cfRule type="duplicateValues" dxfId="9073" priority="11222"/>
    <cfRule type="duplicateValues" dxfId="9072" priority="11223"/>
    <cfRule type="duplicateValues" dxfId="9071" priority="11224"/>
    <cfRule type="duplicateValues" dxfId="9070" priority="11225"/>
    <cfRule type="duplicateValues" dxfId="9069" priority="11226"/>
    <cfRule type="duplicateValues" dxfId="9068" priority="11227"/>
    <cfRule type="duplicateValues" dxfId="9067" priority="11228"/>
    <cfRule type="duplicateValues" dxfId="9066" priority="11229"/>
    <cfRule type="duplicateValues" dxfId="9065" priority="11230"/>
    <cfRule type="duplicateValues" dxfId="9064" priority="11231"/>
    <cfRule type="duplicateValues" dxfId="9063" priority="11232"/>
    <cfRule type="duplicateValues" dxfId="9062" priority="11233"/>
    <cfRule type="duplicateValues" dxfId="9061" priority="11234"/>
    <cfRule type="duplicateValues" dxfId="9060" priority="11235"/>
    <cfRule type="duplicateValues" dxfId="9059" priority="11236"/>
    <cfRule type="duplicateValues" dxfId="9058" priority="11237"/>
    <cfRule type="duplicateValues" dxfId="9057" priority="11238"/>
  </conditionalFormatting>
  <conditionalFormatting sqref="J21:J22">
    <cfRule type="duplicateValues" dxfId="9056" priority="11108"/>
  </conditionalFormatting>
  <conditionalFormatting sqref="J21:J22">
    <cfRule type="duplicateValues" dxfId="9055" priority="11106"/>
    <cfRule type="duplicateValues" dxfId="9054" priority="11107"/>
  </conditionalFormatting>
  <conditionalFormatting sqref="J21:J22">
    <cfRule type="duplicateValues" dxfId="9053" priority="11112"/>
  </conditionalFormatting>
  <conditionalFormatting sqref="J21:J22">
    <cfRule type="duplicateValues" dxfId="9052" priority="11113"/>
    <cfRule type="duplicateValues" dxfId="9051" priority="11114"/>
  </conditionalFormatting>
  <conditionalFormatting sqref="J21:J22">
    <cfRule type="duplicateValues" dxfId="9050" priority="11110"/>
  </conditionalFormatting>
  <conditionalFormatting sqref="J21:J22">
    <cfRule type="duplicateValues" dxfId="9049" priority="11111"/>
  </conditionalFormatting>
  <conditionalFormatting sqref="J21:J22">
    <cfRule type="duplicateValues" dxfId="9048" priority="11109"/>
  </conditionalFormatting>
  <conditionalFormatting sqref="J21:J22">
    <cfRule type="duplicateValues" dxfId="9047" priority="11100"/>
    <cfRule type="duplicateValues" dxfId="9046" priority="11101"/>
    <cfRule type="duplicateValues" dxfId="9045" priority="11102"/>
    <cfRule type="duplicateValues" dxfId="9044" priority="11103"/>
    <cfRule type="duplicateValues" dxfId="9043" priority="11104"/>
    <cfRule type="duplicateValues" dxfId="9042" priority="11105"/>
  </conditionalFormatting>
  <conditionalFormatting sqref="J21:J22">
    <cfRule type="duplicateValues" dxfId="9041" priority="11095"/>
    <cfRule type="duplicateValues" dxfId="9040" priority="11096"/>
    <cfRule type="duplicateValues" dxfId="9039" priority="11097"/>
    <cfRule type="duplicateValues" dxfId="9038" priority="11098"/>
    <cfRule type="duplicateValues" dxfId="9037" priority="11099"/>
  </conditionalFormatting>
  <conditionalFormatting sqref="J21:J22">
    <cfRule type="duplicateValues" dxfId="9036" priority="11115"/>
    <cfRule type="duplicateValues" dxfId="9035" priority="11116"/>
    <cfRule type="duplicateValues" dxfId="9034" priority="11117"/>
    <cfRule type="duplicateValues" dxfId="9033" priority="11118"/>
    <cfRule type="duplicateValues" dxfId="9032" priority="11119"/>
    <cfRule type="duplicateValues" dxfId="9031" priority="11120"/>
    <cfRule type="duplicateValues" dxfId="9030" priority="11121"/>
    <cfRule type="duplicateValues" dxfId="9029" priority="11122"/>
    <cfRule type="duplicateValues" dxfId="9028" priority="11123"/>
    <cfRule type="duplicateValues" dxfId="9027" priority="11124"/>
    <cfRule type="duplicateValues" dxfId="9026" priority="11125"/>
    <cfRule type="duplicateValues" dxfId="9025" priority="11126"/>
    <cfRule type="duplicateValues" dxfId="9024" priority="11127"/>
    <cfRule type="duplicateValues" dxfId="9023" priority="11128"/>
    <cfRule type="duplicateValues" dxfId="9022" priority="11129"/>
    <cfRule type="duplicateValues" dxfId="9021" priority="11130"/>
    <cfRule type="duplicateValues" dxfId="9020" priority="11131"/>
    <cfRule type="duplicateValues" dxfId="9019" priority="11132"/>
    <cfRule type="duplicateValues" dxfId="9018" priority="11133"/>
    <cfRule type="duplicateValues" dxfId="9017" priority="11134"/>
    <cfRule type="duplicateValues" dxfId="9016" priority="11135"/>
    <cfRule type="duplicateValues" dxfId="9015" priority="11136"/>
    <cfRule type="duplicateValues" dxfId="9014" priority="11137"/>
    <cfRule type="duplicateValues" dxfId="9013" priority="11138"/>
    <cfRule type="duplicateValues" dxfId="9012" priority="11139"/>
    <cfRule type="duplicateValues" dxfId="9011" priority="11140"/>
    <cfRule type="duplicateValues" dxfId="9010" priority="11141"/>
    <cfRule type="duplicateValues" dxfId="9009" priority="11142"/>
  </conditionalFormatting>
  <conditionalFormatting sqref="J7:J23">
    <cfRule type="duplicateValues" dxfId="9008" priority="10931"/>
  </conditionalFormatting>
  <conditionalFormatting sqref="J7:J23">
    <cfRule type="duplicateValues" dxfId="9007" priority="10929"/>
    <cfRule type="duplicateValues" dxfId="9006" priority="10930"/>
  </conditionalFormatting>
  <conditionalFormatting sqref="J7:J23">
    <cfRule type="duplicateValues" dxfId="9005" priority="10923"/>
    <cfRule type="duplicateValues" dxfId="9004" priority="10924"/>
    <cfRule type="duplicateValues" dxfId="9003" priority="10925"/>
    <cfRule type="duplicateValues" dxfId="9002" priority="10926"/>
    <cfRule type="duplicateValues" dxfId="9001" priority="10927"/>
    <cfRule type="duplicateValues" dxfId="9000" priority="10928"/>
  </conditionalFormatting>
  <conditionalFormatting sqref="J7:J23">
    <cfRule type="duplicateValues" dxfId="8999" priority="10918"/>
    <cfRule type="duplicateValues" dxfId="8998" priority="10919"/>
    <cfRule type="duplicateValues" dxfId="8997" priority="10920"/>
    <cfRule type="duplicateValues" dxfId="8996" priority="10921"/>
    <cfRule type="duplicateValues" dxfId="8995" priority="10922"/>
  </conditionalFormatting>
  <conditionalFormatting sqref="J7:J23">
    <cfRule type="duplicateValues" dxfId="8994" priority="10938"/>
    <cfRule type="duplicateValues" dxfId="8993" priority="10939"/>
    <cfRule type="duplicateValues" dxfId="8992" priority="10940"/>
    <cfRule type="duplicateValues" dxfId="8991" priority="10941"/>
    <cfRule type="duplicateValues" dxfId="8990" priority="10942"/>
    <cfRule type="duplicateValues" dxfId="8989" priority="10943"/>
    <cfRule type="duplicateValues" dxfId="8988" priority="10944"/>
    <cfRule type="duplicateValues" dxfId="8987" priority="10945"/>
    <cfRule type="duplicateValues" dxfId="8986" priority="10946"/>
    <cfRule type="duplicateValues" dxfId="8985" priority="10947"/>
    <cfRule type="duplicateValues" dxfId="8984" priority="10948"/>
    <cfRule type="duplicateValues" dxfId="8983" priority="10949"/>
    <cfRule type="duplicateValues" dxfId="8982" priority="10950"/>
    <cfRule type="duplicateValues" dxfId="8981" priority="10951"/>
    <cfRule type="duplicateValues" dxfId="8980" priority="10952"/>
    <cfRule type="duplicateValues" dxfId="8979" priority="10953"/>
    <cfRule type="duplicateValues" dxfId="8978" priority="10954"/>
    <cfRule type="duplicateValues" dxfId="8977" priority="10955"/>
    <cfRule type="duplicateValues" dxfId="8976" priority="10956"/>
    <cfRule type="duplicateValues" dxfId="8975" priority="10957"/>
    <cfRule type="duplicateValues" dxfId="8974" priority="10958"/>
    <cfRule type="duplicateValues" dxfId="8973" priority="10959"/>
    <cfRule type="duplicateValues" dxfId="8972" priority="10960"/>
    <cfRule type="duplicateValues" dxfId="8971" priority="10961"/>
    <cfRule type="duplicateValues" dxfId="8970" priority="10962"/>
    <cfRule type="duplicateValues" dxfId="8969" priority="10963"/>
    <cfRule type="duplicateValues" dxfId="8968" priority="10964"/>
    <cfRule type="duplicateValues" dxfId="8967" priority="10965"/>
  </conditionalFormatting>
  <conditionalFormatting sqref="R6">
    <cfRule type="duplicateValues" dxfId="8966" priority="10802"/>
  </conditionalFormatting>
  <conditionalFormatting sqref="R6">
    <cfRule type="duplicateValues" dxfId="8965" priority="10800"/>
    <cfRule type="duplicateValues" dxfId="8964" priority="10801"/>
  </conditionalFormatting>
  <conditionalFormatting sqref="R6">
    <cfRule type="duplicateValues" dxfId="8963" priority="10806"/>
  </conditionalFormatting>
  <conditionalFormatting sqref="R6">
    <cfRule type="duplicateValues" dxfId="8962" priority="10807"/>
    <cfRule type="duplicateValues" dxfId="8961" priority="10808"/>
  </conditionalFormatting>
  <conditionalFormatting sqref="R6">
    <cfRule type="duplicateValues" dxfId="8960" priority="10804"/>
  </conditionalFormatting>
  <conditionalFormatting sqref="R6">
    <cfRule type="duplicateValues" dxfId="8959" priority="10805"/>
  </conditionalFormatting>
  <conditionalFormatting sqref="R6">
    <cfRule type="duplicateValues" dxfId="8958" priority="10803"/>
  </conditionalFormatting>
  <conditionalFormatting sqref="R6">
    <cfRule type="duplicateValues" dxfId="8957" priority="10794"/>
    <cfRule type="duplicateValues" dxfId="8956" priority="10795"/>
    <cfRule type="duplicateValues" dxfId="8955" priority="10796"/>
    <cfRule type="duplicateValues" dxfId="8954" priority="10797"/>
    <cfRule type="duplicateValues" dxfId="8953" priority="10798"/>
    <cfRule type="duplicateValues" dxfId="8952" priority="10799"/>
  </conditionalFormatting>
  <conditionalFormatting sqref="R6">
    <cfRule type="duplicateValues" dxfId="8951" priority="10789"/>
    <cfRule type="duplicateValues" dxfId="8950" priority="10790"/>
    <cfRule type="duplicateValues" dxfId="8949" priority="10791"/>
    <cfRule type="duplicateValues" dxfId="8948" priority="10792"/>
    <cfRule type="duplicateValues" dxfId="8947" priority="10793"/>
  </conditionalFormatting>
  <conditionalFormatting sqref="R6">
    <cfRule type="duplicateValues" dxfId="8946" priority="10809"/>
    <cfRule type="duplicateValues" dxfId="8945" priority="10810"/>
    <cfRule type="duplicateValues" dxfId="8944" priority="10811"/>
    <cfRule type="duplicateValues" dxfId="8943" priority="10812"/>
    <cfRule type="duplicateValues" dxfId="8942" priority="10813"/>
    <cfRule type="duplicateValues" dxfId="8941" priority="10814"/>
    <cfRule type="duplicateValues" dxfId="8940" priority="10815"/>
    <cfRule type="duplicateValues" dxfId="8939" priority="10816"/>
    <cfRule type="duplicateValues" dxfId="8938" priority="10817"/>
    <cfRule type="duplicateValues" dxfId="8937" priority="10818"/>
    <cfRule type="duplicateValues" dxfId="8936" priority="10819"/>
    <cfRule type="duplicateValues" dxfId="8935" priority="10820"/>
    <cfRule type="duplicateValues" dxfId="8934" priority="10821"/>
    <cfRule type="duplicateValues" dxfId="8933" priority="10822"/>
    <cfRule type="duplicateValues" dxfId="8932" priority="10823"/>
    <cfRule type="duplicateValues" dxfId="8931" priority="10824"/>
    <cfRule type="duplicateValues" dxfId="8930" priority="10825"/>
    <cfRule type="duplicateValues" dxfId="8929" priority="10826"/>
    <cfRule type="duplicateValues" dxfId="8928" priority="10827"/>
    <cfRule type="duplicateValues" dxfId="8927" priority="10828"/>
    <cfRule type="duplicateValues" dxfId="8926" priority="10829"/>
    <cfRule type="duplicateValues" dxfId="8925" priority="10830"/>
    <cfRule type="duplicateValues" dxfId="8924" priority="10831"/>
    <cfRule type="duplicateValues" dxfId="8923" priority="10832"/>
    <cfRule type="duplicateValues" dxfId="8922" priority="10833"/>
    <cfRule type="duplicateValues" dxfId="8921" priority="10834"/>
    <cfRule type="duplicateValues" dxfId="8920" priority="10835"/>
    <cfRule type="duplicateValues" dxfId="8919" priority="10836"/>
  </conditionalFormatting>
  <conditionalFormatting sqref="R14">
    <cfRule type="duplicateValues" dxfId="8918" priority="10640"/>
  </conditionalFormatting>
  <conditionalFormatting sqref="R14">
    <cfRule type="duplicateValues" dxfId="8917" priority="10638"/>
    <cfRule type="duplicateValues" dxfId="8916" priority="10639"/>
  </conditionalFormatting>
  <conditionalFormatting sqref="R14">
    <cfRule type="duplicateValues" dxfId="8915" priority="10677"/>
  </conditionalFormatting>
  <conditionalFormatting sqref="R14">
    <cfRule type="duplicateValues" dxfId="8914" priority="10678"/>
    <cfRule type="duplicateValues" dxfId="8913" priority="10679"/>
  </conditionalFormatting>
  <conditionalFormatting sqref="R14">
    <cfRule type="duplicateValues" dxfId="8912" priority="10675"/>
  </conditionalFormatting>
  <conditionalFormatting sqref="R14">
    <cfRule type="duplicateValues" dxfId="8911" priority="10676"/>
  </conditionalFormatting>
  <conditionalFormatting sqref="R14">
    <cfRule type="duplicateValues" dxfId="8910" priority="10674"/>
  </conditionalFormatting>
  <conditionalFormatting sqref="R14">
    <cfRule type="duplicateValues" dxfId="8909" priority="10641"/>
    <cfRule type="duplicateValues" dxfId="8908" priority="10642"/>
    <cfRule type="duplicateValues" dxfId="8907" priority="10643"/>
    <cfRule type="duplicateValues" dxfId="8906" priority="10644"/>
  </conditionalFormatting>
  <conditionalFormatting sqref="R14">
    <cfRule type="duplicateValues" dxfId="8905" priority="10646"/>
    <cfRule type="duplicateValues" dxfId="8904" priority="10647"/>
    <cfRule type="duplicateValues" dxfId="8903" priority="10648"/>
    <cfRule type="duplicateValues" dxfId="8902" priority="10649"/>
    <cfRule type="duplicateValues" dxfId="8901" priority="10650"/>
  </conditionalFormatting>
  <conditionalFormatting sqref="R14">
    <cfRule type="duplicateValues" dxfId="8900" priority="10657"/>
    <cfRule type="duplicateValues" dxfId="8899" priority="10658"/>
    <cfRule type="duplicateValues" dxfId="8898" priority="10659"/>
    <cfRule type="duplicateValues" dxfId="8897" priority="10660"/>
    <cfRule type="duplicateValues" dxfId="8896" priority="10661"/>
    <cfRule type="duplicateValues" dxfId="8895" priority="10662"/>
    <cfRule type="duplicateValues" dxfId="8894" priority="10663"/>
    <cfRule type="duplicateValues" dxfId="8893" priority="10664"/>
    <cfRule type="duplicateValues" dxfId="8892" priority="10665"/>
    <cfRule type="duplicateValues" dxfId="8891" priority="10666"/>
    <cfRule type="duplicateValues" dxfId="8890" priority="10667"/>
  </conditionalFormatting>
  <conditionalFormatting sqref="R14">
    <cfRule type="duplicateValues" dxfId="8889" priority="10651"/>
    <cfRule type="duplicateValues" dxfId="8888" priority="10652"/>
    <cfRule type="duplicateValues" dxfId="8887" priority="10653"/>
    <cfRule type="duplicateValues" dxfId="8886" priority="10654"/>
    <cfRule type="duplicateValues" dxfId="8885" priority="10655"/>
    <cfRule type="duplicateValues" dxfId="8884" priority="10656"/>
  </conditionalFormatting>
  <conditionalFormatting sqref="R14">
    <cfRule type="duplicateValues" dxfId="8883" priority="10668"/>
    <cfRule type="duplicateValues" dxfId="8882" priority="10669"/>
    <cfRule type="duplicateValues" dxfId="8881" priority="10670"/>
    <cfRule type="duplicateValues" dxfId="8880" priority="10671"/>
    <cfRule type="duplicateValues" dxfId="8879" priority="10672"/>
    <cfRule type="duplicateValues" dxfId="8878" priority="10673"/>
  </conditionalFormatting>
  <conditionalFormatting sqref="R14">
    <cfRule type="duplicateValues" dxfId="8877" priority="10645"/>
  </conditionalFormatting>
  <conditionalFormatting sqref="R14">
    <cfRule type="duplicateValues" dxfId="8876" priority="10632"/>
    <cfRule type="duplicateValues" dxfId="8875" priority="10633"/>
    <cfRule type="duplicateValues" dxfId="8874" priority="10634"/>
    <cfRule type="duplicateValues" dxfId="8873" priority="10635"/>
    <cfRule type="duplicateValues" dxfId="8872" priority="10636"/>
    <cfRule type="duplicateValues" dxfId="8871" priority="10637"/>
  </conditionalFormatting>
  <conditionalFormatting sqref="R14">
    <cfRule type="duplicateValues" dxfId="8870" priority="10627"/>
    <cfRule type="duplicateValues" dxfId="8869" priority="10628"/>
    <cfRule type="duplicateValues" dxfId="8868" priority="10629"/>
    <cfRule type="duplicateValues" dxfId="8867" priority="10630"/>
    <cfRule type="duplicateValues" dxfId="8866" priority="10631"/>
  </conditionalFormatting>
  <conditionalFormatting sqref="R14">
    <cfRule type="duplicateValues" dxfId="8865" priority="10680"/>
    <cfRule type="duplicateValues" dxfId="8864" priority="10681"/>
    <cfRule type="duplicateValues" dxfId="8863" priority="10682"/>
    <cfRule type="duplicateValues" dxfId="8862" priority="10683"/>
    <cfRule type="duplicateValues" dxfId="8861" priority="10684"/>
    <cfRule type="duplicateValues" dxfId="8860" priority="10685"/>
    <cfRule type="duplicateValues" dxfId="8859" priority="10686"/>
    <cfRule type="duplicateValues" dxfId="8858" priority="10687"/>
    <cfRule type="duplicateValues" dxfId="8857" priority="10688"/>
    <cfRule type="duplicateValues" dxfId="8856" priority="10689"/>
    <cfRule type="duplicateValues" dxfId="8855" priority="10690"/>
    <cfRule type="duplicateValues" dxfId="8854" priority="10691"/>
    <cfRule type="duplicateValues" dxfId="8853" priority="10692"/>
    <cfRule type="duplicateValues" dxfId="8852" priority="10693"/>
    <cfRule type="duplicateValues" dxfId="8851" priority="10694"/>
    <cfRule type="duplicateValues" dxfId="8850" priority="10695"/>
    <cfRule type="duplicateValues" dxfId="8849" priority="10696"/>
    <cfRule type="duplicateValues" dxfId="8848" priority="10697"/>
    <cfRule type="duplicateValues" dxfId="8847" priority="10698"/>
    <cfRule type="duplicateValues" dxfId="8846" priority="10699"/>
    <cfRule type="duplicateValues" dxfId="8845" priority="10700"/>
    <cfRule type="duplicateValues" dxfId="8844" priority="10701"/>
  </conditionalFormatting>
  <conditionalFormatting sqref="R14">
    <cfRule type="duplicateValues" dxfId="8843" priority="10702"/>
    <cfRule type="duplicateValues" dxfId="8842" priority="10703"/>
    <cfRule type="duplicateValues" dxfId="8841" priority="10704"/>
    <cfRule type="duplicateValues" dxfId="8840" priority="10705"/>
    <cfRule type="duplicateValues" dxfId="8839" priority="10706"/>
    <cfRule type="duplicateValues" dxfId="8838" priority="10707"/>
  </conditionalFormatting>
  <conditionalFormatting sqref="R7">
    <cfRule type="duplicateValues" dxfId="8837" priority="10478"/>
  </conditionalFormatting>
  <conditionalFormatting sqref="R7">
    <cfRule type="duplicateValues" dxfId="8836" priority="10476"/>
    <cfRule type="duplicateValues" dxfId="8835" priority="10477"/>
  </conditionalFormatting>
  <conditionalFormatting sqref="R7">
    <cfRule type="duplicateValues" dxfId="8834" priority="10515"/>
  </conditionalFormatting>
  <conditionalFormatting sqref="R7">
    <cfRule type="duplicateValues" dxfId="8833" priority="10516"/>
    <cfRule type="duplicateValues" dxfId="8832" priority="10517"/>
  </conditionalFormatting>
  <conditionalFormatting sqref="R7">
    <cfRule type="duplicateValues" dxfId="8831" priority="10513"/>
  </conditionalFormatting>
  <conditionalFormatting sqref="R7">
    <cfRule type="duplicateValues" dxfId="8830" priority="10514"/>
  </conditionalFormatting>
  <conditionalFormatting sqref="R7">
    <cfRule type="duplicateValues" dxfId="8829" priority="10512"/>
  </conditionalFormatting>
  <conditionalFormatting sqref="R7">
    <cfRule type="duplicateValues" dxfId="8828" priority="10479"/>
    <cfRule type="duplicateValues" dxfId="8827" priority="10480"/>
    <cfRule type="duplicateValues" dxfId="8826" priority="10481"/>
    <cfRule type="duplicateValues" dxfId="8825" priority="10482"/>
  </conditionalFormatting>
  <conditionalFormatting sqref="R7">
    <cfRule type="duplicateValues" dxfId="8824" priority="10484"/>
    <cfRule type="duplicateValues" dxfId="8823" priority="10485"/>
    <cfRule type="duplicateValues" dxfId="8822" priority="10486"/>
    <cfRule type="duplicateValues" dxfId="8821" priority="10487"/>
    <cfRule type="duplicateValues" dxfId="8820" priority="10488"/>
  </conditionalFormatting>
  <conditionalFormatting sqref="R7">
    <cfRule type="duplicateValues" dxfId="8819" priority="10495"/>
    <cfRule type="duplicateValues" dxfId="8818" priority="10496"/>
    <cfRule type="duplicateValues" dxfId="8817" priority="10497"/>
    <cfRule type="duplicateValues" dxfId="8816" priority="10498"/>
    <cfRule type="duplicateValues" dxfId="8815" priority="10499"/>
    <cfRule type="duplicateValues" dxfId="8814" priority="10500"/>
    <cfRule type="duplicateValues" dxfId="8813" priority="10501"/>
    <cfRule type="duplicateValues" dxfId="8812" priority="10502"/>
    <cfRule type="duplicateValues" dxfId="8811" priority="10503"/>
    <cfRule type="duplicateValues" dxfId="8810" priority="10504"/>
    <cfRule type="duplicateValues" dxfId="8809" priority="10505"/>
  </conditionalFormatting>
  <conditionalFormatting sqref="R7">
    <cfRule type="duplicateValues" dxfId="8808" priority="10489"/>
    <cfRule type="duplicateValues" dxfId="8807" priority="10490"/>
    <cfRule type="duplicateValues" dxfId="8806" priority="10491"/>
    <cfRule type="duplicateValues" dxfId="8805" priority="10492"/>
    <cfRule type="duplicateValues" dxfId="8804" priority="10493"/>
    <cfRule type="duplicateValues" dxfId="8803" priority="10494"/>
  </conditionalFormatting>
  <conditionalFormatting sqref="R7">
    <cfRule type="duplicateValues" dxfId="8802" priority="10506"/>
    <cfRule type="duplicateValues" dxfId="8801" priority="10507"/>
    <cfRule type="duplicateValues" dxfId="8800" priority="10508"/>
    <cfRule type="duplicateValues" dxfId="8799" priority="10509"/>
    <cfRule type="duplicateValues" dxfId="8798" priority="10510"/>
    <cfRule type="duplicateValues" dxfId="8797" priority="10511"/>
  </conditionalFormatting>
  <conditionalFormatting sqref="R7">
    <cfRule type="duplicateValues" dxfId="8796" priority="10483"/>
  </conditionalFormatting>
  <conditionalFormatting sqref="R7">
    <cfRule type="duplicateValues" dxfId="8795" priority="10470"/>
    <cfRule type="duplicateValues" dxfId="8794" priority="10471"/>
    <cfRule type="duplicateValues" dxfId="8793" priority="10472"/>
    <cfRule type="duplicateValues" dxfId="8792" priority="10473"/>
    <cfRule type="duplicateValues" dxfId="8791" priority="10474"/>
    <cfRule type="duplicateValues" dxfId="8790" priority="10475"/>
  </conditionalFormatting>
  <conditionalFormatting sqref="R7">
    <cfRule type="duplicateValues" dxfId="8789" priority="10465"/>
    <cfRule type="duplicateValues" dxfId="8788" priority="10466"/>
    <cfRule type="duplicateValues" dxfId="8787" priority="10467"/>
    <cfRule type="duplicateValues" dxfId="8786" priority="10468"/>
    <cfRule type="duplicateValues" dxfId="8785" priority="10469"/>
  </conditionalFormatting>
  <conditionalFormatting sqref="R7">
    <cfRule type="duplicateValues" dxfId="8784" priority="10518"/>
    <cfRule type="duplicateValues" dxfId="8783" priority="10519"/>
    <cfRule type="duplicateValues" dxfId="8782" priority="10520"/>
    <cfRule type="duplicateValues" dxfId="8781" priority="10521"/>
    <cfRule type="duplicateValues" dxfId="8780" priority="10522"/>
    <cfRule type="duplicateValues" dxfId="8779" priority="10523"/>
    <cfRule type="duplicateValues" dxfId="8778" priority="10524"/>
    <cfRule type="duplicateValues" dxfId="8777" priority="10525"/>
    <cfRule type="duplicateValues" dxfId="8776" priority="10526"/>
    <cfRule type="duplicateValues" dxfId="8775" priority="10527"/>
    <cfRule type="duplicateValues" dxfId="8774" priority="10528"/>
    <cfRule type="duplicateValues" dxfId="8773" priority="10529"/>
    <cfRule type="duplicateValues" dxfId="8772" priority="10530"/>
    <cfRule type="duplicateValues" dxfId="8771" priority="10531"/>
    <cfRule type="duplicateValues" dxfId="8770" priority="10532"/>
    <cfRule type="duplicateValues" dxfId="8769" priority="10533"/>
    <cfRule type="duplicateValues" dxfId="8768" priority="10534"/>
    <cfRule type="duplicateValues" dxfId="8767" priority="10535"/>
    <cfRule type="duplicateValues" dxfId="8766" priority="10536"/>
    <cfRule type="duplicateValues" dxfId="8765" priority="10537"/>
    <cfRule type="duplicateValues" dxfId="8764" priority="10538"/>
    <cfRule type="duplicateValues" dxfId="8763" priority="10539"/>
  </conditionalFormatting>
  <conditionalFormatting sqref="R7">
    <cfRule type="duplicateValues" dxfId="8762" priority="10540"/>
    <cfRule type="duplicateValues" dxfId="8761" priority="10541"/>
    <cfRule type="duplicateValues" dxfId="8760" priority="10542"/>
    <cfRule type="duplicateValues" dxfId="8759" priority="10543"/>
    <cfRule type="duplicateValues" dxfId="8758" priority="10544"/>
    <cfRule type="duplicateValues" dxfId="8757" priority="10545"/>
  </conditionalFormatting>
  <conditionalFormatting sqref="R8:R9">
    <cfRule type="duplicateValues" dxfId="8756" priority="10397"/>
  </conditionalFormatting>
  <conditionalFormatting sqref="R8:R9">
    <cfRule type="duplicateValues" dxfId="8755" priority="10395"/>
    <cfRule type="duplicateValues" dxfId="8754" priority="10396"/>
  </conditionalFormatting>
  <conditionalFormatting sqref="R8:R9">
    <cfRule type="duplicateValues" dxfId="8753" priority="10434"/>
  </conditionalFormatting>
  <conditionalFormatting sqref="R8:R9">
    <cfRule type="duplicateValues" dxfId="8752" priority="10435"/>
    <cfRule type="duplicateValues" dxfId="8751" priority="10436"/>
  </conditionalFormatting>
  <conditionalFormatting sqref="R8:R9">
    <cfRule type="duplicateValues" dxfId="8750" priority="10432"/>
  </conditionalFormatting>
  <conditionalFormatting sqref="R8:R9">
    <cfRule type="duplicateValues" dxfId="8749" priority="10433"/>
  </conditionalFormatting>
  <conditionalFormatting sqref="R8:R9">
    <cfRule type="duplicateValues" dxfId="8748" priority="10431"/>
  </conditionalFormatting>
  <conditionalFormatting sqref="R8:R9">
    <cfRule type="duplicateValues" dxfId="8747" priority="10398"/>
    <cfRule type="duplicateValues" dxfId="8746" priority="10399"/>
    <cfRule type="duplicateValues" dxfId="8745" priority="10400"/>
    <cfRule type="duplicateValues" dxfId="8744" priority="10401"/>
  </conditionalFormatting>
  <conditionalFormatting sqref="R8:R9">
    <cfRule type="duplicateValues" dxfId="8743" priority="10403"/>
    <cfRule type="duplicateValues" dxfId="8742" priority="10404"/>
    <cfRule type="duplicateValues" dxfId="8741" priority="10405"/>
    <cfRule type="duplicateValues" dxfId="8740" priority="10406"/>
    <cfRule type="duplicateValues" dxfId="8739" priority="10407"/>
  </conditionalFormatting>
  <conditionalFormatting sqref="R8:R9">
    <cfRule type="duplicateValues" dxfId="8738" priority="10414"/>
    <cfRule type="duplicateValues" dxfId="8737" priority="10415"/>
    <cfRule type="duplicateValues" dxfId="8736" priority="10416"/>
    <cfRule type="duplicateValues" dxfId="8735" priority="10417"/>
    <cfRule type="duplicateValues" dxfId="8734" priority="10418"/>
    <cfRule type="duplicateValues" dxfId="8733" priority="10419"/>
    <cfRule type="duplicateValues" dxfId="8732" priority="10420"/>
    <cfRule type="duplicateValues" dxfId="8731" priority="10421"/>
    <cfRule type="duplicateValues" dxfId="8730" priority="10422"/>
    <cfRule type="duplicateValues" dxfId="8729" priority="10423"/>
    <cfRule type="duplicateValues" dxfId="8728" priority="10424"/>
  </conditionalFormatting>
  <conditionalFormatting sqref="R8:R9">
    <cfRule type="duplicateValues" dxfId="8727" priority="10408"/>
    <cfRule type="duplicateValues" dxfId="8726" priority="10409"/>
    <cfRule type="duplicateValues" dxfId="8725" priority="10410"/>
    <cfRule type="duplicateValues" dxfId="8724" priority="10411"/>
    <cfRule type="duplicateValues" dxfId="8723" priority="10412"/>
    <cfRule type="duplicateValues" dxfId="8722" priority="10413"/>
  </conditionalFormatting>
  <conditionalFormatting sqref="R8:R9">
    <cfRule type="duplicateValues" dxfId="8721" priority="10425"/>
    <cfRule type="duplicateValues" dxfId="8720" priority="10426"/>
    <cfRule type="duplicateValues" dxfId="8719" priority="10427"/>
    <cfRule type="duplicateValues" dxfId="8718" priority="10428"/>
    <cfRule type="duplicateValues" dxfId="8717" priority="10429"/>
    <cfRule type="duplicateValues" dxfId="8716" priority="10430"/>
  </conditionalFormatting>
  <conditionalFormatting sqref="R8:R9">
    <cfRule type="duplicateValues" dxfId="8715" priority="10402"/>
  </conditionalFormatting>
  <conditionalFormatting sqref="R8:R9">
    <cfRule type="duplicateValues" dxfId="8714" priority="10389"/>
    <cfRule type="duplicateValues" dxfId="8713" priority="10390"/>
    <cfRule type="duplicateValues" dxfId="8712" priority="10391"/>
    <cfRule type="duplicateValues" dxfId="8711" priority="10392"/>
    <cfRule type="duplicateValues" dxfId="8710" priority="10393"/>
    <cfRule type="duplicateValues" dxfId="8709" priority="10394"/>
  </conditionalFormatting>
  <conditionalFormatting sqref="R8:R9">
    <cfRule type="duplicateValues" dxfId="8708" priority="10384"/>
    <cfRule type="duplicateValues" dxfId="8707" priority="10385"/>
    <cfRule type="duplicateValues" dxfId="8706" priority="10386"/>
    <cfRule type="duplicateValues" dxfId="8705" priority="10387"/>
    <cfRule type="duplicateValues" dxfId="8704" priority="10388"/>
  </conditionalFormatting>
  <conditionalFormatting sqref="R8:R9">
    <cfRule type="duplicateValues" dxfId="8703" priority="10437"/>
    <cfRule type="duplicateValues" dxfId="8702" priority="10438"/>
    <cfRule type="duplicateValues" dxfId="8701" priority="10439"/>
    <cfRule type="duplicateValues" dxfId="8700" priority="10440"/>
    <cfRule type="duplicateValues" dxfId="8699" priority="10441"/>
    <cfRule type="duplicateValues" dxfId="8698" priority="10442"/>
    <cfRule type="duplicateValues" dxfId="8697" priority="10443"/>
    <cfRule type="duplicateValues" dxfId="8696" priority="10444"/>
    <cfRule type="duplicateValues" dxfId="8695" priority="10445"/>
    <cfRule type="duplicateValues" dxfId="8694" priority="10446"/>
    <cfRule type="duplicateValues" dxfId="8693" priority="10447"/>
    <cfRule type="duplicateValues" dxfId="8692" priority="10448"/>
    <cfRule type="duplicateValues" dxfId="8691" priority="10449"/>
    <cfRule type="duplicateValues" dxfId="8690" priority="10450"/>
    <cfRule type="duplicateValues" dxfId="8689" priority="10451"/>
    <cfRule type="duplicateValues" dxfId="8688" priority="10452"/>
    <cfRule type="duplicateValues" dxfId="8687" priority="10453"/>
    <cfRule type="duplicateValues" dxfId="8686" priority="10454"/>
    <cfRule type="duplicateValues" dxfId="8685" priority="10455"/>
    <cfRule type="duplicateValues" dxfId="8684" priority="10456"/>
    <cfRule type="duplicateValues" dxfId="8683" priority="10457"/>
    <cfRule type="duplicateValues" dxfId="8682" priority="10458"/>
  </conditionalFormatting>
  <conditionalFormatting sqref="R8:R9">
    <cfRule type="duplicateValues" dxfId="8681" priority="10459"/>
    <cfRule type="duplicateValues" dxfId="8680" priority="10460"/>
    <cfRule type="duplicateValues" dxfId="8679" priority="10461"/>
    <cfRule type="duplicateValues" dxfId="8678" priority="10462"/>
    <cfRule type="duplicateValues" dxfId="8677" priority="10463"/>
    <cfRule type="duplicateValues" dxfId="8676" priority="10464"/>
  </conditionalFormatting>
  <conditionalFormatting sqref="R13">
    <cfRule type="duplicateValues" dxfId="8675" priority="10316"/>
  </conditionalFormatting>
  <conditionalFormatting sqref="R13">
    <cfRule type="duplicateValues" dxfId="8674" priority="10314"/>
    <cfRule type="duplicateValues" dxfId="8673" priority="10315"/>
  </conditionalFormatting>
  <conditionalFormatting sqref="R13">
    <cfRule type="duplicateValues" dxfId="8672" priority="10353"/>
  </conditionalFormatting>
  <conditionalFormatting sqref="R13">
    <cfRule type="duplicateValues" dxfId="8671" priority="10354"/>
    <cfRule type="duplicateValues" dxfId="8670" priority="10355"/>
  </conditionalFormatting>
  <conditionalFormatting sqref="R13">
    <cfRule type="duplicateValues" dxfId="8669" priority="10351"/>
  </conditionalFormatting>
  <conditionalFormatting sqref="R13">
    <cfRule type="duplicateValues" dxfId="8668" priority="10352"/>
  </conditionalFormatting>
  <conditionalFormatting sqref="R13">
    <cfRule type="duplicateValues" dxfId="8667" priority="10350"/>
  </conditionalFormatting>
  <conditionalFormatting sqref="R13">
    <cfRule type="duplicateValues" dxfId="8666" priority="10317"/>
    <cfRule type="duplicateValues" dxfId="8665" priority="10318"/>
    <cfRule type="duplicateValues" dxfId="8664" priority="10319"/>
    <cfRule type="duplicateValues" dxfId="8663" priority="10320"/>
  </conditionalFormatting>
  <conditionalFormatting sqref="R13">
    <cfRule type="duplicateValues" dxfId="8662" priority="10322"/>
    <cfRule type="duplicateValues" dxfId="8661" priority="10323"/>
    <cfRule type="duplicateValues" dxfId="8660" priority="10324"/>
    <cfRule type="duplicateValues" dxfId="8659" priority="10325"/>
    <cfRule type="duplicateValues" dxfId="8658" priority="10326"/>
  </conditionalFormatting>
  <conditionalFormatting sqref="R13">
    <cfRule type="duplicateValues" dxfId="8657" priority="10333"/>
    <cfRule type="duplicateValues" dxfId="8656" priority="10334"/>
    <cfRule type="duplicateValues" dxfId="8655" priority="10335"/>
    <cfRule type="duplicateValues" dxfId="8654" priority="10336"/>
    <cfRule type="duplicateValues" dxfId="8653" priority="10337"/>
    <cfRule type="duplicateValues" dxfId="8652" priority="10338"/>
    <cfRule type="duplicateValues" dxfId="8651" priority="10339"/>
    <cfRule type="duplicateValues" dxfId="8650" priority="10340"/>
    <cfRule type="duplicateValues" dxfId="8649" priority="10341"/>
    <cfRule type="duplicateValues" dxfId="8648" priority="10342"/>
    <cfRule type="duplicateValues" dxfId="8647" priority="10343"/>
  </conditionalFormatting>
  <conditionalFormatting sqref="R13">
    <cfRule type="duplicateValues" dxfId="8646" priority="10327"/>
    <cfRule type="duplicateValues" dxfId="8645" priority="10328"/>
    <cfRule type="duplicateValues" dxfId="8644" priority="10329"/>
    <cfRule type="duplicateValues" dxfId="8643" priority="10330"/>
    <cfRule type="duplicateValues" dxfId="8642" priority="10331"/>
    <cfRule type="duplicateValues" dxfId="8641" priority="10332"/>
  </conditionalFormatting>
  <conditionalFormatting sqref="R13">
    <cfRule type="duplicateValues" dxfId="8640" priority="10344"/>
    <cfRule type="duplicateValues" dxfId="8639" priority="10345"/>
    <cfRule type="duplicateValues" dxfId="8638" priority="10346"/>
    <cfRule type="duplicateValues" dxfId="8637" priority="10347"/>
    <cfRule type="duplicateValues" dxfId="8636" priority="10348"/>
    <cfRule type="duplicateValues" dxfId="8635" priority="10349"/>
  </conditionalFormatting>
  <conditionalFormatting sqref="R13">
    <cfRule type="duplicateValues" dxfId="8634" priority="10321"/>
  </conditionalFormatting>
  <conditionalFormatting sqref="R13">
    <cfRule type="duplicateValues" dxfId="8633" priority="10308"/>
    <cfRule type="duplicateValues" dxfId="8632" priority="10309"/>
    <cfRule type="duplicateValues" dxfId="8631" priority="10310"/>
    <cfRule type="duplicateValues" dxfId="8630" priority="10311"/>
    <cfRule type="duplicateValues" dxfId="8629" priority="10312"/>
    <cfRule type="duplicateValues" dxfId="8628" priority="10313"/>
  </conditionalFormatting>
  <conditionalFormatting sqref="R13">
    <cfRule type="duplicateValues" dxfId="8627" priority="10303"/>
    <cfRule type="duplicateValues" dxfId="8626" priority="10304"/>
    <cfRule type="duplicateValues" dxfId="8625" priority="10305"/>
    <cfRule type="duplicateValues" dxfId="8624" priority="10306"/>
    <cfRule type="duplicateValues" dxfId="8623" priority="10307"/>
  </conditionalFormatting>
  <conditionalFormatting sqref="R13">
    <cfRule type="duplicateValues" dxfId="8622" priority="10356"/>
    <cfRule type="duplicateValues" dxfId="8621" priority="10357"/>
    <cfRule type="duplicateValues" dxfId="8620" priority="10358"/>
    <cfRule type="duplicateValues" dxfId="8619" priority="10359"/>
    <cfRule type="duplicateValues" dxfId="8618" priority="10360"/>
    <cfRule type="duplicateValues" dxfId="8617" priority="10361"/>
    <cfRule type="duplicateValues" dxfId="8616" priority="10362"/>
    <cfRule type="duplicateValues" dxfId="8615" priority="10363"/>
    <cfRule type="duplicateValues" dxfId="8614" priority="10364"/>
    <cfRule type="duplicateValues" dxfId="8613" priority="10365"/>
    <cfRule type="duplicateValues" dxfId="8612" priority="10366"/>
    <cfRule type="duplicateValues" dxfId="8611" priority="10367"/>
    <cfRule type="duplicateValues" dxfId="8610" priority="10368"/>
    <cfRule type="duplicateValues" dxfId="8609" priority="10369"/>
    <cfRule type="duplicateValues" dxfId="8608" priority="10370"/>
    <cfRule type="duplicateValues" dxfId="8607" priority="10371"/>
    <cfRule type="duplicateValues" dxfId="8606" priority="10372"/>
    <cfRule type="duplicateValues" dxfId="8605" priority="10373"/>
    <cfRule type="duplicateValues" dxfId="8604" priority="10374"/>
    <cfRule type="duplicateValues" dxfId="8603" priority="10375"/>
    <cfRule type="duplicateValues" dxfId="8602" priority="10376"/>
    <cfRule type="duplicateValues" dxfId="8601" priority="10377"/>
  </conditionalFormatting>
  <conditionalFormatting sqref="R13">
    <cfRule type="duplicateValues" dxfId="8600" priority="10378"/>
    <cfRule type="duplicateValues" dxfId="8599" priority="10379"/>
    <cfRule type="duplicateValues" dxfId="8598" priority="10380"/>
    <cfRule type="duplicateValues" dxfId="8597" priority="10381"/>
    <cfRule type="duplicateValues" dxfId="8596" priority="10382"/>
    <cfRule type="duplicateValues" dxfId="8595" priority="10383"/>
  </conditionalFormatting>
  <conditionalFormatting sqref="R31">
    <cfRule type="duplicateValues" dxfId="8594" priority="10235"/>
  </conditionalFormatting>
  <conditionalFormatting sqref="R31">
    <cfRule type="duplicateValues" dxfId="8593" priority="10233"/>
    <cfRule type="duplicateValues" dxfId="8592" priority="10234"/>
  </conditionalFormatting>
  <conditionalFormatting sqref="R31">
    <cfRule type="duplicateValues" dxfId="8591" priority="10272"/>
  </conditionalFormatting>
  <conditionalFormatting sqref="R31">
    <cfRule type="duplicateValues" dxfId="8590" priority="10273"/>
    <cfRule type="duplicateValues" dxfId="8589" priority="10274"/>
  </conditionalFormatting>
  <conditionalFormatting sqref="R31">
    <cfRule type="duplicateValues" dxfId="8588" priority="10270"/>
  </conditionalFormatting>
  <conditionalFormatting sqref="R31">
    <cfRule type="duplicateValues" dxfId="8587" priority="10271"/>
  </conditionalFormatting>
  <conditionalFormatting sqref="R31">
    <cfRule type="duplicateValues" dxfId="8586" priority="10269"/>
  </conditionalFormatting>
  <conditionalFormatting sqref="R31">
    <cfRule type="duplicateValues" dxfId="8585" priority="10236"/>
    <cfRule type="duplicateValues" dxfId="8584" priority="10237"/>
    <cfRule type="duplicateValues" dxfId="8583" priority="10238"/>
    <cfRule type="duplicateValues" dxfId="8582" priority="10239"/>
  </conditionalFormatting>
  <conditionalFormatting sqref="R31">
    <cfRule type="duplicateValues" dxfId="8581" priority="10241"/>
    <cfRule type="duplicateValues" dxfId="8580" priority="10242"/>
    <cfRule type="duplicateValues" dxfId="8579" priority="10243"/>
    <cfRule type="duplicateValues" dxfId="8578" priority="10244"/>
    <cfRule type="duplicateValues" dxfId="8577" priority="10245"/>
  </conditionalFormatting>
  <conditionalFormatting sqref="R31">
    <cfRule type="duplicateValues" dxfId="8576" priority="10252"/>
    <cfRule type="duplicateValues" dxfId="8575" priority="10253"/>
    <cfRule type="duplicateValues" dxfId="8574" priority="10254"/>
    <cfRule type="duplicateValues" dxfId="8573" priority="10255"/>
    <cfRule type="duplicateValues" dxfId="8572" priority="10256"/>
    <cfRule type="duplicateValues" dxfId="8571" priority="10257"/>
    <cfRule type="duplicateValues" dxfId="8570" priority="10258"/>
    <cfRule type="duplicateValues" dxfId="8569" priority="10259"/>
    <cfRule type="duplicateValues" dxfId="8568" priority="10260"/>
    <cfRule type="duplicateValues" dxfId="8567" priority="10261"/>
    <cfRule type="duplicateValues" dxfId="8566" priority="10262"/>
  </conditionalFormatting>
  <conditionalFormatting sqref="R31">
    <cfRule type="duplicateValues" dxfId="8565" priority="10246"/>
    <cfRule type="duplicateValues" dxfId="8564" priority="10247"/>
    <cfRule type="duplicateValues" dxfId="8563" priority="10248"/>
    <cfRule type="duplicateValues" dxfId="8562" priority="10249"/>
    <cfRule type="duplicateValues" dxfId="8561" priority="10250"/>
    <cfRule type="duplicateValues" dxfId="8560" priority="10251"/>
  </conditionalFormatting>
  <conditionalFormatting sqref="R31">
    <cfRule type="duplicateValues" dxfId="8559" priority="10263"/>
    <cfRule type="duplicateValues" dxfId="8558" priority="10264"/>
    <cfRule type="duplicateValues" dxfId="8557" priority="10265"/>
    <cfRule type="duplicateValues" dxfId="8556" priority="10266"/>
    <cfRule type="duplicateValues" dxfId="8555" priority="10267"/>
    <cfRule type="duplicateValues" dxfId="8554" priority="10268"/>
  </conditionalFormatting>
  <conditionalFormatting sqref="R31">
    <cfRule type="duplicateValues" dxfId="8553" priority="10240"/>
  </conditionalFormatting>
  <conditionalFormatting sqref="R31">
    <cfRule type="duplicateValues" dxfId="8552" priority="10227"/>
    <cfRule type="duplicateValues" dxfId="8551" priority="10228"/>
    <cfRule type="duplicateValues" dxfId="8550" priority="10229"/>
    <cfRule type="duplicateValues" dxfId="8549" priority="10230"/>
    <cfRule type="duplicateValues" dxfId="8548" priority="10231"/>
    <cfRule type="duplicateValues" dxfId="8547" priority="10232"/>
  </conditionalFormatting>
  <conditionalFormatting sqref="R31">
    <cfRule type="duplicateValues" dxfId="8546" priority="10222"/>
    <cfRule type="duplicateValues" dxfId="8545" priority="10223"/>
    <cfRule type="duplicateValues" dxfId="8544" priority="10224"/>
    <cfRule type="duplicateValues" dxfId="8543" priority="10225"/>
    <cfRule type="duplicateValues" dxfId="8542" priority="10226"/>
  </conditionalFormatting>
  <conditionalFormatting sqref="R31">
    <cfRule type="duplicateValues" dxfId="8541" priority="10275"/>
    <cfRule type="duplicateValues" dxfId="8540" priority="10276"/>
    <cfRule type="duplicateValues" dxfId="8539" priority="10277"/>
    <cfRule type="duplicateValues" dxfId="8538" priority="10278"/>
    <cfRule type="duplicateValues" dxfId="8537" priority="10279"/>
    <cfRule type="duplicateValues" dxfId="8536" priority="10280"/>
    <cfRule type="duplicateValues" dxfId="8535" priority="10281"/>
    <cfRule type="duplicateValues" dxfId="8534" priority="10282"/>
    <cfRule type="duplicateValues" dxfId="8533" priority="10283"/>
    <cfRule type="duplicateValues" dxfId="8532" priority="10284"/>
    <cfRule type="duplicateValues" dxfId="8531" priority="10285"/>
    <cfRule type="duplicateValues" dxfId="8530" priority="10286"/>
    <cfRule type="duplicateValues" dxfId="8529" priority="10287"/>
    <cfRule type="duplicateValues" dxfId="8528" priority="10288"/>
    <cfRule type="duplicateValues" dxfId="8527" priority="10289"/>
    <cfRule type="duplicateValues" dxfId="8526" priority="10290"/>
    <cfRule type="duplicateValues" dxfId="8525" priority="10291"/>
    <cfRule type="duplicateValues" dxfId="8524" priority="10292"/>
    <cfRule type="duplicateValues" dxfId="8523" priority="10293"/>
    <cfRule type="duplicateValues" dxfId="8522" priority="10294"/>
    <cfRule type="duplicateValues" dxfId="8521" priority="10295"/>
    <cfRule type="duplicateValues" dxfId="8520" priority="10296"/>
  </conditionalFormatting>
  <conditionalFormatting sqref="R31">
    <cfRule type="duplicateValues" dxfId="8519" priority="10297"/>
    <cfRule type="duplicateValues" dxfId="8518" priority="10298"/>
    <cfRule type="duplicateValues" dxfId="8517" priority="10299"/>
    <cfRule type="duplicateValues" dxfId="8516" priority="10300"/>
    <cfRule type="duplicateValues" dxfId="8515" priority="10301"/>
    <cfRule type="duplicateValues" dxfId="8514" priority="10302"/>
  </conditionalFormatting>
  <conditionalFormatting sqref="AA5:AA9 AA20:AA22">
    <cfRule type="duplicateValues" dxfId="8513" priority="10167"/>
  </conditionalFormatting>
  <conditionalFormatting sqref="AA5:AA9 AA20:AA22">
    <cfRule type="duplicateValues" dxfId="8512" priority="10165"/>
    <cfRule type="duplicateValues" dxfId="8511" priority="10166"/>
  </conditionalFormatting>
  <conditionalFormatting sqref="AA5:AA9 AA20:AA22">
    <cfRule type="duplicateValues" dxfId="8510" priority="10159"/>
    <cfRule type="duplicateValues" dxfId="8509" priority="10160"/>
    <cfRule type="duplicateValues" dxfId="8508" priority="10161"/>
    <cfRule type="duplicateValues" dxfId="8507" priority="10162"/>
    <cfRule type="duplicateValues" dxfId="8506" priority="10163"/>
    <cfRule type="duplicateValues" dxfId="8505" priority="10164"/>
  </conditionalFormatting>
  <conditionalFormatting sqref="AA5:AA9 AA20:AA22">
    <cfRule type="duplicateValues" dxfId="8504" priority="10154"/>
    <cfRule type="duplicateValues" dxfId="8503" priority="10155"/>
    <cfRule type="duplicateValues" dxfId="8502" priority="10156"/>
    <cfRule type="duplicateValues" dxfId="8501" priority="10157"/>
    <cfRule type="duplicateValues" dxfId="8500" priority="10158"/>
  </conditionalFormatting>
  <conditionalFormatting sqref="AA7:AA9">
    <cfRule type="duplicateValues" dxfId="8499" priority="10125"/>
  </conditionalFormatting>
  <conditionalFormatting sqref="AA7:AA9">
    <cfRule type="duplicateValues" dxfId="8498" priority="10126"/>
    <cfRule type="duplicateValues" dxfId="8497" priority="10127"/>
    <cfRule type="duplicateValues" dxfId="8496" priority="10128"/>
    <cfRule type="duplicateValues" dxfId="8495" priority="10129"/>
    <cfRule type="duplicateValues" dxfId="8494" priority="10130"/>
    <cfRule type="duplicateValues" dxfId="8493" priority="10131"/>
    <cfRule type="duplicateValues" dxfId="8492" priority="10132"/>
    <cfRule type="duplicateValues" dxfId="8491" priority="10133"/>
    <cfRule type="duplicateValues" dxfId="8490" priority="10134"/>
    <cfRule type="duplicateValues" dxfId="8489" priority="10135"/>
    <cfRule type="duplicateValues" dxfId="8488" priority="10136"/>
    <cfRule type="duplicateValues" dxfId="8487" priority="10137"/>
    <cfRule type="duplicateValues" dxfId="8486" priority="10138"/>
    <cfRule type="duplicateValues" dxfId="8485" priority="10139"/>
    <cfRule type="duplicateValues" dxfId="8484" priority="10140"/>
    <cfRule type="duplicateValues" dxfId="8483" priority="10141"/>
    <cfRule type="duplicateValues" dxfId="8482" priority="10142"/>
    <cfRule type="duplicateValues" dxfId="8481" priority="10143"/>
    <cfRule type="duplicateValues" dxfId="8480" priority="10144"/>
    <cfRule type="duplicateValues" dxfId="8479" priority="10145"/>
    <cfRule type="duplicateValues" dxfId="8478" priority="10146"/>
    <cfRule type="duplicateValues" dxfId="8477" priority="10147"/>
    <cfRule type="duplicateValues" dxfId="8476" priority="10148"/>
    <cfRule type="duplicateValues" dxfId="8475" priority="10149"/>
    <cfRule type="duplicateValues" dxfId="8474" priority="10150"/>
    <cfRule type="duplicateValues" dxfId="8473" priority="10151"/>
    <cfRule type="duplicateValues" dxfId="8472" priority="10152"/>
    <cfRule type="duplicateValues" dxfId="8471" priority="10153"/>
  </conditionalFormatting>
  <conditionalFormatting sqref="AA10:AA19">
    <cfRule type="duplicateValues" dxfId="8470" priority="9928"/>
  </conditionalFormatting>
  <conditionalFormatting sqref="AA10:AA19">
    <cfRule type="duplicateValues" dxfId="8469" priority="9926"/>
    <cfRule type="duplicateValues" dxfId="8468" priority="9927"/>
  </conditionalFormatting>
  <conditionalFormatting sqref="AA10:AA19">
    <cfRule type="duplicateValues" dxfId="8467" priority="9932"/>
  </conditionalFormatting>
  <conditionalFormatting sqref="AA10:AA19">
    <cfRule type="duplicateValues" dxfId="8466" priority="9933"/>
    <cfRule type="duplicateValues" dxfId="8465" priority="9934"/>
  </conditionalFormatting>
  <conditionalFormatting sqref="AA10:AA19">
    <cfRule type="duplicateValues" dxfId="8464" priority="9930"/>
  </conditionalFormatting>
  <conditionalFormatting sqref="AA10:AA19">
    <cfRule type="duplicateValues" dxfId="8463" priority="9931"/>
  </conditionalFormatting>
  <conditionalFormatting sqref="AA10:AA19">
    <cfRule type="duplicateValues" dxfId="8462" priority="9929"/>
  </conditionalFormatting>
  <conditionalFormatting sqref="AA10:AA19">
    <cfRule type="duplicateValues" dxfId="8461" priority="9920"/>
    <cfRule type="duplicateValues" dxfId="8460" priority="9921"/>
    <cfRule type="duplicateValues" dxfId="8459" priority="9922"/>
    <cfRule type="duplicateValues" dxfId="8458" priority="9923"/>
    <cfRule type="duplicateValues" dxfId="8457" priority="9924"/>
    <cfRule type="duplicateValues" dxfId="8456" priority="9925"/>
  </conditionalFormatting>
  <conditionalFormatting sqref="AA10:AA19">
    <cfRule type="duplicateValues" dxfId="8455" priority="9915"/>
    <cfRule type="duplicateValues" dxfId="8454" priority="9916"/>
    <cfRule type="duplicateValues" dxfId="8453" priority="9917"/>
    <cfRule type="duplicateValues" dxfId="8452" priority="9918"/>
    <cfRule type="duplicateValues" dxfId="8451" priority="9919"/>
  </conditionalFormatting>
  <conditionalFormatting sqref="AA10:AA19">
    <cfRule type="duplicateValues" dxfId="8450" priority="9935"/>
    <cfRule type="duplicateValues" dxfId="8449" priority="9936"/>
    <cfRule type="duplicateValues" dxfId="8448" priority="9937"/>
    <cfRule type="duplicateValues" dxfId="8447" priority="9938"/>
    <cfRule type="duplicateValues" dxfId="8446" priority="9939"/>
    <cfRule type="duplicateValues" dxfId="8445" priority="9940"/>
    <cfRule type="duplicateValues" dxfId="8444" priority="9941"/>
    <cfRule type="duplicateValues" dxfId="8443" priority="9942"/>
    <cfRule type="duplicateValues" dxfId="8442" priority="9943"/>
    <cfRule type="duplicateValues" dxfId="8441" priority="9944"/>
    <cfRule type="duplicateValues" dxfId="8440" priority="9945"/>
    <cfRule type="duplicateValues" dxfId="8439" priority="9946"/>
    <cfRule type="duplicateValues" dxfId="8438" priority="9947"/>
    <cfRule type="duplicateValues" dxfId="8437" priority="9948"/>
    <cfRule type="duplicateValues" dxfId="8436" priority="9949"/>
    <cfRule type="duplicateValues" dxfId="8435" priority="9950"/>
    <cfRule type="duplicateValues" dxfId="8434" priority="9951"/>
    <cfRule type="duplicateValues" dxfId="8433" priority="9952"/>
    <cfRule type="duplicateValues" dxfId="8432" priority="9953"/>
    <cfRule type="duplicateValues" dxfId="8431" priority="9954"/>
    <cfRule type="duplicateValues" dxfId="8430" priority="9955"/>
    <cfRule type="duplicateValues" dxfId="8429" priority="9956"/>
    <cfRule type="duplicateValues" dxfId="8428" priority="9957"/>
    <cfRule type="duplicateValues" dxfId="8427" priority="9958"/>
    <cfRule type="duplicateValues" dxfId="8426" priority="9959"/>
    <cfRule type="duplicateValues" dxfId="8425" priority="9960"/>
    <cfRule type="duplicateValues" dxfId="8424" priority="9961"/>
    <cfRule type="duplicateValues" dxfId="8423" priority="9962"/>
  </conditionalFormatting>
  <conditionalFormatting sqref="J13:J22">
    <cfRule type="duplicateValues" dxfId="8422" priority="9880"/>
  </conditionalFormatting>
  <conditionalFormatting sqref="J13:J22">
    <cfRule type="duplicateValues" dxfId="8421" priority="9878"/>
    <cfRule type="duplicateValues" dxfId="8420" priority="9879"/>
  </conditionalFormatting>
  <conditionalFormatting sqref="J13:J22">
    <cfRule type="duplicateValues" dxfId="8419" priority="9872"/>
    <cfRule type="duplicateValues" dxfId="8418" priority="9873"/>
    <cfRule type="duplicateValues" dxfId="8417" priority="9874"/>
    <cfRule type="duplicateValues" dxfId="8416" priority="9875"/>
    <cfRule type="duplicateValues" dxfId="8415" priority="9876"/>
    <cfRule type="duplicateValues" dxfId="8414" priority="9877"/>
  </conditionalFormatting>
  <conditionalFormatting sqref="J13:J22">
    <cfRule type="duplicateValues" dxfId="8413" priority="9867"/>
    <cfRule type="duplicateValues" dxfId="8412" priority="9868"/>
    <cfRule type="duplicateValues" dxfId="8411" priority="9869"/>
    <cfRule type="duplicateValues" dxfId="8410" priority="9870"/>
    <cfRule type="duplicateValues" dxfId="8409" priority="9871"/>
  </conditionalFormatting>
  <conditionalFormatting sqref="J13:J22">
    <cfRule type="duplicateValues" dxfId="8408" priority="9887"/>
    <cfRule type="duplicateValues" dxfId="8407" priority="9888"/>
    <cfRule type="duplicateValues" dxfId="8406" priority="9889"/>
    <cfRule type="duplicateValues" dxfId="8405" priority="9890"/>
    <cfRule type="duplicateValues" dxfId="8404" priority="9891"/>
    <cfRule type="duplicateValues" dxfId="8403" priority="9892"/>
    <cfRule type="duplicateValues" dxfId="8402" priority="9893"/>
    <cfRule type="duplicateValues" dxfId="8401" priority="9894"/>
    <cfRule type="duplicateValues" dxfId="8400" priority="9895"/>
    <cfRule type="duplicateValues" dxfId="8399" priority="9896"/>
    <cfRule type="duplicateValues" dxfId="8398" priority="9897"/>
    <cfRule type="duplicateValues" dxfId="8397" priority="9898"/>
    <cfRule type="duplicateValues" dxfId="8396" priority="9899"/>
    <cfRule type="duplicateValues" dxfId="8395" priority="9900"/>
    <cfRule type="duplicateValues" dxfId="8394" priority="9901"/>
    <cfRule type="duplicateValues" dxfId="8393" priority="9902"/>
    <cfRule type="duplicateValues" dxfId="8392" priority="9903"/>
    <cfRule type="duplicateValues" dxfId="8391" priority="9904"/>
    <cfRule type="duplicateValues" dxfId="8390" priority="9905"/>
    <cfRule type="duplicateValues" dxfId="8389" priority="9906"/>
    <cfRule type="duplicateValues" dxfId="8388" priority="9907"/>
    <cfRule type="duplicateValues" dxfId="8387" priority="9908"/>
    <cfRule type="duplicateValues" dxfId="8386" priority="9909"/>
    <cfRule type="duplicateValues" dxfId="8385" priority="9910"/>
    <cfRule type="duplicateValues" dxfId="8384" priority="9911"/>
    <cfRule type="duplicateValues" dxfId="8383" priority="9912"/>
    <cfRule type="duplicateValues" dxfId="8382" priority="9913"/>
    <cfRule type="duplicateValues" dxfId="8381" priority="9914"/>
  </conditionalFormatting>
  <conditionalFormatting sqref="J20 J18">
    <cfRule type="duplicateValues" dxfId="8380" priority="9736"/>
  </conditionalFormatting>
  <conditionalFormatting sqref="J20 J18">
    <cfRule type="duplicateValues" dxfId="8379" priority="9734"/>
    <cfRule type="duplicateValues" dxfId="8378" priority="9735"/>
  </conditionalFormatting>
  <conditionalFormatting sqref="J20 J18">
    <cfRule type="duplicateValues" dxfId="8377" priority="9740"/>
  </conditionalFormatting>
  <conditionalFormatting sqref="J20 J18">
    <cfRule type="duplicateValues" dxfId="8376" priority="9741"/>
    <cfRule type="duplicateValues" dxfId="8375" priority="9742"/>
  </conditionalFormatting>
  <conditionalFormatting sqref="J20 J18">
    <cfRule type="duplicateValues" dxfId="8374" priority="9738"/>
  </conditionalFormatting>
  <conditionalFormatting sqref="J20 J18">
    <cfRule type="duplicateValues" dxfId="8373" priority="9739"/>
  </conditionalFormatting>
  <conditionalFormatting sqref="J20 J18">
    <cfRule type="duplicateValues" dxfId="8372" priority="9737"/>
  </conditionalFormatting>
  <conditionalFormatting sqref="J20 J18">
    <cfRule type="duplicateValues" dxfId="8371" priority="9728"/>
    <cfRule type="duplicateValues" dxfId="8370" priority="9729"/>
    <cfRule type="duplicateValues" dxfId="8369" priority="9730"/>
    <cfRule type="duplicateValues" dxfId="8368" priority="9731"/>
    <cfRule type="duplicateValues" dxfId="8367" priority="9732"/>
    <cfRule type="duplicateValues" dxfId="8366" priority="9733"/>
  </conditionalFormatting>
  <conditionalFormatting sqref="J20 J18">
    <cfRule type="duplicateValues" dxfId="8365" priority="9723"/>
    <cfRule type="duplicateValues" dxfId="8364" priority="9724"/>
    <cfRule type="duplicateValues" dxfId="8363" priority="9725"/>
    <cfRule type="duplicateValues" dxfId="8362" priority="9726"/>
    <cfRule type="duplicateValues" dxfId="8361" priority="9727"/>
  </conditionalFormatting>
  <conditionalFormatting sqref="J20 J18">
    <cfRule type="duplicateValues" dxfId="8360" priority="9743"/>
    <cfRule type="duplicateValues" dxfId="8359" priority="9744"/>
    <cfRule type="duplicateValues" dxfId="8358" priority="9745"/>
    <cfRule type="duplicateValues" dxfId="8357" priority="9746"/>
    <cfRule type="duplicateValues" dxfId="8356" priority="9747"/>
    <cfRule type="duplicateValues" dxfId="8355" priority="9748"/>
    <cfRule type="duplicateValues" dxfId="8354" priority="9749"/>
    <cfRule type="duplicateValues" dxfId="8353" priority="9750"/>
    <cfRule type="duplicateValues" dxfId="8352" priority="9751"/>
    <cfRule type="duplicateValues" dxfId="8351" priority="9752"/>
    <cfRule type="duplicateValues" dxfId="8350" priority="9753"/>
    <cfRule type="duplicateValues" dxfId="8349" priority="9754"/>
    <cfRule type="duplicateValues" dxfId="8348" priority="9755"/>
    <cfRule type="duplicateValues" dxfId="8347" priority="9756"/>
    <cfRule type="duplicateValues" dxfId="8346" priority="9757"/>
    <cfRule type="duplicateValues" dxfId="8345" priority="9758"/>
    <cfRule type="duplicateValues" dxfId="8344" priority="9759"/>
    <cfRule type="duplicateValues" dxfId="8343" priority="9760"/>
    <cfRule type="duplicateValues" dxfId="8342" priority="9761"/>
    <cfRule type="duplicateValues" dxfId="8341" priority="9762"/>
    <cfRule type="duplicateValues" dxfId="8340" priority="9763"/>
    <cfRule type="duplicateValues" dxfId="8339" priority="9764"/>
    <cfRule type="duplicateValues" dxfId="8338" priority="9765"/>
    <cfRule type="duplicateValues" dxfId="8337" priority="9766"/>
    <cfRule type="duplicateValues" dxfId="8336" priority="9767"/>
    <cfRule type="duplicateValues" dxfId="8335" priority="9768"/>
    <cfRule type="duplicateValues" dxfId="8334" priority="9769"/>
    <cfRule type="duplicateValues" dxfId="8333" priority="9770"/>
  </conditionalFormatting>
  <conditionalFormatting sqref="J16 J14">
    <cfRule type="duplicateValues" dxfId="8332" priority="9655"/>
  </conditionalFormatting>
  <conditionalFormatting sqref="J16 J14">
    <cfRule type="duplicateValues" dxfId="8331" priority="9653"/>
    <cfRule type="duplicateValues" dxfId="8330" priority="9654"/>
  </conditionalFormatting>
  <conditionalFormatting sqref="J16 J14">
    <cfRule type="duplicateValues" dxfId="8329" priority="9692"/>
  </conditionalFormatting>
  <conditionalFormatting sqref="J16 J14">
    <cfRule type="duplicateValues" dxfId="8328" priority="9693"/>
    <cfRule type="duplicateValues" dxfId="8327" priority="9694"/>
  </conditionalFormatting>
  <conditionalFormatting sqref="J16 J14">
    <cfRule type="duplicateValues" dxfId="8326" priority="9690"/>
  </conditionalFormatting>
  <conditionalFormatting sqref="J16 J14">
    <cfRule type="duplicateValues" dxfId="8325" priority="9691"/>
  </conditionalFormatting>
  <conditionalFormatting sqref="J16 J14">
    <cfRule type="duplicateValues" dxfId="8324" priority="9689"/>
  </conditionalFormatting>
  <conditionalFormatting sqref="J16 J14">
    <cfRule type="duplicateValues" dxfId="8323" priority="9656"/>
    <cfRule type="duplicateValues" dxfId="8322" priority="9657"/>
    <cfRule type="duplicateValues" dxfId="8321" priority="9658"/>
    <cfRule type="duplicateValues" dxfId="8320" priority="9659"/>
  </conditionalFormatting>
  <conditionalFormatting sqref="J16 J14">
    <cfRule type="duplicateValues" dxfId="8319" priority="9661"/>
    <cfRule type="duplicateValues" dxfId="8318" priority="9662"/>
    <cfRule type="duplicateValues" dxfId="8317" priority="9663"/>
    <cfRule type="duplicateValues" dxfId="8316" priority="9664"/>
    <cfRule type="duplicateValues" dxfId="8315" priority="9665"/>
  </conditionalFormatting>
  <conditionalFormatting sqref="J16 J14">
    <cfRule type="duplicateValues" dxfId="8314" priority="9672"/>
    <cfRule type="duplicateValues" dxfId="8313" priority="9673"/>
    <cfRule type="duplicateValues" dxfId="8312" priority="9674"/>
    <cfRule type="duplicateValues" dxfId="8311" priority="9675"/>
    <cfRule type="duplicateValues" dxfId="8310" priority="9676"/>
    <cfRule type="duplicateValues" dxfId="8309" priority="9677"/>
    <cfRule type="duplicateValues" dxfId="8308" priority="9678"/>
    <cfRule type="duplicateValues" dxfId="8307" priority="9679"/>
    <cfRule type="duplicateValues" dxfId="8306" priority="9680"/>
    <cfRule type="duplicateValues" dxfId="8305" priority="9681"/>
    <cfRule type="duplicateValues" dxfId="8304" priority="9682"/>
  </conditionalFormatting>
  <conditionalFormatting sqref="J16 J14">
    <cfRule type="duplicateValues" dxfId="8303" priority="9666"/>
    <cfRule type="duplicateValues" dxfId="8302" priority="9667"/>
    <cfRule type="duplicateValues" dxfId="8301" priority="9668"/>
    <cfRule type="duplicateValues" dxfId="8300" priority="9669"/>
    <cfRule type="duplicateValues" dxfId="8299" priority="9670"/>
    <cfRule type="duplicateValues" dxfId="8298" priority="9671"/>
  </conditionalFormatting>
  <conditionalFormatting sqref="J16 J14">
    <cfRule type="duplicateValues" dxfId="8297" priority="9683"/>
    <cfRule type="duplicateValues" dxfId="8296" priority="9684"/>
    <cfRule type="duplicateValues" dxfId="8295" priority="9685"/>
    <cfRule type="duplicateValues" dxfId="8294" priority="9686"/>
    <cfRule type="duplicateValues" dxfId="8293" priority="9687"/>
    <cfRule type="duplicateValues" dxfId="8292" priority="9688"/>
  </conditionalFormatting>
  <conditionalFormatting sqref="J16 J14">
    <cfRule type="duplicateValues" dxfId="8291" priority="9660"/>
  </conditionalFormatting>
  <conditionalFormatting sqref="J16 J14">
    <cfRule type="duplicateValues" dxfId="8290" priority="9647"/>
    <cfRule type="duplicateValues" dxfId="8289" priority="9648"/>
    <cfRule type="duplicateValues" dxfId="8288" priority="9649"/>
    <cfRule type="duplicateValues" dxfId="8287" priority="9650"/>
    <cfRule type="duplicateValues" dxfId="8286" priority="9651"/>
    <cfRule type="duplicateValues" dxfId="8285" priority="9652"/>
  </conditionalFormatting>
  <conditionalFormatting sqref="J16 J14">
    <cfRule type="duplicateValues" dxfId="8284" priority="9642"/>
    <cfRule type="duplicateValues" dxfId="8283" priority="9643"/>
    <cfRule type="duplicateValues" dxfId="8282" priority="9644"/>
    <cfRule type="duplicateValues" dxfId="8281" priority="9645"/>
    <cfRule type="duplicateValues" dxfId="8280" priority="9646"/>
  </conditionalFormatting>
  <conditionalFormatting sqref="J16 J14">
    <cfRule type="duplicateValues" dxfId="8279" priority="9695"/>
    <cfRule type="duplicateValues" dxfId="8278" priority="9696"/>
    <cfRule type="duplicateValues" dxfId="8277" priority="9697"/>
    <cfRule type="duplicateValues" dxfId="8276" priority="9698"/>
    <cfRule type="duplicateValues" dxfId="8275" priority="9699"/>
    <cfRule type="duplicateValues" dxfId="8274" priority="9700"/>
    <cfRule type="duplicateValues" dxfId="8273" priority="9701"/>
    <cfRule type="duplicateValues" dxfId="8272" priority="9702"/>
    <cfRule type="duplicateValues" dxfId="8271" priority="9703"/>
    <cfRule type="duplicateValues" dxfId="8270" priority="9704"/>
    <cfRule type="duplicateValues" dxfId="8269" priority="9705"/>
    <cfRule type="duplicateValues" dxfId="8268" priority="9706"/>
    <cfRule type="duplicateValues" dxfId="8267" priority="9707"/>
    <cfRule type="duplicateValues" dxfId="8266" priority="9708"/>
    <cfRule type="duplicateValues" dxfId="8265" priority="9709"/>
    <cfRule type="duplicateValues" dxfId="8264" priority="9710"/>
    <cfRule type="duplicateValues" dxfId="8263" priority="9711"/>
    <cfRule type="duplicateValues" dxfId="8262" priority="9712"/>
    <cfRule type="duplicateValues" dxfId="8261" priority="9713"/>
    <cfRule type="duplicateValues" dxfId="8260" priority="9714"/>
    <cfRule type="duplicateValues" dxfId="8259" priority="9715"/>
    <cfRule type="duplicateValues" dxfId="8258" priority="9716"/>
  </conditionalFormatting>
  <conditionalFormatting sqref="J16 J14">
    <cfRule type="duplicateValues" dxfId="8257" priority="9717"/>
    <cfRule type="duplicateValues" dxfId="8256" priority="9718"/>
    <cfRule type="duplicateValues" dxfId="8255" priority="9719"/>
    <cfRule type="duplicateValues" dxfId="8254" priority="9720"/>
    <cfRule type="duplicateValues" dxfId="8253" priority="9721"/>
    <cfRule type="duplicateValues" dxfId="8252" priority="9722"/>
  </conditionalFormatting>
  <conditionalFormatting sqref="J20">
    <cfRule type="duplicateValues" dxfId="8251" priority="9574"/>
  </conditionalFormatting>
  <conditionalFormatting sqref="J20">
    <cfRule type="duplicateValues" dxfId="8250" priority="9572"/>
    <cfRule type="duplicateValues" dxfId="8249" priority="9573"/>
  </conditionalFormatting>
  <conditionalFormatting sqref="J20">
    <cfRule type="duplicateValues" dxfId="8248" priority="9611"/>
  </conditionalFormatting>
  <conditionalFormatting sqref="J20">
    <cfRule type="duplicateValues" dxfId="8247" priority="9612"/>
    <cfRule type="duplicateValues" dxfId="8246" priority="9613"/>
  </conditionalFormatting>
  <conditionalFormatting sqref="J20">
    <cfRule type="duplicateValues" dxfId="8245" priority="9609"/>
  </conditionalFormatting>
  <conditionalFormatting sqref="J20">
    <cfRule type="duplicateValues" dxfId="8244" priority="9610"/>
  </conditionalFormatting>
  <conditionalFormatting sqref="J20">
    <cfRule type="duplicateValues" dxfId="8243" priority="9608"/>
  </conditionalFormatting>
  <conditionalFormatting sqref="J20">
    <cfRule type="duplicateValues" dxfId="8242" priority="9575"/>
    <cfRule type="duplicateValues" dxfId="8241" priority="9576"/>
    <cfRule type="duplicateValues" dxfId="8240" priority="9577"/>
    <cfRule type="duplicateValues" dxfId="8239" priority="9578"/>
  </conditionalFormatting>
  <conditionalFormatting sqref="J20">
    <cfRule type="duplicateValues" dxfId="8238" priority="9580"/>
    <cfRule type="duplicateValues" dxfId="8237" priority="9581"/>
    <cfRule type="duplicateValues" dxfId="8236" priority="9582"/>
    <cfRule type="duplicateValues" dxfId="8235" priority="9583"/>
    <cfRule type="duplicateValues" dxfId="8234" priority="9584"/>
  </conditionalFormatting>
  <conditionalFormatting sqref="J20">
    <cfRule type="duplicateValues" dxfId="8233" priority="9591"/>
    <cfRule type="duplicateValues" dxfId="8232" priority="9592"/>
    <cfRule type="duplicateValues" dxfId="8231" priority="9593"/>
    <cfRule type="duplicateValues" dxfId="8230" priority="9594"/>
    <cfRule type="duplicateValues" dxfId="8229" priority="9595"/>
    <cfRule type="duplicateValues" dxfId="8228" priority="9596"/>
    <cfRule type="duplicateValues" dxfId="8227" priority="9597"/>
    <cfRule type="duplicateValues" dxfId="8226" priority="9598"/>
    <cfRule type="duplicateValues" dxfId="8225" priority="9599"/>
    <cfRule type="duplicateValues" dxfId="8224" priority="9600"/>
    <cfRule type="duplicateValues" dxfId="8223" priority="9601"/>
  </conditionalFormatting>
  <conditionalFormatting sqref="J20">
    <cfRule type="duplicateValues" dxfId="8222" priority="9585"/>
    <cfRule type="duplicateValues" dxfId="8221" priority="9586"/>
    <cfRule type="duplicateValues" dxfId="8220" priority="9587"/>
    <cfRule type="duplicateValues" dxfId="8219" priority="9588"/>
    <cfRule type="duplicateValues" dxfId="8218" priority="9589"/>
    <cfRule type="duplicateValues" dxfId="8217" priority="9590"/>
  </conditionalFormatting>
  <conditionalFormatting sqref="J20">
    <cfRule type="duplicateValues" dxfId="8216" priority="9602"/>
    <cfRule type="duplicateValues" dxfId="8215" priority="9603"/>
    <cfRule type="duplicateValues" dxfId="8214" priority="9604"/>
    <cfRule type="duplicateValues" dxfId="8213" priority="9605"/>
    <cfRule type="duplicateValues" dxfId="8212" priority="9606"/>
    <cfRule type="duplicateValues" dxfId="8211" priority="9607"/>
  </conditionalFormatting>
  <conditionalFormatting sqref="J20">
    <cfRule type="duplicateValues" dxfId="8210" priority="9579"/>
  </conditionalFormatting>
  <conditionalFormatting sqref="J20">
    <cfRule type="duplicateValues" dxfId="8209" priority="9566"/>
    <cfRule type="duplicateValues" dxfId="8208" priority="9567"/>
    <cfRule type="duplicateValues" dxfId="8207" priority="9568"/>
    <cfRule type="duplicateValues" dxfId="8206" priority="9569"/>
    <cfRule type="duplicateValues" dxfId="8205" priority="9570"/>
    <cfRule type="duplicateValues" dxfId="8204" priority="9571"/>
  </conditionalFormatting>
  <conditionalFormatting sqref="J20">
    <cfRule type="duplicateValues" dxfId="8203" priority="9561"/>
    <cfRule type="duplicateValues" dxfId="8202" priority="9562"/>
    <cfRule type="duplicateValues" dxfId="8201" priority="9563"/>
    <cfRule type="duplicateValues" dxfId="8200" priority="9564"/>
    <cfRule type="duplicateValues" dxfId="8199" priority="9565"/>
  </conditionalFormatting>
  <conditionalFormatting sqref="J20">
    <cfRule type="duplicateValues" dxfId="8198" priority="9614"/>
    <cfRule type="duplicateValues" dxfId="8197" priority="9615"/>
    <cfRule type="duplicateValues" dxfId="8196" priority="9616"/>
    <cfRule type="duplicateValues" dxfId="8195" priority="9617"/>
    <cfRule type="duplicateValues" dxfId="8194" priority="9618"/>
    <cfRule type="duplicateValues" dxfId="8193" priority="9619"/>
    <cfRule type="duplicateValues" dxfId="8192" priority="9620"/>
    <cfRule type="duplicateValues" dxfId="8191" priority="9621"/>
    <cfRule type="duplicateValues" dxfId="8190" priority="9622"/>
    <cfRule type="duplicateValues" dxfId="8189" priority="9623"/>
    <cfRule type="duplicateValues" dxfId="8188" priority="9624"/>
    <cfRule type="duplicateValues" dxfId="8187" priority="9625"/>
    <cfRule type="duplicateValues" dxfId="8186" priority="9626"/>
    <cfRule type="duplicateValues" dxfId="8185" priority="9627"/>
    <cfRule type="duplicateValues" dxfId="8184" priority="9628"/>
    <cfRule type="duplicateValues" dxfId="8183" priority="9629"/>
    <cfRule type="duplicateValues" dxfId="8182" priority="9630"/>
    <cfRule type="duplicateValues" dxfId="8181" priority="9631"/>
    <cfRule type="duplicateValues" dxfId="8180" priority="9632"/>
    <cfRule type="duplicateValues" dxfId="8179" priority="9633"/>
    <cfRule type="duplicateValues" dxfId="8178" priority="9634"/>
    <cfRule type="duplicateValues" dxfId="8177" priority="9635"/>
  </conditionalFormatting>
  <conditionalFormatting sqref="J20">
    <cfRule type="duplicateValues" dxfId="8176" priority="9636"/>
    <cfRule type="duplicateValues" dxfId="8175" priority="9637"/>
    <cfRule type="duplicateValues" dxfId="8174" priority="9638"/>
    <cfRule type="duplicateValues" dxfId="8173" priority="9639"/>
    <cfRule type="duplicateValues" dxfId="8172" priority="9640"/>
    <cfRule type="duplicateValues" dxfId="8171" priority="9641"/>
  </conditionalFormatting>
  <conditionalFormatting sqref="AI9:AI11">
    <cfRule type="duplicateValues" dxfId="8170" priority="9352"/>
  </conditionalFormatting>
  <conditionalFormatting sqref="AI9:AI11">
    <cfRule type="duplicateValues" dxfId="8169" priority="9350"/>
    <cfRule type="duplicateValues" dxfId="8168" priority="9351"/>
  </conditionalFormatting>
  <conditionalFormatting sqref="AI9:AI11">
    <cfRule type="duplicateValues" dxfId="8167" priority="9355"/>
  </conditionalFormatting>
  <conditionalFormatting sqref="AI9:AI11">
    <cfRule type="duplicateValues" dxfId="8166" priority="9356"/>
    <cfRule type="duplicateValues" dxfId="8165" priority="9357"/>
  </conditionalFormatting>
  <conditionalFormatting sqref="AI9:AI11">
    <cfRule type="duplicateValues" dxfId="8164" priority="9354"/>
  </conditionalFormatting>
  <conditionalFormatting sqref="AI9:AI11">
    <cfRule type="duplicateValues" dxfId="8163" priority="9353"/>
  </conditionalFormatting>
  <conditionalFormatting sqref="AI9:AI11">
    <cfRule type="duplicateValues" dxfId="8162" priority="9344"/>
    <cfRule type="duplicateValues" dxfId="8161" priority="9345"/>
    <cfRule type="duplicateValues" dxfId="8160" priority="9346"/>
    <cfRule type="duplicateValues" dxfId="8159" priority="9347"/>
    <cfRule type="duplicateValues" dxfId="8158" priority="9348"/>
    <cfRule type="duplicateValues" dxfId="8157" priority="9349"/>
  </conditionalFormatting>
  <conditionalFormatting sqref="AI9:AI11">
    <cfRule type="duplicateValues" dxfId="8156" priority="9339"/>
    <cfRule type="duplicateValues" dxfId="8155" priority="9340"/>
    <cfRule type="duplicateValues" dxfId="8154" priority="9341"/>
    <cfRule type="duplicateValues" dxfId="8153" priority="9342"/>
    <cfRule type="duplicateValues" dxfId="8152" priority="9343"/>
  </conditionalFormatting>
  <conditionalFormatting sqref="AI9:AI11">
    <cfRule type="duplicateValues" dxfId="8151" priority="9358"/>
    <cfRule type="duplicateValues" dxfId="8150" priority="9359"/>
    <cfRule type="duplicateValues" dxfId="8149" priority="9360"/>
    <cfRule type="duplicateValues" dxfId="8148" priority="9361"/>
    <cfRule type="duplicateValues" dxfId="8147" priority="9362"/>
    <cfRule type="duplicateValues" dxfId="8146" priority="9363"/>
    <cfRule type="duplicateValues" dxfId="8145" priority="9364"/>
    <cfRule type="duplicateValues" dxfId="8144" priority="9365"/>
    <cfRule type="duplicateValues" dxfId="8143" priority="9366"/>
    <cfRule type="duplicateValues" dxfId="8142" priority="9367"/>
    <cfRule type="duplicateValues" dxfId="8141" priority="9368"/>
    <cfRule type="duplicateValues" dxfId="8140" priority="9369"/>
    <cfRule type="duplicateValues" dxfId="8139" priority="9370"/>
    <cfRule type="duplicateValues" dxfId="8138" priority="9371"/>
    <cfRule type="duplicateValues" dxfId="8137" priority="9372"/>
    <cfRule type="duplicateValues" dxfId="8136" priority="9373"/>
    <cfRule type="duplicateValues" dxfId="8135" priority="9374"/>
    <cfRule type="duplicateValues" dxfId="8134" priority="9375"/>
    <cfRule type="duplicateValues" dxfId="8133" priority="9376"/>
    <cfRule type="duplicateValues" dxfId="8132" priority="9377"/>
    <cfRule type="duplicateValues" dxfId="8131" priority="9378"/>
    <cfRule type="duplicateValues" dxfId="8130" priority="9379"/>
    <cfRule type="duplicateValues" dxfId="8129" priority="9380"/>
    <cfRule type="duplicateValues" dxfId="8128" priority="9381"/>
    <cfRule type="duplicateValues" dxfId="8127" priority="9382"/>
    <cfRule type="duplicateValues" dxfId="8126" priority="9383"/>
    <cfRule type="duplicateValues" dxfId="8125" priority="9384"/>
    <cfRule type="duplicateValues" dxfId="8124" priority="9385"/>
  </conditionalFormatting>
  <conditionalFormatting sqref="AI10">
    <cfRule type="duplicateValues" dxfId="8123" priority="9256"/>
  </conditionalFormatting>
  <conditionalFormatting sqref="AI10">
    <cfRule type="duplicateValues" dxfId="8122" priority="9254"/>
    <cfRule type="duplicateValues" dxfId="8121" priority="9255"/>
  </conditionalFormatting>
  <conditionalFormatting sqref="AI10">
    <cfRule type="duplicateValues" dxfId="8120" priority="9260"/>
  </conditionalFormatting>
  <conditionalFormatting sqref="AI10">
    <cfRule type="duplicateValues" dxfId="8119" priority="9261"/>
    <cfRule type="duplicateValues" dxfId="8118" priority="9262"/>
  </conditionalFormatting>
  <conditionalFormatting sqref="AI10">
    <cfRule type="duplicateValues" dxfId="8117" priority="9258"/>
  </conditionalFormatting>
  <conditionalFormatting sqref="AI10">
    <cfRule type="duplicateValues" dxfId="8116" priority="9259"/>
  </conditionalFormatting>
  <conditionalFormatting sqref="AI10">
    <cfRule type="duplicateValues" dxfId="8115" priority="9257"/>
  </conditionalFormatting>
  <conditionalFormatting sqref="AI10">
    <cfRule type="duplicateValues" dxfId="8114" priority="9248"/>
    <cfRule type="duplicateValues" dxfId="8113" priority="9249"/>
    <cfRule type="duplicateValues" dxfId="8112" priority="9250"/>
    <cfRule type="duplicateValues" dxfId="8111" priority="9251"/>
    <cfRule type="duplicateValues" dxfId="8110" priority="9252"/>
    <cfRule type="duplicateValues" dxfId="8109" priority="9253"/>
  </conditionalFormatting>
  <conditionalFormatting sqref="AI10">
    <cfRule type="duplicateValues" dxfId="8108" priority="9243"/>
    <cfRule type="duplicateValues" dxfId="8107" priority="9244"/>
    <cfRule type="duplicateValues" dxfId="8106" priority="9245"/>
    <cfRule type="duplicateValues" dxfId="8105" priority="9246"/>
    <cfRule type="duplicateValues" dxfId="8104" priority="9247"/>
  </conditionalFormatting>
  <conditionalFormatting sqref="AI10">
    <cfRule type="duplicateValues" dxfId="8103" priority="9263"/>
    <cfRule type="duplicateValues" dxfId="8102" priority="9264"/>
    <cfRule type="duplicateValues" dxfId="8101" priority="9265"/>
    <cfRule type="duplicateValues" dxfId="8100" priority="9266"/>
    <cfRule type="duplicateValues" dxfId="8099" priority="9267"/>
    <cfRule type="duplicateValues" dxfId="8098" priority="9268"/>
    <cfRule type="duplicateValues" dxfId="8097" priority="9269"/>
    <cfRule type="duplicateValues" dxfId="8096" priority="9270"/>
    <cfRule type="duplicateValues" dxfId="8095" priority="9271"/>
    <cfRule type="duplicateValues" dxfId="8094" priority="9272"/>
    <cfRule type="duplicateValues" dxfId="8093" priority="9273"/>
    <cfRule type="duplicateValues" dxfId="8092" priority="9274"/>
    <cfRule type="duplicateValues" dxfId="8091" priority="9275"/>
    <cfRule type="duplicateValues" dxfId="8090" priority="9276"/>
    <cfRule type="duplicateValues" dxfId="8089" priority="9277"/>
    <cfRule type="duplicateValues" dxfId="8088" priority="9278"/>
    <cfRule type="duplicateValues" dxfId="8087" priority="9279"/>
    <cfRule type="duplicateValues" dxfId="8086" priority="9280"/>
    <cfRule type="duplicateValues" dxfId="8085" priority="9281"/>
    <cfRule type="duplicateValues" dxfId="8084" priority="9282"/>
    <cfRule type="duplicateValues" dxfId="8083" priority="9283"/>
    <cfRule type="duplicateValues" dxfId="8082" priority="9284"/>
    <cfRule type="duplicateValues" dxfId="8081" priority="9285"/>
    <cfRule type="duplicateValues" dxfId="8080" priority="9286"/>
    <cfRule type="duplicateValues" dxfId="8079" priority="9287"/>
    <cfRule type="duplicateValues" dxfId="8078" priority="9288"/>
    <cfRule type="duplicateValues" dxfId="8077" priority="9289"/>
    <cfRule type="duplicateValues" dxfId="8076" priority="9290"/>
  </conditionalFormatting>
  <conditionalFormatting sqref="AI11">
    <cfRule type="duplicateValues" dxfId="8075" priority="9172"/>
  </conditionalFormatting>
  <conditionalFormatting sqref="AI11">
    <cfRule type="duplicateValues" dxfId="8074" priority="9162"/>
    <cfRule type="duplicateValues" dxfId="8073" priority="9163"/>
    <cfRule type="duplicateValues" dxfId="8072" priority="9164"/>
    <cfRule type="duplicateValues" dxfId="8071" priority="9165"/>
  </conditionalFormatting>
  <conditionalFormatting sqref="AI11">
    <cfRule type="duplicateValues" dxfId="8070" priority="9167"/>
    <cfRule type="duplicateValues" dxfId="8069" priority="9168"/>
    <cfRule type="duplicateValues" dxfId="8068" priority="9169"/>
    <cfRule type="duplicateValues" dxfId="8067" priority="9170"/>
    <cfRule type="duplicateValues" dxfId="8066" priority="9171"/>
  </conditionalFormatting>
  <conditionalFormatting sqref="AI11">
    <cfRule type="duplicateValues" dxfId="8065" priority="9166"/>
  </conditionalFormatting>
  <conditionalFormatting sqref="AI11">
    <cfRule type="duplicateValues" dxfId="8064" priority="9178"/>
    <cfRule type="duplicateValues" dxfId="8063" priority="9179"/>
    <cfRule type="duplicateValues" dxfId="8062" priority="9180"/>
    <cfRule type="duplicateValues" dxfId="8061" priority="9181"/>
    <cfRule type="duplicateValues" dxfId="8060" priority="9182"/>
    <cfRule type="duplicateValues" dxfId="8059" priority="9183"/>
    <cfRule type="duplicateValues" dxfId="8058" priority="9184"/>
    <cfRule type="duplicateValues" dxfId="8057" priority="9185"/>
    <cfRule type="duplicateValues" dxfId="8056" priority="9186"/>
    <cfRule type="duplicateValues" dxfId="8055" priority="9187"/>
    <cfRule type="duplicateValues" dxfId="8054" priority="9188"/>
    <cfRule type="duplicateValues" dxfId="8053" priority="9189"/>
    <cfRule type="duplicateValues" dxfId="8052" priority="9190"/>
    <cfRule type="duplicateValues" dxfId="8051" priority="9191"/>
    <cfRule type="duplicateValues" dxfId="8050" priority="9192"/>
    <cfRule type="duplicateValues" dxfId="8049" priority="9193"/>
    <cfRule type="duplicateValues" dxfId="8048" priority="9194"/>
    <cfRule type="duplicateValues" dxfId="8047" priority="9195"/>
    <cfRule type="duplicateValues" dxfId="8046" priority="9196"/>
    <cfRule type="duplicateValues" dxfId="8045" priority="9197"/>
    <cfRule type="duplicateValues" dxfId="8044" priority="9198"/>
    <cfRule type="duplicateValues" dxfId="8043" priority="9199"/>
    <cfRule type="duplicateValues" dxfId="8042" priority="9200"/>
    <cfRule type="duplicateValues" dxfId="8041" priority="9201"/>
    <cfRule type="duplicateValues" dxfId="8040" priority="9202"/>
    <cfRule type="duplicateValues" dxfId="8039" priority="9203"/>
    <cfRule type="duplicateValues" dxfId="8038" priority="9204"/>
    <cfRule type="duplicateValues" dxfId="8037" priority="9205"/>
    <cfRule type="duplicateValues" dxfId="8036" priority="9206"/>
    <cfRule type="duplicateValues" dxfId="8035" priority="9207"/>
    <cfRule type="duplicateValues" dxfId="8034" priority="9208"/>
    <cfRule type="duplicateValues" dxfId="8033" priority="9209"/>
    <cfRule type="duplicateValues" dxfId="8032" priority="9210"/>
    <cfRule type="duplicateValues" dxfId="8031" priority="9211"/>
    <cfRule type="duplicateValues" dxfId="8030" priority="9212"/>
    <cfRule type="duplicateValues" dxfId="8029" priority="9213"/>
    <cfRule type="duplicateValues" dxfId="8028" priority="9214"/>
    <cfRule type="duplicateValues" dxfId="8027" priority="9215"/>
    <cfRule type="duplicateValues" dxfId="8026" priority="9216"/>
    <cfRule type="duplicateValues" dxfId="8025" priority="9217"/>
    <cfRule type="duplicateValues" dxfId="8024" priority="9218"/>
    <cfRule type="duplicateValues" dxfId="8023" priority="9219"/>
    <cfRule type="duplicateValues" dxfId="8022" priority="9220"/>
    <cfRule type="duplicateValues" dxfId="8021" priority="9221"/>
    <cfRule type="duplicateValues" dxfId="8020" priority="9222"/>
    <cfRule type="duplicateValues" dxfId="8019" priority="9223"/>
    <cfRule type="duplicateValues" dxfId="8018" priority="9224"/>
    <cfRule type="duplicateValues" dxfId="8017" priority="9225"/>
    <cfRule type="duplicateValues" dxfId="8016" priority="9226"/>
    <cfRule type="duplicateValues" dxfId="8015" priority="9227"/>
    <cfRule type="duplicateValues" dxfId="8014" priority="9228"/>
    <cfRule type="duplicateValues" dxfId="8013" priority="9229"/>
    <cfRule type="duplicateValues" dxfId="8012" priority="9230"/>
    <cfRule type="duplicateValues" dxfId="8011" priority="9231"/>
    <cfRule type="duplicateValues" dxfId="8010" priority="9232"/>
    <cfRule type="duplicateValues" dxfId="8009" priority="9233"/>
    <cfRule type="duplicateValues" dxfId="8008" priority="9234"/>
    <cfRule type="duplicateValues" dxfId="8007" priority="9235"/>
    <cfRule type="duplicateValues" dxfId="8006" priority="9236"/>
    <cfRule type="duplicateValues" dxfId="8005" priority="9237"/>
    <cfRule type="duplicateValues" dxfId="8004" priority="9238"/>
    <cfRule type="duplicateValues" dxfId="8003" priority="9239"/>
    <cfRule type="duplicateValues" dxfId="8002" priority="9240"/>
    <cfRule type="duplicateValues" dxfId="8001" priority="9241"/>
    <cfRule type="duplicateValues" dxfId="8000" priority="9242"/>
  </conditionalFormatting>
  <conditionalFormatting sqref="AI9">
    <cfRule type="duplicateValues" dxfId="7999" priority="8956"/>
  </conditionalFormatting>
  <conditionalFormatting sqref="AI9">
    <cfRule type="duplicateValues" dxfId="7998" priority="8954"/>
    <cfRule type="duplicateValues" dxfId="7997" priority="8955"/>
  </conditionalFormatting>
  <conditionalFormatting sqref="AI9">
    <cfRule type="duplicateValues" dxfId="7996" priority="8960"/>
  </conditionalFormatting>
  <conditionalFormatting sqref="AI9">
    <cfRule type="duplicateValues" dxfId="7995" priority="8961"/>
    <cfRule type="duplicateValues" dxfId="7994" priority="8962"/>
  </conditionalFormatting>
  <conditionalFormatting sqref="AI9">
    <cfRule type="duplicateValues" dxfId="7993" priority="8958"/>
  </conditionalFormatting>
  <conditionalFormatting sqref="AI9">
    <cfRule type="duplicateValues" dxfId="7992" priority="8959"/>
  </conditionalFormatting>
  <conditionalFormatting sqref="AI9">
    <cfRule type="duplicateValues" dxfId="7991" priority="8957"/>
  </conditionalFormatting>
  <conditionalFormatting sqref="AI9">
    <cfRule type="duplicateValues" dxfId="7990" priority="8948"/>
    <cfRule type="duplicateValues" dxfId="7989" priority="8949"/>
    <cfRule type="duplicateValues" dxfId="7988" priority="8950"/>
    <cfRule type="duplicateValues" dxfId="7987" priority="8951"/>
    <cfRule type="duplicateValues" dxfId="7986" priority="8952"/>
    <cfRule type="duplicateValues" dxfId="7985" priority="8953"/>
  </conditionalFormatting>
  <conditionalFormatting sqref="AI9">
    <cfRule type="duplicateValues" dxfId="7984" priority="8943"/>
    <cfRule type="duplicateValues" dxfId="7983" priority="8944"/>
    <cfRule type="duplicateValues" dxfId="7982" priority="8945"/>
    <cfRule type="duplicateValues" dxfId="7981" priority="8946"/>
    <cfRule type="duplicateValues" dxfId="7980" priority="8947"/>
  </conditionalFormatting>
  <conditionalFormatting sqref="AI9">
    <cfRule type="duplicateValues" dxfId="7979" priority="8963"/>
    <cfRule type="duplicateValues" dxfId="7978" priority="8964"/>
    <cfRule type="duplicateValues" dxfId="7977" priority="8965"/>
    <cfRule type="duplicateValues" dxfId="7976" priority="8966"/>
    <cfRule type="duplicateValues" dxfId="7975" priority="8967"/>
    <cfRule type="duplicateValues" dxfId="7974" priority="8968"/>
    <cfRule type="duplicateValues" dxfId="7973" priority="8969"/>
    <cfRule type="duplicateValues" dxfId="7972" priority="8970"/>
    <cfRule type="duplicateValues" dxfId="7971" priority="8971"/>
    <cfRule type="duplicateValues" dxfId="7970" priority="8972"/>
    <cfRule type="duplicateValues" dxfId="7969" priority="8973"/>
    <cfRule type="duplicateValues" dxfId="7968" priority="8974"/>
    <cfRule type="duplicateValues" dxfId="7967" priority="8975"/>
    <cfRule type="duplicateValues" dxfId="7966" priority="8976"/>
    <cfRule type="duplicateValues" dxfId="7965" priority="8977"/>
    <cfRule type="duplicateValues" dxfId="7964" priority="8978"/>
    <cfRule type="duplicateValues" dxfId="7963" priority="8979"/>
    <cfRule type="duplicateValues" dxfId="7962" priority="8980"/>
    <cfRule type="duplicateValues" dxfId="7961" priority="8981"/>
    <cfRule type="duplicateValues" dxfId="7960" priority="8982"/>
    <cfRule type="duplicateValues" dxfId="7959" priority="8983"/>
    <cfRule type="duplicateValues" dxfId="7958" priority="8984"/>
    <cfRule type="duplicateValues" dxfId="7957" priority="8985"/>
    <cfRule type="duplicateValues" dxfId="7956" priority="8986"/>
    <cfRule type="duplicateValues" dxfId="7955" priority="8987"/>
    <cfRule type="duplicateValues" dxfId="7954" priority="8988"/>
    <cfRule type="duplicateValues" dxfId="7953" priority="8989"/>
    <cfRule type="duplicateValues" dxfId="7952" priority="8990"/>
  </conditionalFormatting>
  <conditionalFormatting sqref="AI11">
    <cfRule type="duplicateValues" dxfId="7951" priority="8908"/>
  </conditionalFormatting>
  <conditionalFormatting sqref="AI11">
    <cfRule type="duplicateValues" dxfId="7950" priority="8906"/>
    <cfRule type="duplicateValues" dxfId="7949" priority="8907"/>
  </conditionalFormatting>
  <conditionalFormatting sqref="AI11">
    <cfRule type="duplicateValues" dxfId="7948" priority="8912"/>
  </conditionalFormatting>
  <conditionalFormatting sqref="AI11">
    <cfRule type="duplicateValues" dxfId="7947" priority="8913"/>
    <cfRule type="duplicateValues" dxfId="7946" priority="8914"/>
  </conditionalFormatting>
  <conditionalFormatting sqref="AI11">
    <cfRule type="duplicateValues" dxfId="7945" priority="8910"/>
  </conditionalFormatting>
  <conditionalFormatting sqref="AI11">
    <cfRule type="duplicateValues" dxfId="7944" priority="8911"/>
  </conditionalFormatting>
  <conditionalFormatting sqref="AI11">
    <cfRule type="duplicateValues" dxfId="7943" priority="8909"/>
  </conditionalFormatting>
  <conditionalFormatting sqref="AI11">
    <cfRule type="duplicateValues" dxfId="7942" priority="8900"/>
    <cfRule type="duplicateValues" dxfId="7941" priority="8901"/>
    <cfRule type="duplicateValues" dxfId="7940" priority="8902"/>
    <cfRule type="duplicateValues" dxfId="7939" priority="8903"/>
    <cfRule type="duplicateValues" dxfId="7938" priority="8904"/>
    <cfRule type="duplicateValues" dxfId="7937" priority="8905"/>
  </conditionalFormatting>
  <conditionalFormatting sqref="AI11">
    <cfRule type="duplicateValues" dxfId="7936" priority="8895"/>
    <cfRule type="duplicateValues" dxfId="7935" priority="8896"/>
    <cfRule type="duplicateValues" dxfId="7934" priority="8897"/>
    <cfRule type="duplicateValues" dxfId="7933" priority="8898"/>
    <cfRule type="duplicateValues" dxfId="7932" priority="8899"/>
  </conditionalFormatting>
  <conditionalFormatting sqref="AI11">
    <cfRule type="duplicateValues" dxfId="7931" priority="8915"/>
    <cfRule type="duplicateValues" dxfId="7930" priority="8916"/>
    <cfRule type="duplicateValues" dxfId="7929" priority="8917"/>
    <cfRule type="duplicateValues" dxfId="7928" priority="8918"/>
    <cfRule type="duplicateValues" dxfId="7927" priority="8919"/>
    <cfRule type="duplicateValues" dxfId="7926" priority="8920"/>
    <cfRule type="duplicateValues" dxfId="7925" priority="8921"/>
    <cfRule type="duplicateValues" dxfId="7924" priority="8922"/>
    <cfRule type="duplicateValues" dxfId="7923" priority="8923"/>
    <cfRule type="duplicateValues" dxfId="7922" priority="8924"/>
    <cfRule type="duplicateValues" dxfId="7921" priority="8925"/>
    <cfRule type="duplicateValues" dxfId="7920" priority="8926"/>
    <cfRule type="duplicateValues" dxfId="7919" priority="8927"/>
    <cfRule type="duplicateValues" dxfId="7918" priority="8928"/>
    <cfRule type="duplicateValues" dxfId="7917" priority="8929"/>
    <cfRule type="duplicateValues" dxfId="7916" priority="8930"/>
    <cfRule type="duplicateValues" dxfId="7915" priority="8931"/>
    <cfRule type="duplicateValues" dxfId="7914" priority="8932"/>
    <cfRule type="duplicateValues" dxfId="7913" priority="8933"/>
    <cfRule type="duplicateValues" dxfId="7912" priority="8934"/>
    <cfRule type="duplicateValues" dxfId="7911" priority="8935"/>
    <cfRule type="duplicateValues" dxfId="7910" priority="8936"/>
    <cfRule type="duplicateValues" dxfId="7909" priority="8937"/>
    <cfRule type="duplicateValues" dxfId="7908" priority="8938"/>
    <cfRule type="duplicateValues" dxfId="7907" priority="8939"/>
    <cfRule type="duplicateValues" dxfId="7906" priority="8940"/>
    <cfRule type="duplicateValues" dxfId="7905" priority="8941"/>
    <cfRule type="duplicateValues" dxfId="7904" priority="8942"/>
  </conditionalFormatting>
  <conditionalFormatting sqref="AI12">
    <cfRule type="duplicateValues" dxfId="7903" priority="8829"/>
  </conditionalFormatting>
  <conditionalFormatting sqref="AI12">
    <cfRule type="duplicateValues" dxfId="7902" priority="8819"/>
    <cfRule type="duplicateValues" dxfId="7901" priority="8820"/>
    <cfRule type="duplicateValues" dxfId="7900" priority="8821"/>
    <cfRule type="duplicateValues" dxfId="7899" priority="8822"/>
  </conditionalFormatting>
  <conditionalFormatting sqref="AI12">
    <cfRule type="duplicateValues" dxfId="7898" priority="8824"/>
    <cfRule type="duplicateValues" dxfId="7897" priority="8825"/>
    <cfRule type="duplicateValues" dxfId="7896" priority="8826"/>
    <cfRule type="duplicateValues" dxfId="7895" priority="8827"/>
    <cfRule type="duplicateValues" dxfId="7894" priority="8828"/>
  </conditionalFormatting>
  <conditionalFormatting sqref="AI12">
    <cfRule type="duplicateValues" dxfId="7893" priority="8823"/>
  </conditionalFormatting>
  <conditionalFormatting sqref="AI12">
    <cfRule type="duplicateValues" dxfId="7892" priority="8830"/>
    <cfRule type="duplicateValues" dxfId="7891" priority="8831"/>
    <cfRule type="duplicateValues" dxfId="7890" priority="8832"/>
    <cfRule type="duplicateValues" dxfId="7889" priority="8833"/>
    <cfRule type="duplicateValues" dxfId="7888" priority="8834"/>
    <cfRule type="duplicateValues" dxfId="7887" priority="8835"/>
    <cfRule type="duplicateValues" dxfId="7886" priority="8836"/>
    <cfRule type="duplicateValues" dxfId="7885" priority="8837"/>
    <cfRule type="duplicateValues" dxfId="7884" priority="8838"/>
    <cfRule type="duplicateValues" dxfId="7883" priority="8839"/>
    <cfRule type="duplicateValues" dxfId="7882" priority="8840"/>
    <cfRule type="duplicateValues" dxfId="7881" priority="8841"/>
    <cfRule type="duplicateValues" dxfId="7880" priority="8842"/>
    <cfRule type="duplicateValues" dxfId="7879" priority="8843"/>
    <cfRule type="duplicateValues" dxfId="7878" priority="8844"/>
    <cfRule type="duplicateValues" dxfId="7877" priority="8845"/>
    <cfRule type="duplicateValues" dxfId="7876" priority="8846"/>
    <cfRule type="duplicateValues" dxfId="7875" priority="8847"/>
    <cfRule type="duplicateValues" dxfId="7874" priority="8848"/>
    <cfRule type="duplicateValues" dxfId="7873" priority="8849"/>
    <cfRule type="duplicateValues" dxfId="7872" priority="8850"/>
    <cfRule type="duplicateValues" dxfId="7871" priority="8851"/>
    <cfRule type="duplicateValues" dxfId="7870" priority="8852"/>
    <cfRule type="duplicateValues" dxfId="7869" priority="8853"/>
    <cfRule type="duplicateValues" dxfId="7868" priority="8854"/>
    <cfRule type="duplicateValues" dxfId="7867" priority="8855"/>
    <cfRule type="duplicateValues" dxfId="7866" priority="8856"/>
    <cfRule type="duplicateValues" dxfId="7865" priority="8857"/>
    <cfRule type="duplicateValues" dxfId="7864" priority="8858"/>
    <cfRule type="duplicateValues" dxfId="7863" priority="8859"/>
    <cfRule type="duplicateValues" dxfId="7862" priority="8860"/>
    <cfRule type="duplicateValues" dxfId="7861" priority="8861"/>
    <cfRule type="duplicateValues" dxfId="7860" priority="8862"/>
    <cfRule type="duplicateValues" dxfId="7859" priority="8863"/>
    <cfRule type="duplicateValues" dxfId="7858" priority="8864"/>
    <cfRule type="duplicateValues" dxfId="7857" priority="8865"/>
    <cfRule type="duplicateValues" dxfId="7856" priority="8866"/>
    <cfRule type="duplicateValues" dxfId="7855" priority="8867"/>
    <cfRule type="duplicateValues" dxfId="7854" priority="8868"/>
    <cfRule type="duplicateValues" dxfId="7853" priority="8869"/>
    <cfRule type="duplicateValues" dxfId="7852" priority="8870"/>
    <cfRule type="duplicateValues" dxfId="7851" priority="8871"/>
    <cfRule type="duplicateValues" dxfId="7850" priority="8872"/>
    <cfRule type="duplicateValues" dxfId="7849" priority="8873"/>
    <cfRule type="duplicateValues" dxfId="7848" priority="8874"/>
    <cfRule type="duplicateValues" dxfId="7847" priority="8875"/>
    <cfRule type="duplicateValues" dxfId="7846" priority="8876"/>
    <cfRule type="duplicateValues" dxfId="7845" priority="8877"/>
    <cfRule type="duplicateValues" dxfId="7844" priority="8878"/>
    <cfRule type="duplicateValues" dxfId="7843" priority="8879"/>
    <cfRule type="duplicateValues" dxfId="7842" priority="8880"/>
    <cfRule type="duplicateValues" dxfId="7841" priority="8881"/>
    <cfRule type="duplicateValues" dxfId="7840" priority="8882"/>
    <cfRule type="duplicateValues" dxfId="7839" priority="8883"/>
    <cfRule type="duplicateValues" dxfId="7838" priority="8884"/>
    <cfRule type="duplicateValues" dxfId="7837" priority="8885"/>
    <cfRule type="duplicateValues" dxfId="7836" priority="8886"/>
    <cfRule type="duplicateValues" dxfId="7835" priority="8887"/>
    <cfRule type="duplicateValues" dxfId="7834" priority="8888"/>
    <cfRule type="duplicateValues" dxfId="7833" priority="8889"/>
    <cfRule type="duplicateValues" dxfId="7832" priority="8890"/>
    <cfRule type="duplicateValues" dxfId="7831" priority="8891"/>
    <cfRule type="duplicateValues" dxfId="7830" priority="8892"/>
    <cfRule type="duplicateValues" dxfId="7829" priority="8893"/>
    <cfRule type="duplicateValues" dxfId="7828" priority="8894"/>
  </conditionalFormatting>
  <conditionalFormatting sqref="AI9">
    <cfRule type="duplicateValues" dxfId="7827" priority="8784"/>
  </conditionalFormatting>
  <conditionalFormatting sqref="AI9">
    <cfRule type="duplicateValues" dxfId="7826" priority="8782"/>
    <cfRule type="duplicateValues" dxfId="7825" priority="8783"/>
  </conditionalFormatting>
  <conditionalFormatting sqref="AI9">
    <cfRule type="duplicateValues" dxfId="7824" priority="8788"/>
  </conditionalFormatting>
  <conditionalFormatting sqref="AI9">
    <cfRule type="duplicateValues" dxfId="7823" priority="8789"/>
    <cfRule type="duplicateValues" dxfId="7822" priority="8790"/>
  </conditionalFormatting>
  <conditionalFormatting sqref="AI9">
    <cfRule type="duplicateValues" dxfId="7821" priority="8786"/>
  </conditionalFormatting>
  <conditionalFormatting sqref="AI9">
    <cfRule type="duplicateValues" dxfId="7820" priority="8787"/>
  </conditionalFormatting>
  <conditionalFormatting sqref="AI9">
    <cfRule type="duplicateValues" dxfId="7819" priority="8785"/>
  </conditionalFormatting>
  <conditionalFormatting sqref="AI9">
    <cfRule type="duplicateValues" dxfId="7818" priority="8776"/>
    <cfRule type="duplicateValues" dxfId="7817" priority="8777"/>
    <cfRule type="duplicateValues" dxfId="7816" priority="8778"/>
    <cfRule type="duplicateValues" dxfId="7815" priority="8779"/>
    <cfRule type="duplicateValues" dxfId="7814" priority="8780"/>
    <cfRule type="duplicateValues" dxfId="7813" priority="8781"/>
  </conditionalFormatting>
  <conditionalFormatting sqref="AI9">
    <cfRule type="duplicateValues" dxfId="7812" priority="8771"/>
    <cfRule type="duplicateValues" dxfId="7811" priority="8772"/>
    <cfRule type="duplicateValues" dxfId="7810" priority="8773"/>
    <cfRule type="duplicateValues" dxfId="7809" priority="8774"/>
    <cfRule type="duplicateValues" dxfId="7808" priority="8775"/>
  </conditionalFormatting>
  <conditionalFormatting sqref="AI9">
    <cfRule type="duplicateValues" dxfId="7807" priority="8791"/>
    <cfRule type="duplicateValues" dxfId="7806" priority="8792"/>
    <cfRule type="duplicateValues" dxfId="7805" priority="8793"/>
    <cfRule type="duplicateValues" dxfId="7804" priority="8794"/>
    <cfRule type="duplicateValues" dxfId="7803" priority="8795"/>
    <cfRule type="duplicateValues" dxfId="7802" priority="8796"/>
    <cfRule type="duplicateValues" dxfId="7801" priority="8797"/>
    <cfRule type="duplicateValues" dxfId="7800" priority="8798"/>
    <cfRule type="duplicateValues" dxfId="7799" priority="8799"/>
    <cfRule type="duplicateValues" dxfId="7798" priority="8800"/>
    <cfRule type="duplicateValues" dxfId="7797" priority="8801"/>
    <cfRule type="duplicateValues" dxfId="7796" priority="8802"/>
    <cfRule type="duplicateValues" dxfId="7795" priority="8803"/>
    <cfRule type="duplicateValues" dxfId="7794" priority="8804"/>
    <cfRule type="duplicateValues" dxfId="7793" priority="8805"/>
    <cfRule type="duplicateValues" dxfId="7792" priority="8806"/>
    <cfRule type="duplicateValues" dxfId="7791" priority="8807"/>
    <cfRule type="duplicateValues" dxfId="7790" priority="8808"/>
    <cfRule type="duplicateValues" dxfId="7789" priority="8809"/>
    <cfRule type="duplicateValues" dxfId="7788" priority="8810"/>
    <cfRule type="duplicateValues" dxfId="7787" priority="8811"/>
    <cfRule type="duplicateValues" dxfId="7786" priority="8812"/>
    <cfRule type="duplicateValues" dxfId="7785" priority="8813"/>
    <cfRule type="duplicateValues" dxfId="7784" priority="8814"/>
    <cfRule type="duplicateValues" dxfId="7783" priority="8815"/>
    <cfRule type="duplicateValues" dxfId="7782" priority="8816"/>
    <cfRule type="duplicateValues" dxfId="7781" priority="8817"/>
    <cfRule type="duplicateValues" dxfId="7780" priority="8818"/>
  </conditionalFormatting>
  <conditionalFormatting sqref="AI11">
    <cfRule type="duplicateValues" dxfId="7779" priority="8736"/>
  </conditionalFormatting>
  <conditionalFormatting sqref="AI11">
    <cfRule type="duplicateValues" dxfId="7778" priority="8734"/>
    <cfRule type="duplicateValues" dxfId="7777" priority="8735"/>
  </conditionalFormatting>
  <conditionalFormatting sqref="AI11">
    <cfRule type="duplicateValues" dxfId="7776" priority="8740"/>
  </conditionalFormatting>
  <conditionalFormatting sqref="AI11">
    <cfRule type="duplicateValues" dxfId="7775" priority="8741"/>
    <cfRule type="duplicateValues" dxfId="7774" priority="8742"/>
  </conditionalFormatting>
  <conditionalFormatting sqref="AI11">
    <cfRule type="duplicateValues" dxfId="7773" priority="8738"/>
  </conditionalFormatting>
  <conditionalFormatting sqref="AI11">
    <cfRule type="duplicateValues" dxfId="7772" priority="8739"/>
  </conditionalFormatting>
  <conditionalFormatting sqref="AI11">
    <cfRule type="duplicateValues" dxfId="7771" priority="8737"/>
  </conditionalFormatting>
  <conditionalFormatting sqref="AI11">
    <cfRule type="duplicateValues" dxfId="7770" priority="8728"/>
    <cfRule type="duplicateValues" dxfId="7769" priority="8729"/>
    <cfRule type="duplicateValues" dxfId="7768" priority="8730"/>
    <cfRule type="duplicateValues" dxfId="7767" priority="8731"/>
    <cfRule type="duplicateValues" dxfId="7766" priority="8732"/>
    <cfRule type="duplicateValues" dxfId="7765" priority="8733"/>
  </conditionalFormatting>
  <conditionalFormatting sqref="AI11">
    <cfRule type="duplicateValues" dxfId="7764" priority="8723"/>
    <cfRule type="duplicateValues" dxfId="7763" priority="8724"/>
    <cfRule type="duplicateValues" dxfId="7762" priority="8725"/>
    <cfRule type="duplicateValues" dxfId="7761" priority="8726"/>
    <cfRule type="duplicateValues" dxfId="7760" priority="8727"/>
  </conditionalFormatting>
  <conditionalFormatting sqref="AI11">
    <cfRule type="duplicateValues" dxfId="7759" priority="8743"/>
    <cfRule type="duplicateValues" dxfId="7758" priority="8744"/>
    <cfRule type="duplicateValues" dxfId="7757" priority="8745"/>
    <cfRule type="duplicateValues" dxfId="7756" priority="8746"/>
    <cfRule type="duplicateValues" dxfId="7755" priority="8747"/>
    <cfRule type="duplicateValues" dxfId="7754" priority="8748"/>
    <cfRule type="duplicateValues" dxfId="7753" priority="8749"/>
    <cfRule type="duplicateValues" dxfId="7752" priority="8750"/>
    <cfRule type="duplicateValues" dxfId="7751" priority="8751"/>
    <cfRule type="duplicateValues" dxfId="7750" priority="8752"/>
    <cfRule type="duplicateValues" dxfId="7749" priority="8753"/>
    <cfRule type="duplicateValues" dxfId="7748" priority="8754"/>
    <cfRule type="duplicateValues" dxfId="7747" priority="8755"/>
    <cfRule type="duplicateValues" dxfId="7746" priority="8756"/>
    <cfRule type="duplicateValues" dxfId="7745" priority="8757"/>
    <cfRule type="duplicateValues" dxfId="7744" priority="8758"/>
    <cfRule type="duplicateValues" dxfId="7743" priority="8759"/>
    <cfRule type="duplicateValues" dxfId="7742" priority="8760"/>
    <cfRule type="duplicateValues" dxfId="7741" priority="8761"/>
    <cfRule type="duplicateValues" dxfId="7740" priority="8762"/>
    <cfRule type="duplicateValues" dxfId="7739" priority="8763"/>
    <cfRule type="duplicateValues" dxfId="7738" priority="8764"/>
    <cfRule type="duplicateValues" dxfId="7737" priority="8765"/>
    <cfRule type="duplicateValues" dxfId="7736" priority="8766"/>
    <cfRule type="duplicateValues" dxfId="7735" priority="8767"/>
    <cfRule type="duplicateValues" dxfId="7734" priority="8768"/>
    <cfRule type="duplicateValues" dxfId="7733" priority="8769"/>
    <cfRule type="duplicateValues" dxfId="7732" priority="8770"/>
  </conditionalFormatting>
  <conditionalFormatting sqref="AI12">
    <cfRule type="duplicateValues" dxfId="7731" priority="8657"/>
  </conditionalFormatting>
  <conditionalFormatting sqref="AI12">
    <cfRule type="duplicateValues" dxfId="7730" priority="8647"/>
    <cfRule type="duplicateValues" dxfId="7729" priority="8648"/>
    <cfRule type="duplicateValues" dxfId="7728" priority="8649"/>
    <cfRule type="duplicateValues" dxfId="7727" priority="8650"/>
  </conditionalFormatting>
  <conditionalFormatting sqref="AI12">
    <cfRule type="duplicateValues" dxfId="7726" priority="8652"/>
    <cfRule type="duplicateValues" dxfId="7725" priority="8653"/>
    <cfRule type="duplicateValues" dxfId="7724" priority="8654"/>
    <cfRule type="duplicateValues" dxfId="7723" priority="8655"/>
    <cfRule type="duplicateValues" dxfId="7722" priority="8656"/>
  </conditionalFormatting>
  <conditionalFormatting sqref="AI12">
    <cfRule type="duplicateValues" dxfId="7721" priority="8651"/>
  </conditionalFormatting>
  <conditionalFormatting sqref="AI12">
    <cfRule type="duplicateValues" dxfId="7720" priority="8658"/>
    <cfRule type="duplicateValues" dxfId="7719" priority="8659"/>
    <cfRule type="duplicateValues" dxfId="7718" priority="8660"/>
    <cfRule type="duplicateValues" dxfId="7717" priority="8661"/>
    <cfRule type="duplicateValues" dxfId="7716" priority="8662"/>
    <cfRule type="duplicateValues" dxfId="7715" priority="8663"/>
    <cfRule type="duplicateValues" dxfId="7714" priority="8664"/>
    <cfRule type="duplicateValues" dxfId="7713" priority="8665"/>
    <cfRule type="duplicateValues" dxfId="7712" priority="8666"/>
    <cfRule type="duplicateValues" dxfId="7711" priority="8667"/>
    <cfRule type="duplicateValues" dxfId="7710" priority="8668"/>
    <cfRule type="duplicateValues" dxfId="7709" priority="8669"/>
    <cfRule type="duplicateValues" dxfId="7708" priority="8670"/>
    <cfRule type="duplicateValues" dxfId="7707" priority="8671"/>
    <cfRule type="duplicateValues" dxfId="7706" priority="8672"/>
    <cfRule type="duplicateValues" dxfId="7705" priority="8673"/>
    <cfRule type="duplicateValues" dxfId="7704" priority="8674"/>
    <cfRule type="duplicateValues" dxfId="7703" priority="8675"/>
    <cfRule type="duplicateValues" dxfId="7702" priority="8676"/>
    <cfRule type="duplicateValues" dxfId="7701" priority="8677"/>
    <cfRule type="duplicateValues" dxfId="7700" priority="8678"/>
    <cfRule type="duplicateValues" dxfId="7699" priority="8679"/>
    <cfRule type="duplicateValues" dxfId="7698" priority="8680"/>
    <cfRule type="duplicateValues" dxfId="7697" priority="8681"/>
    <cfRule type="duplicateValues" dxfId="7696" priority="8682"/>
    <cfRule type="duplicateValues" dxfId="7695" priority="8683"/>
    <cfRule type="duplicateValues" dxfId="7694" priority="8684"/>
    <cfRule type="duplicateValues" dxfId="7693" priority="8685"/>
    <cfRule type="duplicateValues" dxfId="7692" priority="8686"/>
    <cfRule type="duplicateValues" dxfId="7691" priority="8687"/>
    <cfRule type="duplicateValues" dxfId="7690" priority="8688"/>
    <cfRule type="duplicateValues" dxfId="7689" priority="8689"/>
    <cfRule type="duplicateValues" dxfId="7688" priority="8690"/>
    <cfRule type="duplicateValues" dxfId="7687" priority="8691"/>
    <cfRule type="duplicateValues" dxfId="7686" priority="8692"/>
    <cfRule type="duplicateValues" dxfId="7685" priority="8693"/>
    <cfRule type="duplicateValues" dxfId="7684" priority="8694"/>
    <cfRule type="duplicateValues" dxfId="7683" priority="8695"/>
    <cfRule type="duplicateValues" dxfId="7682" priority="8696"/>
    <cfRule type="duplicateValues" dxfId="7681" priority="8697"/>
    <cfRule type="duplicateValues" dxfId="7680" priority="8698"/>
    <cfRule type="duplicateValues" dxfId="7679" priority="8699"/>
    <cfRule type="duplicateValues" dxfId="7678" priority="8700"/>
    <cfRule type="duplicateValues" dxfId="7677" priority="8701"/>
    <cfRule type="duplicateValues" dxfId="7676" priority="8702"/>
    <cfRule type="duplicateValues" dxfId="7675" priority="8703"/>
    <cfRule type="duplicateValues" dxfId="7674" priority="8704"/>
    <cfRule type="duplicateValues" dxfId="7673" priority="8705"/>
    <cfRule type="duplicateValues" dxfId="7672" priority="8706"/>
    <cfRule type="duplicateValues" dxfId="7671" priority="8707"/>
    <cfRule type="duplicateValues" dxfId="7670" priority="8708"/>
    <cfRule type="duplicateValues" dxfId="7669" priority="8709"/>
    <cfRule type="duplicateValues" dxfId="7668" priority="8710"/>
    <cfRule type="duplicateValues" dxfId="7667" priority="8711"/>
    <cfRule type="duplicateValues" dxfId="7666" priority="8712"/>
    <cfRule type="duplicateValues" dxfId="7665" priority="8713"/>
    <cfRule type="duplicateValues" dxfId="7664" priority="8714"/>
    <cfRule type="duplicateValues" dxfId="7663" priority="8715"/>
    <cfRule type="duplicateValues" dxfId="7662" priority="8716"/>
    <cfRule type="duplicateValues" dxfId="7661" priority="8717"/>
    <cfRule type="duplicateValues" dxfId="7660" priority="8718"/>
    <cfRule type="duplicateValues" dxfId="7659" priority="8719"/>
    <cfRule type="duplicateValues" dxfId="7658" priority="8720"/>
    <cfRule type="duplicateValues" dxfId="7657" priority="8721"/>
    <cfRule type="duplicateValues" dxfId="7656" priority="8722"/>
  </conditionalFormatting>
  <conditionalFormatting sqref="AI10">
    <cfRule type="duplicateValues" dxfId="7655" priority="8564"/>
  </conditionalFormatting>
  <conditionalFormatting sqref="AI10">
    <cfRule type="duplicateValues" dxfId="7654" priority="8562"/>
    <cfRule type="duplicateValues" dxfId="7653" priority="8563"/>
  </conditionalFormatting>
  <conditionalFormatting sqref="AI10">
    <cfRule type="duplicateValues" dxfId="7652" priority="8568"/>
  </conditionalFormatting>
  <conditionalFormatting sqref="AI10">
    <cfRule type="duplicateValues" dxfId="7651" priority="8569"/>
    <cfRule type="duplicateValues" dxfId="7650" priority="8570"/>
  </conditionalFormatting>
  <conditionalFormatting sqref="AI10">
    <cfRule type="duplicateValues" dxfId="7649" priority="8566"/>
  </conditionalFormatting>
  <conditionalFormatting sqref="AI10">
    <cfRule type="duplicateValues" dxfId="7648" priority="8567"/>
  </conditionalFormatting>
  <conditionalFormatting sqref="AI10">
    <cfRule type="duplicateValues" dxfId="7647" priority="8565"/>
  </conditionalFormatting>
  <conditionalFormatting sqref="AI10">
    <cfRule type="duplicateValues" dxfId="7646" priority="8556"/>
    <cfRule type="duplicateValues" dxfId="7645" priority="8557"/>
    <cfRule type="duplicateValues" dxfId="7644" priority="8558"/>
    <cfRule type="duplicateValues" dxfId="7643" priority="8559"/>
    <cfRule type="duplicateValues" dxfId="7642" priority="8560"/>
    <cfRule type="duplicateValues" dxfId="7641" priority="8561"/>
  </conditionalFormatting>
  <conditionalFormatting sqref="AI10">
    <cfRule type="duplicateValues" dxfId="7640" priority="8551"/>
    <cfRule type="duplicateValues" dxfId="7639" priority="8552"/>
    <cfRule type="duplicateValues" dxfId="7638" priority="8553"/>
    <cfRule type="duplicateValues" dxfId="7637" priority="8554"/>
    <cfRule type="duplicateValues" dxfId="7636" priority="8555"/>
  </conditionalFormatting>
  <conditionalFormatting sqref="AI10">
    <cfRule type="duplicateValues" dxfId="7635" priority="8571"/>
    <cfRule type="duplicateValues" dxfId="7634" priority="8572"/>
    <cfRule type="duplicateValues" dxfId="7633" priority="8573"/>
    <cfRule type="duplicateValues" dxfId="7632" priority="8574"/>
    <cfRule type="duplicateValues" dxfId="7631" priority="8575"/>
    <cfRule type="duplicateValues" dxfId="7630" priority="8576"/>
    <cfRule type="duplicateValues" dxfId="7629" priority="8577"/>
    <cfRule type="duplicateValues" dxfId="7628" priority="8578"/>
    <cfRule type="duplicateValues" dxfId="7627" priority="8579"/>
    <cfRule type="duplicateValues" dxfId="7626" priority="8580"/>
    <cfRule type="duplicateValues" dxfId="7625" priority="8581"/>
    <cfRule type="duplicateValues" dxfId="7624" priority="8582"/>
    <cfRule type="duplicateValues" dxfId="7623" priority="8583"/>
    <cfRule type="duplicateValues" dxfId="7622" priority="8584"/>
    <cfRule type="duplicateValues" dxfId="7621" priority="8585"/>
    <cfRule type="duplicateValues" dxfId="7620" priority="8586"/>
    <cfRule type="duplicateValues" dxfId="7619" priority="8587"/>
    <cfRule type="duplicateValues" dxfId="7618" priority="8588"/>
    <cfRule type="duplicateValues" dxfId="7617" priority="8589"/>
    <cfRule type="duplicateValues" dxfId="7616" priority="8590"/>
    <cfRule type="duplicateValues" dxfId="7615" priority="8591"/>
    <cfRule type="duplicateValues" dxfId="7614" priority="8592"/>
    <cfRule type="duplicateValues" dxfId="7613" priority="8593"/>
    <cfRule type="duplicateValues" dxfId="7612" priority="8594"/>
    <cfRule type="duplicateValues" dxfId="7611" priority="8595"/>
    <cfRule type="duplicateValues" dxfId="7610" priority="8596"/>
    <cfRule type="duplicateValues" dxfId="7609" priority="8597"/>
    <cfRule type="duplicateValues" dxfId="7608" priority="8598"/>
  </conditionalFormatting>
  <conditionalFormatting sqref="AI12">
    <cfRule type="duplicateValues" dxfId="7607" priority="8516"/>
  </conditionalFormatting>
  <conditionalFormatting sqref="AI12">
    <cfRule type="duplicateValues" dxfId="7606" priority="8514"/>
    <cfRule type="duplicateValues" dxfId="7605" priority="8515"/>
  </conditionalFormatting>
  <conditionalFormatting sqref="AI12">
    <cfRule type="duplicateValues" dxfId="7604" priority="8520"/>
  </conditionalFormatting>
  <conditionalFormatting sqref="AI12">
    <cfRule type="duplicateValues" dxfId="7603" priority="8521"/>
    <cfRule type="duplicateValues" dxfId="7602" priority="8522"/>
  </conditionalFormatting>
  <conditionalFormatting sqref="AI12">
    <cfRule type="duplicateValues" dxfId="7601" priority="8518"/>
  </conditionalFormatting>
  <conditionalFormatting sqref="AI12">
    <cfRule type="duplicateValues" dxfId="7600" priority="8519"/>
  </conditionalFormatting>
  <conditionalFormatting sqref="AI12">
    <cfRule type="duplicateValues" dxfId="7599" priority="8517"/>
  </conditionalFormatting>
  <conditionalFormatting sqref="AI12">
    <cfRule type="duplicateValues" dxfId="7598" priority="8508"/>
    <cfRule type="duplicateValues" dxfId="7597" priority="8509"/>
    <cfRule type="duplicateValues" dxfId="7596" priority="8510"/>
    <cfRule type="duplicateValues" dxfId="7595" priority="8511"/>
    <cfRule type="duplicateValues" dxfId="7594" priority="8512"/>
    <cfRule type="duplicateValues" dxfId="7593" priority="8513"/>
  </conditionalFormatting>
  <conditionalFormatting sqref="AI12">
    <cfRule type="duplicateValues" dxfId="7592" priority="8503"/>
    <cfRule type="duplicateValues" dxfId="7591" priority="8504"/>
    <cfRule type="duplicateValues" dxfId="7590" priority="8505"/>
    <cfRule type="duplicateValues" dxfId="7589" priority="8506"/>
    <cfRule type="duplicateValues" dxfId="7588" priority="8507"/>
  </conditionalFormatting>
  <conditionalFormatting sqref="AI12">
    <cfRule type="duplicateValues" dxfId="7587" priority="8523"/>
    <cfRule type="duplicateValues" dxfId="7586" priority="8524"/>
    <cfRule type="duplicateValues" dxfId="7585" priority="8525"/>
    <cfRule type="duplicateValues" dxfId="7584" priority="8526"/>
    <cfRule type="duplicateValues" dxfId="7583" priority="8527"/>
    <cfRule type="duplicateValues" dxfId="7582" priority="8528"/>
    <cfRule type="duplicateValues" dxfId="7581" priority="8529"/>
    <cfRule type="duplicateValues" dxfId="7580" priority="8530"/>
    <cfRule type="duplicateValues" dxfId="7579" priority="8531"/>
    <cfRule type="duplicateValues" dxfId="7578" priority="8532"/>
    <cfRule type="duplicateValues" dxfId="7577" priority="8533"/>
    <cfRule type="duplicateValues" dxfId="7576" priority="8534"/>
    <cfRule type="duplicateValues" dxfId="7575" priority="8535"/>
    <cfRule type="duplicateValues" dxfId="7574" priority="8536"/>
    <cfRule type="duplicateValues" dxfId="7573" priority="8537"/>
    <cfRule type="duplicateValues" dxfId="7572" priority="8538"/>
    <cfRule type="duplicateValues" dxfId="7571" priority="8539"/>
    <cfRule type="duplicateValues" dxfId="7570" priority="8540"/>
    <cfRule type="duplicateValues" dxfId="7569" priority="8541"/>
    <cfRule type="duplicateValues" dxfId="7568" priority="8542"/>
    <cfRule type="duplicateValues" dxfId="7567" priority="8543"/>
    <cfRule type="duplicateValues" dxfId="7566" priority="8544"/>
    <cfRule type="duplicateValues" dxfId="7565" priority="8545"/>
    <cfRule type="duplicateValues" dxfId="7564" priority="8546"/>
    <cfRule type="duplicateValues" dxfId="7563" priority="8547"/>
    <cfRule type="duplicateValues" dxfId="7562" priority="8548"/>
    <cfRule type="duplicateValues" dxfId="7561" priority="8549"/>
    <cfRule type="duplicateValues" dxfId="7560" priority="8550"/>
  </conditionalFormatting>
  <conditionalFormatting sqref="AI15">
    <cfRule type="duplicateValues" dxfId="7559" priority="8437"/>
  </conditionalFormatting>
  <conditionalFormatting sqref="AI15">
    <cfRule type="duplicateValues" dxfId="7558" priority="8427"/>
    <cfRule type="duplicateValues" dxfId="7557" priority="8428"/>
    <cfRule type="duplicateValues" dxfId="7556" priority="8429"/>
    <cfRule type="duplicateValues" dxfId="7555" priority="8430"/>
  </conditionalFormatting>
  <conditionalFormatting sqref="AI15">
    <cfRule type="duplicateValues" dxfId="7554" priority="8432"/>
    <cfRule type="duplicateValues" dxfId="7553" priority="8433"/>
    <cfRule type="duplicateValues" dxfId="7552" priority="8434"/>
    <cfRule type="duplicateValues" dxfId="7551" priority="8435"/>
    <cfRule type="duplicateValues" dxfId="7550" priority="8436"/>
  </conditionalFormatting>
  <conditionalFormatting sqref="AI15">
    <cfRule type="duplicateValues" dxfId="7549" priority="8431"/>
  </conditionalFormatting>
  <conditionalFormatting sqref="AI15">
    <cfRule type="duplicateValues" dxfId="7548" priority="8438"/>
    <cfRule type="duplicateValues" dxfId="7547" priority="8439"/>
    <cfRule type="duplicateValues" dxfId="7546" priority="8440"/>
    <cfRule type="duplicateValues" dxfId="7545" priority="8441"/>
    <cfRule type="duplicateValues" dxfId="7544" priority="8442"/>
    <cfRule type="duplicateValues" dxfId="7543" priority="8443"/>
    <cfRule type="duplicateValues" dxfId="7542" priority="8444"/>
    <cfRule type="duplicateValues" dxfId="7541" priority="8445"/>
    <cfRule type="duplicateValues" dxfId="7540" priority="8446"/>
    <cfRule type="duplicateValues" dxfId="7539" priority="8447"/>
    <cfRule type="duplicateValues" dxfId="7538" priority="8448"/>
    <cfRule type="duplicateValues" dxfId="7537" priority="8449"/>
    <cfRule type="duplicateValues" dxfId="7536" priority="8450"/>
    <cfRule type="duplicateValues" dxfId="7535" priority="8451"/>
    <cfRule type="duplicateValues" dxfId="7534" priority="8452"/>
    <cfRule type="duplicateValues" dxfId="7533" priority="8453"/>
    <cfRule type="duplicateValues" dxfId="7532" priority="8454"/>
    <cfRule type="duplicateValues" dxfId="7531" priority="8455"/>
    <cfRule type="duplicateValues" dxfId="7530" priority="8456"/>
    <cfRule type="duplicateValues" dxfId="7529" priority="8457"/>
    <cfRule type="duplicateValues" dxfId="7528" priority="8458"/>
    <cfRule type="duplicateValues" dxfId="7527" priority="8459"/>
    <cfRule type="duplicateValues" dxfId="7526" priority="8460"/>
    <cfRule type="duplicateValues" dxfId="7525" priority="8461"/>
    <cfRule type="duplicateValues" dxfId="7524" priority="8462"/>
    <cfRule type="duplicateValues" dxfId="7523" priority="8463"/>
    <cfRule type="duplicateValues" dxfId="7522" priority="8464"/>
    <cfRule type="duplicateValues" dxfId="7521" priority="8465"/>
    <cfRule type="duplicateValues" dxfId="7520" priority="8466"/>
    <cfRule type="duplicateValues" dxfId="7519" priority="8467"/>
    <cfRule type="duplicateValues" dxfId="7518" priority="8468"/>
    <cfRule type="duplicateValues" dxfId="7517" priority="8469"/>
    <cfRule type="duplicateValues" dxfId="7516" priority="8470"/>
    <cfRule type="duplicateValues" dxfId="7515" priority="8471"/>
    <cfRule type="duplicateValues" dxfId="7514" priority="8472"/>
    <cfRule type="duplicateValues" dxfId="7513" priority="8473"/>
    <cfRule type="duplicateValues" dxfId="7512" priority="8474"/>
    <cfRule type="duplicateValues" dxfId="7511" priority="8475"/>
    <cfRule type="duplicateValues" dxfId="7510" priority="8476"/>
    <cfRule type="duplicateValues" dxfId="7509" priority="8477"/>
    <cfRule type="duplicateValues" dxfId="7508" priority="8478"/>
    <cfRule type="duplicateValues" dxfId="7507" priority="8479"/>
    <cfRule type="duplicateValues" dxfId="7506" priority="8480"/>
    <cfRule type="duplicateValues" dxfId="7505" priority="8481"/>
    <cfRule type="duplicateValues" dxfId="7504" priority="8482"/>
    <cfRule type="duplicateValues" dxfId="7503" priority="8483"/>
    <cfRule type="duplicateValues" dxfId="7502" priority="8484"/>
    <cfRule type="duplicateValues" dxfId="7501" priority="8485"/>
    <cfRule type="duplicateValues" dxfId="7500" priority="8486"/>
    <cfRule type="duplicateValues" dxfId="7499" priority="8487"/>
    <cfRule type="duplicateValues" dxfId="7498" priority="8488"/>
    <cfRule type="duplicateValues" dxfId="7497" priority="8489"/>
    <cfRule type="duplicateValues" dxfId="7496" priority="8490"/>
    <cfRule type="duplicateValues" dxfId="7495" priority="8491"/>
    <cfRule type="duplicateValues" dxfId="7494" priority="8492"/>
    <cfRule type="duplicateValues" dxfId="7493" priority="8493"/>
    <cfRule type="duplicateValues" dxfId="7492" priority="8494"/>
    <cfRule type="duplicateValues" dxfId="7491" priority="8495"/>
    <cfRule type="duplicateValues" dxfId="7490" priority="8496"/>
    <cfRule type="duplicateValues" dxfId="7489" priority="8497"/>
    <cfRule type="duplicateValues" dxfId="7488" priority="8498"/>
    <cfRule type="duplicateValues" dxfId="7487" priority="8499"/>
    <cfRule type="duplicateValues" dxfId="7486" priority="8500"/>
    <cfRule type="duplicateValues" dxfId="7485" priority="8501"/>
    <cfRule type="duplicateValues" dxfId="7484" priority="8502"/>
  </conditionalFormatting>
  <conditionalFormatting sqref="AI5">
    <cfRule type="duplicateValues" dxfId="7483" priority="8359"/>
  </conditionalFormatting>
  <conditionalFormatting sqref="AI5">
    <cfRule type="duplicateValues" dxfId="7482" priority="8357"/>
    <cfRule type="duplicateValues" dxfId="7481" priority="8358"/>
  </conditionalFormatting>
  <conditionalFormatting sqref="AI5">
    <cfRule type="duplicateValues" dxfId="7480" priority="8396"/>
  </conditionalFormatting>
  <conditionalFormatting sqref="AI5">
    <cfRule type="duplicateValues" dxfId="7479" priority="8397"/>
    <cfRule type="duplicateValues" dxfId="7478" priority="8398"/>
  </conditionalFormatting>
  <conditionalFormatting sqref="AI5">
    <cfRule type="duplicateValues" dxfId="7477" priority="8394"/>
  </conditionalFormatting>
  <conditionalFormatting sqref="AI5">
    <cfRule type="duplicateValues" dxfId="7476" priority="8395"/>
  </conditionalFormatting>
  <conditionalFormatting sqref="AI5">
    <cfRule type="duplicateValues" dxfId="7475" priority="8393"/>
  </conditionalFormatting>
  <conditionalFormatting sqref="AI5">
    <cfRule type="duplicateValues" dxfId="7474" priority="8360"/>
    <cfRule type="duplicateValues" dxfId="7473" priority="8361"/>
    <cfRule type="duplicateValues" dxfId="7472" priority="8362"/>
    <cfRule type="duplicateValues" dxfId="7471" priority="8363"/>
  </conditionalFormatting>
  <conditionalFormatting sqref="AI5">
    <cfRule type="duplicateValues" dxfId="7470" priority="8365"/>
    <cfRule type="duplicateValues" dxfId="7469" priority="8366"/>
    <cfRule type="duplicateValues" dxfId="7468" priority="8367"/>
    <cfRule type="duplicateValues" dxfId="7467" priority="8368"/>
    <cfRule type="duplicateValues" dxfId="7466" priority="8369"/>
  </conditionalFormatting>
  <conditionalFormatting sqref="AI5">
    <cfRule type="duplicateValues" dxfId="7465" priority="8376"/>
    <cfRule type="duplicateValues" dxfId="7464" priority="8377"/>
    <cfRule type="duplicateValues" dxfId="7463" priority="8378"/>
    <cfRule type="duplicateValues" dxfId="7462" priority="8379"/>
    <cfRule type="duplicateValues" dxfId="7461" priority="8380"/>
    <cfRule type="duplicateValues" dxfId="7460" priority="8381"/>
    <cfRule type="duplicateValues" dxfId="7459" priority="8382"/>
    <cfRule type="duplicateValues" dxfId="7458" priority="8383"/>
    <cfRule type="duplicateValues" dxfId="7457" priority="8384"/>
    <cfRule type="duplicateValues" dxfId="7456" priority="8385"/>
    <cfRule type="duplicateValues" dxfId="7455" priority="8386"/>
  </conditionalFormatting>
  <conditionalFormatting sqref="AI5">
    <cfRule type="duplicateValues" dxfId="7454" priority="8370"/>
    <cfRule type="duplicateValues" dxfId="7453" priority="8371"/>
    <cfRule type="duplicateValues" dxfId="7452" priority="8372"/>
    <cfRule type="duplicateValues" dxfId="7451" priority="8373"/>
    <cfRule type="duplicateValues" dxfId="7450" priority="8374"/>
    <cfRule type="duplicateValues" dxfId="7449" priority="8375"/>
  </conditionalFormatting>
  <conditionalFormatting sqref="AI5">
    <cfRule type="duplicateValues" dxfId="7448" priority="8387"/>
    <cfRule type="duplicateValues" dxfId="7447" priority="8388"/>
    <cfRule type="duplicateValues" dxfId="7446" priority="8389"/>
    <cfRule type="duplicateValues" dxfId="7445" priority="8390"/>
    <cfRule type="duplicateValues" dxfId="7444" priority="8391"/>
    <cfRule type="duplicateValues" dxfId="7443" priority="8392"/>
  </conditionalFormatting>
  <conditionalFormatting sqref="AI5">
    <cfRule type="duplicateValues" dxfId="7442" priority="8364"/>
  </conditionalFormatting>
  <conditionalFormatting sqref="AI5">
    <cfRule type="duplicateValues" dxfId="7441" priority="8351"/>
    <cfRule type="duplicateValues" dxfId="7440" priority="8352"/>
    <cfRule type="duplicateValues" dxfId="7439" priority="8353"/>
    <cfRule type="duplicateValues" dxfId="7438" priority="8354"/>
    <cfRule type="duplicateValues" dxfId="7437" priority="8355"/>
    <cfRule type="duplicateValues" dxfId="7436" priority="8356"/>
  </conditionalFormatting>
  <conditionalFormatting sqref="AI5">
    <cfRule type="duplicateValues" dxfId="7435" priority="8346"/>
    <cfRule type="duplicateValues" dxfId="7434" priority="8347"/>
    <cfRule type="duplicateValues" dxfId="7433" priority="8348"/>
    <cfRule type="duplicateValues" dxfId="7432" priority="8349"/>
    <cfRule type="duplicateValues" dxfId="7431" priority="8350"/>
  </conditionalFormatting>
  <conditionalFormatting sqref="AI5">
    <cfRule type="duplicateValues" dxfId="7430" priority="8399"/>
    <cfRule type="duplicateValues" dxfId="7429" priority="8400"/>
    <cfRule type="duplicateValues" dxfId="7428" priority="8401"/>
    <cfRule type="duplicateValues" dxfId="7427" priority="8402"/>
    <cfRule type="duplicateValues" dxfId="7426" priority="8403"/>
    <cfRule type="duplicateValues" dxfId="7425" priority="8404"/>
    <cfRule type="duplicateValues" dxfId="7424" priority="8405"/>
    <cfRule type="duplicateValues" dxfId="7423" priority="8406"/>
    <cfRule type="duplicateValues" dxfId="7422" priority="8407"/>
    <cfRule type="duplicateValues" dxfId="7421" priority="8408"/>
    <cfRule type="duplicateValues" dxfId="7420" priority="8409"/>
    <cfRule type="duplicateValues" dxfId="7419" priority="8410"/>
    <cfRule type="duplicateValues" dxfId="7418" priority="8411"/>
    <cfRule type="duplicateValues" dxfId="7417" priority="8412"/>
    <cfRule type="duplicateValues" dxfId="7416" priority="8413"/>
    <cfRule type="duplicateValues" dxfId="7415" priority="8414"/>
    <cfRule type="duplicateValues" dxfId="7414" priority="8415"/>
    <cfRule type="duplicateValues" dxfId="7413" priority="8416"/>
    <cfRule type="duplicateValues" dxfId="7412" priority="8417"/>
    <cfRule type="duplicateValues" dxfId="7411" priority="8418"/>
    <cfRule type="duplicateValues" dxfId="7410" priority="8419"/>
    <cfRule type="duplicateValues" dxfId="7409" priority="8420"/>
  </conditionalFormatting>
  <conditionalFormatting sqref="AI5">
    <cfRule type="duplicateValues" dxfId="7408" priority="8421"/>
    <cfRule type="duplicateValues" dxfId="7407" priority="8422"/>
    <cfRule type="duplicateValues" dxfId="7406" priority="8423"/>
    <cfRule type="duplicateValues" dxfId="7405" priority="8424"/>
    <cfRule type="duplicateValues" dxfId="7404" priority="8425"/>
    <cfRule type="duplicateValues" dxfId="7403" priority="8426"/>
  </conditionalFormatting>
  <conditionalFormatting sqref="AI6">
    <cfRule type="duplicateValues" dxfId="7402" priority="8340"/>
  </conditionalFormatting>
  <conditionalFormatting sqref="AI6">
    <cfRule type="duplicateValues" dxfId="7401" priority="8338"/>
    <cfRule type="duplicateValues" dxfId="7400" priority="8339"/>
  </conditionalFormatting>
  <conditionalFormatting sqref="AI6">
    <cfRule type="duplicateValues" dxfId="7399" priority="8343"/>
  </conditionalFormatting>
  <conditionalFormatting sqref="AI6">
    <cfRule type="duplicateValues" dxfId="7398" priority="8344"/>
    <cfRule type="duplicateValues" dxfId="7397" priority="8345"/>
  </conditionalFormatting>
  <conditionalFormatting sqref="AI6">
    <cfRule type="duplicateValues" dxfId="7396" priority="8342"/>
  </conditionalFormatting>
  <conditionalFormatting sqref="AI6">
    <cfRule type="duplicateValues" dxfId="7395" priority="8341"/>
  </conditionalFormatting>
  <conditionalFormatting sqref="AI6">
    <cfRule type="duplicateValues" dxfId="7394" priority="8332"/>
    <cfRule type="duplicateValues" dxfId="7393" priority="8333"/>
    <cfRule type="duplicateValues" dxfId="7392" priority="8334"/>
    <cfRule type="duplicateValues" dxfId="7391" priority="8335"/>
    <cfRule type="duplicateValues" dxfId="7390" priority="8336"/>
    <cfRule type="duplicateValues" dxfId="7389" priority="8337"/>
  </conditionalFormatting>
  <conditionalFormatting sqref="AI6">
    <cfRule type="duplicateValues" dxfId="7388" priority="8327"/>
    <cfRule type="duplicateValues" dxfId="7387" priority="8328"/>
    <cfRule type="duplicateValues" dxfId="7386" priority="8329"/>
    <cfRule type="duplicateValues" dxfId="7385" priority="8330"/>
    <cfRule type="duplicateValues" dxfId="7384" priority="8331"/>
  </conditionalFormatting>
  <conditionalFormatting sqref="AI6">
    <cfRule type="duplicateValues" dxfId="7383" priority="8299"/>
    <cfRule type="duplicateValues" dxfId="7382" priority="8300"/>
    <cfRule type="duplicateValues" dxfId="7381" priority="8301"/>
    <cfRule type="duplicateValues" dxfId="7380" priority="8302"/>
    <cfRule type="duplicateValues" dxfId="7379" priority="8303"/>
    <cfRule type="duplicateValues" dxfId="7378" priority="8304"/>
    <cfRule type="duplicateValues" dxfId="7377" priority="8305"/>
    <cfRule type="duplicateValues" dxfId="7376" priority="8306"/>
    <cfRule type="duplicateValues" dxfId="7375" priority="8307"/>
    <cfRule type="duplicateValues" dxfId="7374" priority="8308"/>
    <cfRule type="duplicateValues" dxfId="7373" priority="8309"/>
    <cfRule type="duplicateValues" dxfId="7372" priority="8310"/>
    <cfRule type="duplicateValues" dxfId="7371" priority="8311"/>
    <cfRule type="duplicateValues" dxfId="7370" priority="8312"/>
    <cfRule type="duplicateValues" dxfId="7369" priority="8313"/>
    <cfRule type="duplicateValues" dxfId="7368" priority="8314"/>
    <cfRule type="duplicateValues" dxfId="7367" priority="8315"/>
    <cfRule type="duplicateValues" dxfId="7366" priority="8316"/>
    <cfRule type="duplicateValues" dxfId="7365" priority="8317"/>
    <cfRule type="duplicateValues" dxfId="7364" priority="8318"/>
    <cfRule type="duplicateValues" dxfId="7363" priority="8319"/>
    <cfRule type="duplicateValues" dxfId="7362" priority="8320"/>
    <cfRule type="duplicateValues" dxfId="7361" priority="8321"/>
    <cfRule type="duplicateValues" dxfId="7360" priority="8322"/>
    <cfRule type="duplicateValues" dxfId="7359" priority="8323"/>
    <cfRule type="duplicateValues" dxfId="7358" priority="8324"/>
    <cfRule type="duplicateValues" dxfId="7357" priority="8325"/>
    <cfRule type="duplicateValues" dxfId="7356" priority="8326"/>
  </conditionalFormatting>
  <conditionalFormatting sqref="AI6">
    <cfRule type="duplicateValues" dxfId="7355" priority="8233"/>
  </conditionalFormatting>
  <conditionalFormatting sqref="AI6">
    <cfRule type="duplicateValues" dxfId="7354" priority="8223"/>
    <cfRule type="duplicateValues" dxfId="7353" priority="8224"/>
    <cfRule type="duplicateValues" dxfId="7352" priority="8225"/>
    <cfRule type="duplicateValues" dxfId="7351" priority="8226"/>
  </conditionalFormatting>
  <conditionalFormatting sqref="AI6">
    <cfRule type="duplicateValues" dxfId="7350" priority="8228"/>
    <cfRule type="duplicateValues" dxfId="7349" priority="8229"/>
    <cfRule type="duplicateValues" dxfId="7348" priority="8230"/>
    <cfRule type="duplicateValues" dxfId="7347" priority="8231"/>
    <cfRule type="duplicateValues" dxfId="7346" priority="8232"/>
  </conditionalFormatting>
  <conditionalFormatting sqref="AI6">
    <cfRule type="duplicateValues" dxfId="7345" priority="8227"/>
  </conditionalFormatting>
  <conditionalFormatting sqref="AI6">
    <cfRule type="duplicateValues" dxfId="7344" priority="8234"/>
    <cfRule type="duplicateValues" dxfId="7343" priority="8235"/>
    <cfRule type="duplicateValues" dxfId="7342" priority="8236"/>
    <cfRule type="duplicateValues" dxfId="7341" priority="8237"/>
    <cfRule type="duplicateValues" dxfId="7340" priority="8238"/>
    <cfRule type="duplicateValues" dxfId="7339" priority="8239"/>
    <cfRule type="duplicateValues" dxfId="7338" priority="8240"/>
    <cfRule type="duplicateValues" dxfId="7337" priority="8241"/>
    <cfRule type="duplicateValues" dxfId="7336" priority="8242"/>
    <cfRule type="duplicateValues" dxfId="7335" priority="8243"/>
    <cfRule type="duplicateValues" dxfId="7334" priority="8244"/>
    <cfRule type="duplicateValues" dxfId="7333" priority="8245"/>
    <cfRule type="duplicateValues" dxfId="7332" priority="8246"/>
    <cfRule type="duplicateValues" dxfId="7331" priority="8247"/>
    <cfRule type="duplicateValues" dxfId="7330" priority="8248"/>
    <cfRule type="duplicateValues" dxfId="7329" priority="8249"/>
    <cfRule type="duplicateValues" dxfId="7328" priority="8250"/>
    <cfRule type="duplicateValues" dxfId="7327" priority="8251"/>
    <cfRule type="duplicateValues" dxfId="7326" priority="8252"/>
    <cfRule type="duplicateValues" dxfId="7325" priority="8253"/>
    <cfRule type="duplicateValues" dxfId="7324" priority="8254"/>
    <cfRule type="duplicateValues" dxfId="7323" priority="8255"/>
    <cfRule type="duplicateValues" dxfId="7322" priority="8256"/>
    <cfRule type="duplicateValues" dxfId="7321" priority="8257"/>
    <cfRule type="duplicateValues" dxfId="7320" priority="8258"/>
    <cfRule type="duplicateValues" dxfId="7319" priority="8259"/>
    <cfRule type="duplicateValues" dxfId="7318" priority="8260"/>
    <cfRule type="duplicateValues" dxfId="7317" priority="8261"/>
    <cfRule type="duplicateValues" dxfId="7316" priority="8262"/>
    <cfRule type="duplicateValues" dxfId="7315" priority="8263"/>
    <cfRule type="duplicateValues" dxfId="7314" priority="8264"/>
    <cfRule type="duplicateValues" dxfId="7313" priority="8265"/>
    <cfRule type="duplicateValues" dxfId="7312" priority="8266"/>
    <cfRule type="duplicateValues" dxfId="7311" priority="8267"/>
    <cfRule type="duplicateValues" dxfId="7310" priority="8268"/>
    <cfRule type="duplicateValues" dxfId="7309" priority="8269"/>
    <cfRule type="duplicateValues" dxfId="7308" priority="8270"/>
    <cfRule type="duplicateValues" dxfId="7307" priority="8271"/>
    <cfRule type="duplicateValues" dxfId="7306" priority="8272"/>
    <cfRule type="duplicateValues" dxfId="7305" priority="8273"/>
    <cfRule type="duplicateValues" dxfId="7304" priority="8274"/>
    <cfRule type="duplicateValues" dxfId="7303" priority="8275"/>
    <cfRule type="duplicateValues" dxfId="7302" priority="8276"/>
    <cfRule type="duplicateValues" dxfId="7301" priority="8277"/>
    <cfRule type="duplicateValues" dxfId="7300" priority="8278"/>
    <cfRule type="duplicateValues" dxfId="7299" priority="8279"/>
    <cfRule type="duplicateValues" dxfId="7298" priority="8280"/>
    <cfRule type="duplicateValues" dxfId="7297" priority="8281"/>
    <cfRule type="duplicateValues" dxfId="7296" priority="8282"/>
    <cfRule type="duplicateValues" dxfId="7295" priority="8283"/>
    <cfRule type="duplicateValues" dxfId="7294" priority="8284"/>
    <cfRule type="duplicateValues" dxfId="7293" priority="8285"/>
    <cfRule type="duplicateValues" dxfId="7292" priority="8286"/>
    <cfRule type="duplicateValues" dxfId="7291" priority="8287"/>
    <cfRule type="duplicateValues" dxfId="7290" priority="8288"/>
    <cfRule type="duplicateValues" dxfId="7289" priority="8289"/>
    <cfRule type="duplicateValues" dxfId="7288" priority="8290"/>
    <cfRule type="duplicateValues" dxfId="7287" priority="8291"/>
    <cfRule type="duplicateValues" dxfId="7286" priority="8292"/>
    <cfRule type="duplicateValues" dxfId="7285" priority="8293"/>
    <cfRule type="duplicateValues" dxfId="7284" priority="8294"/>
    <cfRule type="duplicateValues" dxfId="7283" priority="8295"/>
    <cfRule type="duplicateValues" dxfId="7282" priority="8296"/>
    <cfRule type="duplicateValues" dxfId="7281" priority="8297"/>
    <cfRule type="duplicateValues" dxfId="7280" priority="8298"/>
  </conditionalFormatting>
  <conditionalFormatting sqref="AI6">
    <cfRule type="duplicateValues" dxfId="7279" priority="8157"/>
  </conditionalFormatting>
  <conditionalFormatting sqref="AI6">
    <cfRule type="duplicateValues" dxfId="7278" priority="8147"/>
    <cfRule type="duplicateValues" dxfId="7277" priority="8148"/>
    <cfRule type="duplicateValues" dxfId="7276" priority="8149"/>
    <cfRule type="duplicateValues" dxfId="7275" priority="8150"/>
  </conditionalFormatting>
  <conditionalFormatting sqref="AI6">
    <cfRule type="duplicateValues" dxfId="7274" priority="8152"/>
    <cfRule type="duplicateValues" dxfId="7273" priority="8153"/>
    <cfRule type="duplicateValues" dxfId="7272" priority="8154"/>
    <cfRule type="duplicateValues" dxfId="7271" priority="8155"/>
    <cfRule type="duplicateValues" dxfId="7270" priority="8156"/>
  </conditionalFormatting>
  <conditionalFormatting sqref="AI6">
    <cfRule type="duplicateValues" dxfId="7269" priority="8151"/>
  </conditionalFormatting>
  <conditionalFormatting sqref="AI6">
    <cfRule type="duplicateValues" dxfId="7268" priority="8158"/>
    <cfRule type="duplicateValues" dxfId="7267" priority="8159"/>
    <cfRule type="duplicateValues" dxfId="7266" priority="8160"/>
    <cfRule type="duplicateValues" dxfId="7265" priority="8161"/>
    <cfRule type="duplicateValues" dxfId="7264" priority="8162"/>
    <cfRule type="duplicateValues" dxfId="7263" priority="8163"/>
    <cfRule type="duplicateValues" dxfId="7262" priority="8164"/>
    <cfRule type="duplicateValues" dxfId="7261" priority="8165"/>
    <cfRule type="duplicateValues" dxfId="7260" priority="8166"/>
    <cfRule type="duplicateValues" dxfId="7259" priority="8167"/>
    <cfRule type="duplicateValues" dxfId="7258" priority="8168"/>
    <cfRule type="duplicateValues" dxfId="7257" priority="8169"/>
    <cfRule type="duplicateValues" dxfId="7256" priority="8170"/>
    <cfRule type="duplicateValues" dxfId="7255" priority="8171"/>
    <cfRule type="duplicateValues" dxfId="7254" priority="8172"/>
    <cfRule type="duplicateValues" dxfId="7253" priority="8173"/>
    <cfRule type="duplicateValues" dxfId="7252" priority="8174"/>
    <cfRule type="duplicateValues" dxfId="7251" priority="8175"/>
    <cfRule type="duplicateValues" dxfId="7250" priority="8176"/>
    <cfRule type="duplicateValues" dxfId="7249" priority="8177"/>
    <cfRule type="duplicateValues" dxfId="7248" priority="8178"/>
    <cfRule type="duplicateValues" dxfId="7247" priority="8179"/>
    <cfRule type="duplicateValues" dxfId="7246" priority="8180"/>
    <cfRule type="duplicateValues" dxfId="7245" priority="8181"/>
    <cfRule type="duplicateValues" dxfId="7244" priority="8182"/>
    <cfRule type="duplicateValues" dxfId="7243" priority="8183"/>
    <cfRule type="duplicateValues" dxfId="7242" priority="8184"/>
    <cfRule type="duplicateValues" dxfId="7241" priority="8185"/>
    <cfRule type="duplicateValues" dxfId="7240" priority="8186"/>
    <cfRule type="duplicateValues" dxfId="7239" priority="8187"/>
    <cfRule type="duplicateValues" dxfId="7238" priority="8188"/>
    <cfRule type="duplicateValues" dxfId="7237" priority="8189"/>
    <cfRule type="duplicateValues" dxfId="7236" priority="8190"/>
    <cfRule type="duplicateValues" dxfId="7235" priority="8191"/>
    <cfRule type="duplicateValues" dxfId="7234" priority="8192"/>
    <cfRule type="duplicateValues" dxfId="7233" priority="8193"/>
    <cfRule type="duplicateValues" dxfId="7232" priority="8194"/>
    <cfRule type="duplicateValues" dxfId="7231" priority="8195"/>
    <cfRule type="duplicateValues" dxfId="7230" priority="8196"/>
    <cfRule type="duplicateValues" dxfId="7229" priority="8197"/>
    <cfRule type="duplicateValues" dxfId="7228" priority="8198"/>
    <cfRule type="duplicateValues" dxfId="7227" priority="8199"/>
    <cfRule type="duplicateValues" dxfId="7226" priority="8200"/>
    <cfRule type="duplicateValues" dxfId="7225" priority="8201"/>
    <cfRule type="duplicateValues" dxfId="7224" priority="8202"/>
    <cfRule type="duplicateValues" dxfId="7223" priority="8203"/>
    <cfRule type="duplicateValues" dxfId="7222" priority="8204"/>
    <cfRule type="duplicateValues" dxfId="7221" priority="8205"/>
    <cfRule type="duplicateValues" dxfId="7220" priority="8206"/>
    <cfRule type="duplicateValues" dxfId="7219" priority="8207"/>
    <cfRule type="duplicateValues" dxfId="7218" priority="8208"/>
    <cfRule type="duplicateValues" dxfId="7217" priority="8209"/>
    <cfRule type="duplicateValues" dxfId="7216" priority="8210"/>
    <cfRule type="duplicateValues" dxfId="7215" priority="8211"/>
    <cfRule type="duplicateValues" dxfId="7214" priority="8212"/>
    <cfRule type="duplicateValues" dxfId="7213" priority="8213"/>
    <cfRule type="duplicateValues" dxfId="7212" priority="8214"/>
    <cfRule type="duplicateValues" dxfId="7211" priority="8215"/>
    <cfRule type="duplicateValues" dxfId="7210" priority="8216"/>
    <cfRule type="duplicateValues" dxfId="7209" priority="8217"/>
    <cfRule type="duplicateValues" dxfId="7208" priority="8218"/>
    <cfRule type="duplicateValues" dxfId="7207" priority="8219"/>
    <cfRule type="duplicateValues" dxfId="7206" priority="8220"/>
    <cfRule type="duplicateValues" dxfId="7205" priority="8221"/>
    <cfRule type="duplicateValues" dxfId="7204" priority="8222"/>
  </conditionalFormatting>
  <conditionalFormatting sqref="AI6">
    <cfRule type="duplicateValues" dxfId="7203" priority="8112"/>
  </conditionalFormatting>
  <conditionalFormatting sqref="AI6">
    <cfRule type="duplicateValues" dxfId="7202" priority="8110"/>
    <cfRule type="duplicateValues" dxfId="7201" priority="8111"/>
  </conditionalFormatting>
  <conditionalFormatting sqref="AI6">
    <cfRule type="duplicateValues" dxfId="7200" priority="8116"/>
  </conditionalFormatting>
  <conditionalFormatting sqref="AI6">
    <cfRule type="duplicateValues" dxfId="7199" priority="8117"/>
    <cfRule type="duplicateValues" dxfId="7198" priority="8118"/>
  </conditionalFormatting>
  <conditionalFormatting sqref="AI6">
    <cfRule type="duplicateValues" dxfId="7197" priority="8114"/>
  </conditionalFormatting>
  <conditionalFormatting sqref="AI6">
    <cfRule type="duplicateValues" dxfId="7196" priority="8115"/>
  </conditionalFormatting>
  <conditionalFormatting sqref="AI6">
    <cfRule type="duplicateValues" dxfId="7195" priority="8113"/>
  </conditionalFormatting>
  <conditionalFormatting sqref="AI6">
    <cfRule type="duplicateValues" dxfId="7194" priority="8104"/>
    <cfRule type="duplicateValues" dxfId="7193" priority="8105"/>
    <cfRule type="duplicateValues" dxfId="7192" priority="8106"/>
    <cfRule type="duplicateValues" dxfId="7191" priority="8107"/>
    <cfRule type="duplicateValues" dxfId="7190" priority="8108"/>
    <cfRule type="duplicateValues" dxfId="7189" priority="8109"/>
  </conditionalFormatting>
  <conditionalFormatting sqref="AI6">
    <cfRule type="duplicateValues" dxfId="7188" priority="8099"/>
    <cfRule type="duplicateValues" dxfId="7187" priority="8100"/>
    <cfRule type="duplicateValues" dxfId="7186" priority="8101"/>
    <cfRule type="duplicateValues" dxfId="7185" priority="8102"/>
    <cfRule type="duplicateValues" dxfId="7184" priority="8103"/>
  </conditionalFormatting>
  <conditionalFormatting sqref="AI6">
    <cfRule type="duplicateValues" dxfId="7183" priority="8119"/>
    <cfRule type="duplicateValues" dxfId="7182" priority="8120"/>
    <cfRule type="duplicateValues" dxfId="7181" priority="8121"/>
    <cfRule type="duplicateValues" dxfId="7180" priority="8122"/>
    <cfRule type="duplicateValues" dxfId="7179" priority="8123"/>
    <cfRule type="duplicateValues" dxfId="7178" priority="8124"/>
    <cfRule type="duplicateValues" dxfId="7177" priority="8125"/>
    <cfRule type="duplicateValues" dxfId="7176" priority="8126"/>
    <cfRule type="duplicateValues" dxfId="7175" priority="8127"/>
    <cfRule type="duplicateValues" dxfId="7174" priority="8128"/>
    <cfRule type="duplicateValues" dxfId="7173" priority="8129"/>
    <cfRule type="duplicateValues" dxfId="7172" priority="8130"/>
    <cfRule type="duplicateValues" dxfId="7171" priority="8131"/>
    <cfRule type="duplicateValues" dxfId="7170" priority="8132"/>
    <cfRule type="duplicateValues" dxfId="7169" priority="8133"/>
    <cfRule type="duplicateValues" dxfId="7168" priority="8134"/>
    <cfRule type="duplicateValues" dxfId="7167" priority="8135"/>
    <cfRule type="duplicateValues" dxfId="7166" priority="8136"/>
    <cfRule type="duplicateValues" dxfId="7165" priority="8137"/>
    <cfRule type="duplicateValues" dxfId="7164" priority="8138"/>
    <cfRule type="duplicateValues" dxfId="7163" priority="8139"/>
    <cfRule type="duplicateValues" dxfId="7162" priority="8140"/>
    <cfRule type="duplicateValues" dxfId="7161" priority="8141"/>
    <cfRule type="duplicateValues" dxfId="7160" priority="8142"/>
    <cfRule type="duplicateValues" dxfId="7159" priority="8143"/>
    <cfRule type="duplicateValues" dxfId="7158" priority="8144"/>
    <cfRule type="duplicateValues" dxfId="7157" priority="8145"/>
    <cfRule type="duplicateValues" dxfId="7156" priority="8146"/>
  </conditionalFormatting>
  <conditionalFormatting sqref="AI19">
    <cfRule type="duplicateValues" dxfId="7155" priority="8064"/>
  </conditionalFormatting>
  <conditionalFormatting sqref="AI19">
    <cfRule type="duplicateValues" dxfId="7154" priority="8062"/>
    <cfRule type="duplicateValues" dxfId="7153" priority="8063"/>
  </conditionalFormatting>
  <conditionalFormatting sqref="AI19">
    <cfRule type="duplicateValues" dxfId="7152" priority="8068"/>
  </conditionalFormatting>
  <conditionalFormatting sqref="AI19">
    <cfRule type="duplicateValues" dxfId="7151" priority="8069"/>
    <cfRule type="duplicateValues" dxfId="7150" priority="8070"/>
  </conditionalFormatting>
  <conditionalFormatting sqref="AI19">
    <cfRule type="duplicateValues" dxfId="7149" priority="8066"/>
  </conditionalFormatting>
  <conditionalFormatting sqref="AI19">
    <cfRule type="duplicateValues" dxfId="7148" priority="8067"/>
  </conditionalFormatting>
  <conditionalFormatting sqref="AI19">
    <cfRule type="duplicateValues" dxfId="7147" priority="8065"/>
  </conditionalFormatting>
  <conditionalFormatting sqref="AI19">
    <cfRule type="duplicateValues" dxfId="7146" priority="8056"/>
    <cfRule type="duplicateValues" dxfId="7145" priority="8057"/>
    <cfRule type="duplicateValues" dxfId="7144" priority="8058"/>
    <cfRule type="duplicateValues" dxfId="7143" priority="8059"/>
    <cfRule type="duplicateValues" dxfId="7142" priority="8060"/>
    <cfRule type="duplicateValues" dxfId="7141" priority="8061"/>
  </conditionalFormatting>
  <conditionalFormatting sqref="AI19">
    <cfRule type="duplicateValues" dxfId="7140" priority="8051"/>
    <cfRule type="duplicateValues" dxfId="7139" priority="8052"/>
    <cfRule type="duplicateValues" dxfId="7138" priority="8053"/>
    <cfRule type="duplicateValues" dxfId="7137" priority="8054"/>
    <cfRule type="duplicateValues" dxfId="7136" priority="8055"/>
  </conditionalFormatting>
  <conditionalFormatting sqref="AI19">
    <cfRule type="duplicateValues" dxfId="7135" priority="8071"/>
    <cfRule type="duplicateValues" dxfId="7134" priority="8072"/>
    <cfRule type="duplicateValues" dxfId="7133" priority="8073"/>
    <cfRule type="duplicateValues" dxfId="7132" priority="8074"/>
    <cfRule type="duplicateValues" dxfId="7131" priority="8075"/>
    <cfRule type="duplicateValues" dxfId="7130" priority="8076"/>
    <cfRule type="duplicateValues" dxfId="7129" priority="8077"/>
    <cfRule type="duplicateValues" dxfId="7128" priority="8078"/>
    <cfRule type="duplicateValues" dxfId="7127" priority="8079"/>
    <cfRule type="duplicateValues" dxfId="7126" priority="8080"/>
    <cfRule type="duplicateValues" dxfId="7125" priority="8081"/>
    <cfRule type="duplicateValues" dxfId="7124" priority="8082"/>
    <cfRule type="duplicateValues" dxfId="7123" priority="8083"/>
    <cfRule type="duplicateValues" dxfId="7122" priority="8084"/>
    <cfRule type="duplicateValues" dxfId="7121" priority="8085"/>
    <cfRule type="duplicateValues" dxfId="7120" priority="8086"/>
    <cfRule type="duplicateValues" dxfId="7119" priority="8087"/>
    <cfRule type="duplicateValues" dxfId="7118" priority="8088"/>
    <cfRule type="duplicateValues" dxfId="7117" priority="8089"/>
    <cfRule type="duplicateValues" dxfId="7116" priority="8090"/>
    <cfRule type="duplicateValues" dxfId="7115" priority="8091"/>
    <cfRule type="duplicateValues" dxfId="7114" priority="8092"/>
    <cfRule type="duplicateValues" dxfId="7113" priority="8093"/>
    <cfRule type="duplicateValues" dxfId="7112" priority="8094"/>
    <cfRule type="duplicateValues" dxfId="7111" priority="8095"/>
    <cfRule type="duplicateValues" dxfId="7110" priority="8096"/>
    <cfRule type="duplicateValues" dxfId="7109" priority="8097"/>
    <cfRule type="duplicateValues" dxfId="7108" priority="8098"/>
  </conditionalFormatting>
  <conditionalFormatting sqref="AI20">
    <cfRule type="duplicateValues" dxfId="7107" priority="8016"/>
  </conditionalFormatting>
  <conditionalFormatting sqref="AI20">
    <cfRule type="duplicateValues" dxfId="7106" priority="8014"/>
    <cfRule type="duplicateValues" dxfId="7105" priority="8015"/>
  </conditionalFormatting>
  <conditionalFormatting sqref="AI20">
    <cfRule type="duplicateValues" dxfId="7104" priority="8020"/>
  </conditionalFormatting>
  <conditionalFormatting sqref="AI20">
    <cfRule type="duplicateValues" dxfId="7103" priority="8021"/>
    <cfRule type="duplicateValues" dxfId="7102" priority="8022"/>
  </conditionalFormatting>
  <conditionalFormatting sqref="AI20">
    <cfRule type="duplicateValues" dxfId="7101" priority="8018"/>
  </conditionalFormatting>
  <conditionalFormatting sqref="AI20">
    <cfRule type="duplicateValues" dxfId="7100" priority="8019"/>
  </conditionalFormatting>
  <conditionalFormatting sqref="AI20">
    <cfRule type="duplicateValues" dxfId="7099" priority="8017"/>
  </conditionalFormatting>
  <conditionalFormatting sqref="AI20">
    <cfRule type="duplicateValues" dxfId="7098" priority="8008"/>
    <cfRule type="duplicateValues" dxfId="7097" priority="8009"/>
    <cfRule type="duplicateValues" dxfId="7096" priority="8010"/>
    <cfRule type="duplicateValues" dxfId="7095" priority="8011"/>
    <cfRule type="duplicateValues" dxfId="7094" priority="8012"/>
    <cfRule type="duplicateValues" dxfId="7093" priority="8013"/>
  </conditionalFormatting>
  <conditionalFormatting sqref="AI20">
    <cfRule type="duplicateValues" dxfId="7092" priority="8003"/>
    <cfRule type="duplicateValues" dxfId="7091" priority="8004"/>
    <cfRule type="duplicateValues" dxfId="7090" priority="8005"/>
    <cfRule type="duplicateValues" dxfId="7089" priority="8006"/>
    <cfRule type="duplicateValues" dxfId="7088" priority="8007"/>
  </conditionalFormatting>
  <conditionalFormatting sqref="AI20">
    <cfRule type="duplicateValues" dxfId="7087" priority="8023"/>
    <cfRule type="duplicateValues" dxfId="7086" priority="8024"/>
    <cfRule type="duplicateValues" dxfId="7085" priority="8025"/>
    <cfRule type="duplicateValues" dxfId="7084" priority="8026"/>
    <cfRule type="duplicateValues" dxfId="7083" priority="8027"/>
    <cfRule type="duplicateValues" dxfId="7082" priority="8028"/>
    <cfRule type="duplicateValues" dxfId="7081" priority="8029"/>
    <cfRule type="duplicateValues" dxfId="7080" priority="8030"/>
    <cfRule type="duplicateValues" dxfId="7079" priority="8031"/>
    <cfRule type="duplicateValues" dxfId="7078" priority="8032"/>
    <cfRule type="duplicateValues" dxfId="7077" priority="8033"/>
    <cfRule type="duplicateValues" dxfId="7076" priority="8034"/>
    <cfRule type="duplicateValues" dxfId="7075" priority="8035"/>
    <cfRule type="duplicateValues" dxfId="7074" priority="8036"/>
    <cfRule type="duplicateValues" dxfId="7073" priority="8037"/>
    <cfRule type="duplicateValues" dxfId="7072" priority="8038"/>
    <cfRule type="duplicateValues" dxfId="7071" priority="8039"/>
    <cfRule type="duplicateValues" dxfId="7070" priority="8040"/>
    <cfRule type="duplicateValues" dxfId="7069" priority="8041"/>
    <cfRule type="duplicateValues" dxfId="7068" priority="8042"/>
    <cfRule type="duplicateValues" dxfId="7067" priority="8043"/>
    <cfRule type="duplicateValues" dxfId="7066" priority="8044"/>
    <cfRule type="duplicateValues" dxfId="7065" priority="8045"/>
    <cfRule type="duplicateValues" dxfId="7064" priority="8046"/>
    <cfRule type="duplicateValues" dxfId="7063" priority="8047"/>
    <cfRule type="duplicateValues" dxfId="7062" priority="8048"/>
    <cfRule type="duplicateValues" dxfId="7061" priority="8049"/>
    <cfRule type="duplicateValues" dxfId="7060" priority="8050"/>
  </conditionalFormatting>
  <conditionalFormatting sqref="AI20">
    <cfRule type="duplicateValues" dxfId="7059" priority="7957"/>
  </conditionalFormatting>
  <conditionalFormatting sqref="AI18:AI20">
    <cfRule type="duplicateValues" dxfId="7058" priority="7958"/>
  </conditionalFormatting>
  <conditionalFormatting sqref="AI18:AI20">
    <cfRule type="duplicateValues" dxfId="7057" priority="7959"/>
    <cfRule type="duplicateValues" dxfId="7056" priority="7960"/>
  </conditionalFormatting>
  <conditionalFormatting sqref="AI18:AI20">
    <cfRule type="duplicateValues" dxfId="7055" priority="7961"/>
    <cfRule type="duplicateValues" dxfId="7054" priority="7962"/>
    <cfRule type="duplicateValues" dxfId="7053" priority="7963"/>
    <cfRule type="duplicateValues" dxfId="7052" priority="7964"/>
    <cfRule type="duplicateValues" dxfId="7051" priority="7965"/>
    <cfRule type="duplicateValues" dxfId="7050" priority="7966"/>
  </conditionalFormatting>
  <conditionalFormatting sqref="AI18:AI20">
    <cfRule type="duplicateValues" dxfId="7049" priority="7967"/>
    <cfRule type="duplicateValues" dxfId="7048" priority="7968"/>
    <cfRule type="duplicateValues" dxfId="7047" priority="7969"/>
    <cfRule type="duplicateValues" dxfId="7046" priority="7970"/>
    <cfRule type="duplicateValues" dxfId="7045" priority="7971"/>
  </conditionalFormatting>
  <conditionalFormatting sqref="AI18:AI20">
    <cfRule type="duplicateValues" dxfId="7044" priority="7972"/>
    <cfRule type="duplicateValues" dxfId="7043" priority="7973"/>
    <cfRule type="duplicateValues" dxfId="7042" priority="7974"/>
    <cfRule type="duplicateValues" dxfId="7041" priority="7975"/>
    <cfRule type="duplicateValues" dxfId="7040" priority="7976"/>
    <cfRule type="duplicateValues" dxfId="7039" priority="7977"/>
    <cfRule type="duplicateValues" dxfId="7038" priority="7978"/>
    <cfRule type="duplicateValues" dxfId="7037" priority="7979"/>
    <cfRule type="duplicateValues" dxfId="7036" priority="7980"/>
    <cfRule type="duplicateValues" dxfId="7035" priority="7981"/>
    <cfRule type="duplicateValues" dxfId="7034" priority="7982"/>
    <cfRule type="duplicateValues" dxfId="7033" priority="7983"/>
    <cfRule type="duplicateValues" dxfId="7032" priority="7984"/>
    <cfRule type="duplicateValues" dxfId="7031" priority="7985"/>
    <cfRule type="duplicateValues" dxfId="7030" priority="7986"/>
    <cfRule type="duplicateValues" dxfId="7029" priority="7987"/>
    <cfRule type="duplicateValues" dxfId="7028" priority="7988"/>
    <cfRule type="duplicateValues" dxfId="7027" priority="7989"/>
    <cfRule type="duplicateValues" dxfId="7026" priority="7990"/>
    <cfRule type="duplicateValues" dxfId="7025" priority="7991"/>
    <cfRule type="duplicateValues" dxfId="7024" priority="7992"/>
    <cfRule type="duplicateValues" dxfId="7023" priority="7993"/>
    <cfRule type="duplicateValues" dxfId="7022" priority="7994"/>
    <cfRule type="duplicateValues" dxfId="7021" priority="7995"/>
    <cfRule type="duplicateValues" dxfId="7020" priority="7996"/>
    <cfRule type="duplicateValues" dxfId="7019" priority="7997"/>
    <cfRule type="duplicateValues" dxfId="7018" priority="7998"/>
    <cfRule type="duplicateValues" dxfId="7017" priority="7999"/>
  </conditionalFormatting>
  <conditionalFormatting sqref="AI18:AI20">
    <cfRule type="duplicateValues" dxfId="7016" priority="8000"/>
  </conditionalFormatting>
  <conditionalFormatting sqref="AI18:AI20">
    <cfRule type="duplicateValues" dxfId="7015" priority="8001"/>
  </conditionalFormatting>
  <conditionalFormatting sqref="AI18:AI20">
    <cfRule type="duplicateValues" dxfId="7014" priority="8002"/>
  </conditionalFormatting>
  <conditionalFormatting sqref="AI10">
    <cfRule type="duplicateValues" dxfId="7013" priority="7922"/>
  </conditionalFormatting>
  <conditionalFormatting sqref="AI10">
    <cfRule type="duplicateValues" dxfId="7012" priority="7920"/>
    <cfRule type="duplicateValues" dxfId="7011" priority="7921"/>
  </conditionalFormatting>
  <conditionalFormatting sqref="AI10">
    <cfRule type="duplicateValues" dxfId="7010" priority="7926"/>
  </conditionalFormatting>
  <conditionalFormatting sqref="AI10">
    <cfRule type="duplicateValues" dxfId="7009" priority="7927"/>
    <cfRule type="duplicateValues" dxfId="7008" priority="7928"/>
  </conditionalFormatting>
  <conditionalFormatting sqref="AI10">
    <cfRule type="duplicateValues" dxfId="7007" priority="7924"/>
  </conditionalFormatting>
  <conditionalFormatting sqref="AI10">
    <cfRule type="duplicateValues" dxfId="7006" priority="7925"/>
  </conditionalFormatting>
  <conditionalFormatting sqref="AI10">
    <cfRule type="duplicateValues" dxfId="7005" priority="7923"/>
  </conditionalFormatting>
  <conditionalFormatting sqref="AI10">
    <cfRule type="duplicateValues" dxfId="7004" priority="7914"/>
    <cfRule type="duplicateValues" dxfId="7003" priority="7915"/>
    <cfRule type="duplicateValues" dxfId="7002" priority="7916"/>
    <cfRule type="duplicateValues" dxfId="7001" priority="7917"/>
    <cfRule type="duplicateValues" dxfId="7000" priority="7918"/>
    <cfRule type="duplicateValues" dxfId="6999" priority="7919"/>
  </conditionalFormatting>
  <conditionalFormatting sqref="AI10">
    <cfRule type="duplicateValues" dxfId="6998" priority="7909"/>
    <cfRule type="duplicateValues" dxfId="6997" priority="7910"/>
    <cfRule type="duplicateValues" dxfId="6996" priority="7911"/>
    <cfRule type="duplicateValues" dxfId="6995" priority="7912"/>
    <cfRule type="duplicateValues" dxfId="6994" priority="7913"/>
  </conditionalFormatting>
  <conditionalFormatting sqref="AI10">
    <cfRule type="duplicateValues" dxfId="6993" priority="7929"/>
    <cfRule type="duplicateValues" dxfId="6992" priority="7930"/>
    <cfRule type="duplicateValues" dxfId="6991" priority="7931"/>
    <cfRule type="duplicateValues" dxfId="6990" priority="7932"/>
    <cfRule type="duplicateValues" dxfId="6989" priority="7933"/>
    <cfRule type="duplicateValues" dxfId="6988" priority="7934"/>
    <cfRule type="duplicateValues" dxfId="6987" priority="7935"/>
    <cfRule type="duplicateValues" dxfId="6986" priority="7936"/>
    <cfRule type="duplicateValues" dxfId="6985" priority="7937"/>
    <cfRule type="duplicateValues" dxfId="6984" priority="7938"/>
    <cfRule type="duplicateValues" dxfId="6983" priority="7939"/>
    <cfRule type="duplicateValues" dxfId="6982" priority="7940"/>
    <cfRule type="duplicateValues" dxfId="6981" priority="7941"/>
    <cfRule type="duplicateValues" dxfId="6980" priority="7942"/>
    <cfRule type="duplicateValues" dxfId="6979" priority="7943"/>
    <cfRule type="duplicateValues" dxfId="6978" priority="7944"/>
    <cfRule type="duplicateValues" dxfId="6977" priority="7945"/>
    <cfRule type="duplicateValues" dxfId="6976" priority="7946"/>
    <cfRule type="duplicateValues" dxfId="6975" priority="7947"/>
    <cfRule type="duplicateValues" dxfId="6974" priority="7948"/>
    <cfRule type="duplicateValues" dxfId="6973" priority="7949"/>
    <cfRule type="duplicateValues" dxfId="6972" priority="7950"/>
    <cfRule type="duplicateValues" dxfId="6971" priority="7951"/>
    <cfRule type="duplicateValues" dxfId="6970" priority="7952"/>
    <cfRule type="duplicateValues" dxfId="6969" priority="7953"/>
    <cfRule type="duplicateValues" dxfId="6968" priority="7954"/>
    <cfRule type="duplicateValues" dxfId="6967" priority="7955"/>
    <cfRule type="duplicateValues" dxfId="6966" priority="7956"/>
  </conditionalFormatting>
  <conditionalFormatting sqref="AI12">
    <cfRule type="duplicateValues" dxfId="6965" priority="7874"/>
  </conditionalFormatting>
  <conditionalFormatting sqref="AI12">
    <cfRule type="duplicateValues" dxfId="6964" priority="7872"/>
    <cfRule type="duplicateValues" dxfId="6963" priority="7873"/>
  </conditionalFormatting>
  <conditionalFormatting sqref="AI12">
    <cfRule type="duplicateValues" dxfId="6962" priority="7878"/>
  </conditionalFormatting>
  <conditionalFormatting sqref="AI12">
    <cfRule type="duplicateValues" dxfId="6961" priority="7879"/>
    <cfRule type="duplicateValues" dxfId="6960" priority="7880"/>
  </conditionalFormatting>
  <conditionalFormatting sqref="AI12">
    <cfRule type="duplicateValues" dxfId="6959" priority="7876"/>
  </conditionalFormatting>
  <conditionalFormatting sqref="AI12">
    <cfRule type="duplicateValues" dxfId="6958" priority="7877"/>
  </conditionalFormatting>
  <conditionalFormatting sqref="AI12">
    <cfRule type="duplicateValues" dxfId="6957" priority="7875"/>
  </conditionalFormatting>
  <conditionalFormatting sqref="AI12">
    <cfRule type="duplicateValues" dxfId="6956" priority="7866"/>
    <cfRule type="duplicateValues" dxfId="6955" priority="7867"/>
    <cfRule type="duplicateValues" dxfId="6954" priority="7868"/>
    <cfRule type="duplicateValues" dxfId="6953" priority="7869"/>
    <cfRule type="duplicateValues" dxfId="6952" priority="7870"/>
    <cfRule type="duplicateValues" dxfId="6951" priority="7871"/>
  </conditionalFormatting>
  <conditionalFormatting sqref="AI12">
    <cfRule type="duplicateValues" dxfId="6950" priority="7861"/>
    <cfRule type="duplicateValues" dxfId="6949" priority="7862"/>
    <cfRule type="duplicateValues" dxfId="6948" priority="7863"/>
    <cfRule type="duplicateValues" dxfId="6947" priority="7864"/>
    <cfRule type="duplicateValues" dxfId="6946" priority="7865"/>
  </conditionalFormatting>
  <conditionalFormatting sqref="AI12">
    <cfRule type="duplicateValues" dxfId="6945" priority="7881"/>
    <cfRule type="duplicateValues" dxfId="6944" priority="7882"/>
    <cfRule type="duplicateValues" dxfId="6943" priority="7883"/>
    <cfRule type="duplicateValues" dxfId="6942" priority="7884"/>
    <cfRule type="duplicateValues" dxfId="6941" priority="7885"/>
    <cfRule type="duplicateValues" dxfId="6940" priority="7886"/>
    <cfRule type="duplicateValues" dxfId="6939" priority="7887"/>
    <cfRule type="duplicateValues" dxfId="6938" priority="7888"/>
    <cfRule type="duplicateValues" dxfId="6937" priority="7889"/>
    <cfRule type="duplicateValues" dxfId="6936" priority="7890"/>
    <cfRule type="duplicateValues" dxfId="6935" priority="7891"/>
    <cfRule type="duplicateValues" dxfId="6934" priority="7892"/>
    <cfRule type="duplicateValues" dxfId="6933" priority="7893"/>
    <cfRule type="duplicateValues" dxfId="6932" priority="7894"/>
    <cfRule type="duplicateValues" dxfId="6931" priority="7895"/>
    <cfRule type="duplicateValues" dxfId="6930" priority="7896"/>
    <cfRule type="duplicateValues" dxfId="6929" priority="7897"/>
    <cfRule type="duplicateValues" dxfId="6928" priority="7898"/>
    <cfRule type="duplicateValues" dxfId="6927" priority="7899"/>
    <cfRule type="duplicateValues" dxfId="6926" priority="7900"/>
    <cfRule type="duplicateValues" dxfId="6925" priority="7901"/>
    <cfRule type="duplicateValues" dxfId="6924" priority="7902"/>
    <cfRule type="duplicateValues" dxfId="6923" priority="7903"/>
    <cfRule type="duplicateValues" dxfId="6922" priority="7904"/>
    <cfRule type="duplicateValues" dxfId="6921" priority="7905"/>
    <cfRule type="duplicateValues" dxfId="6920" priority="7906"/>
    <cfRule type="duplicateValues" dxfId="6919" priority="7907"/>
    <cfRule type="duplicateValues" dxfId="6918" priority="7908"/>
  </conditionalFormatting>
  <conditionalFormatting sqref="AI15">
    <cfRule type="duplicateValues" dxfId="6917" priority="7795"/>
  </conditionalFormatting>
  <conditionalFormatting sqref="AI15">
    <cfRule type="duplicateValues" dxfId="6916" priority="7785"/>
    <cfRule type="duplicateValues" dxfId="6915" priority="7786"/>
    <cfRule type="duplicateValues" dxfId="6914" priority="7787"/>
    <cfRule type="duplicateValues" dxfId="6913" priority="7788"/>
  </conditionalFormatting>
  <conditionalFormatting sqref="AI15">
    <cfRule type="duplicateValues" dxfId="6912" priority="7790"/>
    <cfRule type="duplicateValues" dxfId="6911" priority="7791"/>
    <cfRule type="duplicateValues" dxfId="6910" priority="7792"/>
    <cfRule type="duplicateValues" dxfId="6909" priority="7793"/>
    <cfRule type="duplicateValues" dxfId="6908" priority="7794"/>
  </conditionalFormatting>
  <conditionalFormatting sqref="AI15">
    <cfRule type="duplicateValues" dxfId="6907" priority="7789"/>
  </conditionalFormatting>
  <conditionalFormatting sqref="AI15">
    <cfRule type="duplicateValues" dxfId="6906" priority="7796"/>
    <cfRule type="duplicateValues" dxfId="6905" priority="7797"/>
    <cfRule type="duplicateValues" dxfId="6904" priority="7798"/>
    <cfRule type="duplicateValues" dxfId="6903" priority="7799"/>
    <cfRule type="duplicateValues" dxfId="6902" priority="7800"/>
    <cfRule type="duplicateValues" dxfId="6901" priority="7801"/>
    <cfRule type="duplicateValues" dxfId="6900" priority="7802"/>
    <cfRule type="duplicateValues" dxfId="6899" priority="7803"/>
    <cfRule type="duplicateValues" dxfId="6898" priority="7804"/>
    <cfRule type="duplicateValues" dxfId="6897" priority="7805"/>
    <cfRule type="duplicateValues" dxfId="6896" priority="7806"/>
    <cfRule type="duplicateValues" dxfId="6895" priority="7807"/>
    <cfRule type="duplicateValues" dxfId="6894" priority="7808"/>
    <cfRule type="duplicateValues" dxfId="6893" priority="7809"/>
    <cfRule type="duplicateValues" dxfId="6892" priority="7810"/>
    <cfRule type="duplicateValues" dxfId="6891" priority="7811"/>
    <cfRule type="duplicateValues" dxfId="6890" priority="7812"/>
    <cfRule type="duplicateValues" dxfId="6889" priority="7813"/>
    <cfRule type="duplicateValues" dxfId="6888" priority="7814"/>
    <cfRule type="duplicateValues" dxfId="6887" priority="7815"/>
    <cfRule type="duplicateValues" dxfId="6886" priority="7816"/>
    <cfRule type="duplicateValues" dxfId="6885" priority="7817"/>
    <cfRule type="duplicateValues" dxfId="6884" priority="7818"/>
    <cfRule type="duplicateValues" dxfId="6883" priority="7819"/>
    <cfRule type="duplicateValues" dxfId="6882" priority="7820"/>
    <cfRule type="duplicateValues" dxfId="6881" priority="7821"/>
    <cfRule type="duplicateValues" dxfId="6880" priority="7822"/>
    <cfRule type="duplicateValues" dxfId="6879" priority="7823"/>
    <cfRule type="duplicateValues" dxfId="6878" priority="7824"/>
    <cfRule type="duplicateValues" dxfId="6877" priority="7825"/>
    <cfRule type="duplicateValues" dxfId="6876" priority="7826"/>
    <cfRule type="duplicateValues" dxfId="6875" priority="7827"/>
    <cfRule type="duplicateValues" dxfId="6874" priority="7828"/>
    <cfRule type="duplicateValues" dxfId="6873" priority="7829"/>
    <cfRule type="duplicateValues" dxfId="6872" priority="7830"/>
    <cfRule type="duplicateValues" dxfId="6871" priority="7831"/>
    <cfRule type="duplicateValues" dxfId="6870" priority="7832"/>
    <cfRule type="duplicateValues" dxfId="6869" priority="7833"/>
    <cfRule type="duplicateValues" dxfId="6868" priority="7834"/>
    <cfRule type="duplicateValues" dxfId="6867" priority="7835"/>
    <cfRule type="duplicateValues" dxfId="6866" priority="7836"/>
    <cfRule type="duplicateValues" dxfId="6865" priority="7837"/>
    <cfRule type="duplicateValues" dxfId="6864" priority="7838"/>
    <cfRule type="duplicateValues" dxfId="6863" priority="7839"/>
    <cfRule type="duplicateValues" dxfId="6862" priority="7840"/>
    <cfRule type="duplicateValues" dxfId="6861" priority="7841"/>
    <cfRule type="duplicateValues" dxfId="6860" priority="7842"/>
    <cfRule type="duplicateValues" dxfId="6859" priority="7843"/>
    <cfRule type="duplicateValues" dxfId="6858" priority="7844"/>
    <cfRule type="duplicateValues" dxfId="6857" priority="7845"/>
    <cfRule type="duplicateValues" dxfId="6856" priority="7846"/>
    <cfRule type="duplicateValues" dxfId="6855" priority="7847"/>
    <cfRule type="duplicateValues" dxfId="6854" priority="7848"/>
    <cfRule type="duplicateValues" dxfId="6853" priority="7849"/>
    <cfRule type="duplicateValues" dxfId="6852" priority="7850"/>
    <cfRule type="duplicateValues" dxfId="6851" priority="7851"/>
    <cfRule type="duplicateValues" dxfId="6850" priority="7852"/>
    <cfRule type="duplicateValues" dxfId="6849" priority="7853"/>
    <cfRule type="duplicateValues" dxfId="6848" priority="7854"/>
    <cfRule type="duplicateValues" dxfId="6847" priority="7855"/>
    <cfRule type="duplicateValues" dxfId="6846" priority="7856"/>
    <cfRule type="duplicateValues" dxfId="6845" priority="7857"/>
    <cfRule type="duplicateValues" dxfId="6844" priority="7858"/>
    <cfRule type="duplicateValues" dxfId="6843" priority="7859"/>
    <cfRule type="duplicateValues" dxfId="6842" priority="7860"/>
  </conditionalFormatting>
  <conditionalFormatting sqref="AI11">
    <cfRule type="duplicateValues" dxfId="6841" priority="7750"/>
  </conditionalFormatting>
  <conditionalFormatting sqref="AI11">
    <cfRule type="duplicateValues" dxfId="6840" priority="7748"/>
    <cfRule type="duplicateValues" dxfId="6839" priority="7749"/>
  </conditionalFormatting>
  <conditionalFormatting sqref="AI11">
    <cfRule type="duplicateValues" dxfId="6838" priority="7754"/>
  </conditionalFormatting>
  <conditionalFormatting sqref="AI11">
    <cfRule type="duplicateValues" dxfId="6837" priority="7755"/>
    <cfRule type="duplicateValues" dxfId="6836" priority="7756"/>
  </conditionalFormatting>
  <conditionalFormatting sqref="AI11">
    <cfRule type="duplicateValues" dxfId="6835" priority="7752"/>
  </conditionalFormatting>
  <conditionalFormatting sqref="AI11">
    <cfRule type="duplicateValues" dxfId="6834" priority="7753"/>
  </conditionalFormatting>
  <conditionalFormatting sqref="AI11">
    <cfRule type="duplicateValues" dxfId="6833" priority="7751"/>
  </conditionalFormatting>
  <conditionalFormatting sqref="AI11">
    <cfRule type="duplicateValues" dxfId="6832" priority="7742"/>
    <cfRule type="duplicateValues" dxfId="6831" priority="7743"/>
    <cfRule type="duplicateValues" dxfId="6830" priority="7744"/>
    <cfRule type="duplicateValues" dxfId="6829" priority="7745"/>
    <cfRule type="duplicateValues" dxfId="6828" priority="7746"/>
    <cfRule type="duplicateValues" dxfId="6827" priority="7747"/>
  </conditionalFormatting>
  <conditionalFormatting sqref="AI11">
    <cfRule type="duplicateValues" dxfId="6826" priority="7737"/>
    <cfRule type="duplicateValues" dxfId="6825" priority="7738"/>
    <cfRule type="duplicateValues" dxfId="6824" priority="7739"/>
    <cfRule type="duplicateValues" dxfId="6823" priority="7740"/>
    <cfRule type="duplicateValues" dxfId="6822" priority="7741"/>
  </conditionalFormatting>
  <conditionalFormatting sqref="AI11">
    <cfRule type="duplicateValues" dxfId="6821" priority="7757"/>
    <cfRule type="duplicateValues" dxfId="6820" priority="7758"/>
    <cfRule type="duplicateValues" dxfId="6819" priority="7759"/>
    <cfRule type="duplicateValues" dxfId="6818" priority="7760"/>
    <cfRule type="duplicateValues" dxfId="6817" priority="7761"/>
    <cfRule type="duplicateValues" dxfId="6816" priority="7762"/>
    <cfRule type="duplicateValues" dxfId="6815" priority="7763"/>
    <cfRule type="duplicateValues" dxfId="6814" priority="7764"/>
    <cfRule type="duplicateValues" dxfId="6813" priority="7765"/>
    <cfRule type="duplicateValues" dxfId="6812" priority="7766"/>
    <cfRule type="duplicateValues" dxfId="6811" priority="7767"/>
    <cfRule type="duplicateValues" dxfId="6810" priority="7768"/>
    <cfRule type="duplicateValues" dxfId="6809" priority="7769"/>
    <cfRule type="duplicateValues" dxfId="6808" priority="7770"/>
    <cfRule type="duplicateValues" dxfId="6807" priority="7771"/>
    <cfRule type="duplicateValues" dxfId="6806" priority="7772"/>
    <cfRule type="duplicateValues" dxfId="6805" priority="7773"/>
    <cfRule type="duplicateValues" dxfId="6804" priority="7774"/>
    <cfRule type="duplicateValues" dxfId="6803" priority="7775"/>
    <cfRule type="duplicateValues" dxfId="6802" priority="7776"/>
    <cfRule type="duplicateValues" dxfId="6801" priority="7777"/>
    <cfRule type="duplicateValues" dxfId="6800" priority="7778"/>
    <cfRule type="duplicateValues" dxfId="6799" priority="7779"/>
    <cfRule type="duplicateValues" dxfId="6798" priority="7780"/>
    <cfRule type="duplicateValues" dxfId="6797" priority="7781"/>
    <cfRule type="duplicateValues" dxfId="6796" priority="7782"/>
    <cfRule type="duplicateValues" dxfId="6795" priority="7783"/>
    <cfRule type="duplicateValues" dxfId="6794" priority="7784"/>
  </conditionalFormatting>
  <conditionalFormatting sqref="AI15">
    <cfRule type="duplicateValues" dxfId="6793" priority="7702"/>
  </conditionalFormatting>
  <conditionalFormatting sqref="AI15">
    <cfRule type="duplicateValues" dxfId="6792" priority="7700"/>
    <cfRule type="duplicateValues" dxfId="6791" priority="7701"/>
  </conditionalFormatting>
  <conditionalFormatting sqref="AI15">
    <cfRule type="duplicateValues" dxfId="6790" priority="7706"/>
  </conditionalFormatting>
  <conditionalFormatting sqref="AI15">
    <cfRule type="duplicateValues" dxfId="6789" priority="7707"/>
    <cfRule type="duplicateValues" dxfId="6788" priority="7708"/>
  </conditionalFormatting>
  <conditionalFormatting sqref="AI15">
    <cfRule type="duplicateValues" dxfId="6787" priority="7704"/>
  </conditionalFormatting>
  <conditionalFormatting sqref="AI15">
    <cfRule type="duplicateValues" dxfId="6786" priority="7705"/>
  </conditionalFormatting>
  <conditionalFormatting sqref="AI15">
    <cfRule type="duplicateValues" dxfId="6785" priority="7703"/>
  </conditionalFormatting>
  <conditionalFormatting sqref="AI15">
    <cfRule type="duplicateValues" dxfId="6784" priority="7694"/>
    <cfRule type="duplicateValues" dxfId="6783" priority="7695"/>
    <cfRule type="duplicateValues" dxfId="6782" priority="7696"/>
    <cfRule type="duplicateValues" dxfId="6781" priority="7697"/>
    <cfRule type="duplicateValues" dxfId="6780" priority="7698"/>
    <cfRule type="duplicateValues" dxfId="6779" priority="7699"/>
  </conditionalFormatting>
  <conditionalFormatting sqref="AI15">
    <cfRule type="duplicateValues" dxfId="6778" priority="7689"/>
    <cfRule type="duplicateValues" dxfId="6777" priority="7690"/>
    <cfRule type="duplicateValues" dxfId="6776" priority="7691"/>
    <cfRule type="duplicateValues" dxfId="6775" priority="7692"/>
    <cfRule type="duplicateValues" dxfId="6774" priority="7693"/>
  </conditionalFormatting>
  <conditionalFormatting sqref="AI15">
    <cfRule type="duplicateValues" dxfId="6773" priority="7709"/>
    <cfRule type="duplicateValues" dxfId="6772" priority="7710"/>
    <cfRule type="duplicateValues" dxfId="6771" priority="7711"/>
    <cfRule type="duplicateValues" dxfId="6770" priority="7712"/>
    <cfRule type="duplicateValues" dxfId="6769" priority="7713"/>
    <cfRule type="duplicateValues" dxfId="6768" priority="7714"/>
    <cfRule type="duplicateValues" dxfId="6767" priority="7715"/>
    <cfRule type="duplicateValues" dxfId="6766" priority="7716"/>
    <cfRule type="duplicateValues" dxfId="6765" priority="7717"/>
    <cfRule type="duplicateValues" dxfId="6764" priority="7718"/>
    <cfRule type="duplicateValues" dxfId="6763" priority="7719"/>
    <cfRule type="duplicateValues" dxfId="6762" priority="7720"/>
    <cfRule type="duplicateValues" dxfId="6761" priority="7721"/>
    <cfRule type="duplicateValues" dxfId="6760" priority="7722"/>
    <cfRule type="duplicateValues" dxfId="6759" priority="7723"/>
    <cfRule type="duplicateValues" dxfId="6758" priority="7724"/>
    <cfRule type="duplicateValues" dxfId="6757" priority="7725"/>
    <cfRule type="duplicateValues" dxfId="6756" priority="7726"/>
    <cfRule type="duplicateValues" dxfId="6755" priority="7727"/>
    <cfRule type="duplicateValues" dxfId="6754" priority="7728"/>
    <cfRule type="duplicateValues" dxfId="6753" priority="7729"/>
    <cfRule type="duplicateValues" dxfId="6752" priority="7730"/>
    <cfRule type="duplicateValues" dxfId="6751" priority="7731"/>
    <cfRule type="duplicateValues" dxfId="6750" priority="7732"/>
    <cfRule type="duplicateValues" dxfId="6749" priority="7733"/>
    <cfRule type="duplicateValues" dxfId="6748" priority="7734"/>
    <cfRule type="duplicateValues" dxfId="6747" priority="7735"/>
    <cfRule type="duplicateValues" dxfId="6746" priority="7736"/>
  </conditionalFormatting>
  <conditionalFormatting sqref="AI16">
    <cfRule type="duplicateValues" dxfId="6745" priority="7623"/>
  </conditionalFormatting>
  <conditionalFormatting sqref="AI16">
    <cfRule type="duplicateValues" dxfId="6744" priority="7613"/>
    <cfRule type="duplicateValues" dxfId="6743" priority="7614"/>
    <cfRule type="duplicateValues" dxfId="6742" priority="7615"/>
    <cfRule type="duplicateValues" dxfId="6741" priority="7616"/>
  </conditionalFormatting>
  <conditionalFormatting sqref="AI16">
    <cfRule type="duplicateValues" dxfId="6740" priority="7618"/>
    <cfRule type="duplicateValues" dxfId="6739" priority="7619"/>
    <cfRule type="duplicateValues" dxfId="6738" priority="7620"/>
    <cfRule type="duplicateValues" dxfId="6737" priority="7621"/>
    <cfRule type="duplicateValues" dxfId="6736" priority="7622"/>
  </conditionalFormatting>
  <conditionalFormatting sqref="AI16">
    <cfRule type="duplicateValues" dxfId="6735" priority="7617"/>
  </conditionalFormatting>
  <conditionalFormatting sqref="AI16">
    <cfRule type="duplicateValues" dxfId="6734" priority="7624"/>
    <cfRule type="duplicateValues" dxfId="6733" priority="7625"/>
    <cfRule type="duplicateValues" dxfId="6732" priority="7626"/>
    <cfRule type="duplicateValues" dxfId="6731" priority="7627"/>
    <cfRule type="duplicateValues" dxfId="6730" priority="7628"/>
    <cfRule type="duplicateValues" dxfId="6729" priority="7629"/>
    <cfRule type="duplicateValues" dxfId="6728" priority="7630"/>
    <cfRule type="duplicateValues" dxfId="6727" priority="7631"/>
    <cfRule type="duplicateValues" dxfId="6726" priority="7632"/>
    <cfRule type="duplicateValues" dxfId="6725" priority="7633"/>
    <cfRule type="duplicateValues" dxfId="6724" priority="7634"/>
    <cfRule type="duplicateValues" dxfId="6723" priority="7635"/>
    <cfRule type="duplicateValues" dxfId="6722" priority="7636"/>
    <cfRule type="duplicateValues" dxfId="6721" priority="7637"/>
    <cfRule type="duplicateValues" dxfId="6720" priority="7638"/>
    <cfRule type="duplicateValues" dxfId="6719" priority="7639"/>
    <cfRule type="duplicateValues" dxfId="6718" priority="7640"/>
    <cfRule type="duplicateValues" dxfId="6717" priority="7641"/>
    <cfRule type="duplicateValues" dxfId="6716" priority="7642"/>
    <cfRule type="duplicateValues" dxfId="6715" priority="7643"/>
    <cfRule type="duplicateValues" dxfId="6714" priority="7644"/>
    <cfRule type="duplicateValues" dxfId="6713" priority="7645"/>
    <cfRule type="duplicateValues" dxfId="6712" priority="7646"/>
    <cfRule type="duplicateValues" dxfId="6711" priority="7647"/>
    <cfRule type="duplicateValues" dxfId="6710" priority="7648"/>
    <cfRule type="duplicateValues" dxfId="6709" priority="7649"/>
    <cfRule type="duplicateValues" dxfId="6708" priority="7650"/>
    <cfRule type="duplicateValues" dxfId="6707" priority="7651"/>
    <cfRule type="duplicateValues" dxfId="6706" priority="7652"/>
    <cfRule type="duplicateValues" dxfId="6705" priority="7653"/>
    <cfRule type="duplicateValues" dxfId="6704" priority="7654"/>
    <cfRule type="duplicateValues" dxfId="6703" priority="7655"/>
    <cfRule type="duplicateValues" dxfId="6702" priority="7656"/>
    <cfRule type="duplicateValues" dxfId="6701" priority="7657"/>
    <cfRule type="duplicateValues" dxfId="6700" priority="7658"/>
    <cfRule type="duplicateValues" dxfId="6699" priority="7659"/>
    <cfRule type="duplicateValues" dxfId="6698" priority="7660"/>
    <cfRule type="duplicateValues" dxfId="6697" priority="7661"/>
    <cfRule type="duplicateValues" dxfId="6696" priority="7662"/>
    <cfRule type="duplicateValues" dxfId="6695" priority="7663"/>
    <cfRule type="duplicateValues" dxfId="6694" priority="7664"/>
    <cfRule type="duplicateValues" dxfId="6693" priority="7665"/>
    <cfRule type="duplicateValues" dxfId="6692" priority="7666"/>
    <cfRule type="duplicateValues" dxfId="6691" priority="7667"/>
    <cfRule type="duplicateValues" dxfId="6690" priority="7668"/>
    <cfRule type="duplicateValues" dxfId="6689" priority="7669"/>
    <cfRule type="duplicateValues" dxfId="6688" priority="7670"/>
    <cfRule type="duplicateValues" dxfId="6687" priority="7671"/>
    <cfRule type="duplicateValues" dxfId="6686" priority="7672"/>
    <cfRule type="duplicateValues" dxfId="6685" priority="7673"/>
    <cfRule type="duplicateValues" dxfId="6684" priority="7674"/>
    <cfRule type="duplicateValues" dxfId="6683" priority="7675"/>
    <cfRule type="duplicateValues" dxfId="6682" priority="7676"/>
    <cfRule type="duplicateValues" dxfId="6681" priority="7677"/>
    <cfRule type="duplicateValues" dxfId="6680" priority="7678"/>
    <cfRule type="duplicateValues" dxfId="6679" priority="7679"/>
    <cfRule type="duplicateValues" dxfId="6678" priority="7680"/>
    <cfRule type="duplicateValues" dxfId="6677" priority="7681"/>
    <cfRule type="duplicateValues" dxfId="6676" priority="7682"/>
    <cfRule type="duplicateValues" dxfId="6675" priority="7683"/>
    <cfRule type="duplicateValues" dxfId="6674" priority="7684"/>
    <cfRule type="duplicateValues" dxfId="6673" priority="7685"/>
    <cfRule type="duplicateValues" dxfId="6672" priority="7686"/>
    <cfRule type="duplicateValues" dxfId="6671" priority="7687"/>
    <cfRule type="duplicateValues" dxfId="6670" priority="7688"/>
  </conditionalFormatting>
  <conditionalFormatting sqref="AI11">
    <cfRule type="duplicateValues" dxfId="6669" priority="7578"/>
  </conditionalFormatting>
  <conditionalFormatting sqref="AI11">
    <cfRule type="duplicateValues" dxfId="6668" priority="7576"/>
    <cfRule type="duplicateValues" dxfId="6667" priority="7577"/>
  </conditionalFormatting>
  <conditionalFormatting sqref="AI11">
    <cfRule type="duplicateValues" dxfId="6666" priority="7582"/>
  </conditionalFormatting>
  <conditionalFormatting sqref="AI11">
    <cfRule type="duplicateValues" dxfId="6665" priority="7583"/>
    <cfRule type="duplicateValues" dxfId="6664" priority="7584"/>
  </conditionalFormatting>
  <conditionalFormatting sqref="AI11">
    <cfRule type="duplicateValues" dxfId="6663" priority="7580"/>
  </conditionalFormatting>
  <conditionalFormatting sqref="AI11">
    <cfRule type="duplicateValues" dxfId="6662" priority="7581"/>
  </conditionalFormatting>
  <conditionalFormatting sqref="AI11">
    <cfRule type="duplicateValues" dxfId="6661" priority="7579"/>
  </conditionalFormatting>
  <conditionalFormatting sqref="AI11">
    <cfRule type="duplicateValues" dxfId="6660" priority="7570"/>
    <cfRule type="duplicateValues" dxfId="6659" priority="7571"/>
    <cfRule type="duplicateValues" dxfId="6658" priority="7572"/>
    <cfRule type="duplicateValues" dxfId="6657" priority="7573"/>
    <cfRule type="duplicateValues" dxfId="6656" priority="7574"/>
    <cfRule type="duplicateValues" dxfId="6655" priority="7575"/>
  </conditionalFormatting>
  <conditionalFormatting sqref="AI11">
    <cfRule type="duplicateValues" dxfId="6654" priority="7565"/>
    <cfRule type="duplicateValues" dxfId="6653" priority="7566"/>
    <cfRule type="duplicateValues" dxfId="6652" priority="7567"/>
    <cfRule type="duplicateValues" dxfId="6651" priority="7568"/>
    <cfRule type="duplicateValues" dxfId="6650" priority="7569"/>
  </conditionalFormatting>
  <conditionalFormatting sqref="AI11">
    <cfRule type="duplicateValues" dxfId="6649" priority="7585"/>
    <cfRule type="duplicateValues" dxfId="6648" priority="7586"/>
    <cfRule type="duplicateValues" dxfId="6647" priority="7587"/>
    <cfRule type="duplicateValues" dxfId="6646" priority="7588"/>
    <cfRule type="duplicateValues" dxfId="6645" priority="7589"/>
    <cfRule type="duplicateValues" dxfId="6644" priority="7590"/>
    <cfRule type="duplicateValues" dxfId="6643" priority="7591"/>
    <cfRule type="duplicateValues" dxfId="6642" priority="7592"/>
    <cfRule type="duplicateValues" dxfId="6641" priority="7593"/>
    <cfRule type="duplicateValues" dxfId="6640" priority="7594"/>
    <cfRule type="duplicateValues" dxfId="6639" priority="7595"/>
    <cfRule type="duplicateValues" dxfId="6638" priority="7596"/>
    <cfRule type="duplicateValues" dxfId="6637" priority="7597"/>
    <cfRule type="duplicateValues" dxfId="6636" priority="7598"/>
    <cfRule type="duplicateValues" dxfId="6635" priority="7599"/>
    <cfRule type="duplicateValues" dxfId="6634" priority="7600"/>
    <cfRule type="duplicateValues" dxfId="6633" priority="7601"/>
    <cfRule type="duplicateValues" dxfId="6632" priority="7602"/>
    <cfRule type="duplicateValues" dxfId="6631" priority="7603"/>
    <cfRule type="duplicateValues" dxfId="6630" priority="7604"/>
    <cfRule type="duplicateValues" dxfId="6629" priority="7605"/>
    <cfRule type="duplicateValues" dxfId="6628" priority="7606"/>
    <cfRule type="duplicateValues" dxfId="6627" priority="7607"/>
    <cfRule type="duplicateValues" dxfId="6626" priority="7608"/>
    <cfRule type="duplicateValues" dxfId="6625" priority="7609"/>
    <cfRule type="duplicateValues" dxfId="6624" priority="7610"/>
    <cfRule type="duplicateValues" dxfId="6623" priority="7611"/>
    <cfRule type="duplicateValues" dxfId="6622" priority="7612"/>
  </conditionalFormatting>
  <conditionalFormatting sqref="AI15">
    <cfRule type="duplicateValues" dxfId="6621" priority="7530"/>
  </conditionalFormatting>
  <conditionalFormatting sqref="AI15">
    <cfRule type="duplicateValues" dxfId="6620" priority="7528"/>
    <cfRule type="duplicateValues" dxfId="6619" priority="7529"/>
  </conditionalFormatting>
  <conditionalFormatting sqref="AI15">
    <cfRule type="duplicateValues" dxfId="6618" priority="7534"/>
  </conditionalFormatting>
  <conditionalFormatting sqref="AI15">
    <cfRule type="duplicateValues" dxfId="6617" priority="7535"/>
    <cfRule type="duplicateValues" dxfId="6616" priority="7536"/>
  </conditionalFormatting>
  <conditionalFormatting sqref="AI15">
    <cfRule type="duplicateValues" dxfId="6615" priority="7532"/>
  </conditionalFormatting>
  <conditionalFormatting sqref="AI15">
    <cfRule type="duplicateValues" dxfId="6614" priority="7533"/>
  </conditionalFormatting>
  <conditionalFormatting sqref="AI15">
    <cfRule type="duplicateValues" dxfId="6613" priority="7531"/>
  </conditionalFormatting>
  <conditionalFormatting sqref="AI15">
    <cfRule type="duplicateValues" dxfId="6612" priority="7522"/>
    <cfRule type="duplicateValues" dxfId="6611" priority="7523"/>
    <cfRule type="duplicateValues" dxfId="6610" priority="7524"/>
    <cfRule type="duplicateValues" dxfId="6609" priority="7525"/>
    <cfRule type="duplicateValues" dxfId="6608" priority="7526"/>
    <cfRule type="duplicateValues" dxfId="6607" priority="7527"/>
  </conditionalFormatting>
  <conditionalFormatting sqref="AI15">
    <cfRule type="duplicateValues" dxfId="6606" priority="7517"/>
    <cfRule type="duplicateValues" dxfId="6605" priority="7518"/>
    <cfRule type="duplicateValues" dxfId="6604" priority="7519"/>
    <cfRule type="duplicateValues" dxfId="6603" priority="7520"/>
    <cfRule type="duplicateValues" dxfId="6602" priority="7521"/>
  </conditionalFormatting>
  <conditionalFormatting sqref="AI15">
    <cfRule type="duplicateValues" dxfId="6601" priority="7537"/>
    <cfRule type="duplicateValues" dxfId="6600" priority="7538"/>
    <cfRule type="duplicateValues" dxfId="6599" priority="7539"/>
    <cfRule type="duplicateValues" dxfId="6598" priority="7540"/>
    <cfRule type="duplicateValues" dxfId="6597" priority="7541"/>
    <cfRule type="duplicateValues" dxfId="6596" priority="7542"/>
    <cfRule type="duplicateValues" dxfId="6595" priority="7543"/>
    <cfRule type="duplicateValues" dxfId="6594" priority="7544"/>
    <cfRule type="duplicateValues" dxfId="6593" priority="7545"/>
    <cfRule type="duplicateValues" dxfId="6592" priority="7546"/>
    <cfRule type="duplicateValues" dxfId="6591" priority="7547"/>
    <cfRule type="duplicateValues" dxfId="6590" priority="7548"/>
    <cfRule type="duplicateValues" dxfId="6589" priority="7549"/>
    <cfRule type="duplicateValues" dxfId="6588" priority="7550"/>
    <cfRule type="duplicateValues" dxfId="6587" priority="7551"/>
    <cfRule type="duplicateValues" dxfId="6586" priority="7552"/>
    <cfRule type="duplicateValues" dxfId="6585" priority="7553"/>
    <cfRule type="duplicateValues" dxfId="6584" priority="7554"/>
    <cfRule type="duplicateValues" dxfId="6583" priority="7555"/>
    <cfRule type="duplicateValues" dxfId="6582" priority="7556"/>
    <cfRule type="duplicateValues" dxfId="6581" priority="7557"/>
    <cfRule type="duplicateValues" dxfId="6580" priority="7558"/>
    <cfRule type="duplicateValues" dxfId="6579" priority="7559"/>
    <cfRule type="duplicateValues" dxfId="6578" priority="7560"/>
    <cfRule type="duplicateValues" dxfId="6577" priority="7561"/>
    <cfRule type="duplicateValues" dxfId="6576" priority="7562"/>
    <cfRule type="duplicateValues" dxfId="6575" priority="7563"/>
    <cfRule type="duplicateValues" dxfId="6574" priority="7564"/>
  </conditionalFormatting>
  <conditionalFormatting sqref="AI16">
    <cfRule type="duplicateValues" dxfId="6573" priority="7451"/>
  </conditionalFormatting>
  <conditionalFormatting sqref="AI16">
    <cfRule type="duplicateValues" dxfId="6572" priority="7441"/>
    <cfRule type="duplicateValues" dxfId="6571" priority="7442"/>
    <cfRule type="duplicateValues" dxfId="6570" priority="7443"/>
    <cfRule type="duplicateValues" dxfId="6569" priority="7444"/>
  </conditionalFormatting>
  <conditionalFormatting sqref="AI16">
    <cfRule type="duplicateValues" dxfId="6568" priority="7446"/>
    <cfRule type="duplicateValues" dxfId="6567" priority="7447"/>
    <cfRule type="duplicateValues" dxfId="6566" priority="7448"/>
    <cfRule type="duplicateValues" dxfId="6565" priority="7449"/>
    <cfRule type="duplicateValues" dxfId="6564" priority="7450"/>
  </conditionalFormatting>
  <conditionalFormatting sqref="AI16">
    <cfRule type="duplicateValues" dxfId="6563" priority="7445"/>
  </conditionalFormatting>
  <conditionalFormatting sqref="AI16">
    <cfRule type="duplicateValues" dxfId="6562" priority="7452"/>
    <cfRule type="duplicateValues" dxfId="6561" priority="7453"/>
    <cfRule type="duplicateValues" dxfId="6560" priority="7454"/>
    <cfRule type="duplicateValues" dxfId="6559" priority="7455"/>
    <cfRule type="duplicateValues" dxfId="6558" priority="7456"/>
    <cfRule type="duplicateValues" dxfId="6557" priority="7457"/>
    <cfRule type="duplicateValues" dxfId="6556" priority="7458"/>
    <cfRule type="duplicateValues" dxfId="6555" priority="7459"/>
    <cfRule type="duplicateValues" dxfId="6554" priority="7460"/>
    <cfRule type="duplicateValues" dxfId="6553" priority="7461"/>
    <cfRule type="duplicateValues" dxfId="6552" priority="7462"/>
    <cfRule type="duplicateValues" dxfId="6551" priority="7463"/>
    <cfRule type="duplicateValues" dxfId="6550" priority="7464"/>
    <cfRule type="duplicateValues" dxfId="6549" priority="7465"/>
    <cfRule type="duplicateValues" dxfId="6548" priority="7466"/>
    <cfRule type="duplicateValues" dxfId="6547" priority="7467"/>
    <cfRule type="duplicateValues" dxfId="6546" priority="7468"/>
    <cfRule type="duplicateValues" dxfId="6545" priority="7469"/>
    <cfRule type="duplicateValues" dxfId="6544" priority="7470"/>
    <cfRule type="duplicateValues" dxfId="6543" priority="7471"/>
    <cfRule type="duplicateValues" dxfId="6542" priority="7472"/>
    <cfRule type="duplicateValues" dxfId="6541" priority="7473"/>
    <cfRule type="duplicateValues" dxfId="6540" priority="7474"/>
    <cfRule type="duplicateValues" dxfId="6539" priority="7475"/>
    <cfRule type="duplicateValues" dxfId="6538" priority="7476"/>
    <cfRule type="duplicateValues" dxfId="6537" priority="7477"/>
    <cfRule type="duplicateValues" dxfId="6536" priority="7478"/>
    <cfRule type="duplicateValues" dxfId="6535" priority="7479"/>
    <cfRule type="duplicateValues" dxfId="6534" priority="7480"/>
    <cfRule type="duplicateValues" dxfId="6533" priority="7481"/>
    <cfRule type="duplicateValues" dxfId="6532" priority="7482"/>
    <cfRule type="duplicateValues" dxfId="6531" priority="7483"/>
    <cfRule type="duplicateValues" dxfId="6530" priority="7484"/>
    <cfRule type="duplicateValues" dxfId="6529" priority="7485"/>
    <cfRule type="duplicateValues" dxfId="6528" priority="7486"/>
    <cfRule type="duplicateValues" dxfId="6527" priority="7487"/>
    <cfRule type="duplicateValues" dxfId="6526" priority="7488"/>
    <cfRule type="duplicateValues" dxfId="6525" priority="7489"/>
    <cfRule type="duplicateValues" dxfId="6524" priority="7490"/>
    <cfRule type="duplicateValues" dxfId="6523" priority="7491"/>
    <cfRule type="duplicateValues" dxfId="6522" priority="7492"/>
    <cfRule type="duplicateValues" dxfId="6521" priority="7493"/>
    <cfRule type="duplicateValues" dxfId="6520" priority="7494"/>
    <cfRule type="duplicateValues" dxfId="6519" priority="7495"/>
    <cfRule type="duplicateValues" dxfId="6518" priority="7496"/>
    <cfRule type="duplicateValues" dxfId="6517" priority="7497"/>
    <cfRule type="duplicateValues" dxfId="6516" priority="7498"/>
    <cfRule type="duplicateValues" dxfId="6515" priority="7499"/>
    <cfRule type="duplicateValues" dxfId="6514" priority="7500"/>
    <cfRule type="duplicateValues" dxfId="6513" priority="7501"/>
    <cfRule type="duplicateValues" dxfId="6512" priority="7502"/>
    <cfRule type="duplicateValues" dxfId="6511" priority="7503"/>
    <cfRule type="duplicateValues" dxfId="6510" priority="7504"/>
    <cfRule type="duplicateValues" dxfId="6509" priority="7505"/>
    <cfRule type="duplicateValues" dxfId="6508" priority="7506"/>
    <cfRule type="duplicateValues" dxfId="6507" priority="7507"/>
    <cfRule type="duplicateValues" dxfId="6506" priority="7508"/>
    <cfRule type="duplicateValues" dxfId="6505" priority="7509"/>
    <cfRule type="duplicateValues" dxfId="6504" priority="7510"/>
    <cfRule type="duplicateValues" dxfId="6503" priority="7511"/>
    <cfRule type="duplicateValues" dxfId="6502" priority="7512"/>
    <cfRule type="duplicateValues" dxfId="6501" priority="7513"/>
    <cfRule type="duplicateValues" dxfId="6500" priority="7514"/>
    <cfRule type="duplicateValues" dxfId="6499" priority="7515"/>
    <cfRule type="duplicateValues" dxfId="6498" priority="7516"/>
  </conditionalFormatting>
  <conditionalFormatting sqref="AI9">
    <cfRule type="duplicateValues" dxfId="6497" priority="7406"/>
  </conditionalFormatting>
  <conditionalFormatting sqref="AI9">
    <cfRule type="duplicateValues" dxfId="6496" priority="7404"/>
    <cfRule type="duplicateValues" dxfId="6495" priority="7405"/>
  </conditionalFormatting>
  <conditionalFormatting sqref="AI9">
    <cfRule type="duplicateValues" dxfId="6494" priority="7410"/>
  </conditionalFormatting>
  <conditionalFormatting sqref="AI9">
    <cfRule type="duplicateValues" dxfId="6493" priority="7411"/>
    <cfRule type="duplicateValues" dxfId="6492" priority="7412"/>
  </conditionalFormatting>
  <conditionalFormatting sqref="AI9">
    <cfRule type="duplicateValues" dxfId="6491" priority="7408"/>
  </conditionalFormatting>
  <conditionalFormatting sqref="AI9">
    <cfRule type="duplicateValues" dxfId="6490" priority="7409"/>
  </conditionalFormatting>
  <conditionalFormatting sqref="AI9">
    <cfRule type="duplicateValues" dxfId="6489" priority="7407"/>
  </conditionalFormatting>
  <conditionalFormatting sqref="AI9">
    <cfRule type="duplicateValues" dxfId="6488" priority="7398"/>
    <cfRule type="duplicateValues" dxfId="6487" priority="7399"/>
    <cfRule type="duplicateValues" dxfId="6486" priority="7400"/>
    <cfRule type="duplicateValues" dxfId="6485" priority="7401"/>
    <cfRule type="duplicateValues" dxfId="6484" priority="7402"/>
    <cfRule type="duplicateValues" dxfId="6483" priority="7403"/>
  </conditionalFormatting>
  <conditionalFormatting sqref="AI9">
    <cfRule type="duplicateValues" dxfId="6482" priority="7393"/>
    <cfRule type="duplicateValues" dxfId="6481" priority="7394"/>
    <cfRule type="duplicateValues" dxfId="6480" priority="7395"/>
    <cfRule type="duplicateValues" dxfId="6479" priority="7396"/>
    <cfRule type="duplicateValues" dxfId="6478" priority="7397"/>
  </conditionalFormatting>
  <conditionalFormatting sqref="AI9">
    <cfRule type="duplicateValues" dxfId="6477" priority="7413"/>
    <cfRule type="duplicateValues" dxfId="6476" priority="7414"/>
    <cfRule type="duplicateValues" dxfId="6475" priority="7415"/>
    <cfRule type="duplicateValues" dxfId="6474" priority="7416"/>
    <cfRule type="duplicateValues" dxfId="6473" priority="7417"/>
    <cfRule type="duplicateValues" dxfId="6472" priority="7418"/>
    <cfRule type="duplicateValues" dxfId="6471" priority="7419"/>
    <cfRule type="duplicateValues" dxfId="6470" priority="7420"/>
    <cfRule type="duplicateValues" dxfId="6469" priority="7421"/>
    <cfRule type="duplicateValues" dxfId="6468" priority="7422"/>
    <cfRule type="duplicateValues" dxfId="6467" priority="7423"/>
    <cfRule type="duplicateValues" dxfId="6466" priority="7424"/>
    <cfRule type="duplicateValues" dxfId="6465" priority="7425"/>
    <cfRule type="duplicateValues" dxfId="6464" priority="7426"/>
    <cfRule type="duplicateValues" dxfId="6463" priority="7427"/>
    <cfRule type="duplicateValues" dxfId="6462" priority="7428"/>
    <cfRule type="duplicateValues" dxfId="6461" priority="7429"/>
    <cfRule type="duplicateValues" dxfId="6460" priority="7430"/>
    <cfRule type="duplicateValues" dxfId="6459" priority="7431"/>
    <cfRule type="duplicateValues" dxfId="6458" priority="7432"/>
    <cfRule type="duplicateValues" dxfId="6457" priority="7433"/>
    <cfRule type="duplicateValues" dxfId="6456" priority="7434"/>
    <cfRule type="duplicateValues" dxfId="6455" priority="7435"/>
    <cfRule type="duplicateValues" dxfId="6454" priority="7436"/>
    <cfRule type="duplicateValues" dxfId="6453" priority="7437"/>
    <cfRule type="duplicateValues" dxfId="6452" priority="7438"/>
    <cfRule type="duplicateValues" dxfId="6451" priority="7439"/>
    <cfRule type="duplicateValues" dxfId="6450" priority="7440"/>
  </conditionalFormatting>
  <conditionalFormatting sqref="AI12">
    <cfRule type="duplicateValues" dxfId="6449" priority="7358"/>
  </conditionalFormatting>
  <conditionalFormatting sqref="AI12">
    <cfRule type="duplicateValues" dxfId="6448" priority="7356"/>
    <cfRule type="duplicateValues" dxfId="6447" priority="7357"/>
  </conditionalFormatting>
  <conditionalFormatting sqref="AI12">
    <cfRule type="duplicateValues" dxfId="6446" priority="7362"/>
  </conditionalFormatting>
  <conditionalFormatting sqref="AI12">
    <cfRule type="duplicateValues" dxfId="6445" priority="7363"/>
    <cfRule type="duplicateValues" dxfId="6444" priority="7364"/>
  </conditionalFormatting>
  <conditionalFormatting sqref="AI12">
    <cfRule type="duplicateValues" dxfId="6443" priority="7360"/>
  </conditionalFormatting>
  <conditionalFormatting sqref="AI12">
    <cfRule type="duplicateValues" dxfId="6442" priority="7361"/>
  </conditionalFormatting>
  <conditionalFormatting sqref="AI12">
    <cfRule type="duplicateValues" dxfId="6441" priority="7359"/>
  </conditionalFormatting>
  <conditionalFormatting sqref="AI12">
    <cfRule type="duplicateValues" dxfId="6440" priority="7350"/>
    <cfRule type="duplicateValues" dxfId="6439" priority="7351"/>
    <cfRule type="duplicateValues" dxfId="6438" priority="7352"/>
    <cfRule type="duplicateValues" dxfId="6437" priority="7353"/>
    <cfRule type="duplicateValues" dxfId="6436" priority="7354"/>
    <cfRule type="duplicateValues" dxfId="6435" priority="7355"/>
  </conditionalFormatting>
  <conditionalFormatting sqref="AI12">
    <cfRule type="duplicateValues" dxfId="6434" priority="7345"/>
    <cfRule type="duplicateValues" dxfId="6433" priority="7346"/>
    <cfRule type="duplicateValues" dxfId="6432" priority="7347"/>
    <cfRule type="duplicateValues" dxfId="6431" priority="7348"/>
    <cfRule type="duplicateValues" dxfId="6430" priority="7349"/>
  </conditionalFormatting>
  <conditionalFormatting sqref="AI12">
    <cfRule type="duplicateValues" dxfId="6429" priority="7365"/>
    <cfRule type="duplicateValues" dxfId="6428" priority="7366"/>
    <cfRule type="duplicateValues" dxfId="6427" priority="7367"/>
    <cfRule type="duplicateValues" dxfId="6426" priority="7368"/>
    <cfRule type="duplicateValues" dxfId="6425" priority="7369"/>
    <cfRule type="duplicateValues" dxfId="6424" priority="7370"/>
    <cfRule type="duplicateValues" dxfId="6423" priority="7371"/>
    <cfRule type="duplicateValues" dxfId="6422" priority="7372"/>
    <cfRule type="duplicateValues" dxfId="6421" priority="7373"/>
    <cfRule type="duplicateValues" dxfId="6420" priority="7374"/>
    <cfRule type="duplicateValues" dxfId="6419" priority="7375"/>
    <cfRule type="duplicateValues" dxfId="6418" priority="7376"/>
    <cfRule type="duplicateValues" dxfId="6417" priority="7377"/>
    <cfRule type="duplicateValues" dxfId="6416" priority="7378"/>
    <cfRule type="duplicateValues" dxfId="6415" priority="7379"/>
    <cfRule type="duplicateValues" dxfId="6414" priority="7380"/>
    <cfRule type="duplicateValues" dxfId="6413" priority="7381"/>
    <cfRule type="duplicateValues" dxfId="6412" priority="7382"/>
    <cfRule type="duplicateValues" dxfId="6411" priority="7383"/>
    <cfRule type="duplicateValues" dxfId="6410" priority="7384"/>
    <cfRule type="duplicateValues" dxfId="6409" priority="7385"/>
    <cfRule type="duplicateValues" dxfId="6408" priority="7386"/>
    <cfRule type="duplicateValues" dxfId="6407" priority="7387"/>
    <cfRule type="duplicateValues" dxfId="6406" priority="7388"/>
    <cfRule type="duplicateValues" dxfId="6405" priority="7389"/>
    <cfRule type="duplicateValues" dxfId="6404" priority="7390"/>
    <cfRule type="duplicateValues" dxfId="6403" priority="7391"/>
    <cfRule type="duplicateValues" dxfId="6402" priority="7392"/>
  </conditionalFormatting>
  <conditionalFormatting sqref="AI16">
    <cfRule type="duplicateValues" dxfId="6401" priority="7310"/>
  </conditionalFormatting>
  <conditionalFormatting sqref="AI16">
    <cfRule type="duplicateValues" dxfId="6400" priority="7308"/>
    <cfRule type="duplicateValues" dxfId="6399" priority="7309"/>
  </conditionalFormatting>
  <conditionalFormatting sqref="AI16">
    <cfRule type="duplicateValues" dxfId="6398" priority="7314"/>
  </conditionalFormatting>
  <conditionalFormatting sqref="AI16">
    <cfRule type="duplicateValues" dxfId="6397" priority="7315"/>
    <cfRule type="duplicateValues" dxfId="6396" priority="7316"/>
  </conditionalFormatting>
  <conditionalFormatting sqref="AI16">
    <cfRule type="duplicateValues" dxfId="6395" priority="7312"/>
  </conditionalFormatting>
  <conditionalFormatting sqref="AI16">
    <cfRule type="duplicateValues" dxfId="6394" priority="7313"/>
  </conditionalFormatting>
  <conditionalFormatting sqref="AI16">
    <cfRule type="duplicateValues" dxfId="6393" priority="7311"/>
  </conditionalFormatting>
  <conditionalFormatting sqref="AI16">
    <cfRule type="duplicateValues" dxfId="6392" priority="7302"/>
    <cfRule type="duplicateValues" dxfId="6391" priority="7303"/>
    <cfRule type="duplicateValues" dxfId="6390" priority="7304"/>
    <cfRule type="duplicateValues" dxfId="6389" priority="7305"/>
    <cfRule type="duplicateValues" dxfId="6388" priority="7306"/>
    <cfRule type="duplicateValues" dxfId="6387" priority="7307"/>
  </conditionalFormatting>
  <conditionalFormatting sqref="AI16">
    <cfRule type="duplicateValues" dxfId="6386" priority="7297"/>
    <cfRule type="duplicateValues" dxfId="6385" priority="7298"/>
    <cfRule type="duplicateValues" dxfId="6384" priority="7299"/>
    <cfRule type="duplicateValues" dxfId="6383" priority="7300"/>
    <cfRule type="duplicateValues" dxfId="6382" priority="7301"/>
  </conditionalFormatting>
  <conditionalFormatting sqref="AI16">
    <cfRule type="duplicateValues" dxfId="6381" priority="7317"/>
    <cfRule type="duplicateValues" dxfId="6380" priority="7318"/>
    <cfRule type="duplicateValues" dxfId="6379" priority="7319"/>
    <cfRule type="duplicateValues" dxfId="6378" priority="7320"/>
    <cfRule type="duplicateValues" dxfId="6377" priority="7321"/>
    <cfRule type="duplicateValues" dxfId="6376" priority="7322"/>
    <cfRule type="duplicateValues" dxfId="6375" priority="7323"/>
    <cfRule type="duplicateValues" dxfId="6374" priority="7324"/>
    <cfRule type="duplicateValues" dxfId="6373" priority="7325"/>
    <cfRule type="duplicateValues" dxfId="6372" priority="7326"/>
    <cfRule type="duplicateValues" dxfId="6371" priority="7327"/>
    <cfRule type="duplicateValues" dxfId="6370" priority="7328"/>
    <cfRule type="duplicateValues" dxfId="6369" priority="7329"/>
    <cfRule type="duplicateValues" dxfId="6368" priority="7330"/>
    <cfRule type="duplicateValues" dxfId="6367" priority="7331"/>
    <cfRule type="duplicateValues" dxfId="6366" priority="7332"/>
    <cfRule type="duplicateValues" dxfId="6365" priority="7333"/>
    <cfRule type="duplicateValues" dxfId="6364" priority="7334"/>
    <cfRule type="duplicateValues" dxfId="6363" priority="7335"/>
    <cfRule type="duplicateValues" dxfId="6362" priority="7336"/>
    <cfRule type="duplicateValues" dxfId="6361" priority="7337"/>
    <cfRule type="duplicateValues" dxfId="6360" priority="7338"/>
    <cfRule type="duplicateValues" dxfId="6359" priority="7339"/>
    <cfRule type="duplicateValues" dxfId="6358" priority="7340"/>
    <cfRule type="duplicateValues" dxfId="6357" priority="7341"/>
    <cfRule type="duplicateValues" dxfId="6356" priority="7342"/>
    <cfRule type="duplicateValues" dxfId="6355" priority="7343"/>
    <cfRule type="duplicateValues" dxfId="6354" priority="7344"/>
  </conditionalFormatting>
  <conditionalFormatting sqref="AI17">
    <cfRule type="duplicateValues" dxfId="6353" priority="7231"/>
  </conditionalFormatting>
  <conditionalFormatting sqref="AI17">
    <cfRule type="duplicateValues" dxfId="6352" priority="7221"/>
    <cfRule type="duplicateValues" dxfId="6351" priority="7222"/>
    <cfRule type="duplicateValues" dxfId="6350" priority="7223"/>
    <cfRule type="duplicateValues" dxfId="6349" priority="7224"/>
  </conditionalFormatting>
  <conditionalFormatting sqref="AI17">
    <cfRule type="duplicateValues" dxfId="6348" priority="7226"/>
    <cfRule type="duplicateValues" dxfId="6347" priority="7227"/>
    <cfRule type="duplicateValues" dxfId="6346" priority="7228"/>
    <cfRule type="duplicateValues" dxfId="6345" priority="7229"/>
    <cfRule type="duplicateValues" dxfId="6344" priority="7230"/>
  </conditionalFormatting>
  <conditionalFormatting sqref="AI17">
    <cfRule type="duplicateValues" dxfId="6343" priority="7225"/>
  </conditionalFormatting>
  <conditionalFormatting sqref="AI17">
    <cfRule type="duplicateValues" dxfId="6342" priority="7232"/>
    <cfRule type="duplicateValues" dxfId="6341" priority="7233"/>
    <cfRule type="duplicateValues" dxfId="6340" priority="7234"/>
    <cfRule type="duplicateValues" dxfId="6339" priority="7235"/>
    <cfRule type="duplicateValues" dxfId="6338" priority="7236"/>
    <cfRule type="duplicateValues" dxfId="6337" priority="7237"/>
    <cfRule type="duplicateValues" dxfId="6336" priority="7238"/>
    <cfRule type="duplicateValues" dxfId="6335" priority="7239"/>
    <cfRule type="duplicateValues" dxfId="6334" priority="7240"/>
    <cfRule type="duplicateValues" dxfId="6333" priority="7241"/>
    <cfRule type="duplicateValues" dxfId="6332" priority="7242"/>
    <cfRule type="duplicateValues" dxfId="6331" priority="7243"/>
    <cfRule type="duplicateValues" dxfId="6330" priority="7244"/>
    <cfRule type="duplicateValues" dxfId="6329" priority="7245"/>
    <cfRule type="duplicateValues" dxfId="6328" priority="7246"/>
    <cfRule type="duplicateValues" dxfId="6327" priority="7247"/>
    <cfRule type="duplicateValues" dxfId="6326" priority="7248"/>
    <cfRule type="duplicateValues" dxfId="6325" priority="7249"/>
    <cfRule type="duplicateValues" dxfId="6324" priority="7250"/>
    <cfRule type="duplicateValues" dxfId="6323" priority="7251"/>
    <cfRule type="duplicateValues" dxfId="6322" priority="7252"/>
    <cfRule type="duplicateValues" dxfId="6321" priority="7253"/>
    <cfRule type="duplicateValues" dxfId="6320" priority="7254"/>
    <cfRule type="duplicateValues" dxfId="6319" priority="7255"/>
    <cfRule type="duplicateValues" dxfId="6318" priority="7256"/>
    <cfRule type="duplicateValues" dxfId="6317" priority="7257"/>
    <cfRule type="duplicateValues" dxfId="6316" priority="7258"/>
    <cfRule type="duplicateValues" dxfId="6315" priority="7259"/>
    <cfRule type="duplicateValues" dxfId="6314" priority="7260"/>
    <cfRule type="duplicateValues" dxfId="6313" priority="7261"/>
    <cfRule type="duplicateValues" dxfId="6312" priority="7262"/>
    <cfRule type="duplicateValues" dxfId="6311" priority="7263"/>
    <cfRule type="duplicateValues" dxfId="6310" priority="7264"/>
    <cfRule type="duplicateValues" dxfId="6309" priority="7265"/>
    <cfRule type="duplicateValues" dxfId="6308" priority="7266"/>
    <cfRule type="duplicateValues" dxfId="6307" priority="7267"/>
    <cfRule type="duplicateValues" dxfId="6306" priority="7268"/>
    <cfRule type="duplicateValues" dxfId="6305" priority="7269"/>
    <cfRule type="duplicateValues" dxfId="6304" priority="7270"/>
    <cfRule type="duplicateValues" dxfId="6303" priority="7271"/>
    <cfRule type="duplicateValues" dxfId="6302" priority="7272"/>
    <cfRule type="duplicateValues" dxfId="6301" priority="7273"/>
    <cfRule type="duplicateValues" dxfId="6300" priority="7274"/>
    <cfRule type="duplicateValues" dxfId="6299" priority="7275"/>
    <cfRule type="duplicateValues" dxfId="6298" priority="7276"/>
    <cfRule type="duplicateValues" dxfId="6297" priority="7277"/>
    <cfRule type="duplicateValues" dxfId="6296" priority="7278"/>
    <cfRule type="duplicateValues" dxfId="6295" priority="7279"/>
    <cfRule type="duplicateValues" dxfId="6294" priority="7280"/>
    <cfRule type="duplicateValues" dxfId="6293" priority="7281"/>
    <cfRule type="duplicateValues" dxfId="6292" priority="7282"/>
    <cfRule type="duplicateValues" dxfId="6291" priority="7283"/>
    <cfRule type="duplicateValues" dxfId="6290" priority="7284"/>
    <cfRule type="duplicateValues" dxfId="6289" priority="7285"/>
    <cfRule type="duplicateValues" dxfId="6288" priority="7286"/>
    <cfRule type="duplicateValues" dxfId="6287" priority="7287"/>
    <cfRule type="duplicateValues" dxfId="6286" priority="7288"/>
    <cfRule type="duplicateValues" dxfId="6285" priority="7289"/>
    <cfRule type="duplicateValues" dxfId="6284" priority="7290"/>
    <cfRule type="duplicateValues" dxfId="6283" priority="7291"/>
    <cfRule type="duplicateValues" dxfId="6282" priority="7292"/>
    <cfRule type="duplicateValues" dxfId="6281" priority="7293"/>
    <cfRule type="duplicateValues" dxfId="6280" priority="7294"/>
    <cfRule type="duplicateValues" dxfId="6279" priority="7295"/>
    <cfRule type="duplicateValues" dxfId="6278" priority="7296"/>
  </conditionalFormatting>
  <conditionalFormatting sqref="AI21">
    <cfRule type="duplicateValues" dxfId="6277" priority="7186"/>
  </conditionalFormatting>
  <conditionalFormatting sqref="AI21">
    <cfRule type="duplicateValues" dxfId="6276" priority="7184"/>
    <cfRule type="duplicateValues" dxfId="6275" priority="7185"/>
  </conditionalFormatting>
  <conditionalFormatting sqref="AI21">
    <cfRule type="duplicateValues" dxfId="6274" priority="7190"/>
  </conditionalFormatting>
  <conditionalFormatting sqref="AI21">
    <cfRule type="duplicateValues" dxfId="6273" priority="7191"/>
    <cfRule type="duplicateValues" dxfId="6272" priority="7192"/>
  </conditionalFormatting>
  <conditionalFormatting sqref="AI21">
    <cfRule type="duplicateValues" dxfId="6271" priority="7188"/>
  </conditionalFormatting>
  <conditionalFormatting sqref="AI21">
    <cfRule type="duplicateValues" dxfId="6270" priority="7189"/>
  </conditionalFormatting>
  <conditionalFormatting sqref="AI21">
    <cfRule type="duplicateValues" dxfId="6269" priority="7187"/>
  </conditionalFormatting>
  <conditionalFormatting sqref="AI21">
    <cfRule type="duplicateValues" dxfId="6268" priority="7178"/>
    <cfRule type="duplicateValues" dxfId="6267" priority="7179"/>
    <cfRule type="duplicateValues" dxfId="6266" priority="7180"/>
    <cfRule type="duplicateValues" dxfId="6265" priority="7181"/>
    <cfRule type="duplicateValues" dxfId="6264" priority="7182"/>
    <cfRule type="duplicateValues" dxfId="6263" priority="7183"/>
  </conditionalFormatting>
  <conditionalFormatting sqref="AI21">
    <cfRule type="duplicateValues" dxfId="6262" priority="7173"/>
    <cfRule type="duplicateValues" dxfId="6261" priority="7174"/>
    <cfRule type="duplicateValues" dxfId="6260" priority="7175"/>
    <cfRule type="duplicateValues" dxfId="6259" priority="7176"/>
    <cfRule type="duplicateValues" dxfId="6258" priority="7177"/>
  </conditionalFormatting>
  <conditionalFormatting sqref="AI21">
    <cfRule type="duplicateValues" dxfId="6257" priority="7193"/>
    <cfRule type="duplicateValues" dxfId="6256" priority="7194"/>
    <cfRule type="duplicateValues" dxfId="6255" priority="7195"/>
    <cfRule type="duplicateValues" dxfId="6254" priority="7196"/>
    <cfRule type="duplicateValues" dxfId="6253" priority="7197"/>
    <cfRule type="duplicateValues" dxfId="6252" priority="7198"/>
    <cfRule type="duplicateValues" dxfId="6251" priority="7199"/>
    <cfRule type="duplicateValues" dxfId="6250" priority="7200"/>
    <cfRule type="duplicateValues" dxfId="6249" priority="7201"/>
    <cfRule type="duplicateValues" dxfId="6248" priority="7202"/>
    <cfRule type="duplicateValues" dxfId="6247" priority="7203"/>
    <cfRule type="duplicateValues" dxfId="6246" priority="7204"/>
    <cfRule type="duplicateValues" dxfId="6245" priority="7205"/>
    <cfRule type="duplicateValues" dxfId="6244" priority="7206"/>
    <cfRule type="duplicateValues" dxfId="6243" priority="7207"/>
    <cfRule type="duplicateValues" dxfId="6242" priority="7208"/>
    <cfRule type="duplicateValues" dxfId="6241" priority="7209"/>
    <cfRule type="duplicateValues" dxfId="6240" priority="7210"/>
    <cfRule type="duplicateValues" dxfId="6239" priority="7211"/>
    <cfRule type="duplicateValues" dxfId="6238" priority="7212"/>
    <cfRule type="duplicateValues" dxfId="6237" priority="7213"/>
    <cfRule type="duplicateValues" dxfId="6236" priority="7214"/>
    <cfRule type="duplicateValues" dxfId="6235" priority="7215"/>
    <cfRule type="duplicateValues" dxfId="6234" priority="7216"/>
    <cfRule type="duplicateValues" dxfId="6233" priority="7217"/>
    <cfRule type="duplicateValues" dxfId="6232" priority="7218"/>
    <cfRule type="duplicateValues" dxfId="6231" priority="7219"/>
    <cfRule type="duplicateValues" dxfId="6230" priority="7220"/>
  </conditionalFormatting>
  <conditionalFormatting sqref="AI22">
    <cfRule type="duplicateValues" dxfId="6229" priority="7138"/>
  </conditionalFormatting>
  <conditionalFormatting sqref="AI22">
    <cfRule type="duplicateValues" dxfId="6228" priority="7136"/>
    <cfRule type="duplicateValues" dxfId="6227" priority="7137"/>
  </conditionalFormatting>
  <conditionalFormatting sqref="AI22">
    <cfRule type="duplicateValues" dxfId="6226" priority="7142"/>
  </conditionalFormatting>
  <conditionalFormatting sqref="AI22">
    <cfRule type="duplicateValues" dxfId="6225" priority="7143"/>
    <cfRule type="duplicateValues" dxfId="6224" priority="7144"/>
  </conditionalFormatting>
  <conditionalFormatting sqref="AI22">
    <cfRule type="duplicateValues" dxfId="6223" priority="7140"/>
  </conditionalFormatting>
  <conditionalFormatting sqref="AI22">
    <cfRule type="duplicateValues" dxfId="6222" priority="7141"/>
  </conditionalFormatting>
  <conditionalFormatting sqref="AI22">
    <cfRule type="duplicateValues" dxfId="6221" priority="7139"/>
  </conditionalFormatting>
  <conditionalFormatting sqref="AI22">
    <cfRule type="duplicateValues" dxfId="6220" priority="7130"/>
    <cfRule type="duplicateValues" dxfId="6219" priority="7131"/>
    <cfRule type="duplicateValues" dxfId="6218" priority="7132"/>
    <cfRule type="duplicateValues" dxfId="6217" priority="7133"/>
    <cfRule type="duplicateValues" dxfId="6216" priority="7134"/>
    <cfRule type="duplicateValues" dxfId="6215" priority="7135"/>
  </conditionalFormatting>
  <conditionalFormatting sqref="AI22">
    <cfRule type="duplicateValues" dxfId="6214" priority="7125"/>
    <cfRule type="duplicateValues" dxfId="6213" priority="7126"/>
    <cfRule type="duplicateValues" dxfId="6212" priority="7127"/>
    <cfRule type="duplicateValues" dxfId="6211" priority="7128"/>
    <cfRule type="duplicateValues" dxfId="6210" priority="7129"/>
  </conditionalFormatting>
  <conditionalFormatting sqref="AI22">
    <cfRule type="duplicateValues" dxfId="6209" priority="7145"/>
    <cfRule type="duplicateValues" dxfId="6208" priority="7146"/>
    <cfRule type="duplicateValues" dxfId="6207" priority="7147"/>
    <cfRule type="duplicateValues" dxfId="6206" priority="7148"/>
    <cfRule type="duplicateValues" dxfId="6205" priority="7149"/>
    <cfRule type="duplicateValues" dxfId="6204" priority="7150"/>
    <cfRule type="duplicateValues" dxfId="6203" priority="7151"/>
    <cfRule type="duplicateValues" dxfId="6202" priority="7152"/>
    <cfRule type="duplicateValues" dxfId="6201" priority="7153"/>
    <cfRule type="duplicateValues" dxfId="6200" priority="7154"/>
    <cfRule type="duplicateValues" dxfId="6199" priority="7155"/>
    <cfRule type="duplicateValues" dxfId="6198" priority="7156"/>
    <cfRule type="duplicateValues" dxfId="6197" priority="7157"/>
    <cfRule type="duplicateValues" dxfId="6196" priority="7158"/>
    <cfRule type="duplicateValues" dxfId="6195" priority="7159"/>
    <cfRule type="duplicateValues" dxfId="6194" priority="7160"/>
    <cfRule type="duplicateValues" dxfId="6193" priority="7161"/>
    <cfRule type="duplicateValues" dxfId="6192" priority="7162"/>
    <cfRule type="duplicateValues" dxfId="6191" priority="7163"/>
    <cfRule type="duplicateValues" dxfId="6190" priority="7164"/>
    <cfRule type="duplicateValues" dxfId="6189" priority="7165"/>
    <cfRule type="duplicateValues" dxfId="6188" priority="7166"/>
    <cfRule type="duplicateValues" dxfId="6187" priority="7167"/>
    <cfRule type="duplicateValues" dxfId="6186" priority="7168"/>
    <cfRule type="duplicateValues" dxfId="6185" priority="7169"/>
    <cfRule type="duplicateValues" dxfId="6184" priority="7170"/>
    <cfRule type="duplicateValues" dxfId="6183" priority="7171"/>
    <cfRule type="duplicateValues" dxfId="6182" priority="7172"/>
  </conditionalFormatting>
  <conditionalFormatting sqref="AI7:AI8">
    <cfRule type="duplicateValues" dxfId="6181" priority="7080"/>
  </conditionalFormatting>
  <conditionalFormatting sqref="AI7:AI8">
    <cfRule type="duplicateValues" dxfId="6180" priority="7081"/>
    <cfRule type="duplicateValues" dxfId="6179" priority="7082"/>
  </conditionalFormatting>
  <conditionalFormatting sqref="AI7:AI8">
    <cfRule type="duplicateValues" dxfId="6178" priority="7083"/>
    <cfRule type="duplicateValues" dxfId="6177" priority="7084"/>
    <cfRule type="duplicateValues" dxfId="6176" priority="7085"/>
    <cfRule type="duplicateValues" dxfId="6175" priority="7086"/>
    <cfRule type="duplicateValues" dxfId="6174" priority="7087"/>
    <cfRule type="duplicateValues" dxfId="6173" priority="7088"/>
  </conditionalFormatting>
  <conditionalFormatting sqref="AI7:AI8">
    <cfRule type="duplicateValues" dxfId="6172" priority="7089"/>
    <cfRule type="duplicateValues" dxfId="6171" priority="7090"/>
    <cfRule type="duplicateValues" dxfId="6170" priority="7091"/>
    <cfRule type="duplicateValues" dxfId="6169" priority="7092"/>
    <cfRule type="duplicateValues" dxfId="6168" priority="7093"/>
  </conditionalFormatting>
  <conditionalFormatting sqref="AI7:AI8">
    <cfRule type="duplicateValues" dxfId="6167" priority="7094"/>
    <cfRule type="duplicateValues" dxfId="6166" priority="7095"/>
    <cfRule type="duplicateValues" dxfId="6165" priority="7096"/>
    <cfRule type="duplicateValues" dxfId="6164" priority="7097"/>
    <cfRule type="duplicateValues" dxfId="6163" priority="7098"/>
    <cfRule type="duplicateValues" dxfId="6162" priority="7099"/>
    <cfRule type="duplicateValues" dxfId="6161" priority="7100"/>
    <cfRule type="duplicateValues" dxfId="6160" priority="7101"/>
    <cfRule type="duplicateValues" dxfId="6159" priority="7102"/>
    <cfRule type="duplicateValues" dxfId="6158" priority="7103"/>
    <cfRule type="duplicateValues" dxfId="6157" priority="7104"/>
    <cfRule type="duplicateValues" dxfId="6156" priority="7105"/>
    <cfRule type="duplicateValues" dxfId="6155" priority="7106"/>
    <cfRule type="duplicateValues" dxfId="6154" priority="7107"/>
    <cfRule type="duplicateValues" dxfId="6153" priority="7108"/>
    <cfRule type="duplicateValues" dxfId="6152" priority="7109"/>
    <cfRule type="duplicateValues" dxfId="6151" priority="7110"/>
    <cfRule type="duplicateValues" dxfId="6150" priority="7111"/>
    <cfRule type="duplicateValues" dxfId="6149" priority="7112"/>
    <cfRule type="duplicateValues" dxfId="6148" priority="7113"/>
    <cfRule type="duplicateValues" dxfId="6147" priority="7114"/>
    <cfRule type="duplicateValues" dxfId="6146" priority="7115"/>
    <cfRule type="duplicateValues" dxfId="6145" priority="7116"/>
    <cfRule type="duplicateValues" dxfId="6144" priority="7117"/>
    <cfRule type="duplicateValues" dxfId="6143" priority="7118"/>
    <cfRule type="duplicateValues" dxfId="6142" priority="7119"/>
    <cfRule type="duplicateValues" dxfId="6141" priority="7120"/>
    <cfRule type="duplicateValues" dxfId="6140" priority="7121"/>
  </conditionalFormatting>
  <conditionalFormatting sqref="AI7:AI8">
    <cfRule type="duplicateValues" dxfId="6139" priority="7122"/>
  </conditionalFormatting>
  <conditionalFormatting sqref="AI7:AI8">
    <cfRule type="duplicateValues" dxfId="6138" priority="7123"/>
  </conditionalFormatting>
  <conditionalFormatting sqref="AI7:AI8">
    <cfRule type="duplicateValues" dxfId="6137" priority="7124"/>
  </conditionalFormatting>
  <conditionalFormatting sqref="AI7">
    <cfRule type="duplicateValues" dxfId="6136" priority="7045"/>
  </conditionalFormatting>
  <conditionalFormatting sqref="AI7">
    <cfRule type="duplicateValues" dxfId="6135" priority="7043"/>
    <cfRule type="duplicateValues" dxfId="6134" priority="7044"/>
  </conditionalFormatting>
  <conditionalFormatting sqref="AI7">
    <cfRule type="duplicateValues" dxfId="6133" priority="7049"/>
  </conditionalFormatting>
  <conditionalFormatting sqref="AI7">
    <cfRule type="duplicateValues" dxfId="6132" priority="7050"/>
    <cfRule type="duplicateValues" dxfId="6131" priority="7051"/>
  </conditionalFormatting>
  <conditionalFormatting sqref="AI7">
    <cfRule type="duplicateValues" dxfId="6130" priority="7047"/>
  </conditionalFormatting>
  <conditionalFormatting sqref="AI7">
    <cfRule type="duplicateValues" dxfId="6129" priority="7048"/>
  </conditionalFormatting>
  <conditionalFormatting sqref="AI7">
    <cfRule type="duplicateValues" dxfId="6128" priority="7046"/>
  </conditionalFormatting>
  <conditionalFormatting sqref="AI7">
    <cfRule type="duplicateValues" dxfId="6127" priority="7037"/>
    <cfRule type="duplicateValues" dxfId="6126" priority="7038"/>
    <cfRule type="duplicateValues" dxfId="6125" priority="7039"/>
    <cfRule type="duplicateValues" dxfId="6124" priority="7040"/>
    <cfRule type="duplicateValues" dxfId="6123" priority="7041"/>
    <cfRule type="duplicateValues" dxfId="6122" priority="7042"/>
  </conditionalFormatting>
  <conditionalFormatting sqref="AI7">
    <cfRule type="duplicateValues" dxfId="6121" priority="7032"/>
    <cfRule type="duplicateValues" dxfId="6120" priority="7033"/>
    <cfRule type="duplicateValues" dxfId="6119" priority="7034"/>
    <cfRule type="duplicateValues" dxfId="6118" priority="7035"/>
    <cfRule type="duplicateValues" dxfId="6117" priority="7036"/>
  </conditionalFormatting>
  <conditionalFormatting sqref="AI7">
    <cfRule type="duplicateValues" dxfId="6116" priority="7052"/>
    <cfRule type="duplicateValues" dxfId="6115" priority="7053"/>
    <cfRule type="duplicateValues" dxfId="6114" priority="7054"/>
    <cfRule type="duplicateValues" dxfId="6113" priority="7055"/>
    <cfRule type="duplicateValues" dxfId="6112" priority="7056"/>
    <cfRule type="duplicateValues" dxfId="6111" priority="7057"/>
    <cfRule type="duplicateValues" dxfId="6110" priority="7058"/>
    <cfRule type="duplicateValues" dxfId="6109" priority="7059"/>
    <cfRule type="duplicateValues" dxfId="6108" priority="7060"/>
    <cfRule type="duplicateValues" dxfId="6107" priority="7061"/>
    <cfRule type="duplicateValues" dxfId="6106" priority="7062"/>
    <cfRule type="duplicateValues" dxfId="6105" priority="7063"/>
    <cfRule type="duplicateValues" dxfId="6104" priority="7064"/>
    <cfRule type="duplicateValues" dxfId="6103" priority="7065"/>
    <cfRule type="duplicateValues" dxfId="6102" priority="7066"/>
    <cfRule type="duplicateValues" dxfId="6101" priority="7067"/>
    <cfRule type="duplicateValues" dxfId="6100" priority="7068"/>
    <cfRule type="duplicateValues" dxfId="6099" priority="7069"/>
    <cfRule type="duplicateValues" dxfId="6098" priority="7070"/>
    <cfRule type="duplicateValues" dxfId="6097" priority="7071"/>
    <cfRule type="duplicateValues" dxfId="6096" priority="7072"/>
    <cfRule type="duplicateValues" dxfId="6095" priority="7073"/>
    <cfRule type="duplicateValues" dxfId="6094" priority="7074"/>
    <cfRule type="duplicateValues" dxfId="6093" priority="7075"/>
    <cfRule type="duplicateValues" dxfId="6092" priority="7076"/>
    <cfRule type="duplicateValues" dxfId="6091" priority="7077"/>
    <cfRule type="duplicateValues" dxfId="6090" priority="7078"/>
    <cfRule type="duplicateValues" dxfId="6089" priority="7079"/>
  </conditionalFormatting>
  <conditionalFormatting sqref="AI8">
    <cfRule type="duplicateValues" dxfId="6088" priority="6997"/>
  </conditionalFormatting>
  <conditionalFormatting sqref="AI8">
    <cfRule type="duplicateValues" dxfId="6087" priority="6995"/>
    <cfRule type="duplicateValues" dxfId="6086" priority="6996"/>
  </conditionalFormatting>
  <conditionalFormatting sqref="AI8">
    <cfRule type="duplicateValues" dxfId="6085" priority="7001"/>
  </conditionalFormatting>
  <conditionalFormatting sqref="AI8">
    <cfRule type="duplicateValues" dxfId="6084" priority="7002"/>
    <cfRule type="duplicateValues" dxfId="6083" priority="7003"/>
  </conditionalFormatting>
  <conditionalFormatting sqref="AI8">
    <cfRule type="duplicateValues" dxfId="6082" priority="6999"/>
  </conditionalFormatting>
  <conditionalFormatting sqref="AI8">
    <cfRule type="duplicateValues" dxfId="6081" priority="7000"/>
  </conditionalFormatting>
  <conditionalFormatting sqref="AI8">
    <cfRule type="duplicateValues" dxfId="6080" priority="6998"/>
  </conditionalFormatting>
  <conditionalFormatting sqref="AI8">
    <cfRule type="duplicateValues" dxfId="6079" priority="6989"/>
    <cfRule type="duplicateValues" dxfId="6078" priority="6990"/>
    <cfRule type="duplicateValues" dxfId="6077" priority="6991"/>
    <cfRule type="duplicateValues" dxfId="6076" priority="6992"/>
    <cfRule type="duplicateValues" dxfId="6075" priority="6993"/>
    <cfRule type="duplicateValues" dxfId="6074" priority="6994"/>
  </conditionalFormatting>
  <conditionalFormatting sqref="AI8">
    <cfRule type="duplicateValues" dxfId="6073" priority="6984"/>
    <cfRule type="duplicateValues" dxfId="6072" priority="6985"/>
    <cfRule type="duplicateValues" dxfId="6071" priority="6986"/>
    <cfRule type="duplicateValues" dxfId="6070" priority="6987"/>
    <cfRule type="duplicateValues" dxfId="6069" priority="6988"/>
  </conditionalFormatting>
  <conditionalFormatting sqref="AI8">
    <cfRule type="duplicateValues" dxfId="6068" priority="7004"/>
    <cfRule type="duplicateValues" dxfId="6067" priority="7005"/>
    <cfRule type="duplicateValues" dxfId="6066" priority="7006"/>
    <cfRule type="duplicateValues" dxfId="6065" priority="7007"/>
    <cfRule type="duplicateValues" dxfId="6064" priority="7008"/>
    <cfRule type="duplicateValues" dxfId="6063" priority="7009"/>
    <cfRule type="duplicateValues" dxfId="6062" priority="7010"/>
    <cfRule type="duplicateValues" dxfId="6061" priority="7011"/>
    <cfRule type="duplicateValues" dxfId="6060" priority="7012"/>
    <cfRule type="duplicateValues" dxfId="6059" priority="7013"/>
    <cfRule type="duplicateValues" dxfId="6058" priority="7014"/>
    <cfRule type="duplicateValues" dxfId="6057" priority="7015"/>
    <cfRule type="duplicateValues" dxfId="6056" priority="7016"/>
    <cfRule type="duplicateValues" dxfId="6055" priority="7017"/>
    <cfRule type="duplicateValues" dxfId="6054" priority="7018"/>
    <cfRule type="duplicateValues" dxfId="6053" priority="7019"/>
    <cfRule type="duplicateValues" dxfId="6052" priority="7020"/>
    <cfRule type="duplicateValues" dxfId="6051" priority="7021"/>
    <cfRule type="duplicateValues" dxfId="6050" priority="7022"/>
    <cfRule type="duplicateValues" dxfId="6049" priority="7023"/>
    <cfRule type="duplicateValues" dxfId="6048" priority="7024"/>
    <cfRule type="duplicateValues" dxfId="6047" priority="7025"/>
    <cfRule type="duplicateValues" dxfId="6046" priority="7026"/>
    <cfRule type="duplicateValues" dxfId="6045" priority="7027"/>
    <cfRule type="duplicateValues" dxfId="6044" priority="7028"/>
    <cfRule type="duplicateValues" dxfId="6043" priority="7029"/>
    <cfRule type="duplicateValues" dxfId="6042" priority="7030"/>
    <cfRule type="duplicateValues" dxfId="6041" priority="7031"/>
  </conditionalFormatting>
  <conditionalFormatting sqref="AI23:AI24">
    <cfRule type="duplicateValues" dxfId="6040" priority="6949"/>
  </conditionalFormatting>
  <conditionalFormatting sqref="AI23:AI24">
    <cfRule type="duplicateValues" dxfId="6039" priority="6947"/>
    <cfRule type="duplicateValues" dxfId="6038" priority="6948"/>
  </conditionalFormatting>
  <conditionalFormatting sqref="AI23:AI24">
    <cfRule type="duplicateValues" dxfId="6037" priority="6953"/>
  </conditionalFormatting>
  <conditionalFormatting sqref="AI23:AI24">
    <cfRule type="duplicateValues" dxfId="6036" priority="6954"/>
    <cfRule type="duplicateValues" dxfId="6035" priority="6955"/>
  </conditionalFormatting>
  <conditionalFormatting sqref="AI23:AI24">
    <cfRule type="duplicateValues" dxfId="6034" priority="6951"/>
  </conditionalFormatting>
  <conditionalFormatting sqref="AI23:AI24">
    <cfRule type="duplicateValues" dxfId="6033" priority="6952"/>
  </conditionalFormatting>
  <conditionalFormatting sqref="AI23:AI24">
    <cfRule type="duplicateValues" dxfId="6032" priority="6950"/>
  </conditionalFormatting>
  <conditionalFormatting sqref="AI23:AI24">
    <cfRule type="duplicateValues" dxfId="6031" priority="6941"/>
    <cfRule type="duplicateValues" dxfId="6030" priority="6942"/>
    <cfRule type="duplicateValues" dxfId="6029" priority="6943"/>
    <cfRule type="duplicateValues" dxfId="6028" priority="6944"/>
    <cfRule type="duplicateValues" dxfId="6027" priority="6945"/>
    <cfRule type="duplicateValues" dxfId="6026" priority="6946"/>
  </conditionalFormatting>
  <conditionalFormatting sqref="AI23:AI24">
    <cfRule type="duplicateValues" dxfId="6025" priority="6936"/>
    <cfRule type="duplicateValues" dxfId="6024" priority="6937"/>
    <cfRule type="duplicateValues" dxfId="6023" priority="6938"/>
    <cfRule type="duplicateValues" dxfId="6022" priority="6939"/>
    <cfRule type="duplicateValues" dxfId="6021" priority="6940"/>
  </conditionalFormatting>
  <conditionalFormatting sqref="AI23:AI24">
    <cfRule type="duplicateValues" dxfId="6020" priority="6956"/>
    <cfRule type="duplicateValues" dxfId="6019" priority="6957"/>
    <cfRule type="duplicateValues" dxfId="6018" priority="6958"/>
    <cfRule type="duplicateValues" dxfId="6017" priority="6959"/>
    <cfRule type="duplicateValues" dxfId="6016" priority="6960"/>
    <cfRule type="duplicateValues" dxfId="6015" priority="6961"/>
    <cfRule type="duplicateValues" dxfId="6014" priority="6962"/>
    <cfRule type="duplicateValues" dxfId="6013" priority="6963"/>
    <cfRule type="duplicateValues" dxfId="6012" priority="6964"/>
    <cfRule type="duplicateValues" dxfId="6011" priority="6965"/>
    <cfRule type="duplicateValues" dxfId="6010" priority="6966"/>
    <cfRule type="duplicateValues" dxfId="6009" priority="6967"/>
    <cfRule type="duplicateValues" dxfId="6008" priority="6968"/>
    <cfRule type="duplicateValues" dxfId="6007" priority="6969"/>
    <cfRule type="duplicateValues" dxfId="6006" priority="6970"/>
    <cfRule type="duplicateValues" dxfId="6005" priority="6971"/>
    <cfRule type="duplicateValues" dxfId="6004" priority="6972"/>
    <cfRule type="duplicateValues" dxfId="6003" priority="6973"/>
    <cfRule type="duplicateValues" dxfId="6002" priority="6974"/>
    <cfRule type="duplicateValues" dxfId="6001" priority="6975"/>
    <cfRule type="duplicateValues" dxfId="6000" priority="6976"/>
    <cfRule type="duplicateValues" dxfId="5999" priority="6977"/>
    <cfRule type="duplicateValues" dxfId="5998" priority="6978"/>
    <cfRule type="duplicateValues" dxfId="5997" priority="6979"/>
    <cfRule type="duplicateValues" dxfId="5996" priority="6980"/>
    <cfRule type="duplicateValues" dxfId="5995" priority="6981"/>
    <cfRule type="duplicateValues" dxfId="5994" priority="6982"/>
    <cfRule type="duplicateValues" dxfId="5993" priority="6983"/>
  </conditionalFormatting>
  <conditionalFormatting sqref="AI29 AI22:AI27">
    <cfRule type="duplicateValues" dxfId="5992" priority="6901"/>
  </conditionalFormatting>
  <conditionalFormatting sqref="AI29 AI22:AI27">
    <cfRule type="duplicateValues" dxfId="5991" priority="6899"/>
    <cfRule type="duplicateValues" dxfId="5990" priority="6900"/>
  </conditionalFormatting>
  <conditionalFormatting sqref="AI29">
    <cfRule type="duplicateValues" dxfId="5989" priority="6905"/>
  </conditionalFormatting>
  <conditionalFormatting sqref="AI29">
    <cfRule type="duplicateValues" dxfId="5988" priority="6906"/>
    <cfRule type="duplicateValues" dxfId="5987" priority="6907"/>
  </conditionalFormatting>
  <conditionalFormatting sqref="AI29">
    <cfRule type="duplicateValues" dxfId="5986" priority="6903"/>
  </conditionalFormatting>
  <conditionalFormatting sqref="AI29">
    <cfRule type="duplicateValues" dxfId="5985" priority="6904"/>
  </conditionalFormatting>
  <conditionalFormatting sqref="AI29">
    <cfRule type="duplicateValues" dxfId="5984" priority="6902"/>
  </conditionalFormatting>
  <conditionalFormatting sqref="AI29 AI22:AI27">
    <cfRule type="duplicateValues" dxfId="5983" priority="6893"/>
    <cfRule type="duplicateValues" dxfId="5982" priority="6894"/>
    <cfRule type="duplicateValues" dxfId="5981" priority="6895"/>
    <cfRule type="duplicateValues" dxfId="5980" priority="6896"/>
    <cfRule type="duplicateValues" dxfId="5979" priority="6897"/>
    <cfRule type="duplicateValues" dxfId="5978" priority="6898"/>
  </conditionalFormatting>
  <conditionalFormatting sqref="AI29 AI22:AI27">
    <cfRule type="duplicateValues" dxfId="5977" priority="6888"/>
    <cfRule type="duplicateValues" dxfId="5976" priority="6889"/>
    <cfRule type="duplicateValues" dxfId="5975" priority="6890"/>
    <cfRule type="duplicateValues" dxfId="5974" priority="6891"/>
    <cfRule type="duplicateValues" dxfId="5973" priority="6892"/>
  </conditionalFormatting>
  <conditionalFormatting sqref="AI25:AI26">
    <cfRule type="duplicateValues" dxfId="5972" priority="6908"/>
    <cfRule type="duplicateValues" dxfId="5971" priority="6909"/>
    <cfRule type="duplicateValues" dxfId="5970" priority="6910"/>
    <cfRule type="duplicateValues" dxfId="5969" priority="6911"/>
    <cfRule type="duplicateValues" dxfId="5968" priority="6912"/>
    <cfRule type="duplicateValues" dxfId="5967" priority="6913"/>
    <cfRule type="duplicateValues" dxfId="5966" priority="6914"/>
    <cfRule type="duplicateValues" dxfId="5965" priority="6915"/>
    <cfRule type="duplicateValues" dxfId="5964" priority="6916"/>
    <cfRule type="duplicateValues" dxfId="5963" priority="6917"/>
    <cfRule type="duplicateValues" dxfId="5962" priority="6918"/>
    <cfRule type="duplicateValues" dxfId="5961" priority="6919"/>
    <cfRule type="duplicateValues" dxfId="5960" priority="6920"/>
    <cfRule type="duplicateValues" dxfId="5959" priority="6921"/>
    <cfRule type="duplicateValues" dxfId="5958" priority="6922"/>
    <cfRule type="duplicateValues" dxfId="5957" priority="6923"/>
    <cfRule type="duplicateValues" dxfId="5956" priority="6924"/>
    <cfRule type="duplicateValues" dxfId="5955" priority="6925"/>
    <cfRule type="duplicateValues" dxfId="5954" priority="6926"/>
    <cfRule type="duplicateValues" dxfId="5953" priority="6927"/>
    <cfRule type="duplicateValues" dxfId="5952" priority="6928"/>
    <cfRule type="duplicateValues" dxfId="5951" priority="6929"/>
    <cfRule type="duplicateValues" dxfId="5950" priority="6930"/>
    <cfRule type="duplicateValues" dxfId="5949" priority="6931"/>
    <cfRule type="duplicateValues" dxfId="5948" priority="6932"/>
    <cfRule type="duplicateValues" dxfId="5947" priority="6933"/>
    <cfRule type="duplicateValues" dxfId="5946" priority="6934"/>
    <cfRule type="duplicateValues" dxfId="5945" priority="6935"/>
  </conditionalFormatting>
  <conditionalFormatting sqref="AI29 AI27">
    <cfRule type="duplicateValues" dxfId="5944" priority="6827"/>
    <cfRule type="duplicateValues" dxfId="5943" priority="6828"/>
    <cfRule type="duplicateValues" dxfId="5942" priority="6829"/>
    <cfRule type="duplicateValues" dxfId="5941" priority="6830"/>
  </conditionalFormatting>
  <conditionalFormatting sqref="AI29 AI27">
    <cfRule type="duplicateValues" dxfId="5940" priority="6832"/>
    <cfRule type="duplicateValues" dxfId="5939" priority="6833"/>
    <cfRule type="duplicateValues" dxfId="5938" priority="6834"/>
    <cfRule type="duplicateValues" dxfId="5937" priority="6835"/>
    <cfRule type="duplicateValues" dxfId="5936" priority="6836"/>
  </conditionalFormatting>
  <conditionalFormatting sqref="AI29 AI27">
    <cfRule type="duplicateValues" dxfId="5935" priority="6843"/>
    <cfRule type="duplicateValues" dxfId="5934" priority="6844"/>
    <cfRule type="duplicateValues" dxfId="5933" priority="6845"/>
    <cfRule type="duplicateValues" dxfId="5932" priority="6846"/>
    <cfRule type="duplicateValues" dxfId="5931" priority="6847"/>
    <cfRule type="duplicateValues" dxfId="5930" priority="6848"/>
    <cfRule type="duplicateValues" dxfId="5929" priority="6849"/>
    <cfRule type="duplicateValues" dxfId="5928" priority="6850"/>
    <cfRule type="duplicateValues" dxfId="5927" priority="6851"/>
    <cfRule type="duplicateValues" dxfId="5926" priority="6852"/>
    <cfRule type="duplicateValues" dxfId="5925" priority="6853"/>
  </conditionalFormatting>
  <conditionalFormatting sqref="AI29 AI27">
    <cfRule type="duplicateValues" dxfId="5924" priority="6837"/>
    <cfRule type="duplicateValues" dxfId="5923" priority="6838"/>
    <cfRule type="duplicateValues" dxfId="5922" priority="6839"/>
    <cfRule type="duplicateValues" dxfId="5921" priority="6840"/>
    <cfRule type="duplicateValues" dxfId="5920" priority="6841"/>
    <cfRule type="duplicateValues" dxfId="5919" priority="6842"/>
  </conditionalFormatting>
  <conditionalFormatting sqref="AI29">
    <cfRule type="duplicateValues" dxfId="5918" priority="6854"/>
    <cfRule type="duplicateValues" dxfId="5917" priority="6855"/>
    <cfRule type="duplicateValues" dxfId="5916" priority="6856"/>
    <cfRule type="duplicateValues" dxfId="5915" priority="6857"/>
    <cfRule type="duplicateValues" dxfId="5914" priority="6858"/>
    <cfRule type="duplicateValues" dxfId="5913" priority="6859"/>
  </conditionalFormatting>
  <conditionalFormatting sqref="AI29 AI27">
    <cfRule type="duplicateValues" dxfId="5912" priority="6831"/>
  </conditionalFormatting>
  <conditionalFormatting sqref="AI29 AI27">
    <cfRule type="duplicateValues" dxfId="5911" priority="6860"/>
    <cfRule type="duplicateValues" dxfId="5910" priority="6861"/>
    <cfRule type="duplicateValues" dxfId="5909" priority="6862"/>
    <cfRule type="duplicateValues" dxfId="5908" priority="6863"/>
    <cfRule type="duplicateValues" dxfId="5907" priority="6864"/>
    <cfRule type="duplicateValues" dxfId="5906" priority="6865"/>
    <cfRule type="duplicateValues" dxfId="5905" priority="6866"/>
    <cfRule type="duplicateValues" dxfId="5904" priority="6867"/>
    <cfRule type="duplicateValues" dxfId="5903" priority="6868"/>
    <cfRule type="duplicateValues" dxfId="5902" priority="6869"/>
    <cfRule type="duplicateValues" dxfId="5901" priority="6870"/>
    <cfRule type="duplicateValues" dxfId="5900" priority="6871"/>
    <cfRule type="duplicateValues" dxfId="5899" priority="6872"/>
    <cfRule type="duplicateValues" dxfId="5898" priority="6873"/>
    <cfRule type="duplicateValues" dxfId="5897" priority="6874"/>
    <cfRule type="duplicateValues" dxfId="5896" priority="6875"/>
    <cfRule type="duplicateValues" dxfId="5895" priority="6876"/>
    <cfRule type="duplicateValues" dxfId="5894" priority="6877"/>
    <cfRule type="duplicateValues" dxfId="5893" priority="6878"/>
    <cfRule type="duplicateValues" dxfId="5892" priority="6879"/>
    <cfRule type="duplicateValues" dxfId="5891" priority="6880"/>
    <cfRule type="duplicateValues" dxfId="5890" priority="6881"/>
  </conditionalFormatting>
  <conditionalFormatting sqref="AI29">
    <cfRule type="duplicateValues" dxfId="5889" priority="6882"/>
    <cfRule type="duplicateValues" dxfId="5888" priority="6883"/>
    <cfRule type="duplicateValues" dxfId="5887" priority="6884"/>
    <cfRule type="duplicateValues" dxfId="5886" priority="6885"/>
    <cfRule type="duplicateValues" dxfId="5885" priority="6886"/>
    <cfRule type="duplicateValues" dxfId="5884" priority="6887"/>
  </conditionalFormatting>
  <conditionalFormatting sqref="AI11:AI12 AI15:AI20">
    <cfRule type="duplicateValues" dxfId="5883" priority="69280"/>
  </conditionalFormatting>
  <conditionalFormatting sqref="AI11:AI12 AI15:AI20">
    <cfRule type="duplicateValues" dxfId="5882" priority="69283"/>
    <cfRule type="duplicateValues" dxfId="5881" priority="69284"/>
  </conditionalFormatting>
  <conditionalFormatting sqref="AI11:AI12 AI15:AI20">
    <cfRule type="duplicateValues" dxfId="5880" priority="69304"/>
    <cfRule type="duplicateValues" dxfId="5879" priority="69305"/>
    <cfRule type="duplicateValues" dxfId="5878" priority="69306"/>
    <cfRule type="duplicateValues" dxfId="5877" priority="69307"/>
    <cfRule type="duplicateValues" dxfId="5876" priority="69308"/>
    <cfRule type="duplicateValues" dxfId="5875" priority="69309"/>
  </conditionalFormatting>
  <conditionalFormatting sqref="AI11:AI12 AI15:AI20">
    <cfRule type="duplicateValues" dxfId="5874" priority="69322"/>
    <cfRule type="duplicateValues" dxfId="5873" priority="69323"/>
    <cfRule type="duplicateValues" dxfId="5872" priority="69324"/>
    <cfRule type="duplicateValues" dxfId="5871" priority="69325"/>
    <cfRule type="duplicateValues" dxfId="5870" priority="69326"/>
  </conditionalFormatting>
  <conditionalFormatting sqref="AI12 AI15:AI20">
    <cfRule type="duplicateValues" dxfId="5869" priority="69337"/>
    <cfRule type="duplicateValues" dxfId="5868" priority="69338"/>
    <cfRule type="duplicateValues" dxfId="5867" priority="69339"/>
    <cfRule type="duplicateValues" dxfId="5866" priority="69340"/>
    <cfRule type="duplicateValues" dxfId="5865" priority="69341"/>
    <cfRule type="duplicateValues" dxfId="5864" priority="69342"/>
    <cfRule type="duplicateValues" dxfId="5863" priority="69343"/>
    <cfRule type="duplicateValues" dxfId="5862" priority="69344"/>
    <cfRule type="duplicateValues" dxfId="5861" priority="69345"/>
    <cfRule type="duplicateValues" dxfId="5860" priority="69346"/>
    <cfRule type="duplicateValues" dxfId="5859" priority="69347"/>
    <cfRule type="duplicateValues" dxfId="5858" priority="69348"/>
    <cfRule type="duplicateValues" dxfId="5857" priority="69349"/>
    <cfRule type="duplicateValues" dxfId="5856" priority="69350"/>
    <cfRule type="duplicateValues" dxfId="5855" priority="69351"/>
    <cfRule type="duplicateValues" dxfId="5854" priority="69352"/>
    <cfRule type="duplicateValues" dxfId="5853" priority="69353"/>
    <cfRule type="duplicateValues" dxfId="5852" priority="69354"/>
    <cfRule type="duplicateValues" dxfId="5851" priority="69355"/>
    <cfRule type="duplicateValues" dxfId="5850" priority="69356"/>
    <cfRule type="duplicateValues" dxfId="5849" priority="69357"/>
    <cfRule type="duplicateValues" dxfId="5848" priority="69358"/>
    <cfRule type="duplicateValues" dxfId="5847" priority="69359"/>
    <cfRule type="duplicateValues" dxfId="5846" priority="69360"/>
    <cfRule type="duplicateValues" dxfId="5845" priority="69361"/>
    <cfRule type="duplicateValues" dxfId="5844" priority="69362"/>
    <cfRule type="duplicateValues" dxfId="5843" priority="69363"/>
    <cfRule type="duplicateValues" dxfId="5842" priority="69364"/>
  </conditionalFormatting>
  <conditionalFormatting sqref="AI13">
    <cfRule type="duplicateValues" dxfId="5841" priority="6678"/>
  </conditionalFormatting>
  <conditionalFormatting sqref="AI13">
    <cfRule type="duplicateValues" dxfId="5840" priority="6676"/>
    <cfRule type="duplicateValues" dxfId="5839" priority="6677"/>
  </conditionalFormatting>
  <conditionalFormatting sqref="AI13">
    <cfRule type="duplicateValues" dxfId="5838" priority="6715"/>
  </conditionalFormatting>
  <conditionalFormatting sqref="AI13">
    <cfRule type="duplicateValues" dxfId="5837" priority="6716"/>
    <cfRule type="duplicateValues" dxfId="5836" priority="6717"/>
  </conditionalFormatting>
  <conditionalFormatting sqref="AI13">
    <cfRule type="duplicateValues" dxfId="5835" priority="6713"/>
  </conditionalFormatting>
  <conditionalFormatting sqref="AI13">
    <cfRule type="duplicateValues" dxfId="5834" priority="6714"/>
  </conditionalFormatting>
  <conditionalFormatting sqref="AI13">
    <cfRule type="duplicateValues" dxfId="5833" priority="6712"/>
  </conditionalFormatting>
  <conditionalFormatting sqref="AI13">
    <cfRule type="duplicateValues" dxfId="5832" priority="6679"/>
    <cfRule type="duplicateValues" dxfId="5831" priority="6680"/>
    <cfRule type="duplicateValues" dxfId="5830" priority="6681"/>
    <cfRule type="duplicateValues" dxfId="5829" priority="6682"/>
  </conditionalFormatting>
  <conditionalFormatting sqref="AI13">
    <cfRule type="duplicateValues" dxfId="5828" priority="6684"/>
    <cfRule type="duplicateValues" dxfId="5827" priority="6685"/>
    <cfRule type="duplicateValues" dxfId="5826" priority="6686"/>
    <cfRule type="duplicateValues" dxfId="5825" priority="6687"/>
    <cfRule type="duplicateValues" dxfId="5824" priority="6688"/>
  </conditionalFormatting>
  <conditionalFormatting sqref="AI13">
    <cfRule type="duplicateValues" dxfId="5823" priority="6695"/>
    <cfRule type="duplicateValues" dxfId="5822" priority="6696"/>
    <cfRule type="duplicateValues" dxfId="5821" priority="6697"/>
    <cfRule type="duplicateValues" dxfId="5820" priority="6698"/>
    <cfRule type="duplicateValues" dxfId="5819" priority="6699"/>
    <cfRule type="duplicateValues" dxfId="5818" priority="6700"/>
    <cfRule type="duplicateValues" dxfId="5817" priority="6701"/>
    <cfRule type="duplicateValues" dxfId="5816" priority="6702"/>
    <cfRule type="duplicateValues" dxfId="5815" priority="6703"/>
    <cfRule type="duplicateValues" dxfId="5814" priority="6704"/>
    <cfRule type="duplicateValues" dxfId="5813" priority="6705"/>
  </conditionalFormatting>
  <conditionalFormatting sqref="AI13">
    <cfRule type="duplicateValues" dxfId="5812" priority="6689"/>
    <cfRule type="duplicateValues" dxfId="5811" priority="6690"/>
    <cfRule type="duplicateValues" dxfId="5810" priority="6691"/>
    <cfRule type="duplicateValues" dxfId="5809" priority="6692"/>
    <cfRule type="duplicateValues" dxfId="5808" priority="6693"/>
    <cfRule type="duplicateValues" dxfId="5807" priority="6694"/>
  </conditionalFormatting>
  <conditionalFormatting sqref="AI13">
    <cfRule type="duplicateValues" dxfId="5806" priority="6706"/>
    <cfRule type="duplicateValues" dxfId="5805" priority="6707"/>
    <cfRule type="duplicateValues" dxfId="5804" priority="6708"/>
    <cfRule type="duplicateValues" dxfId="5803" priority="6709"/>
    <cfRule type="duplicateValues" dxfId="5802" priority="6710"/>
    <cfRule type="duplicateValues" dxfId="5801" priority="6711"/>
  </conditionalFormatting>
  <conditionalFormatting sqref="AI13">
    <cfRule type="duplicateValues" dxfId="5800" priority="6683"/>
  </conditionalFormatting>
  <conditionalFormatting sqref="AI13">
    <cfRule type="duplicateValues" dxfId="5799" priority="6670"/>
    <cfRule type="duplicateValues" dxfId="5798" priority="6671"/>
    <cfRule type="duplicateValues" dxfId="5797" priority="6672"/>
    <cfRule type="duplicateValues" dxfId="5796" priority="6673"/>
    <cfRule type="duplicateValues" dxfId="5795" priority="6674"/>
    <cfRule type="duplicateValues" dxfId="5794" priority="6675"/>
  </conditionalFormatting>
  <conditionalFormatting sqref="AI13">
    <cfRule type="duplicateValues" dxfId="5793" priority="6665"/>
    <cfRule type="duplicateValues" dxfId="5792" priority="6666"/>
    <cfRule type="duplicateValues" dxfId="5791" priority="6667"/>
    <cfRule type="duplicateValues" dxfId="5790" priority="6668"/>
    <cfRule type="duplicateValues" dxfId="5789" priority="6669"/>
  </conditionalFormatting>
  <conditionalFormatting sqref="AI13">
    <cfRule type="duplicateValues" dxfId="5788" priority="6718"/>
    <cfRule type="duplicateValues" dxfId="5787" priority="6719"/>
    <cfRule type="duplicateValues" dxfId="5786" priority="6720"/>
    <cfRule type="duplicateValues" dxfId="5785" priority="6721"/>
    <cfRule type="duplicateValues" dxfId="5784" priority="6722"/>
    <cfRule type="duplicateValues" dxfId="5783" priority="6723"/>
    <cfRule type="duplicateValues" dxfId="5782" priority="6724"/>
    <cfRule type="duplicateValues" dxfId="5781" priority="6725"/>
    <cfRule type="duplicateValues" dxfId="5780" priority="6726"/>
    <cfRule type="duplicateValues" dxfId="5779" priority="6727"/>
    <cfRule type="duplicateValues" dxfId="5778" priority="6728"/>
    <cfRule type="duplicateValues" dxfId="5777" priority="6729"/>
    <cfRule type="duplicateValues" dxfId="5776" priority="6730"/>
    <cfRule type="duplicateValues" dxfId="5775" priority="6731"/>
    <cfRule type="duplicateValues" dxfId="5774" priority="6732"/>
    <cfRule type="duplicateValues" dxfId="5773" priority="6733"/>
    <cfRule type="duplicateValues" dxfId="5772" priority="6734"/>
    <cfRule type="duplicateValues" dxfId="5771" priority="6735"/>
    <cfRule type="duplicateValues" dxfId="5770" priority="6736"/>
    <cfRule type="duplicateValues" dxfId="5769" priority="6737"/>
    <cfRule type="duplicateValues" dxfId="5768" priority="6738"/>
    <cfRule type="duplicateValues" dxfId="5767" priority="6739"/>
  </conditionalFormatting>
  <conditionalFormatting sqref="AI13">
    <cfRule type="duplicateValues" dxfId="5766" priority="6740"/>
    <cfRule type="duplicateValues" dxfId="5765" priority="6741"/>
    <cfRule type="duplicateValues" dxfId="5764" priority="6742"/>
    <cfRule type="duplicateValues" dxfId="5763" priority="6743"/>
    <cfRule type="duplicateValues" dxfId="5762" priority="6744"/>
    <cfRule type="duplicateValues" dxfId="5761" priority="6745"/>
  </conditionalFormatting>
  <conditionalFormatting sqref="AI14 AI27:AI34">
    <cfRule type="duplicateValues" dxfId="5760" priority="69375"/>
  </conditionalFormatting>
  <conditionalFormatting sqref="AI14 AI27:AI34">
    <cfRule type="duplicateValues" dxfId="5759" priority="69380"/>
    <cfRule type="duplicateValues" dxfId="5758" priority="69381"/>
  </conditionalFormatting>
  <conditionalFormatting sqref="AI14 AI27:AI34">
    <cfRule type="duplicateValues" dxfId="5757" priority="69390"/>
    <cfRule type="duplicateValues" dxfId="5756" priority="69391"/>
    <cfRule type="duplicateValues" dxfId="5755" priority="69392"/>
    <cfRule type="duplicateValues" dxfId="5754" priority="69393"/>
  </conditionalFormatting>
  <conditionalFormatting sqref="AI14 AI27:AI34">
    <cfRule type="duplicateValues" dxfId="5753" priority="69410"/>
    <cfRule type="duplicateValues" dxfId="5752" priority="69411"/>
    <cfRule type="duplicateValues" dxfId="5751" priority="69412"/>
    <cfRule type="duplicateValues" dxfId="5750" priority="69413"/>
    <cfRule type="duplicateValues" dxfId="5749" priority="69414"/>
  </conditionalFormatting>
  <conditionalFormatting sqref="AI14 AI27:AI34">
    <cfRule type="duplicateValues" dxfId="5748" priority="69435"/>
    <cfRule type="duplicateValues" dxfId="5747" priority="69436"/>
    <cfRule type="duplicateValues" dxfId="5746" priority="69437"/>
    <cfRule type="duplicateValues" dxfId="5745" priority="69438"/>
    <cfRule type="duplicateValues" dxfId="5744" priority="69439"/>
    <cfRule type="duplicateValues" dxfId="5743" priority="69440"/>
    <cfRule type="duplicateValues" dxfId="5742" priority="69441"/>
    <cfRule type="duplicateValues" dxfId="5741" priority="69442"/>
    <cfRule type="duplicateValues" dxfId="5740" priority="69443"/>
    <cfRule type="duplicateValues" dxfId="5739" priority="69444"/>
    <cfRule type="duplicateValues" dxfId="5738" priority="69445"/>
  </conditionalFormatting>
  <conditionalFormatting sqref="AI14 AI27:AI34">
    <cfRule type="duplicateValues" dxfId="5737" priority="69490"/>
    <cfRule type="duplicateValues" dxfId="5736" priority="69491"/>
    <cfRule type="duplicateValues" dxfId="5735" priority="69492"/>
    <cfRule type="duplicateValues" dxfId="5734" priority="69493"/>
    <cfRule type="duplicateValues" dxfId="5733" priority="69494"/>
    <cfRule type="duplicateValues" dxfId="5732" priority="69495"/>
  </conditionalFormatting>
  <conditionalFormatting sqref="AI14 AI27:AI34">
    <cfRule type="duplicateValues" dxfId="5731" priority="69520"/>
    <cfRule type="duplicateValues" dxfId="5730" priority="69521"/>
    <cfRule type="duplicateValues" dxfId="5729" priority="69522"/>
    <cfRule type="duplicateValues" dxfId="5728" priority="69523"/>
    <cfRule type="duplicateValues" dxfId="5727" priority="69524"/>
    <cfRule type="duplicateValues" dxfId="5726" priority="69525"/>
    <cfRule type="duplicateValues" dxfId="5725" priority="69526"/>
    <cfRule type="duplicateValues" dxfId="5724" priority="69527"/>
    <cfRule type="duplicateValues" dxfId="5723" priority="69528"/>
    <cfRule type="duplicateValues" dxfId="5722" priority="69529"/>
    <cfRule type="duplicateValues" dxfId="5721" priority="69530"/>
    <cfRule type="duplicateValues" dxfId="5720" priority="69531"/>
    <cfRule type="duplicateValues" dxfId="5719" priority="69532"/>
    <cfRule type="duplicateValues" dxfId="5718" priority="69533"/>
    <cfRule type="duplicateValues" dxfId="5717" priority="69534"/>
    <cfRule type="duplicateValues" dxfId="5716" priority="69535"/>
    <cfRule type="duplicateValues" dxfId="5715" priority="69536"/>
    <cfRule type="duplicateValues" dxfId="5714" priority="69537"/>
    <cfRule type="duplicateValues" dxfId="5713" priority="69538"/>
    <cfRule type="duplicateValues" dxfId="5712" priority="69539"/>
    <cfRule type="duplicateValues" dxfId="5711" priority="69540"/>
    <cfRule type="duplicateValues" dxfId="5710" priority="69541"/>
  </conditionalFormatting>
  <conditionalFormatting sqref="AI35:AI36">
    <cfRule type="duplicateValues" dxfId="5709" priority="6630"/>
  </conditionalFormatting>
  <conditionalFormatting sqref="AI35:AI36">
    <cfRule type="duplicateValues" dxfId="5708" priority="6628"/>
    <cfRule type="duplicateValues" dxfId="5707" priority="6629"/>
  </conditionalFormatting>
  <conditionalFormatting sqref="AI35:AI36">
    <cfRule type="duplicateValues" dxfId="5706" priority="6634"/>
  </conditionalFormatting>
  <conditionalFormatting sqref="AI35:AI36">
    <cfRule type="duplicateValues" dxfId="5705" priority="6635"/>
    <cfRule type="duplicateValues" dxfId="5704" priority="6636"/>
  </conditionalFormatting>
  <conditionalFormatting sqref="AI35:AI36">
    <cfRule type="duplicateValues" dxfId="5703" priority="6632"/>
  </conditionalFormatting>
  <conditionalFormatting sqref="AI35:AI36">
    <cfRule type="duplicateValues" dxfId="5702" priority="6633"/>
  </conditionalFormatting>
  <conditionalFormatting sqref="AI35:AI36">
    <cfRule type="duplicateValues" dxfId="5701" priority="6631"/>
  </conditionalFormatting>
  <conditionalFormatting sqref="AI35:AI36">
    <cfRule type="duplicateValues" dxfId="5700" priority="6622"/>
    <cfRule type="duplicateValues" dxfId="5699" priority="6623"/>
    <cfRule type="duplicateValues" dxfId="5698" priority="6624"/>
    <cfRule type="duplicateValues" dxfId="5697" priority="6625"/>
    <cfRule type="duplicateValues" dxfId="5696" priority="6626"/>
    <cfRule type="duplicateValues" dxfId="5695" priority="6627"/>
  </conditionalFormatting>
  <conditionalFormatting sqref="AI35:AI36">
    <cfRule type="duplicateValues" dxfId="5694" priority="6617"/>
    <cfRule type="duplicateValues" dxfId="5693" priority="6618"/>
    <cfRule type="duplicateValues" dxfId="5692" priority="6619"/>
    <cfRule type="duplicateValues" dxfId="5691" priority="6620"/>
    <cfRule type="duplicateValues" dxfId="5690" priority="6621"/>
  </conditionalFormatting>
  <conditionalFormatting sqref="AI35:AI36">
    <cfRule type="duplicateValues" dxfId="5689" priority="6637"/>
    <cfRule type="duplicateValues" dxfId="5688" priority="6638"/>
    <cfRule type="duplicateValues" dxfId="5687" priority="6639"/>
    <cfRule type="duplicateValues" dxfId="5686" priority="6640"/>
    <cfRule type="duplicateValues" dxfId="5685" priority="6641"/>
    <cfRule type="duplicateValues" dxfId="5684" priority="6642"/>
    <cfRule type="duplicateValues" dxfId="5683" priority="6643"/>
    <cfRule type="duplicateValues" dxfId="5682" priority="6644"/>
    <cfRule type="duplicateValues" dxfId="5681" priority="6645"/>
    <cfRule type="duplicateValues" dxfId="5680" priority="6646"/>
    <cfRule type="duplicateValues" dxfId="5679" priority="6647"/>
    <cfRule type="duplicateValues" dxfId="5678" priority="6648"/>
    <cfRule type="duplicateValues" dxfId="5677" priority="6649"/>
    <cfRule type="duplicateValues" dxfId="5676" priority="6650"/>
    <cfRule type="duplicateValues" dxfId="5675" priority="6651"/>
    <cfRule type="duplicateValues" dxfId="5674" priority="6652"/>
    <cfRule type="duplicateValues" dxfId="5673" priority="6653"/>
    <cfRule type="duplicateValues" dxfId="5672" priority="6654"/>
    <cfRule type="duplicateValues" dxfId="5671" priority="6655"/>
    <cfRule type="duplicateValues" dxfId="5670" priority="6656"/>
    <cfRule type="duplicateValues" dxfId="5669" priority="6657"/>
    <cfRule type="duplicateValues" dxfId="5668" priority="6658"/>
    <cfRule type="duplicateValues" dxfId="5667" priority="6659"/>
    <cfRule type="duplicateValues" dxfId="5666" priority="6660"/>
    <cfRule type="duplicateValues" dxfId="5665" priority="6661"/>
    <cfRule type="duplicateValues" dxfId="5664" priority="6662"/>
    <cfRule type="duplicateValues" dxfId="5663" priority="6663"/>
    <cfRule type="duplicateValues" dxfId="5662" priority="6664"/>
  </conditionalFormatting>
  <conditionalFormatting sqref="AI39 AI37">
    <cfRule type="duplicateValues" dxfId="5661" priority="6583"/>
  </conditionalFormatting>
  <conditionalFormatting sqref="AI39 AI37">
    <cfRule type="duplicateValues" dxfId="5660" priority="6581"/>
    <cfRule type="duplicateValues" dxfId="5659" priority="6582"/>
  </conditionalFormatting>
  <conditionalFormatting sqref="AI39">
    <cfRule type="duplicateValues" dxfId="5658" priority="6586"/>
  </conditionalFormatting>
  <conditionalFormatting sqref="AI39">
    <cfRule type="duplicateValues" dxfId="5657" priority="6587"/>
    <cfRule type="duplicateValues" dxfId="5656" priority="6588"/>
  </conditionalFormatting>
  <conditionalFormatting sqref="AI39">
    <cfRule type="duplicateValues" dxfId="5655" priority="6585"/>
  </conditionalFormatting>
  <conditionalFormatting sqref="AI39">
    <cfRule type="duplicateValues" dxfId="5654" priority="6584"/>
  </conditionalFormatting>
  <conditionalFormatting sqref="AI39 AI37">
    <cfRule type="duplicateValues" dxfId="5653" priority="6575"/>
    <cfRule type="duplicateValues" dxfId="5652" priority="6576"/>
    <cfRule type="duplicateValues" dxfId="5651" priority="6577"/>
    <cfRule type="duplicateValues" dxfId="5650" priority="6578"/>
    <cfRule type="duplicateValues" dxfId="5649" priority="6579"/>
    <cfRule type="duplicateValues" dxfId="5648" priority="6580"/>
  </conditionalFormatting>
  <conditionalFormatting sqref="AI39 AI37">
    <cfRule type="duplicateValues" dxfId="5647" priority="6570"/>
    <cfRule type="duplicateValues" dxfId="5646" priority="6571"/>
    <cfRule type="duplicateValues" dxfId="5645" priority="6572"/>
    <cfRule type="duplicateValues" dxfId="5644" priority="6573"/>
    <cfRule type="duplicateValues" dxfId="5643" priority="6574"/>
  </conditionalFormatting>
  <conditionalFormatting sqref="AI39 AI37">
    <cfRule type="duplicateValues" dxfId="5642" priority="6589"/>
    <cfRule type="duplicateValues" dxfId="5641" priority="6590"/>
    <cfRule type="duplicateValues" dxfId="5640" priority="6591"/>
    <cfRule type="duplicateValues" dxfId="5639" priority="6592"/>
    <cfRule type="duplicateValues" dxfId="5638" priority="6593"/>
    <cfRule type="duplicateValues" dxfId="5637" priority="6594"/>
    <cfRule type="duplicateValues" dxfId="5636" priority="6595"/>
    <cfRule type="duplicateValues" dxfId="5635" priority="6596"/>
    <cfRule type="duplicateValues" dxfId="5634" priority="6597"/>
    <cfRule type="duplicateValues" dxfId="5633" priority="6598"/>
    <cfRule type="duplicateValues" dxfId="5632" priority="6599"/>
    <cfRule type="duplicateValues" dxfId="5631" priority="6600"/>
    <cfRule type="duplicateValues" dxfId="5630" priority="6601"/>
    <cfRule type="duplicateValues" dxfId="5629" priority="6602"/>
    <cfRule type="duplicateValues" dxfId="5628" priority="6603"/>
    <cfRule type="duplicateValues" dxfId="5627" priority="6604"/>
    <cfRule type="duplicateValues" dxfId="5626" priority="6605"/>
    <cfRule type="duplicateValues" dxfId="5625" priority="6606"/>
    <cfRule type="duplicateValues" dxfId="5624" priority="6607"/>
    <cfRule type="duplicateValues" dxfId="5623" priority="6608"/>
    <cfRule type="duplicateValues" dxfId="5622" priority="6609"/>
    <cfRule type="duplicateValues" dxfId="5621" priority="6610"/>
    <cfRule type="duplicateValues" dxfId="5620" priority="6611"/>
    <cfRule type="duplicateValues" dxfId="5619" priority="6612"/>
    <cfRule type="duplicateValues" dxfId="5618" priority="6613"/>
    <cfRule type="duplicateValues" dxfId="5617" priority="6614"/>
    <cfRule type="duplicateValues" dxfId="5616" priority="6615"/>
    <cfRule type="duplicateValues" dxfId="5615" priority="6616"/>
  </conditionalFormatting>
  <conditionalFormatting sqref="AI39">
    <cfRule type="duplicateValues" dxfId="5614" priority="6569"/>
  </conditionalFormatting>
  <conditionalFormatting sqref="AI44:AI53">
    <cfRule type="duplicateValues" dxfId="5613" priority="6460"/>
    <cfRule type="duplicateValues" dxfId="5612" priority="6461"/>
    <cfRule type="duplicateValues" dxfId="5611" priority="6462"/>
    <cfRule type="duplicateValues" dxfId="5610" priority="6463"/>
  </conditionalFormatting>
  <conditionalFormatting sqref="AI44:AI53">
    <cfRule type="duplicateValues" dxfId="5609" priority="6465"/>
    <cfRule type="duplicateValues" dxfId="5608" priority="6466"/>
    <cfRule type="duplicateValues" dxfId="5607" priority="6467"/>
    <cfRule type="duplicateValues" dxfId="5606" priority="6468"/>
    <cfRule type="duplicateValues" dxfId="5605" priority="6469"/>
  </conditionalFormatting>
  <conditionalFormatting sqref="AI44:AI53">
    <cfRule type="duplicateValues" dxfId="5604" priority="6476"/>
    <cfRule type="duplicateValues" dxfId="5603" priority="6477"/>
    <cfRule type="duplicateValues" dxfId="5602" priority="6478"/>
    <cfRule type="duplicateValues" dxfId="5601" priority="6479"/>
    <cfRule type="duplicateValues" dxfId="5600" priority="6480"/>
    <cfRule type="duplicateValues" dxfId="5599" priority="6481"/>
    <cfRule type="duplicateValues" dxfId="5598" priority="6482"/>
    <cfRule type="duplicateValues" dxfId="5597" priority="6483"/>
    <cfRule type="duplicateValues" dxfId="5596" priority="6484"/>
    <cfRule type="duplicateValues" dxfId="5595" priority="6485"/>
    <cfRule type="duplicateValues" dxfId="5594" priority="6486"/>
  </conditionalFormatting>
  <conditionalFormatting sqref="AI44:AI53">
    <cfRule type="duplicateValues" dxfId="5593" priority="6470"/>
    <cfRule type="duplicateValues" dxfId="5592" priority="6471"/>
    <cfRule type="duplicateValues" dxfId="5591" priority="6472"/>
    <cfRule type="duplicateValues" dxfId="5590" priority="6473"/>
    <cfRule type="duplicateValues" dxfId="5589" priority="6474"/>
    <cfRule type="duplicateValues" dxfId="5588" priority="6475"/>
  </conditionalFormatting>
  <conditionalFormatting sqref="AI44:AI53">
    <cfRule type="duplicateValues" dxfId="5587" priority="6487"/>
    <cfRule type="duplicateValues" dxfId="5586" priority="6488"/>
    <cfRule type="duplicateValues" dxfId="5585" priority="6489"/>
    <cfRule type="duplicateValues" dxfId="5584" priority="6490"/>
    <cfRule type="duplicateValues" dxfId="5583" priority="6491"/>
    <cfRule type="duplicateValues" dxfId="5582" priority="6492"/>
  </conditionalFormatting>
  <conditionalFormatting sqref="AI44:AI53">
    <cfRule type="duplicateValues" dxfId="5581" priority="6464"/>
  </conditionalFormatting>
  <conditionalFormatting sqref="AI44:AI53">
    <cfRule type="duplicateValues" dxfId="5580" priority="6493"/>
    <cfRule type="duplicateValues" dxfId="5579" priority="6494"/>
    <cfRule type="duplicateValues" dxfId="5578" priority="6495"/>
    <cfRule type="duplicateValues" dxfId="5577" priority="6496"/>
    <cfRule type="duplicateValues" dxfId="5576" priority="6497"/>
    <cfRule type="duplicateValues" dxfId="5575" priority="6498"/>
    <cfRule type="duplicateValues" dxfId="5574" priority="6499"/>
    <cfRule type="duplicateValues" dxfId="5573" priority="6500"/>
    <cfRule type="duplicateValues" dxfId="5572" priority="6501"/>
    <cfRule type="duplicateValues" dxfId="5571" priority="6502"/>
    <cfRule type="duplicateValues" dxfId="5570" priority="6503"/>
    <cfRule type="duplicateValues" dxfId="5569" priority="6504"/>
    <cfRule type="duplicateValues" dxfId="5568" priority="6505"/>
    <cfRule type="duplicateValues" dxfId="5567" priority="6506"/>
    <cfRule type="duplicateValues" dxfId="5566" priority="6507"/>
    <cfRule type="duplicateValues" dxfId="5565" priority="6508"/>
    <cfRule type="duplicateValues" dxfId="5564" priority="6509"/>
    <cfRule type="duplicateValues" dxfId="5563" priority="6510"/>
    <cfRule type="duplicateValues" dxfId="5562" priority="6511"/>
    <cfRule type="duplicateValues" dxfId="5561" priority="6512"/>
    <cfRule type="duplicateValues" dxfId="5560" priority="6513"/>
    <cfRule type="duplicateValues" dxfId="5559" priority="6514"/>
  </conditionalFormatting>
  <conditionalFormatting sqref="AI44:AI53">
    <cfRule type="duplicateValues" dxfId="5558" priority="6515"/>
    <cfRule type="duplicateValues" dxfId="5557" priority="6516"/>
    <cfRule type="duplicateValues" dxfId="5556" priority="6517"/>
    <cfRule type="duplicateValues" dxfId="5555" priority="6518"/>
    <cfRule type="duplicateValues" dxfId="5554" priority="6519"/>
    <cfRule type="duplicateValues" dxfId="5553" priority="6520"/>
  </conditionalFormatting>
  <conditionalFormatting sqref="AI44:AI53 AI40">
    <cfRule type="duplicateValues" dxfId="5552" priority="69552"/>
  </conditionalFormatting>
  <conditionalFormatting sqref="AI44:AI53 AI40">
    <cfRule type="duplicateValues" dxfId="5551" priority="69554"/>
    <cfRule type="duplicateValues" dxfId="5550" priority="69555"/>
  </conditionalFormatting>
  <conditionalFormatting sqref="AI44:AI53 AI40">
    <cfRule type="duplicateValues" dxfId="5549" priority="69570"/>
    <cfRule type="duplicateValues" dxfId="5548" priority="69571"/>
    <cfRule type="duplicateValues" dxfId="5547" priority="69572"/>
    <cfRule type="duplicateValues" dxfId="5546" priority="69573"/>
    <cfRule type="duplicateValues" dxfId="5545" priority="69574"/>
    <cfRule type="duplicateValues" dxfId="5544" priority="69575"/>
  </conditionalFormatting>
  <conditionalFormatting sqref="AI44:AI53 AI40">
    <cfRule type="duplicateValues" dxfId="5543" priority="69582"/>
    <cfRule type="duplicateValues" dxfId="5542" priority="69583"/>
    <cfRule type="duplicateValues" dxfId="5541" priority="69584"/>
    <cfRule type="duplicateValues" dxfId="5540" priority="69585"/>
    <cfRule type="duplicateValues" dxfId="5539" priority="69586"/>
  </conditionalFormatting>
  <conditionalFormatting sqref="AI40">
    <cfRule type="duplicateValues" dxfId="5538" priority="69592"/>
    <cfRule type="duplicateValues" dxfId="5537" priority="69593"/>
    <cfRule type="duplicateValues" dxfId="5536" priority="69594"/>
    <cfRule type="duplicateValues" dxfId="5535" priority="69595"/>
    <cfRule type="duplicateValues" dxfId="5534" priority="69596"/>
    <cfRule type="duplicateValues" dxfId="5533" priority="69597"/>
    <cfRule type="duplicateValues" dxfId="5532" priority="69598"/>
    <cfRule type="duplicateValues" dxfId="5531" priority="69599"/>
    <cfRule type="duplicateValues" dxfId="5530" priority="69600"/>
    <cfRule type="duplicateValues" dxfId="5529" priority="69601"/>
    <cfRule type="duplicateValues" dxfId="5528" priority="69602"/>
    <cfRule type="duplicateValues" dxfId="5527" priority="69603"/>
    <cfRule type="duplicateValues" dxfId="5526" priority="69604"/>
    <cfRule type="duplicateValues" dxfId="5525" priority="69605"/>
    <cfRule type="duplicateValues" dxfId="5524" priority="69606"/>
    <cfRule type="duplicateValues" dxfId="5523" priority="69607"/>
    <cfRule type="duplicateValues" dxfId="5522" priority="69608"/>
    <cfRule type="duplicateValues" dxfId="5521" priority="69609"/>
    <cfRule type="duplicateValues" dxfId="5520" priority="69610"/>
    <cfRule type="duplicateValues" dxfId="5519" priority="69611"/>
    <cfRule type="duplicateValues" dxfId="5518" priority="69612"/>
    <cfRule type="duplicateValues" dxfId="5517" priority="69613"/>
    <cfRule type="duplicateValues" dxfId="5516" priority="69614"/>
    <cfRule type="duplicateValues" dxfId="5515" priority="69615"/>
    <cfRule type="duplicateValues" dxfId="5514" priority="69616"/>
    <cfRule type="duplicateValues" dxfId="5513" priority="69617"/>
    <cfRule type="duplicateValues" dxfId="5512" priority="69618"/>
    <cfRule type="duplicateValues" dxfId="5511" priority="69619"/>
  </conditionalFormatting>
  <conditionalFormatting sqref="AI1:AI1048576">
    <cfRule type="duplicateValues" dxfId="5510" priority="6459"/>
  </conditionalFormatting>
  <conditionalFormatting sqref="AI17">
    <cfRule type="duplicateValues" dxfId="5509" priority="6458"/>
  </conditionalFormatting>
  <conditionalFormatting sqref="AI18">
    <cfRule type="duplicateValues" dxfId="5508" priority="6423"/>
  </conditionalFormatting>
  <conditionalFormatting sqref="AI18">
    <cfRule type="duplicateValues" dxfId="5507" priority="6421"/>
    <cfRule type="duplicateValues" dxfId="5506" priority="6422"/>
  </conditionalFormatting>
  <conditionalFormatting sqref="AI18">
    <cfRule type="duplicateValues" dxfId="5505" priority="6427"/>
  </conditionalFormatting>
  <conditionalFormatting sqref="AI18">
    <cfRule type="duplicateValues" dxfId="5504" priority="6428"/>
    <cfRule type="duplicateValues" dxfId="5503" priority="6429"/>
  </conditionalFormatting>
  <conditionalFormatting sqref="AI18">
    <cfRule type="duplicateValues" dxfId="5502" priority="6425"/>
  </conditionalFormatting>
  <conditionalFormatting sqref="AI18">
    <cfRule type="duplicateValues" dxfId="5501" priority="6426"/>
  </conditionalFormatting>
  <conditionalFormatting sqref="AI18">
    <cfRule type="duplicateValues" dxfId="5500" priority="6424"/>
  </conditionalFormatting>
  <conditionalFormatting sqref="AI18">
    <cfRule type="duplicateValues" dxfId="5499" priority="6415"/>
    <cfRule type="duplicateValues" dxfId="5498" priority="6416"/>
    <cfRule type="duplicateValues" dxfId="5497" priority="6417"/>
    <cfRule type="duplicateValues" dxfId="5496" priority="6418"/>
    <cfRule type="duplicateValues" dxfId="5495" priority="6419"/>
    <cfRule type="duplicateValues" dxfId="5494" priority="6420"/>
  </conditionalFormatting>
  <conditionalFormatting sqref="AI18">
    <cfRule type="duplicateValues" dxfId="5493" priority="6410"/>
    <cfRule type="duplicateValues" dxfId="5492" priority="6411"/>
    <cfRule type="duplicateValues" dxfId="5491" priority="6412"/>
    <cfRule type="duplicateValues" dxfId="5490" priority="6413"/>
    <cfRule type="duplicateValues" dxfId="5489" priority="6414"/>
  </conditionalFormatting>
  <conditionalFormatting sqref="AI18">
    <cfRule type="duplicateValues" dxfId="5488" priority="6430"/>
    <cfRule type="duplicateValues" dxfId="5487" priority="6431"/>
    <cfRule type="duplicateValues" dxfId="5486" priority="6432"/>
    <cfRule type="duplicateValues" dxfId="5485" priority="6433"/>
    <cfRule type="duplicateValues" dxfId="5484" priority="6434"/>
    <cfRule type="duplicateValues" dxfId="5483" priority="6435"/>
    <cfRule type="duplicateValues" dxfId="5482" priority="6436"/>
    <cfRule type="duplicateValues" dxfId="5481" priority="6437"/>
    <cfRule type="duplicateValues" dxfId="5480" priority="6438"/>
    <cfRule type="duplicateValues" dxfId="5479" priority="6439"/>
    <cfRule type="duplicateValues" dxfId="5478" priority="6440"/>
    <cfRule type="duplicateValues" dxfId="5477" priority="6441"/>
    <cfRule type="duplicateValues" dxfId="5476" priority="6442"/>
    <cfRule type="duplicateValues" dxfId="5475" priority="6443"/>
    <cfRule type="duplicateValues" dxfId="5474" priority="6444"/>
    <cfRule type="duplicateValues" dxfId="5473" priority="6445"/>
    <cfRule type="duplicateValues" dxfId="5472" priority="6446"/>
    <cfRule type="duplicateValues" dxfId="5471" priority="6447"/>
    <cfRule type="duplicateValues" dxfId="5470" priority="6448"/>
    <cfRule type="duplicateValues" dxfId="5469" priority="6449"/>
    <cfRule type="duplicateValues" dxfId="5468" priority="6450"/>
    <cfRule type="duplicateValues" dxfId="5467" priority="6451"/>
    <cfRule type="duplicateValues" dxfId="5466" priority="6452"/>
    <cfRule type="duplicateValues" dxfId="5465" priority="6453"/>
    <cfRule type="duplicateValues" dxfId="5464" priority="6454"/>
    <cfRule type="duplicateValues" dxfId="5463" priority="6455"/>
    <cfRule type="duplicateValues" dxfId="5462" priority="6456"/>
    <cfRule type="duplicateValues" dxfId="5461" priority="6457"/>
  </conditionalFormatting>
  <conditionalFormatting sqref="AI19">
    <cfRule type="duplicateValues" dxfId="5460" priority="6375"/>
  </conditionalFormatting>
  <conditionalFormatting sqref="AI19">
    <cfRule type="duplicateValues" dxfId="5459" priority="6373"/>
    <cfRule type="duplicateValues" dxfId="5458" priority="6374"/>
  </conditionalFormatting>
  <conditionalFormatting sqref="AI19">
    <cfRule type="duplicateValues" dxfId="5457" priority="6379"/>
  </conditionalFormatting>
  <conditionalFormatting sqref="AI19">
    <cfRule type="duplicateValues" dxfId="5456" priority="6380"/>
    <cfRule type="duplicateValues" dxfId="5455" priority="6381"/>
  </conditionalFormatting>
  <conditionalFormatting sqref="AI19">
    <cfRule type="duplicateValues" dxfId="5454" priority="6377"/>
  </conditionalFormatting>
  <conditionalFormatting sqref="AI19">
    <cfRule type="duplicateValues" dxfId="5453" priority="6378"/>
  </conditionalFormatting>
  <conditionalFormatting sqref="AI19">
    <cfRule type="duplicateValues" dxfId="5452" priority="6376"/>
  </conditionalFormatting>
  <conditionalFormatting sqref="AI19">
    <cfRule type="duplicateValues" dxfId="5451" priority="6367"/>
    <cfRule type="duplicateValues" dxfId="5450" priority="6368"/>
    <cfRule type="duplicateValues" dxfId="5449" priority="6369"/>
    <cfRule type="duplicateValues" dxfId="5448" priority="6370"/>
    <cfRule type="duplicateValues" dxfId="5447" priority="6371"/>
    <cfRule type="duplicateValues" dxfId="5446" priority="6372"/>
  </conditionalFormatting>
  <conditionalFormatting sqref="AI19">
    <cfRule type="duplicateValues" dxfId="5445" priority="6362"/>
    <cfRule type="duplicateValues" dxfId="5444" priority="6363"/>
    <cfRule type="duplicateValues" dxfId="5443" priority="6364"/>
    <cfRule type="duplicateValues" dxfId="5442" priority="6365"/>
    <cfRule type="duplicateValues" dxfId="5441" priority="6366"/>
  </conditionalFormatting>
  <conditionalFormatting sqref="AI19">
    <cfRule type="duplicateValues" dxfId="5440" priority="6382"/>
    <cfRule type="duplicateValues" dxfId="5439" priority="6383"/>
    <cfRule type="duplicateValues" dxfId="5438" priority="6384"/>
    <cfRule type="duplicateValues" dxfId="5437" priority="6385"/>
    <cfRule type="duplicateValues" dxfId="5436" priority="6386"/>
    <cfRule type="duplicateValues" dxfId="5435" priority="6387"/>
    <cfRule type="duplicateValues" dxfId="5434" priority="6388"/>
    <cfRule type="duplicateValues" dxfId="5433" priority="6389"/>
    <cfRule type="duplicateValues" dxfId="5432" priority="6390"/>
    <cfRule type="duplicateValues" dxfId="5431" priority="6391"/>
    <cfRule type="duplicateValues" dxfId="5430" priority="6392"/>
    <cfRule type="duplicateValues" dxfId="5429" priority="6393"/>
    <cfRule type="duplicateValues" dxfId="5428" priority="6394"/>
    <cfRule type="duplicateValues" dxfId="5427" priority="6395"/>
    <cfRule type="duplicateValues" dxfId="5426" priority="6396"/>
    <cfRule type="duplicateValues" dxfId="5425" priority="6397"/>
    <cfRule type="duplicateValues" dxfId="5424" priority="6398"/>
    <cfRule type="duplicateValues" dxfId="5423" priority="6399"/>
    <cfRule type="duplicateValues" dxfId="5422" priority="6400"/>
    <cfRule type="duplicateValues" dxfId="5421" priority="6401"/>
    <cfRule type="duplicateValues" dxfId="5420" priority="6402"/>
    <cfRule type="duplicateValues" dxfId="5419" priority="6403"/>
    <cfRule type="duplicateValues" dxfId="5418" priority="6404"/>
    <cfRule type="duplicateValues" dxfId="5417" priority="6405"/>
    <cfRule type="duplicateValues" dxfId="5416" priority="6406"/>
    <cfRule type="duplicateValues" dxfId="5415" priority="6407"/>
    <cfRule type="duplicateValues" dxfId="5414" priority="6408"/>
    <cfRule type="duplicateValues" dxfId="5413" priority="6409"/>
  </conditionalFormatting>
  <conditionalFormatting sqref="AI19">
    <cfRule type="duplicateValues" dxfId="5412" priority="6361"/>
  </conditionalFormatting>
  <conditionalFormatting sqref="AI16">
    <cfRule type="duplicateValues" dxfId="5411" priority="6295"/>
  </conditionalFormatting>
  <conditionalFormatting sqref="AI16">
    <cfRule type="duplicateValues" dxfId="5410" priority="6285"/>
    <cfRule type="duplicateValues" dxfId="5409" priority="6286"/>
    <cfRule type="duplicateValues" dxfId="5408" priority="6287"/>
    <cfRule type="duplicateValues" dxfId="5407" priority="6288"/>
  </conditionalFormatting>
  <conditionalFormatting sqref="AI16">
    <cfRule type="duplicateValues" dxfId="5406" priority="6290"/>
    <cfRule type="duplicateValues" dxfId="5405" priority="6291"/>
    <cfRule type="duplicateValues" dxfId="5404" priority="6292"/>
    <cfRule type="duplicateValues" dxfId="5403" priority="6293"/>
    <cfRule type="duplicateValues" dxfId="5402" priority="6294"/>
  </conditionalFormatting>
  <conditionalFormatting sqref="AI16">
    <cfRule type="duplicateValues" dxfId="5401" priority="6289"/>
  </conditionalFormatting>
  <conditionalFormatting sqref="AI16">
    <cfRule type="duplicateValues" dxfId="5400" priority="6296"/>
    <cfRule type="duplicateValues" dxfId="5399" priority="6297"/>
    <cfRule type="duplicateValues" dxfId="5398" priority="6298"/>
    <cfRule type="duplicateValues" dxfId="5397" priority="6299"/>
    <cfRule type="duplicateValues" dxfId="5396" priority="6300"/>
    <cfRule type="duplicateValues" dxfId="5395" priority="6301"/>
    <cfRule type="duplicateValues" dxfId="5394" priority="6302"/>
    <cfRule type="duplicateValues" dxfId="5393" priority="6303"/>
    <cfRule type="duplicateValues" dxfId="5392" priority="6304"/>
    <cfRule type="duplicateValues" dxfId="5391" priority="6305"/>
    <cfRule type="duplicateValues" dxfId="5390" priority="6306"/>
    <cfRule type="duplicateValues" dxfId="5389" priority="6307"/>
    <cfRule type="duplicateValues" dxfId="5388" priority="6308"/>
    <cfRule type="duplicateValues" dxfId="5387" priority="6309"/>
    <cfRule type="duplicateValues" dxfId="5386" priority="6310"/>
    <cfRule type="duplicateValues" dxfId="5385" priority="6311"/>
    <cfRule type="duplicateValues" dxfId="5384" priority="6312"/>
    <cfRule type="duplicateValues" dxfId="5383" priority="6313"/>
    <cfRule type="duplicateValues" dxfId="5382" priority="6314"/>
    <cfRule type="duplicateValues" dxfId="5381" priority="6315"/>
    <cfRule type="duplicateValues" dxfId="5380" priority="6316"/>
    <cfRule type="duplicateValues" dxfId="5379" priority="6317"/>
    <cfRule type="duplicateValues" dxfId="5378" priority="6318"/>
    <cfRule type="duplicateValues" dxfId="5377" priority="6319"/>
    <cfRule type="duplicateValues" dxfId="5376" priority="6320"/>
    <cfRule type="duplicateValues" dxfId="5375" priority="6321"/>
    <cfRule type="duplicateValues" dxfId="5374" priority="6322"/>
    <cfRule type="duplicateValues" dxfId="5373" priority="6323"/>
    <cfRule type="duplicateValues" dxfId="5372" priority="6324"/>
    <cfRule type="duplicateValues" dxfId="5371" priority="6325"/>
    <cfRule type="duplicateValues" dxfId="5370" priority="6326"/>
    <cfRule type="duplicateValues" dxfId="5369" priority="6327"/>
    <cfRule type="duplicateValues" dxfId="5368" priority="6328"/>
    <cfRule type="duplicateValues" dxfId="5367" priority="6329"/>
    <cfRule type="duplicateValues" dxfId="5366" priority="6330"/>
    <cfRule type="duplicateValues" dxfId="5365" priority="6331"/>
    <cfRule type="duplicateValues" dxfId="5364" priority="6332"/>
    <cfRule type="duplicateValues" dxfId="5363" priority="6333"/>
    <cfRule type="duplicateValues" dxfId="5362" priority="6334"/>
    <cfRule type="duplicateValues" dxfId="5361" priority="6335"/>
    <cfRule type="duplicateValues" dxfId="5360" priority="6336"/>
    <cfRule type="duplicateValues" dxfId="5359" priority="6337"/>
    <cfRule type="duplicateValues" dxfId="5358" priority="6338"/>
    <cfRule type="duplicateValues" dxfId="5357" priority="6339"/>
    <cfRule type="duplicateValues" dxfId="5356" priority="6340"/>
    <cfRule type="duplicateValues" dxfId="5355" priority="6341"/>
    <cfRule type="duplicateValues" dxfId="5354" priority="6342"/>
    <cfRule type="duplicateValues" dxfId="5353" priority="6343"/>
    <cfRule type="duplicateValues" dxfId="5352" priority="6344"/>
    <cfRule type="duplicateValues" dxfId="5351" priority="6345"/>
    <cfRule type="duplicateValues" dxfId="5350" priority="6346"/>
    <cfRule type="duplicateValues" dxfId="5349" priority="6347"/>
    <cfRule type="duplicateValues" dxfId="5348" priority="6348"/>
    <cfRule type="duplicateValues" dxfId="5347" priority="6349"/>
    <cfRule type="duplicateValues" dxfId="5346" priority="6350"/>
    <cfRule type="duplicateValues" dxfId="5345" priority="6351"/>
    <cfRule type="duplicateValues" dxfId="5344" priority="6352"/>
    <cfRule type="duplicateValues" dxfId="5343" priority="6353"/>
    <cfRule type="duplicateValues" dxfId="5342" priority="6354"/>
    <cfRule type="duplicateValues" dxfId="5341" priority="6355"/>
    <cfRule type="duplicateValues" dxfId="5340" priority="6356"/>
    <cfRule type="duplicateValues" dxfId="5339" priority="6357"/>
    <cfRule type="duplicateValues" dxfId="5338" priority="6358"/>
    <cfRule type="duplicateValues" dxfId="5337" priority="6359"/>
    <cfRule type="duplicateValues" dxfId="5336" priority="6360"/>
  </conditionalFormatting>
  <conditionalFormatting sqref="AI20:AI21">
    <cfRule type="duplicateValues" dxfId="5335" priority="6208"/>
  </conditionalFormatting>
  <conditionalFormatting sqref="AI20:AI21">
    <cfRule type="duplicateValues" dxfId="5334" priority="6206"/>
    <cfRule type="duplicateValues" dxfId="5333" priority="6207"/>
  </conditionalFormatting>
  <conditionalFormatting sqref="AI20:AI21">
    <cfRule type="duplicateValues" dxfId="5332" priority="6212"/>
  </conditionalFormatting>
  <conditionalFormatting sqref="AI20:AI21">
    <cfRule type="duplicateValues" dxfId="5331" priority="6213"/>
    <cfRule type="duplicateValues" dxfId="5330" priority="6214"/>
  </conditionalFormatting>
  <conditionalFormatting sqref="AI20:AI21">
    <cfRule type="duplicateValues" dxfId="5329" priority="6210"/>
  </conditionalFormatting>
  <conditionalFormatting sqref="AI20:AI21">
    <cfRule type="duplicateValues" dxfId="5328" priority="6211"/>
  </conditionalFormatting>
  <conditionalFormatting sqref="AI20:AI21">
    <cfRule type="duplicateValues" dxfId="5327" priority="6209"/>
  </conditionalFormatting>
  <conditionalFormatting sqref="AI20:AI21">
    <cfRule type="duplicateValues" dxfId="5326" priority="6200"/>
    <cfRule type="duplicateValues" dxfId="5325" priority="6201"/>
    <cfRule type="duplicateValues" dxfId="5324" priority="6202"/>
    <cfRule type="duplicateValues" dxfId="5323" priority="6203"/>
    <cfRule type="duplicateValues" dxfId="5322" priority="6204"/>
    <cfRule type="duplicateValues" dxfId="5321" priority="6205"/>
  </conditionalFormatting>
  <conditionalFormatting sqref="AI20:AI21">
    <cfRule type="duplicateValues" dxfId="5320" priority="6195"/>
    <cfRule type="duplicateValues" dxfId="5319" priority="6196"/>
    <cfRule type="duplicateValues" dxfId="5318" priority="6197"/>
    <cfRule type="duplicateValues" dxfId="5317" priority="6198"/>
    <cfRule type="duplicateValues" dxfId="5316" priority="6199"/>
  </conditionalFormatting>
  <conditionalFormatting sqref="AI20:AI21">
    <cfRule type="duplicateValues" dxfId="5315" priority="6215"/>
    <cfRule type="duplicateValues" dxfId="5314" priority="6216"/>
    <cfRule type="duplicateValues" dxfId="5313" priority="6217"/>
    <cfRule type="duplicateValues" dxfId="5312" priority="6218"/>
    <cfRule type="duplicateValues" dxfId="5311" priority="6219"/>
    <cfRule type="duplicateValues" dxfId="5310" priority="6220"/>
    <cfRule type="duplicateValues" dxfId="5309" priority="6221"/>
    <cfRule type="duplicateValues" dxfId="5308" priority="6222"/>
    <cfRule type="duplicateValues" dxfId="5307" priority="6223"/>
    <cfRule type="duplicateValues" dxfId="5306" priority="6224"/>
    <cfRule type="duplicateValues" dxfId="5305" priority="6225"/>
    <cfRule type="duplicateValues" dxfId="5304" priority="6226"/>
    <cfRule type="duplicateValues" dxfId="5303" priority="6227"/>
    <cfRule type="duplicateValues" dxfId="5302" priority="6228"/>
    <cfRule type="duplicateValues" dxfId="5301" priority="6229"/>
    <cfRule type="duplicateValues" dxfId="5300" priority="6230"/>
    <cfRule type="duplicateValues" dxfId="5299" priority="6231"/>
    <cfRule type="duplicateValues" dxfId="5298" priority="6232"/>
    <cfRule type="duplicateValues" dxfId="5297" priority="6233"/>
    <cfRule type="duplicateValues" dxfId="5296" priority="6234"/>
    <cfRule type="duplicateValues" dxfId="5295" priority="6235"/>
    <cfRule type="duplicateValues" dxfId="5294" priority="6236"/>
    <cfRule type="duplicateValues" dxfId="5293" priority="6237"/>
    <cfRule type="duplicateValues" dxfId="5292" priority="6238"/>
    <cfRule type="duplicateValues" dxfId="5291" priority="6239"/>
    <cfRule type="duplicateValues" dxfId="5290" priority="6240"/>
    <cfRule type="duplicateValues" dxfId="5289" priority="6241"/>
    <cfRule type="duplicateValues" dxfId="5288" priority="6242"/>
  </conditionalFormatting>
  <conditionalFormatting sqref="AI26">
    <cfRule type="duplicateValues" dxfId="5287" priority="6164"/>
  </conditionalFormatting>
  <conditionalFormatting sqref="AI26">
    <cfRule type="duplicateValues" dxfId="5286" priority="6165"/>
    <cfRule type="duplicateValues" dxfId="5285" priority="6166"/>
  </conditionalFormatting>
  <conditionalFormatting sqref="AI26">
    <cfRule type="duplicateValues" dxfId="5284" priority="6162"/>
  </conditionalFormatting>
  <conditionalFormatting sqref="AI26">
    <cfRule type="duplicateValues" dxfId="5283" priority="6163"/>
  </conditionalFormatting>
  <conditionalFormatting sqref="AI26">
    <cfRule type="duplicateValues" dxfId="5282" priority="6161"/>
  </conditionalFormatting>
  <conditionalFormatting sqref="AI22:AI23">
    <cfRule type="duplicateValues" dxfId="5281" priority="6167"/>
    <cfRule type="duplicateValues" dxfId="5280" priority="6168"/>
    <cfRule type="duplicateValues" dxfId="5279" priority="6169"/>
    <cfRule type="duplicateValues" dxfId="5278" priority="6170"/>
    <cfRule type="duplicateValues" dxfId="5277" priority="6171"/>
    <cfRule type="duplicateValues" dxfId="5276" priority="6172"/>
    <cfRule type="duplicateValues" dxfId="5275" priority="6173"/>
    <cfRule type="duplicateValues" dxfId="5274" priority="6174"/>
    <cfRule type="duplicateValues" dxfId="5273" priority="6175"/>
    <cfRule type="duplicateValues" dxfId="5272" priority="6176"/>
    <cfRule type="duplicateValues" dxfId="5271" priority="6177"/>
    <cfRule type="duplicateValues" dxfId="5270" priority="6178"/>
    <cfRule type="duplicateValues" dxfId="5269" priority="6179"/>
    <cfRule type="duplicateValues" dxfId="5268" priority="6180"/>
    <cfRule type="duplicateValues" dxfId="5267" priority="6181"/>
    <cfRule type="duplicateValues" dxfId="5266" priority="6182"/>
    <cfRule type="duplicateValues" dxfId="5265" priority="6183"/>
    <cfRule type="duplicateValues" dxfId="5264" priority="6184"/>
    <cfRule type="duplicateValues" dxfId="5263" priority="6185"/>
    <cfRule type="duplicateValues" dxfId="5262" priority="6186"/>
    <cfRule type="duplicateValues" dxfId="5261" priority="6187"/>
    <cfRule type="duplicateValues" dxfId="5260" priority="6188"/>
    <cfRule type="duplicateValues" dxfId="5259" priority="6189"/>
    <cfRule type="duplicateValues" dxfId="5258" priority="6190"/>
    <cfRule type="duplicateValues" dxfId="5257" priority="6191"/>
    <cfRule type="duplicateValues" dxfId="5256" priority="6192"/>
    <cfRule type="duplicateValues" dxfId="5255" priority="6193"/>
    <cfRule type="duplicateValues" dxfId="5254" priority="6194"/>
  </conditionalFormatting>
  <conditionalFormatting sqref="AI26 AI24">
    <cfRule type="duplicateValues" dxfId="5253" priority="6100"/>
    <cfRule type="duplicateValues" dxfId="5252" priority="6101"/>
    <cfRule type="duplicateValues" dxfId="5251" priority="6102"/>
    <cfRule type="duplicateValues" dxfId="5250" priority="6103"/>
  </conditionalFormatting>
  <conditionalFormatting sqref="AI26 AI24">
    <cfRule type="duplicateValues" dxfId="5249" priority="6105"/>
    <cfRule type="duplicateValues" dxfId="5248" priority="6106"/>
    <cfRule type="duplicateValues" dxfId="5247" priority="6107"/>
    <cfRule type="duplicateValues" dxfId="5246" priority="6108"/>
    <cfRule type="duplicateValues" dxfId="5245" priority="6109"/>
  </conditionalFormatting>
  <conditionalFormatting sqref="AI26 AI24">
    <cfRule type="duplicateValues" dxfId="5244" priority="6116"/>
    <cfRule type="duplicateValues" dxfId="5243" priority="6117"/>
    <cfRule type="duplicateValues" dxfId="5242" priority="6118"/>
    <cfRule type="duplicateValues" dxfId="5241" priority="6119"/>
    <cfRule type="duplicateValues" dxfId="5240" priority="6120"/>
    <cfRule type="duplicateValues" dxfId="5239" priority="6121"/>
    <cfRule type="duplicateValues" dxfId="5238" priority="6122"/>
    <cfRule type="duplicateValues" dxfId="5237" priority="6123"/>
    <cfRule type="duplicateValues" dxfId="5236" priority="6124"/>
    <cfRule type="duplicateValues" dxfId="5235" priority="6125"/>
    <cfRule type="duplicateValues" dxfId="5234" priority="6126"/>
  </conditionalFormatting>
  <conditionalFormatting sqref="AI26 AI24">
    <cfRule type="duplicateValues" dxfId="5233" priority="6110"/>
    <cfRule type="duplicateValues" dxfId="5232" priority="6111"/>
    <cfRule type="duplicateValues" dxfId="5231" priority="6112"/>
    <cfRule type="duplicateValues" dxfId="5230" priority="6113"/>
    <cfRule type="duplicateValues" dxfId="5229" priority="6114"/>
    <cfRule type="duplicateValues" dxfId="5228" priority="6115"/>
  </conditionalFormatting>
  <conditionalFormatting sqref="AI26">
    <cfRule type="duplicateValues" dxfId="5227" priority="6127"/>
    <cfRule type="duplicateValues" dxfId="5226" priority="6128"/>
    <cfRule type="duplicateValues" dxfId="5225" priority="6129"/>
    <cfRule type="duplicateValues" dxfId="5224" priority="6130"/>
    <cfRule type="duplicateValues" dxfId="5223" priority="6131"/>
    <cfRule type="duplicateValues" dxfId="5222" priority="6132"/>
  </conditionalFormatting>
  <conditionalFormatting sqref="AI26 AI24">
    <cfRule type="duplicateValues" dxfId="5221" priority="6104"/>
  </conditionalFormatting>
  <conditionalFormatting sqref="AI26 AI24">
    <cfRule type="duplicateValues" dxfId="5220" priority="6133"/>
    <cfRule type="duplicateValues" dxfId="5219" priority="6134"/>
    <cfRule type="duplicateValues" dxfId="5218" priority="6135"/>
    <cfRule type="duplicateValues" dxfId="5217" priority="6136"/>
    <cfRule type="duplicateValues" dxfId="5216" priority="6137"/>
    <cfRule type="duplicateValues" dxfId="5215" priority="6138"/>
    <cfRule type="duplicateValues" dxfId="5214" priority="6139"/>
    <cfRule type="duplicateValues" dxfId="5213" priority="6140"/>
    <cfRule type="duplicateValues" dxfId="5212" priority="6141"/>
    <cfRule type="duplicateValues" dxfId="5211" priority="6142"/>
    <cfRule type="duplicateValues" dxfId="5210" priority="6143"/>
    <cfRule type="duplicateValues" dxfId="5209" priority="6144"/>
    <cfRule type="duplicateValues" dxfId="5208" priority="6145"/>
    <cfRule type="duplicateValues" dxfId="5207" priority="6146"/>
    <cfRule type="duplicateValues" dxfId="5206" priority="6147"/>
    <cfRule type="duplicateValues" dxfId="5205" priority="6148"/>
    <cfRule type="duplicateValues" dxfId="5204" priority="6149"/>
    <cfRule type="duplicateValues" dxfId="5203" priority="6150"/>
    <cfRule type="duplicateValues" dxfId="5202" priority="6151"/>
    <cfRule type="duplicateValues" dxfId="5201" priority="6152"/>
    <cfRule type="duplicateValues" dxfId="5200" priority="6153"/>
    <cfRule type="duplicateValues" dxfId="5199" priority="6154"/>
  </conditionalFormatting>
  <conditionalFormatting sqref="AI26">
    <cfRule type="duplicateValues" dxfId="5198" priority="6155"/>
    <cfRule type="duplicateValues" dxfId="5197" priority="6156"/>
    <cfRule type="duplicateValues" dxfId="5196" priority="6157"/>
    <cfRule type="duplicateValues" dxfId="5195" priority="6158"/>
    <cfRule type="duplicateValues" dxfId="5194" priority="6159"/>
    <cfRule type="duplicateValues" dxfId="5193" priority="6160"/>
  </conditionalFormatting>
  <conditionalFormatting sqref="AI32:AI33">
    <cfRule type="duplicateValues" dxfId="5192" priority="6065"/>
  </conditionalFormatting>
  <conditionalFormatting sqref="AI32:AI33">
    <cfRule type="duplicateValues" dxfId="5191" priority="6063"/>
    <cfRule type="duplicateValues" dxfId="5190" priority="6064"/>
  </conditionalFormatting>
  <conditionalFormatting sqref="AI32:AI33">
    <cfRule type="duplicateValues" dxfId="5189" priority="6069"/>
  </conditionalFormatting>
  <conditionalFormatting sqref="AI32:AI33">
    <cfRule type="duplicateValues" dxfId="5188" priority="6070"/>
    <cfRule type="duplicateValues" dxfId="5187" priority="6071"/>
  </conditionalFormatting>
  <conditionalFormatting sqref="AI32:AI33">
    <cfRule type="duplicateValues" dxfId="5186" priority="6067"/>
  </conditionalFormatting>
  <conditionalFormatting sqref="AI32:AI33">
    <cfRule type="duplicateValues" dxfId="5185" priority="6068"/>
  </conditionalFormatting>
  <conditionalFormatting sqref="AI32:AI33">
    <cfRule type="duplicateValues" dxfId="5184" priority="6066"/>
  </conditionalFormatting>
  <conditionalFormatting sqref="AI32:AI33">
    <cfRule type="duplicateValues" dxfId="5183" priority="6057"/>
    <cfRule type="duplicateValues" dxfId="5182" priority="6058"/>
    <cfRule type="duplicateValues" dxfId="5181" priority="6059"/>
    <cfRule type="duplicateValues" dxfId="5180" priority="6060"/>
    <cfRule type="duplicateValues" dxfId="5179" priority="6061"/>
    <cfRule type="duplicateValues" dxfId="5178" priority="6062"/>
  </conditionalFormatting>
  <conditionalFormatting sqref="AI32:AI33">
    <cfRule type="duplicateValues" dxfId="5177" priority="6052"/>
    <cfRule type="duplicateValues" dxfId="5176" priority="6053"/>
    <cfRule type="duplicateValues" dxfId="5175" priority="6054"/>
    <cfRule type="duplicateValues" dxfId="5174" priority="6055"/>
    <cfRule type="duplicateValues" dxfId="5173" priority="6056"/>
  </conditionalFormatting>
  <conditionalFormatting sqref="AI32:AI33">
    <cfRule type="duplicateValues" dxfId="5172" priority="6072"/>
    <cfRule type="duplicateValues" dxfId="5171" priority="6073"/>
    <cfRule type="duplicateValues" dxfId="5170" priority="6074"/>
    <cfRule type="duplicateValues" dxfId="5169" priority="6075"/>
    <cfRule type="duplicateValues" dxfId="5168" priority="6076"/>
    <cfRule type="duplicateValues" dxfId="5167" priority="6077"/>
    <cfRule type="duplicateValues" dxfId="5166" priority="6078"/>
    <cfRule type="duplicateValues" dxfId="5165" priority="6079"/>
    <cfRule type="duplicateValues" dxfId="5164" priority="6080"/>
    <cfRule type="duplicateValues" dxfId="5163" priority="6081"/>
    <cfRule type="duplicateValues" dxfId="5162" priority="6082"/>
    <cfRule type="duplicateValues" dxfId="5161" priority="6083"/>
    <cfRule type="duplicateValues" dxfId="5160" priority="6084"/>
    <cfRule type="duplicateValues" dxfId="5159" priority="6085"/>
    <cfRule type="duplicateValues" dxfId="5158" priority="6086"/>
    <cfRule type="duplicateValues" dxfId="5157" priority="6087"/>
    <cfRule type="duplicateValues" dxfId="5156" priority="6088"/>
    <cfRule type="duplicateValues" dxfId="5155" priority="6089"/>
    <cfRule type="duplicateValues" dxfId="5154" priority="6090"/>
    <cfRule type="duplicateValues" dxfId="5153" priority="6091"/>
    <cfRule type="duplicateValues" dxfId="5152" priority="6092"/>
    <cfRule type="duplicateValues" dxfId="5151" priority="6093"/>
    <cfRule type="duplicateValues" dxfId="5150" priority="6094"/>
    <cfRule type="duplicateValues" dxfId="5149" priority="6095"/>
    <cfRule type="duplicateValues" dxfId="5148" priority="6096"/>
    <cfRule type="duplicateValues" dxfId="5147" priority="6097"/>
    <cfRule type="duplicateValues" dxfId="5146" priority="6098"/>
    <cfRule type="duplicateValues" dxfId="5145" priority="6099"/>
  </conditionalFormatting>
  <conditionalFormatting sqref="AI36 AI34">
    <cfRule type="duplicateValues" dxfId="5144" priority="6018"/>
  </conditionalFormatting>
  <conditionalFormatting sqref="AI36 AI34">
    <cfRule type="duplicateValues" dxfId="5143" priority="6016"/>
    <cfRule type="duplicateValues" dxfId="5142" priority="6017"/>
  </conditionalFormatting>
  <conditionalFormatting sqref="AI36">
    <cfRule type="duplicateValues" dxfId="5141" priority="6021"/>
  </conditionalFormatting>
  <conditionalFormatting sqref="AI36">
    <cfRule type="duplicateValues" dxfId="5140" priority="6022"/>
    <cfRule type="duplicateValues" dxfId="5139" priority="6023"/>
  </conditionalFormatting>
  <conditionalFormatting sqref="AI36">
    <cfRule type="duplicateValues" dxfId="5138" priority="6020"/>
  </conditionalFormatting>
  <conditionalFormatting sqref="AI36">
    <cfRule type="duplicateValues" dxfId="5137" priority="6019"/>
  </conditionalFormatting>
  <conditionalFormatting sqref="AI36 AI34">
    <cfRule type="duplicateValues" dxfId="5136" priority="6010"/>
    <cfRule type="duplicateValues" dxfId="5135" priority="6011"/>
    <cfRule type="duplicateValues" dxfId="5134" priority="6012"/>
    <cfRule type="duplicateValues" dxfId="5133" priority="6013"/>
    <cfRule type="duplicateValues" dxfId="5132" priority="6014"/>
    <cfRule type="duplicateValues" dxfId="5131" priority="6015"/>
  </conditionalFormatting>
  <conditionalFormatting sqref="AI36 AI34">
    <cfRule type="duplicateValues" dxfId="5130" priority="6005"/>
    <cfRule type="duplicateValues" dxfId="5129" priority="6006"/>
    <cfRule type="duplicateValues" dxfId="5128" priority="6007"/>
    <cfRule type="duplicateValues" dxfId="5127" priority="6008"/>
    <cfRule type="duplicateValues" dxfId="5126" priority="6009"/>
  </conditionalFormatting>
  <conditionalFormatting sqref="AI36 AI34">
    <cfRule type="duplicateValues" dxfId="5125" priority="6024"/>
    <cfRule type="duplicateValues" dxfId="5124" priority="6025"/>
    <cfRule type="duplicateValues" dxfId="5123" priority="6026"/>
    <cfRule type="duplicateValues" dxfId="5122" priority="6027"/>
    <cfRule type="duplicateValues" dxfId="5121" priority="6028"/>
    <cfRule type="duplicateValues" dxfId="5120" priority="6029"/>
    <cfRule type="duplicateValues" dxfId="5119" priority="6030"/>
    <cfRule type="duplicateValues" dxfId="5118" priority="6031"/>
    <cfRule type="duplicateValues" dxfId="5117" priority="6032"/>
    <cfRule type="duplicateValues" dxfId="5116" priority="6033"/>
    <cfRule type="duplicateValues" dxfId="5115" priority="6034"/>
    <cfRule type="duplicateValues" dxfId="5114" priority="6035"/>
    <cfRule type="duplicateValues" dxfId="5113" priority="6036"/>
    <cfRule type="duplicateValues" dxfId="5112" priority="6037"/>
    <cfRule type="duplicateValues" dxfId="5111" priority="6038"/>
    <cfRule type="duplicateValues" dxfId="5110" priority="6039"/>
    <cfRule type="duplicateValues" dxfId="5109" priority="6040"/>
    <cfRule type="duplicateValues" dxfId="5108" priority="6041"/>
    <cfRule type="duplicateValues" dxfId="5107" priority="6042"/>
    <cfRule type="duplicateValues" dxfId="5106" priority="6043"/>
    <cfRule type="duplicateValues" dxfId="5105" priority="6044"/>
    <cfRule type="duplicateValues" dxfId="5104" priority="6045"/>
    <cfRule type="duplicateValues" dxfId="5103" priority="6046"/>
    <cfRule type="duplicateValues" dxfId="5102" priority="6047"/>
    <cfRule type="duplicateValues" dxfId="5101" priority="6048"/>
    <cfRule type="duplicateValues" dxfId="5100" priority="6049"/>
    <cfRule type="duplicateValues" dxfId="5099" priority="6050"/>
    <cfRule type="duplicateValues" dxfId="5098" priority="6051"/>
  </conditionalFormatting>
  <conditionalFormatting sqref="AI36">
    <cfRule type="duplicateValues" dxfId="5097" priority="6004"/>
  </conditionalFormatting>
  <conditionalFormatting sqref="AI37">
    <cfRule type="duplicateValues" dxfId="5096" priority="6243"/>
  </conditionalFormatting>
  <conditionalFormatting sqref="AI37">
    <cfRule type="duplicateValues" dxfId="5095" priority="6244"/>
    <cfRule type="duplicateValues" dxfId="5094" priority="6245"/>
  </conditionalFormatting>
  <conditionalFormatting sqref="AI37">
    <cfRule type="duplicateValues" dxfId="5093" priority="6246"/>
    <cfRule type="duplicateValues" dxfId="5092" priority="6247"/>
    <cfRule type="duplicateValues" dxfId="5091" priority="6248"/>
    <cfRule type="duplicateValues" dxfId="5090" priority="6249"/>
    <cfRule type="duplicateValues" dxfId="5089" priority="6250"/>
    <cfRule type="duplicateValues" dxfId="5088" priority="6251"/>
  </conditionalFormatting>
  <conditionalFormatting sqref="AI37">
    <cfRule type="duplicateValues" dxfId="5087" priority="6252"/>
    <cfRule type="duplicateValues" dxfId="5086" priority="6253"/>
    <cfRule type="duplicateValues" dxfId="5085" priority="6254"/>
    <cfRule type="duplicateValues" dxfId="5084" priority="6255"/>
    <cfRule type="duplicateValues" dxfId="5083" priority="6256"/>
  </conditionalFormatting>
  <conditionalFormatting sqref="AI37">
    <cfRule type="duplicateValues" dxfId="5082" priority="6257"/>
    <cfRule type="duplicateValues" dxfId="5081" priority="6258"/>
    <cfRule type="duplicateValues" dxfId="5080" priority="6259"/>
    <cfRule type="duplicateValues" dxfId="5079" priority="6260"/>
    <cfRule type="duplicateValues" dxfId="5078" priority="6261"/>
    <cfRule type="duplicateValues" dxfId="5077" priority="6262"/>
    <cfRule type="duplicateValues" dxfId="5076" priority="6263"/>
    <cfRule type="duplicateValues" dxfId="5075" priority="6264"/>
    <cfRule type="duplicateValues" dxfId="5074" priority="6265"/>
    <cfRule type="duplicateValues" dxfId="5073" priority="6266"/>
    <cfRule type="duplicateValues" dxfId="5072" priority="6267"/>
    <cfRule type="duplicateValues" dxfId="5071" priority="6268"/>
    <cfRule type="duplicateValues" dxfId="5070" priority="6269"/>
    <cfRule type="duplicateValues" dxfId="5069" priority="6270"/>
    <cfRule type="duplicateValues" dxfId="5068" priority="6271"/>
    <cfRule type="duplicateValues" dxfId="5067" priority="6272"/>
    <cfRule type="duplicateValues" dxfId="5066" priority="6273"/>
    <cfRule type="duplicateValues" dxfId="5065" priority="6274"/>
    <cfRule type="duplicateValues" dxfId="5064" priority="6275"/>
    <cfRule type="duplicateValues" dxfId="5063" priority="6276"/>
    <cfRule type="duplicateValues" dxfId="5062" priority="6277"/>
    <cfRule type="duplicateValues" dxfId="5061" priority="6278"/>
    <cfRule type="duplicateValues" dxfId="5060" priority="6279"/>
    <cfRule type="duplicateValues" dxfId="5059" priority="6280"/>
    <cfRule type="duplicateValues" dxfId="5058" priority="6281"/>
    <cfRule type="duplicateValues" dxfId="5057" priority="6282"/>
    <cfRule type="duplicateValues" dxfId="5056" priority="6283"/>
    <cfRule type="duplicateValues" dxfId="5055" priority="6284"/>
  </conditionalFormatting>
  <conditionalFormatting sqref="J20 J18">
    <cfRule type="duplicateValues" dxfId="5054" priority="5969"/>
  </conditionalFormatting>
  <conditionalFormatting sqref="J20 J18">
    <cfRule type="duplicateValues" dxfId="5053" priority="5967"/>
    <cfRule type="duplicateValues" dxfId="5052" priority="5968"/>
  </conditionalFormatting>
  <conditionalFormatting sqref="J20 J18">
    <cfRule type="duplicateValues" dxfId="5051" priority="5973"/>
  </conditionalFormatting>
  <conditionalFormatting sqref="J20 J18">
    <cfRule type="duplicateValues" dxfId="5050" priority="5974"/>
    <cfRule type="duplicateValues" dxfId="5049" priority="5975"/>
  </conditionalFormatting>
  <conditionalFormatting sqref="J20 J18">
    <cfRule type="duplicateValues" dxfId="5048" priority="5971"/>
  </conditionalFormatting>
  <conditionalFormatting sqref="J20 J18">
    <cfRule type="duplicateValues" dxfId="5047" priority="5972"/>
  </conditionalFormatting>
  <conditionalFormatting sqref="J20 J18">
    <cfRule type="duplicateValues" dxfId="5046" priority="5970"/>
  </conditionalFormatting>
  <conditionalFormatting sqref="J20 J18">
    <cfRule type="duplicateValues" dxfId="5045" priority="5961"/>
    <cfRule type="duplicateValues" dxfId="5044" priority="5962"/>
    <cfRule type="duplicateValues" dxfId="5043" priority="5963"/>
    <cfRule type="duplicateValues" dxfId="5042" priority="5964"/>
    <cfRule type="duplicateValues" dxfId="5041" priority="5965"/>
    <cfRule type="duplicateValues" dxfId="5040" priority="5966"/>
  </conditionalFormatting>
  <conditionalFormatting sqref="J20 J18">
    <cfRule type="duplicateValues" dxfId="5039" priority="5956"/>
    <cfRule type="duplicateValues" dxfId="5038" priority="5957"/>
    <cfRule type="duplicateValues" dxfId="5037" priority="5958"/>
    <cfRule type="duplicateValues" dxfId="5036" priority="5959"/>
    <cfRule type="duplicateValues" dxfId="5035" priority="5960"/>
  </conditionalFormatting>
  <conditionalFormatting sqref="J20 J18">
    <cfRule type="duplicateValues" dxfId="5034" priority="5976"/>
    <cfRule type="duplicateValues" dxfId="5033" priority="5977"/>
    <cfRule type="duplicateValues" dxfId="5032" priority="5978"/>
    <cfRule type="duplicateValues" dxfId="5031" priority="5979"/>
    <cfRule type="duplicateValues" dxfId="5030" priority="5980"/>
    <cfRule type="duplicateValues" dxfId="5029" priority="5981"/>
    <cfRule type="duplicateValues" dxfId="5028" priority="5982"/>
    <cfRule type="duplicateValues" dxfId="5027" priority="5983"/>
    <cfRule type="duplicateValues" dxfId="5026" priority="5984"/>
    <cfRule type="duplicateValues" dxfId="5025" priority="5985"/>
    <cfRule type="duplicateValues" dxfId="5024" priority="5986"/>
    <cfRule type="duplicateValues" dxfId="5023" priority="5987"/>
    <cfRule type="duplicateValues" dxfId="5022" priority="5988"/>
    <cfRule type="duplicateValues" dxfId="5021" priority="5989"/>
    <cfRule type="duplicateValues" dxfId="5020" priority="5990"/>
    <cfRule type="duplicateValues" dxfId="5019" priority="5991"/>
    <cfRule type="duplicateValues" dxfId="5018" priority="5992"/>
    <cfRule type="duplicateValues" dxfId="5017" priority="5993"/>
    <cfRule type="duplicateValues" dxfId="5016" priority="5994"/>
    <cfRule type="duplicateValues" dxfId="5015" priority="5995"/>
    <cfRule type="duplicateValues" dxfId="5014" priority="5996"/>
    <cfRule type="duplicateValues" dxfId="5013" priority="5997"/>
    <cfRule type="duplicateValues" dxfId="5012" priority="5998"/>
    <cfRule type="duplicateValues" dxfId="5011" priority="5999"/>
    <cfRule type="duplicateValues" dxfId="5010" priority="6000"/>
    <cfRule type="duplicateValues" dxfId="5009" priority="6001"/>
    <cfRule type="duplicateValues" dxfId="5008" priority="6002"/>
    <cfRule type="duplicateValues" dxfId="5007" priority="6003"/>
  </conditionalFormatting>
  <conditionalFormatting sqref="J25">
    <cfRule type="duplicateValues" dxfId="5006" priority="5921"/>
  </conditionalFormatting>
  <conditionalFormatting sqref="J25">
    <cfRule type="duplicateValues" dxfId="5005" priority="5919"/>
    <cfRule type="duplicateValues" dxfId="5004" priority="5920"/>
  </conditionalFormatting>
  <conditionalFormatting sqref="J25">
    <cfRule type="duplicateValues" dxfId="5003" priority="5925"/>
  </conditionalFormatting>
  <conditionalFormatting sqref="J25">
    <cfRule type="duplicateValues" dxfId="5002" priority="5926"/>
    <cfRule type="duplicateValues" dxfId="5001" priority="5927"/>
  </conditionalFormatting>
  <conditionalFormatting sqref="J25">
    <cfRule type="duplicateValues" dxfId="5000" priority="5923"/>
  </conditionalFormatting>
  <conditionalFormatting sqref="J25">
    <cfRule type="duplicateValues" dxfId="4999" priority="5924"/>
  </conditionalFormatting>
  <conditionalFormatting sqref="J25">
    <cfRule type="duplicateValues" dxfId="4998" priority="5922"/>
  </conditionalFormatting>
  <conditionalFormatting sqref="J25">
    <cfRule type="duplicateValues" dxfId="4997" priority="5913"/>
    <cfRule type="duplicateValues" dxfId="4996" priority="5914"/>
    <cfRule type="duplicateValues" dxfId="4995" priority="5915"/>
    <cfRule type="duplicateValues" dxfId="4994" priority="5916"/>
    <cfRule type="duplicateValues" dxfId="4993" priority="5917"/>
    <cfRule type="duplicateValues" dxfId="4992" priority="5918"/>
  </conditionalFormatting>
  <conditionalFormatting sqref="J25">
    <cfRule type="duplicateValues" dxfId="4991" priority="5908"/>
    <cfRule type="duplicateValues" dxfId="4990" priority="5909"/>
    <cfRule type="duplicateValues" dxfId="4989" priority="5910"/>
    <cfRule type="duplicateValues" dxfId="4988" priority="5911"/>
    <cfRule type="duplicateValues" dxfId="4987" priority="5912"/>
  </conditionalFormatting>
  <conditionalFormatting sqref="J25">
    <cfRule type="duplicateValues" dxfId="4986" priority="5928"/>
    <cfRule type="duplicateValues" dxfId="4985" priority="5929"/>
    <cfRule type="duplicateValues" dxfId="4984" priority="5930"/>
    <cfRule type="duplicateValues" dxfId="4983" priority="5931"/>
    <cfRule type="duplicateValues" dxfId="4982" priority="5932"/>
    <cfRule type="duplicateValues" dxfId="4981" priority="5933"/>
    <cfRule type="duplicateValues" dxfId="4980" priority="5934"/>
    <cfRule type="duplicateValues" dxfId="4979" priority="5935"/>
    <cfRule type="duplicateValues" dxfId="4978" priority="5936"/>
    <cfRule type="duplicateValues" dxfId="4977" priority="5937"/>
    <cfRule type="duplicateValues" dxfId="4976" priority="5938"/>
    <cfRule type="duplicateValues" dxfId="4975" priority="5939"/>
    <cfRule type="duplicateValues" dxfId="4974" priority="5940"/>
    <cfRule type="duplicateValues" dxfId="4973" priority="5941"/>
    <cfRule type="duplicateValues" dxfId="4972" priority="5942"/>
    <cfRule type="duplicateValues" dxfId="4971" priority="5943"/>
    <cfRule type="duplicateValues" dxfId="4970" priority="5944"/>
    <cfRule type="duplicateValues" dxfId="4969" priority="5945"/>
    <cfRule type="duplicateValues" dxfId="4968" priority="5946"/>
    <cfRule type="duplicateValues" dxfId="4967" priority="5947"/>
    <cfRule type="duplicateValues" dxfId="4966" priority="5948"/>
    <cfRule type="duplicateValues" dxfId="4965" priority="5949"/>
    <cfRule type="duplicateValues" dxfId="4964" priority="5950"/>
    <cfRule type="duplicateValues" dxfId="4963" priority="5951"/>
    <cfRule type="duplicateValues" dxfId="4962" priority="5952"/>
    <cfRule type="duplicateValues" dxfId="4961" priority="5953"/>
    <cfRule type="duplicateValues" dxfId="4960" priority="5954"/>
    <cfRule type="duplicateValues" dxfId="4959" priority="5955"/>
  </conditionalFormatting>
  <conditionalFormatting sqref="J11:J12">
    <cfRule type="duplicateValues" dxfId="4958" priority="5873"/>
  </conditionalFormatting>
  <conditionalFormatting sqref="J11:J12">
    <cfRule type="duplicateValues" dxfId="4957" priority="5871"/>
    <cfRule type="duplicateValues" dxfId="4956" priority="5872"/>
  </conditionalFormatting>
  <conditionalFormatting sqref="J11:J12">
    <cfRule type="duplicateValues" dxfId="4955" priority="5877"/>
  </conditionalFormatting>
  <conditionalFormatting sqref="J11:J12">
    <cfRule type="duplicateValues" dxfId="4954" priority="5878"/>
    <cfRule type="duplicateValues" dxfId="4953" priority="5879"/>
  </conditionalFormatting>
  <conditionalFormatting sqref="J11:J12">
    <cfRule type="duplicateValues" dxfId="4952" priority="5875"/>
  </conditionalFormatting>
  <conditionalFormatting sqref="J11:J12">
    <cfRule type="duplicateValues" dxfId="4951" priority="5876"/>
  </conditionalFormatting>
  <conditionalFormatting sqref="J11:J12">
    <cfRule type="duplicateValues" dxfId="4950" priority="5874"/>
  </conditionalFormatting>
  <conditionalFormatting sqref="J11:J12">
    <cfRule type="duplicateValues" dxfId="4949" priority="5865"/>
    <cfRule type="duplicateValues" dxfId="4948" priority="5866"/>
    <cfRule type="duplicateValues" dxfId="4947" priority="5867"/>
    <cfRule type="duplicateValues" dxfId="4946" priority="5868"/>
    <cfRule type="duplicateValues" dxfId="4945" priority="5869"/>
    <cfRule type="duplicateValues" dxfId="4944" priority="5870"/>
  </conditionalFormatting>
  <conditionalFormatting sqref="J11:J12">
    <cfRule type="duplicateValues" dxfId="4943" priority="5860"/>
    <cfRule type="duplicateValues" dxfId="4942" priority="5861"/>
    <cfRule type="duplicateValues" dxfId="4941" priority="5862"/>
    <cfRule type="duplicateValues" dxfId="4940" priority="5863"/>
    <cfRule type="duplicateValues" dxfId="4939" priority="5864"/>
  </conditionalFormatting>
  <conditionalFormatting sqref="J11:J12">
    <cfRule type="duplicateValues" dxfId="4938" priority="5880"/>
    <cfRule type="duplicateValues" dxfId="4937" priority="5881"/>
    <cfRule type="duplicateValues" dxfId="4936" priority="5882"/>
    <cfRule type="duplicateValues" dxfId="4935" priority="5883"/>
    <cfRule type="duplicateValues" dxfId="4934" priority="5884"/>
    <cfRule type="duplicateValues" dxfId="4933" priority="5885"/>
    <cfRule type="duplicateValues" dxfId="4932" priority="5886"/>
    <cfRule type="duplicateValues" dxfId="4931" priority="5887"/>
    <cfRule type="duplicateValues" dxfId="4930" priority="5888"/>
    <cfRule type="duplicateValues" dxfId="4929" priority="5889"/>
    <cfRule type="duplicateValues" dxfId="4928" priority="5890"/>
    <cfRule type="duplicateValues" dxfId="4927" priority="5891"/>
    <cfRule type="duplicateValues" dxfId="4926" priority="5892"/>
    <cfRule type="duplicateValues" dxfId="4925" priority="5893"/>
    <cfRule type="duplicateValues" dxfId="4924" priority="5894"/>
    <cfRule type="duplicateValues" dxfId="4923" priority="5895"/>
    <cfRule type="duplicateValues" dxfId="4922" priority="5896"/>
    <cfRule type="duplicateValues" dxfId="4921" priority="5897"/>
    <cfRule type="duplicateValues" dxfId="4920" priority="5898"/>
    <cfRule type="duplicateValues" dxfId="4919" priority="5899"/>
    <cfRule type="duplicateValues" dxfId="4918" priority="5900"/>
    <cfRule type="duplicateValues" dxfId="4917" priority="5901"/>
    <cfRule type="duplicateValues" dxfId="4916" priority="5902"/>
    <cfRule type="duplicateValues" dxfId="4915" priority="5903"/>
    <cfRule type="duplicateValues" dxfId="4914" priority="5904"/>
    <cfRule type="duplicateValues" dxfId="4913" priority="5905"/>
    <cfRule type="duplicateValues" dxfId="4912" priority="5906"/>
    <cfRule type="duplicateValues" dxfId="4911" priority="5907"/>
  </conditionalFormatting>
  <conditionalFormatting sqref="J20 J16 J18">
    <cfRule type="duplicateValues" dxfId="4910" priority="5792"/>
  </conditionalFormatting>
  <conditionalFormatting sqref="J20 J16 J18">
    <cfRule type="duplicateValues" dxfId="4909" priority="5790"/>
    <cfRule type="duplicateValues" dxfId="4908" priority="5791"/>
  </conditionalFormatting>
  <conditionalFormatting sqref="J20 J16 J18">
    <cfRule type="duplicateValues" dxfId="4907" priority="5829"/>
  </conditionalFormatting>
  <conditionalFormatting sqref="J20 J16 J18">
    <cfRule type="duplicateValues" dxfId="4906" priority="5830"/>
    <cfRule type="duplicateValues" dxfId="4905" priority="5831"/>
  </conditionalFormatting>
  <conditionalFormatting sqref="J20 J16 J18">
    <cfRule type="duplicateValues" dxfId="4904" priority="5827"/>
  </conditionalFormatting>
  <conditionalFormatting sqref="J20 J16 J18">
    <cfRule type="duplicateValues" dxfId="4903" priority="5828"/>
  </conditionalFormatting>
  <conditionalFormatting sqref="J20 J16 J18">
    <cfRule type="duplicateValues" dxfId="4902" priority="5826"/>
  </conditionalFormatting>
  <conditionalFormatting sqref="J20 J16 J18">
    <cfRule type="duplicateValues" dxfId="4901" priority="5793"/>
    <cfRule type="duplicateValues" dxfId="4900" priority="5794"/>
    <cfRule type="duplicateValues" dxfId="4899" priority="5795"/>
    <cfRule type="duplicateValues" dxfId="4898" priority="5796"/>
  </conditionalFormatting>
  <conditionalFormatting sqref="J20 J16 J18">
    <cfRule type="duplicateValues" dxfId="4897" priority="5798"/>
    <cfRule type="duplicateValues" dxfId="4896" priority="5799"/>
    <cfRule type="duplicateValues" dxfId="4895" priority="5800"/>
    <cfRule type="duplicateValues" dxfId="4894" priority="5801"/>
    <cfRule type="duplicateValues" dxfId="4893" priority="5802"/>
  </conditionalFormatting>
  <conditionalFormatting sqref="J20 J16 J18">
    <cfRule type="duplicateValues" dxfId="4892" priority="5809"/>
    <cfRule type="duplicateValues" dxfId="4891" priority="5810"/>
    <cfRule type="duplicateValues" dxfId="4890" priority="5811"/>
    <cfRule type="duplicateValues" dxfId="4889" priority="5812"/>
    <cfRule type="duplicateValues" dxfId="4888" priority="5813"/>
    <cfRule type="duplicateValues" dxfId="4887" priority="5814"/>
    <cfRule type="duplicateValues" dxfId="4886" priority="5815"/>
    <cfRule type="duplicateValues" dxfId="4885" priority="5816"/>
    <cfRule type="duplicateValues" dxfId="4884" priority="5817"/>
    <cfRule type="duplicateValues" dxfId="4883" priority="5818"/>
    <cfRule type="duplicateValues" dxfId="4882" priority="5819"/>
  </conditionalFormatting>
  <conditionalFormatting sqref="J20 J16 J18">
    <cfRule type="duplicateValues" dxfId="4881" priority="5803"/>
    <cfRule type="duplicateValues" dxfId="4880" priority="5804"/>
    <cfRule type="duplicateValues" dxfId="4879" priority="5805"/>
    <cfRule type="duplicateValues" dxfId="4878" priority="5806"/>
    <cfRule type="duplicateValues" dxfId="4877" priority="5807"/>
    <cfRule type="duplicateValues" dxfId="4876" priority="5808"/>
  </conditionalFormatting>
  <conditionalFormatting sqref="J20 J16 J18">
    <cfRule type="duplicateValues" dxfId="4875" priority="5820"/>
    <cfRule type="duplicateValues" dxfId="4874" priority="5821"/>
    <cfRule type="duplicateValues" dxfId="4873" priority="5822"/>
    <cfRule type="duplicateValues" dxfId="4872" priority="5823"/>
    <cfRule type="duplicateValues" dxfId="4871" priority="5824"/>
    <cfRule type="duplicateValues" dxfId="4870" priority="5825"/>
  </conditionalFormatting>
  <conditionalFormatting sqref="J20 J16 J18">
    <cfRule type="duplicateValues" dxfId="4869" priority="5797"/>
  </conditionalFormatting>
  <conditionalFormatting sqref="J20 J16 J18">
    <cfRule type="duplicateValues" dxfId="4868" priority="5784"/>
    <cfRule type="duplicateValues" dxfId="4867" priority="5785"/>
    <cfRule type="duplicateValues" dxfId="4866" priority="5786"/>
    <cfRule type="duplicateValues" dxfId="4865" priority="5787"/>
    <cfRule type="duplicateValues" dxfId="4864" priority="5788"/>
    <cfRule type="duplicateValues" dxfId="4863" priority="5789"/>
  </conditionalFormatting>
  <conditionalFormatting sqref="J20 J16 J18">
    <cfRule type="duplicateValues" dxfId="4862" priority="5779"/>
    <cfRule type="duplicateValues" dxfId="4861" priority="5780"/>
    <cfRule type="duplicateValues" dxfId="4860" priority="5781"/>
    <cfRule type="duplicateValues" dxfId="4859" priority="5782"/>
    <cfRule type="duplicateValues" dxfId="4858" priority="5783"/>
  </conditionalFormatting>
  <conditionalFormatting sqref="J20 J16 J18">
    <cfRule type="duplicateValues" dxfId="4857" priority="5832"/>
    <cfRule type="duplicateValues" dxfId="4856" priority="5833"/>
    <cfRule type="duplicateValues" dxfId="4855" priority="5834"/>
    <cfRule type="duplicateValues" dxfId="4854" priority="5835"/>
    <cfRule type="duplicateValues" dxfId="4853" priority="5836"/>
    <cfRule type="duplicateValues" dxfId="4852" priority="5837"/>
    <cfRule type="duplicateValues" dxfId="4851" priority="5838"/>
    <cfRule type="duplicateValues" dxfId="4850" priority="5839"/>
    <cfRule type="duplicateValues" dxfId="4849" priority="5840"/>
    <cfRule type="duplicateValues" dxfId="4848" priority="5841"/>
    <cfRule type="duplicateValues" dxfId="4847" priority="5842"/>
    <cfRule type="duplicateValues" dxfId="4846" priority="5843"/>
    <cfRule type="duplicateValues" dxfId="4845" priority="5844"/>
    <cfRule type="duplicateValues" dxfId="4844" priority="5845"/>
    <cfRule type="duplicateValues" dxfId="4843" priority="5846"/>
    <cfRule type="duplicateValues" dxfId="4842" priority="5847"/>
    <cfRule type="duplicateValues" dxfId="4841" priority="5848"/>
    <cfRule type="duplicateValues" dxfId="4840" priority="5849"/>
    <cfRule type="duplicateValues" dxfId="4839" priority="5850"/>
    <cfRule type="duplicateValues" dxfId="4838" priority="5851"/>
    <cfRule type="duplicateValues" dxfId="4837" priority="5852"/>
    <cfRule type="duplicateValues" dxfId="4836" priority="5853"/>
  </conditionalFormatting>
  <conditionalFormatting sqref="J20 J16 J18">
    <cfRule type="duplicateValues" dxfId="4835" priority="5854"/>
    <cfRule type="duplicateValues" dxfId="4834" priority="5855"/>
    <cfRule type="duplicateValues" dxfId="4833" priority="5856"/>
    <cfRule type="duplicateValues" dxfId="4832" priority="5857"/>
    <cfRule type="duplicateValues" dxfId="4831" priority="5858"/>
    <cfRule type="duplicateValues" dxfId="4830" priority="5859"/>
  </conditionalFormatting>
  <conditionalFormatting sqref="J11:J12">
    <cfRule type="duplicateValues" dxfId="4829" priority="5744"/>
  </conditionalFormatting>
  <conditionalFormatting sqref="J11:J12">
    <cfRule type="duplicateValues" dxfId="4828" priority="5742"/>
    <cfRule type="duplicateValues" dxfId="4827" priority="5743"/>
  </conditionalFormatting>
  <conditionalFormatting sqref="J11:J12">
    <cfRule type="duplicateValues" dxfId="4826" priority="5748"/>
  </conditionalFormatting>
  <conditionalFormatting sqref="J11:J12">
    <cfRule type="duplicateValues" dxfId="4825" priority="5749"/>
    <cfRule type="duplicateValues" dxfId="4824" priority="5750"/>
  </conditionalFormatting>
  <conditionalFormatting sqref="J11:J12">
    <cfRule type="duplicateValues" dxfId="4823" priority="5746"/>
  </conditionalFormatting>
  <conditionalFormatting sqref="J11:J12">
    <cfRule type="duplicateValues" dxfId="4822" priority="5747"/>
  </conditionalFormatting>
  <conditionalFormatting sqref="J11:J12">
    <cfRule type="duplicateValues" dxfId="4821" priority="5745"/>
  </conditionalFormatting>
  <conditionalFormatting sqref="J11:J12">
    <cfRule type="duplicateValues" dxfId="4820" priority="5736"/>
    <cfRule type="duplicateValues" dxfId="4819" priority="5737"/>
    <cfRule type="duplicateValues" dxfId="4818" priority="5738"/>
    <cfRule type="duplicateValues" dxfId="4817" priority="5739"/>
    <cfRule type="duplicateValues" dxfId="4816" priority="5740"/>
    <cfRule type="duplicateValues" dxfId="4815" priority="5741"/>
  </conditionalFormatting>
  <conditionalFormatting sqref="J11:J12">
    <cfRule type="duplicateValues" dxfId="4814" priority="5731"/>
    <cfRule type="duplicateValues" dxfId="4813" priority="5732"/>
    <cfRule type="duplicateValues" dxfId="4812" priority="5733"/>
    <cfRule type="duplicateValues" dxfId="4811" priority="5734"/>
    <cfRule type="duplicateValues" dxfId="4810" priority="5735"/>
  </conditionalFormatting>
  <conditionalFormatting sqref="J11:J12">
    <cfRule type="duplicateValues" dxfId="4809" priority="5751"/>
    <cfRule type="duplicateValues" dxfId="4808" priority="5752"/>
    <cfRule type="duplicateValues" dxfId="4807" priority="5753"/>
    <cfRule type="duplicateValues" dxfId="4806" priority="5754"/>
    <cfRule type="duplicateValues" dxfId="4805" priority="5755"/>
    <cfRule type="duplicateValues" dxfId="4804" priority="5756"/>
    <cfRule type="duplicateValues" dxfId="4803" priority="5757"/>
    <cfRule type="duplicateValues" dxfId="4802" priority="5758"/>
    <cfRule type="duplicateValues" dxfId="4801" priority="5759"/>
    <cfRule type="duplicateValues" dxfId="4800" priority="5760"/>
    <cfRule type="duplicateValues" dxfId="4799" priority="5761"/>
    <cfRule type="duplicateValues" dxfId="4798" priority="5762"/>
    <cfRule type="duplicateValues" dxfId="4797" priority="5763"/>
    <cfRule type="duplicateValues" dxfId="4796" priority="5764"/>
    <cfRule type="duplicateValues" dxfId="4795" priority="5765"/>
    <cfRule type="duplicateValues" dxfId="4794" priority="5766"/>
    <cfRule type="duplicateValues" dxfId="4793" priority="5767"/>
    <cfRule type="duplicateValues" dxfId="4792" priority="5768"/>
    <cfRule type="duplicateValues" dxfId="4791" priority="5769"/>
    <cfRule type="duplicateValues" dxfId="4790" priority="5770"/>
    <cfRule type="duplicateValues" dxfId="4789" priority="5771"/>
    <cfRule type="duplicateValues" dxfId="4788" priority="5772"/>
    <cfRule type="duplicateValues" dxfId="4787" priority="5773"/>
    <cfRule type="duplicateValues" dxfId="4786" priority="5774"/>
    <cfRule type="duplicateValues" dxfId="4785" priority="5775"/>
    <cfRule type="duplicateValues" dxfId="4784" priority="5776"/>
    <cfRule type="duplicateValues" dxfId="4783" priority="5777"/>
    <cfRule type="duplicateValues" dxfId="4782" priority="5778"/>
  </conditionalFormatting>
  <conditionalFormatting sqref="J21:J23">
    <cfRule type="duplicateValues" dxfId="4781" priority="5696"/>
  </conditionalFormatting>
  <conditionalFormatting sqref="J21:J23">
    <cfRule type="duplicateValues" dxfId="4780" priority="5694"/>
    <cfRule type="duplicateValues" dxfId="4779" priority="5695"/>
  </conditionalFormatting>
  <conditionalFormatting sqref="J21:J23">
    <cfRule type="duplicateValues" dxfId="4778" priority="5700"/>
  </conditionalFormatting>
  <conditionalFormatting sqref="J21:J23">
    <cfRule type="duplicateValues" dxfId="4777" priority="5701"/>
    <cfRule type="duplicateValues" dxfId="4776" priority="5702"/>
  </conditionalFormatting>
  <conditionalFormatting sqref="J21:J23">
    <cfRule type="duplicateValues" dxfId="4775" priority="5698"/>
  </conditionalFormatting>
  <conditionalFormatting sqref="J21:J23">
    <cfRule type="duplicateValues" dxfId="4774" priority="5699"/>
  </conditionalFormatting>
  <conditionalFormatting sqref="J21:J23">
    <cfRule type="duplicateValues" dxfId="4773" priority="5697"/>
  </conditionalFormatting>
  <conditionalFormatting sqref="J21:J23">
    <cfRule type="duplicateValues" dxfId="4772" priority="5688"/>
    <cfRule type="duplicateValues" dxfId="4771" priority="5689"/>
    <cfRule type="duplicateValues" dxfId="4770" priority="5690"/>
    <cfRule type="duplicateValues" dxfId="4769" priority="5691"/>
    <cfRule type="duplicateValues" dxfId="4768" priority="5692"/>
    <cfRule type="duplicateValues" dxfId="4767" priority="5693"/>
  </conditionalFormatting>
  <conditionalFormatting sqref="J21:J23">
    <cfRule type="duplicateValues" dxfId="4766" priority="5683"/>
    <cfRule type="duplicateValues" dxfId="4765" priority="5684"/>
    <cfRule type="duplicateValues" dxfId="4764" priority="5685"/>
    <cfRule type="duplicateValues" dxfId="4763" priority="5686"/>
    <cfRule type="duplicateValues" dxfId="4762" priority="5687"/>
  </conditionalFormatting>
  <conditionalFormatting sqref="J21:J23">
    <cfRule type="duplicateValues" dxfId="4761" priority="5703"/>
    <cfRule type="duplicateValues" dxfId="4760" priority="5704"/>
    <cfRule type="duplicateValues" dxfId="4759" priority="5705"/>
    <cfRule type="duplicateValues" dxfId="4758" priority="5706"/>
    <cfRule type="duplicateValues" dxfId="4757" priority="5707"/>
    <cfRule type="duplicateValues" dxfId="4756" priority="5708"/>
    <cfRule type="duplicateValues" dxfId="4755" priority="5709"/>
    <cfRule type="duplicateValues" dxfId="4754" priority="5710"/>
    <cfRule type="duplicateValues" dxfId="4753" priority="5711"/>
    <cfRule type="duplicateValues" dxfId="4752" priority="5712"/>
    <cfRule type="duplicateValues" dxfId="4751" priority="5713"/>
    <cfRule type="duplicateValues" dxfId="4750" priority="5714"/>
    <cfRule type="duplicateValues" dxfId="4749" priority="5715"/>
    <cfRule type="duplicateValues" dxfId="4748" priority="5716"/>
    <cfRule type="duplicateValues" dxfId="4747" priority="5717"/>
    <cfRule type="duplicateValues" dxfId="4746" priority="5718"/>
    <cfRule type="duplicateValues" dxfId="4745" priority="5719"/>
    <cfRule type="duplicateValues" dxfId="4744" priority="5720"/>
    <cfRule type="duplicateValues" dxfId="4743" priority="5721"/>
    <cfRule type="duplicateValues" dxfId="4742" priority="5722"/>
    <cfRule type="duplicateValues" dxfId="4741" priority="5723"/>
    <cfRule type="duplicateValues" dxfId="4740" priority="5724"/>
    <cfRule type="duplicateValues" dxfId="4739" priority="5725"/>
    <cfRule type="duplicateValues" dxfId="4738" priority="5726"/>
    <cfRule type="duplicateValues" dxfId="4737" priority="5727"/>
    <cfRule type="duplicateValues" dxfId="4736" priority="5728"/>
    <cfRule type="duplicateValues" dxfId="4735" priority="5729"/>
    <cfRule type="duplicateValues" dxfId="4734" priority="5730"/>
  </conditionalFormatting>
  <conditionalFormatting sqref="J17:J22">
    <cfRule type="duplicateValues" dxfId="4733" priority="5615"/>
  </conditionalFormatting>
  <conditionalFormatting sqref="J17:J22">
    <cfRule type="duplicateValues" dxfId="4732" priority="5613"/>
    <cfRule type="duplicateValues" dxfId="4731" priority="5614"/>
  </conditionalFormatting>
  <conditionalFormatting sqref="J17:J22">
    <cfRule type="duplicateValues" dxfId="4730" priority="5652"/>
  </conditionalFormatting>
  <conditionalFormatting sqref="J17:J22">
    <cfRule type="duplicateValues" dxfId="4729" priority="5653"/>
    <cfRule type="duplicateValues" dxfId="4728" priority="5654"/>
  </conditionalFormatting>
  <conditionalFormatting sqref="J17:J22">
    <cfRule type="duplicateValues" dxfId="4727" priority="5650"/>
  </conditionalFormatting>
  <conditionalFormatting sqref="J17:J22">
    <cfRule type="duplicateValues" dxfId="4726" priority="5651"/>
  </conditionalFormatting>
  <conditionalFormatting sqref="J17:J22">
    <cfRule type="duplicateValues" dxfId="4725" priority="5649"/>
  </conditionalFormatting>
  <conditionalFormatting sqref="J17:J22">
    <cfRule type="duplicateValues" dxfId="4724" priority="5616"/>
    <cfRule type="duplicateValues" dxfId="4723" priority="5617"/>
    <cfRule type="duplicateValues" dxfId="4722" priority="5618"/>
    <cfRule type="duplicateValues" dxfId="4721" priority="5619"/>
  </conditionalFormatting>
  <conditionalFormatting sqref="J17:J22">
    <cfRule type="duplicateValues" dxfId="4720" priority="5621"/>
    <cfRule type="duplicateValues" dxfId="4719" priority="5622"/>
    <cfRule type="duplicateValues" dxfId="4718" priority="5623"/>
    <cfRule type="duplicateValues" dxfId="4717" priority="5624"/>
    <cfRule type="duplicateValues" dxfId="4716" priority="5625"/>
  </conditionalFormatting>
  <conditionalFormatting sqref="J17:J22">
    <cfRule type="duplicateValues" dxfId="4715" priority="5632"/>
    <cfRule type="duplicateValues" dxfId="4714" priority="5633"/>
    <cfRule type="duplicateValues" dxfId="4713" priority="5634"/>
    <cfRule type="duplicateValues" dxfId="4712" priority="5635"/>
    <cfRule type="duplicateValues" dxfId="4711" priority="5636"/>
    <cfRule type="duplicateValues" dxfId="4710" priority="5637"/>
    <cfRule type="duplicateValues" dxfId="4709" priority="5638"/>
    <cfRule type="duplicateValues" dxfId="4708" priority="5639"/>
    <cfRule type="duplicateValues" dxfId="4707" priority="5640"/>
    <cfRule type="duplicateValues" dxfId="4706" priority="5641"/>
    <cfRule type="duplicateValues" dxfId="4705" priority="5642"/>
  </conditionalFormatting>
  <conditionalFormatting sqref="J17:J22">
    <cfRule type="duplicateValues" dxfId="4704" priority="5626"/>
    <cfRule type="duplicateValues" dxfId="4703" priority="5627"/>
    <cfRule type="duplicateValues" dxfId="4702" priority="5628"/>
    <cfRule type="duplicateValues" dxfId="4701" priority="5629"/>
    <cfRule type="duplicateValues" dxfId="4700" priority="5630"/>
    <cfRule type="duplicateValues" dxfId="4699" priority="5631"/>
  </conditionalFormatting>
  <conditionalFormatting sqref="J17:J22">
    <cfRule type="duplicateValues" dxfId="4698" priority="5643"/>
    <cfRule type="duplicateValues" dxfId="4697" priority="5644"/>
    <cfRule type="duplicateValues" dxfId="4696" priority="5645"/>
    <cfRule type="duplicateValues" dxfId="4695" priority="5646"/>
    <cfRule type="duplicateValues" dxfId="4694" priority="5647"/>
    <cfRule type="duplicateValues" dxfId="4693" priority="5648"/>
  </conditionalFormatting>
  <conditionalFormatting sqref="J17:J22">
    <cfRule type="duplicateValues" dxfId="4692" priority="5620"/>
  </conditionalFormatting>
  <conditionalFormatting sqref="J17:J22">
    <cfRule type="duplicateValues" dxfId="4691" priority="5607"/>
    <cfRule type="duplicateValues" dxfId="4690" priority="5608"/>
    <cfRule type="duplicateValues" dxfId="4689" priority="5609"/>
    <cfRule type="duplicateValues" dxfId="4688" priority="5610"/>
    <cfRule type="duplicateValues" dxfId="4687" priority="5611"/>
    <cfRule type="duplicateValues" dxfId="4686" priority="5612"/>
  </conditionalFormatting>
  <conditionalFormatting sqref="J17:J22">
    <cfRule type="duplicateValues" dxfId="4685" priority="5602"/>
    <cfRule type="duplicateValues" dxfId="4684" priority="5603"/>
    <cfRule type="duplicateValues" dxfId="4683" priority="5604"/>
    <cfRule type="duplicateValues" dxfId="4682" priority="5605"/>
    <cfRule type="duplicateValues" dxfId="4681" priority="5606"/>
  </conditionalFormatting>
  <conditionalFormatting sqref="J17:J22">
    <cfRule type="duplicateValues" dxfId="4680" priority="5655"/>
    <cfRule type="duplicateValues" dxfId="4679" priority="5656"/>
    <cfRule type="duplicateValues" dxfId="4678" priority="5657"/>
    <cfRule type="duplicateValues" dxfId="4677" priority="5658"/>
    <cfRule type="duplicateValues" dxfId="4676" priority="5659"/>
    <cfRule type="duplicateValues" dxfId="4675" priority="5660"/>
    <cfRule type="duplicateValues" dxfId="4674" priority="5661"/>
    <cfRule type="duplicateValues" dxfId="4673" priority="5662"/>
    <cfRule type="duplicateValues" dxfId="4672" priority="5663"/>
    <cfRule type="duplicateValues" dxfId="4671" priority="5664"/>
    <cfRule type="duplicateValues" dxfId="4670" priority="5665"/>
    <cfRule type="duplicateValues" dxfId="4669" priority="5666"/>
    <cfRule type="duplicateValues" dxfId="4668" priority="5667"/>
    <cfRule type="duplicateValues" dxfId="4667" priority="5668"/>
    <cfRule type="duplicateValues" dxfId="4666" priority="5669"/>
    <cfRule type="duplicateValues" dxfId="4665" priority="5670"/>
    <cfRule type="duplicateValues" dxfId="4664" priority="5671"/>
    <cfRule type="duplicateValues" dxfId="4663" priority="5672"/>
    <cfRule type="duplicateValues" dxfId="4662" priority="5673"/>
    <cfRule type="duplicateValues" dxfId="4661" priority="5674"/>
    <cfRule type="duplicateValues" dxfId="4660" priority="5675"/>
    <cfRule type="duplicateValues" dxfId="4659" priority="5676"/>
  </conditionalFormatting>
  <conditionalFormatting sqref="J17:J22">
    <cfRule type="duplicateValues" dxfId="4658" priority="5677"/>
    <cfRule type="duplicateValues" dxfId="4657" priority="5678"/>
    <cfRule type="duplicateValues" dxfId="4656" priority="5679"/>
    <cfRule type="duplicateValues" dxfId="4655" priority="5680"/>
    <cfRule type="duplicateValues" dxfId="4654" priority="5681"/>
    <cfRule type="duplicateValues" dxfId="4653" priority="5682"/>
  </conditionalFormatting>
  <conditionalFormatting sqref="J24">
    <cfRule type="duplicateValues" dxfId="4652" priority="5534"/>
  </conditionalFormatting>
  <conditionalFormatting sqref="J24">
    <cfRule type="duplicateValues" dxfId="4651" priority="5532"/>
    <cfRule type="duplicateValues" dxfId="4650" priority="5533"/>
  </conditionalFormatting>
  <conditionalFormatting sqref="J24">
    <cfRule type="duplicateValues" dxfId="4649" priority="5571"/>
  </conditionalFormatting>
  <conditionalFormatting sqref="J24">
    <cfRule type="duplicateValues" dxfId="4648" priority="5572"/>
    <cfRule type="duplicateValues" dxfId="4647" priority="5573"/>
  </conditionalFormatting>
  <conditionalFormatting sqref="J24">
    <cfRule type="duplicateValues" dxfId="4646" priority="5569"/>
  </conditionalFormatting>
  <conditionalFormatting sqref="J24">
    <cfRule type="duplicateValues" dxfId="4645" priority="5570"/>
  </conditionalFormatting>
  <conditionalFormatting sqref="J24">
    <cfRule type="duplicateValues" dxfId="4644" priority="5568"/>
  </conditionalFormatting>
  <conditionalFormatting sqref="J24">
    <cfRule type="duplicateValues" dxfId="4643" priority="5535"/>
    <cfRule type="duplicateValues" dxfId="4642" priority="5536"/>
    <cfRule type="duplicateValues" dxfId="4641" priority="5537"/>
    <cfRule type="duplicateValues" dxfId="4640" priority="5538"/>
  </conditionalFormatting>
  <conditionalFormatting sqref="J24">
    <cfRule type="duplicateValues" dxfId="4639" priority="5540"/>
    <cfRule type="duplicateValues" dxfId="4638" priority="5541"/>
    <cfRule type="duplicateValues" dxfId="4637" priority="5542"/>
    <cfRule type="duplicateValues" dxfId="4636" priority="5543"/>
    <cfRule type="duplicateValues" dxfId="4635" priority="5544"/>
  </conditionalFormatting>
  <conditionalFormatting sqref="J24">
    <cfRule type="duplicateValues" dxfId="4634" priority="5551"/>
    <cfRule type="duplicateValues" dxfId="4633" priority="5552"/>
    <cfRule type="duplicateValues" dxfId="4632" priority="5553"/>
    <cfRule type="duplicateValues" dxfId="4631" priority="5554"/>
    <cfRule type="duplicateValues" dxfId="4630" priority="5555"/>
    <cfRule type="duplicateValues" dxfId="4629" priority="5556"/>
    <cfRule type="duplicateValues" dxfId="4628" priority="5557"/>
    <cfRule type="duplicateValues" dxfId="4627" priority="5558"/>
    <cfRule type="duplicateValues" dxfId="4626" priority="5559"/>
    <cfRule type="duplicateValues" dxfId="4625" priority="5560"/>
    <cfRule type="duplicateValues" dxfId="4624" priority="5561"/>
  </conditionalFormatting>
  <conditionalFormatting sqref="J24">
    <cfRule type="duplicateValues" dxfId="4623" priority="5545"/>
    <cfRule type="duplicateValues" dxfId="4622" priority="5546"/>
    <cfRule type="duplicateValues" dxfId="4621" priority="5547"/>
    <cfRule type="duplicateValues" dxfId="4620" priority="5548"/>
    <cfRule type="duplicateValues" dxfId="4619" priority="5549"/>
    <cfRule type="duplicateValues" dxfId="4618" priority="5550"/>
  </conditionalFormatting>
  <conditionalFormatting sqref="J24">
    <cfRule type="duplicateValues" dxfId="4617" priority="5562"/>
    <cfRule type="duplicateValues" dxfId="4616" priority="5563"/>
    <cfRule type="duplicateValues" dxfId="4615" priority="5564"/>
    <cfRule type="duplicateValues" dxfId="4614" priority="5565"/>
    <cfRule type="duplicateValues" dxfId="4613" priority="5566"/>
    <cfRule type="duplicateValues" dxfId="4612" priority="5567"/>
  </conditionalFormatting>
  <conditionalFormatting sqref="J24">
    <cfRule type="duplicateValues" dxfId="4611" priority="5539"/>
  </conditionalFormatting>
  <conditionalFormatting sqref="J24">
    <cfRule type="duplicateValues" dxfId="4610" priority="5526"/>
    <cfRule type="duplicateValues" dxfId="4609" priority="5527"/>
    <cfRule type="duplicateValues" dxfId="4608" priority="5528"/>
    <cfRule type="duplicateValues" dxfId="4607" priority="5529"/>
    <cfRule type="duplicateValues" dxfId="4606" priority="5530"/>
    <cfRule type="duplicateValues" dxfId="4605" priority="5531"/>
  </conditionalFormatting>
  <conditionalFormatting sqref="J24">
    <cfRule type="duplicateValues" dxfId="4604" priority="5521"/>
    <cfRule type="duplicateValues" dxfId="4603" priority="5522"/>
    <cfRule type="duplicateValues" dxfId="4602" priority="5523"/>
    <cfRule type="duplicateValues" dxfId="4601" priority="5524"/>
    <cfRule type="duplicateValues" dxfId="4600" priority="5525"/>
  </conditionalFormatting>
  <conditionalFormatting sqref="J24">
    <cfRule type="duplicateValues" dxfId="4599" priority="5574"/>
    <cfRule type="duplicateValues" dxfId="4598" priority="5575"/>
    <cfRule type="duplicateValues" dxfId="4597" priority="5576"/>
    <cfRule type="duplicateValues" dxfId="4596" priority="5577"/>
    <cfRule type="duplicateValues" dxfId="4595" priority="5578"/>
    <cfRule type="duplicateValues" dxfId="4594" priority="5579"/>
    <cfRule type="duplicateValues" dxfId="4593" priority="5580"/>
    <cfRule type="duplicateValues" dxfId="4592" priority="5581"/>
    <cfRule type="duplicateValues" dxfId="4591" priority="5582"/>
    <cfRule type="duplicateValues" dxfId="4590" priority="5583"/>
    <cfRule type="duplicateValues" dxfId="4589" priority="5584"/>
    <cfRule type="duplicateValues" dxfId="4588" priority="5585"/>
    <cfRule type="duplicateValues" dxfId="4587" priority="5586"/>
    <cfRule type="duplicateValues" dxfId="4586" priority="5587"/>
    <cfRule type="duplicateValues" dxfId="4585" priority="5588"/>
    <cfRule type="duplicateValues" dxfId="4584" priority="5589"/>
    <cfRule type="duplicateValues" dxfId="4583" priority="5590"/>
    <cfRule type="duplicateValues" dxfId="4582" priority="5591"/>
    <cfRule type="duplicateValues" dxfId="4581" priority="5592"/>
    <cfRule type="duplicateValues" dxfId="4580" priority="5593"/>
    <cfRule type="duplicateValues" dxfId="4579" priority="5594"/>
    <cfRule type="duplicateValues" dxfId="4578" priority="5595"/>
  </conditionalFormatting>
  <conditionalFormatting sqref="J24">
    <cfRule type="duplicateValues" dxfId="4577" priority="5596"/>
    <cfRule type="duplicateValues" dxfId="4576" priority="5597"/>
    <cfRule type="duplicateValues" dxfId="4575" priority="5598"/>
    <cfRule type="duplicateValues" dxfId="4574" priority="5599"/>
    <cfRule type="duplicateValues" dxfId="4573" priority="5600"/>
    <cfRule type="duplicateValues" dxfId="4572" priority="5601"/>
  </conditionalFormatting>
  <conditionalFormatting sqref="J9">
    <cfRule type="duplicateValues" dxfId="4571" priority="5492"/>
  </conditionalFormatting>
  <conditionalFormatting sqref="J9">
    <cfRule type="duplicateValues" dxfId="4570" priority="5490"/>
    <cfRule type="duplicateValues" dxfId="4569" priority="5491"/>
  </conditionalFormatting>
  <conditionalFormatting sqref="J9">
    <cfRule type="duplicateValues" dxfId="4568" priority="5484"/>
    <cfRule type="duplicateValues" dxfId="4567" priority="5485"/>
    <cfRule type="duplicateValues" dxfId="4566" priority="5486"/>
    <cfRule type="duplicateValues" dxfId="4565" priority="5487"/>
    <cfRule type="duplicateValues" dxfId="4564" priority="5488"/>
    <cfRule type="duplicateValues" dxfId="4563" priority="5489"/>
  </conditionalFormatting>
  <conditionalFormatting sqref="J9">
    <cfRule type="duplicateValues" dxfId="4562" priority="5479"/>
    <cfRule type="duplicateValues" dxfId="4561" priority="5480"/>
    <cfRule type="duplicateValues" dxfId="4560" priority="5481"/>
    <cfRule type="duplicateValues" dxfId="4559" priority="5482"/>
    <cfRule type="duplicateValues" dxfId="4558" priority="5483"/>
  </conditionalFormatting>
  <conditionalFormatting sqref="J9">
    <cfRule type="duplicateValues" dxfId="4557" priority="5493"/>
    <cfRule type="duplicateValues" dxfId="4556" priority="5494"/>
    <cfRule type="duplicateValues" dxfId="4555" priority="5495"/>
    <cfRule type="duplicateValues" dxfId="4554" priority="5496"/>
    <cfRule type="duplicateValues" dxfId="4553" priority="5497"/>
    <cfRule type="duplicateValues" dxfId="4552" priority="5498"/>
    <cfRule type="duplicateValues" dxfId="4551" priority="5499"/>
    <cfRule type="duplicateValues" dxfId="4550" priority="5500"/>
    <cfRule type="duplicateValues" dxfId="4549" priority="5501"/>
    <cfRule type="duplicateValues" dxfId="4548" priority="5502"/>
    <cfRule type="duplicateValues" dxfId="4547" priority="5503"/>
    <cfRule type="duplicateValues" dxfId="4546" priority="5504"/>
    <cfRule type="duplicateValues" dxfId="4545" priority="5505"/>
    <cfRule type="duplicateValues" dxfId="4544" priority="5506"/>
    <cfRule type="duplicateValues" dxfId="4543" priority="5507"/>
    <cfRule type="duplicateValues" dxfId="4542" priority="5508"/>
    <cfRule type="duplicateValues" dxfId="4541" priority="5509"/>
    <cfRule type="duplicateValues" dxfId="4540" priority="5510"/>
    <cfRule type="duplicateValues" dxfId="4539" priority="5511"/>
    <cfRule type="duplicateValues" dxfId="4538" priority="5512"/>
    <cfRule type="duplicateValues" dxfId="4537" priority="5513"/>
    <cfRule type="duplicateValues" dxfId="4536" priority="5514"/>
    <cfRule type="duplicateValues" dxfId="4535" priority="5515"/>
    <cfRule type="duplicateValues" dxfId="4534" priority="5516"/>
    <cfRule type="duplicateValues" dxfId="4533" priority="5517"/>
    <cfRule type="duplicateValues" dxfId="4532" priority="5518"/>
    <cfRule type="duplicateValues" dxfId="4531" priority="5519"/>
    <cfRule type="duplicateValues" dxfId="4530" priority="5520"/>
  </conditionalFormatting>
  <conditionalFormatting sqref="J9">
    <cfRule type="duplicateValues" dxfId="4529" priority="5450"/>
  </conditionalFormatting>
  <conditionalFormatting sqref="J9">
    <cfRule type="duplicateValues" dxfId="4528" priority="5448"/>
    <cfRule type="duplicateValues" dxfId="4527" priority="5449"/>
  </conditionalFormatting>
  <conditionalFormatting sqref="J9">
    <cfRule type="duplicateValues" dxfId="4526" priority="5442"/>
    <cfRule type="duplicateValues" dxfId="4525" priority="5443"/>
    <cfRule type="duplicateValues" dxfId="4524" priority="5444"/>
    <cfRule type="duplicateValues" dxfId="4523" priority="5445"/>
    <cfRule type="duplicateValues" dxfId="4522" priority="5446"/>
    <cfRule type="duplicateValues" dxfId="4521" priority="5447"/>
  </conditionalFormatting>
  <conditionalFormatting sqref="J9">
    <cfRule type="duplicateValues" dxfId="4520" priority="5437"/>
    <cfRule type="duplicateValues" dxfId="4519" priority="5438"/>
    <cfRule type="duplicateValues" dxfId="4518" priority="5439"/>
    <cfRule type="duplicateValues" dxfId="4517" priority="5440"/>
    <cfRule type="duplicateValues" dxfId="4516" priority="5441"/>
  </conditionalFormatting>
  <conditionalFormatting sqref="J9">
    <cfRule type="duplicateValues" dxfId="4515" priority="5451"/>
    <cfRule type="duplicateValues" dxfId="4514" priority="5452"/>
    <cfRule type="duplicateValues" dxfId="4513" priority="5453"/>
    <cfRule type="duplicateValues" dxfId="4512" priority="5454"/>
    <cfRule type="duplicateValues" dxfId="4511" priority="5455"/>
    <cfRule type="duplicateValues" dxfId="4510" priority="5456"/>
    <cfRule type="duplicateValues" dxfId="4509" priority="5457"/>
    <cfRule type="duplicateValues" dxfId="4508" priority="5458"/>
    <cfRule type="duplicateValues" dxfId="4507" priority="5459"/>
    <cfRule type="duplicateValues" dxfId="4506" priority="5460"/>
    <cfRule type="duplicateValues" dxfId="4505" priority="5461"/>
    <cfRule type="duplicateValues" dxfId="4504" priority="5462"/>
    <cfRule type="duplicateValues" dxfId="4503" priority="5463"/>
    <cfRule type="duplicateValues" dxfId="4502" priority="5464"/>
    <cfRule type="duplicateValues" dxfId="4501" priority="5465"/>
    <cfRule type="duplicateValues" dxfId="4500" priority="5466"/>
    <cfRule type="duplicateValues" dxfId="4499" priority="5467"/>
    <cfRule type="duplicateValues" dxfId="4498" priority="5468"/>
    <cfRule type="duplicateValues" dxfId="4497" priority="5469"/>
    <cfRule type="duplicateValues" dxfId="4496" priority="5470"/>
    <cfRule type="duplicateValues" dxfId="4495" priority="5471"/>
    <cfRule type="duplicateValues" dxfId="4494" priority="5472"/>
    <cfRule type="duplicateValues" dxfId="4493" priority="5473"/>
    <cfRule type="duplicateValues" dxfId="4492" priority="5474"/>
    <cfRule type="duplicateValues" dxfId="4491" priority="5475"/>
    <cfRule type="duplicateValues" dxfId="4490" priority="5476"/>
    <cfRule type="duplicateValues" dxfId="4489" priority="5477"/>
    <cfRule type="duplicateValues" dxfId="4488" priority="5478"/>
  </conditionalFormatting>
  <conditionalFormatting sqref="J16 J14">
    <cfRule type="duplicateValues" dxfId="4487" priority="70282"/>
  </conditionalFormatting>
  <conditionalFormatting sqref="J16 J14">
    <cfRule type="duplicateValues" dxfId="4486" priority="70284"/>
    <cfRule type="duplicateValues" dxfId="4485" priority="70285"/>
  </conditionalFormatting>
  <conditionalFormatting sqref="J16 J14">
    <cfRule type="duplicateValues" dxfId="4484" priority="70300"/>
    <cfRule type="duplicateValues" dxfId="4483" priority="70301"/>
    <cfRule type="duplicateValues" dxfId="4482" priority="70302"/>
    <cfRule type="duplicateValues" dxfId="4481" priority="70303"/>
  </conditionalFormatting>
  <conditionalFormatting sqref="J16 J14">
    <cfRule type="duplicateValues" dxfId="4480" priority="70308"/>
    <cfRule type="duplicateValues" dxfId="4479" priority="70309"/>
    <cfRule type="duplicateValues" dxfId="4478" priority="70310"/>
    <cfRule type="duplicateValues" dxfId="4477" priority="70311"/>
    <cfRule type="duplicateValues" dxfId="4476" priority="70312"/>
  </conditionalFormatting>
  <conditionalFormatting sqref="J16 J14">
    <cfRule type="duplicateValues" dxfId="4475" priority="70318"/>
    <cfRule type="duplicateValues" dxfId="4474" priority="70319"/>
    <cfRule type="duplicateValues" dxfId="4473" priority="70320"/>
    <cfRule type="duplicateValues" dxfId="4472" priority="70321"/>
    <cfRule type="duplicateValues" dxfId="4471" priority="70322"/>
    <cfRule type="duplicateValues" dxfId="4470" priority="70323"/>
    <cfRule type="duplicateValues" dxfId="4469" priority="70324"/>
    <cfRule type="duplicateValues" dxfId="4468" priority="70325"/>
    <cfRule type="duplicateValues" dxfId="4467" priority="70326"/>
    <cfRule type="duplicateValues" dxfId="4466" priority="70327"/>
    <cfRule type="duplicateValues" dxfId="4465" priority="70328"/>
  </conditionalFormatting>
  <conditionalFormatting sqref="J16 J14">
    <cfRule type="duplicateValues" dxfId="4464" priority="70340"/>
    <cfRule type="duplicateValues" dxfId="4463" priority="70341"/>
    <cfRule type="duplicateValues" dxfId="4462" priority="70342"/>
    <cfRule type="duplicateValues" dxfId="4461" priority="70343"/>
    <cfRule type="duplicateValues" dxfId="4460" priority="70344"/>
    <cfRule type="duplicateValues" dxfId="4459" priority="70345"/>
  </conditionalFormatting>
  <conditionalFormatting sqref="J16 J14">
    <cfRule type="duplicateValues" dxfId="4458" priority="70388"/>
    <cfRule type="duplicateValues" dxfId="4457" priority="70389"/>
    <cfRule type="duplicateValues" dxfId="4456" priority="70390"/>
    <cfRule type="duplicateValues" dxfId="4455" priority="70391"/>
    <cfRule type="duplicateValues" dxfId="4454" priority="70392"/>
    <cfRule type="duplicateValues" dxfId="4453" priority="70393"/>
    <cfRule type="duplicateValues" dxfId="4452" priority="70394"/>
    <cfRule type="duplicateValues" dxfId="4451" priority="70395"/>
    <cfRule type="duplicateValues" dxfId="4450" priority="70396"/>
    <cfRule type="duplicateValues" dxfId="4449" priority="70397"/>
    <cfRule type="duplicateValues" dxfId="4448" priority="70398"/>
    <cfRule type="duplicateValues" dxfId="4447" priority="70399"/>
    <cfRule type="duplicateValues" dxfId="4446" priority="70400"/>
    <cfRule type="duplicateValues" dxfId="4445" priority="70401"/>
    <cfRule type="duplicateValues" dxfId="4444" priority="70402"/>
    <cfRule type="duplicateValues" dxfId="4443" priority="70403"/>
    <cfRule type="duplicateValues" dxfId="4442" priority="70404"/>
    <cfRule type="duplicateValues" dxfId="4441" priority="70405"/>
    <cfRule type="duplicateValues" dxfId="4440" priority="70406"/>
    <cfRule type="duplicateValues" dxfId="4439" priority="70407"/>
    <cfRule type="duplicateValues" dxfId="4438" priority="70408"/>
    <cfRule type="duplicateValues" dxfId="4437" priority="70409"/>
  </conditionalFormatting>
  <conditionalFormatting sqref="J7:J12 J16 J14">
    <cfRule type="duplicateValues" dxfId="4436" priority="70528"/>
  </conditionalFormatting>
  <conditionalFormatting sqref="J7:J12 J16 J14">
    <cfRule type="duplicateValues" dxfId="4435" priority="70530"/>
    <cfRule type="duplicateValues" dxfId="4434" priority="70531"/>
  </conditionalFormatting>
  <conditionalFormatting sqref="J7:J12 J16 J14">
    <cfRule type="duplicateValues" dxfId="4433" priority="70546"/>
    <cfRule type="duplicateValues" dxfId="4432" priority="70547"/>
    <cfRule type="duplicateValues" dxfId="4431" priority="70548"/>
    <cfRule type="duplicateValues" dxfId="4430" priority="70549"/>
    <cfRule type="duplicateValues" dxfId="4429" priority="70550"/>
    <cfRule type="duplicateValues" dxfId="4428" priority="70551"/>
  </conditionalFormatting>
  <conditionalFormatting sqref="J7:J12 J16 J14">
    <cfRule type="duplicateValues" dxfId="4427" priority="70558"/>
    <cfRule type="duplicateValues" dxfId="4426" priority="70559"/>
    <cfRule type="duplicateValues" dxfId="4425" priority="70560"/>
    <cfRule type="duplicateValues" dxfId="4424" priority="70561"/>
    <cfRule type="duplicateValues" dxfId="4423" priority="70562"/>
  </conditionalFormatting>
  <conditionalFormatting sqref="J7:J12 J16 J14">
    <cfRule type="duplicateValues" dxfId="4422" priority="70568"/>
    <cfRule type="duplicateValues" dxfId="4421" priority="70569"/>
    <cfRule type="duplicateValues" dxfId="4420" priority="70570"/>
    <cfRule type="duplicateValues" dxfId="4419" priority="70571"/>
    <cfRule type="duplicateValues" dxfId="4418" priority="70572"/>
    <cfRule type="duplicateValues" dxfId="4417" priority="70573"/>
    <cfRule type="duplicateValues" dxfId="4416" priority="70574"/>
    <cfRule type="duplicateValues" dxfId="4415" priority="70575"/>
    <cfRule type="duplicateValues" dxfId="4414" priority="70576"/>
    <cfRule type="duplicateValues" dxfId="4413" priority="70577"/>
    <cfRule type="duplicateValues" dxfId="4412" priority="70578"/>
    <cfRule type="duplicateValues" dxfId="4411" priority="70579"/>
    <cfRule type="duplicateValues" dxfId="4410" priority="70580"/>
    <cfRule type="duplicateValues" dxfId="4409" priority="70581"/>
    <cfRule type="duplicateValues" dxfId="4408" priority="70582"/>
    <cfRule type="duplicateValues" dxfId="4407" priority="70583"/>
    <cfRule type="duplicateValues" dxfId="4406" priority="70584"/>
    <cfRule type="duplicateValues" dxfId="4405" priority="70585"/>
    <cfRule type="duplicateValues" dxfId="4404" priority="70586"/>
    <cfRule type="duplicateValues" dxfId="4403" priority="70587"/>
    <cfRule type="duplicateValues" dxfId="4402" priority="70588"/>
    <cfRule type="duplicateValues" dxfId="4401" priority="70589"/>
    <cfRule type="duplicateValues" dxfId="4400" priority="70590"/>
    <cfRule type="duplicateValues" dxfId="4399" priority="70591"/>
    <cfRule type="duplicateValues" dxfId="4398" priority="70592"/>
    <cfRule type="duplicateValues" dxfId="4397" priority="70593"/>
    <cfRule type="duplicateValues" dxfId="4396" priority="70594"/>
    <cfRule type="duplicateValues" dxfId="4395" priority="70595"/>
  </conditionalFormatting>
  <conditionalFormatting sqref="J20 J18">
    <cfRule type="duplicateValues" dxfId="4394" priority="5402"/>
  </conditionalFormatting>
  <conditionalFormatting sqref="J20 J18">
    <cfRule type="duplicateValues" dxfId="4393" priority="5400"/>
    <cfRule type="duplicateValues" dxfId="4392" priority="5401"/>
  </conditionalFormatting>
  <conditionalFormatting sqref="J20 J18">
    <cfRule type="duplicateValues" dxfId="4391" priority="5406"/>
  </conditionalFormatting>
  <conditionalFormatting sqref="J20 J18">
    <cfRule type="duplicateValues" dxfId="4390" priority="5407"/>
    <cfRule type="duplicateValues" dxfId="4389" priority="5408"/>
  </conditionalFormatting>
  <conditionalFormatting sqref="J20 J18">
    <cfRule type="duplicateValues" dxfId="4388" priority="5404"/>
  </conditionalFormatting>
  <conditionalFormatting sqref="J20 J18">
    <cfRule type="duplicateValues" dxfId="4387" priority="5405"/>
  </conditionalFormatting>
  <conditionalFormatting sqref="J20 J18">
    <cfRule type="duplicateValues" dxfId="4386" priority="5403"/>
  </conditionalFormatting>
  <conditionalFormatting sqref="J20 J18">
    <cfRule type="duplicateValues" dxfId="4385" priority="5394"/>
    <cfRule type="duplicateValues" dxfId="4384" priority="5395"/>
    <cfRule type="duplicateValues" dxfId="4383" priority="5396"/>
    <cfRule type="duplicateValues" dxfId="4382" priority="5397"/>
    <cfRule type="duplicateValues" dxfId="4381" priority="5398"/>
    <cfRule type="duplicateValues" dxfId="4380" priority="5399"/>
  </conditionalFormatting>
  <conditionalFormatting sqref="J20 J18">
    <cfRule type="duplicateValues" dxfId="4379" priority="5389"/>
    <cfRule type="duplicateValues" dxfId="4378" priority="5390"/>
    <cfRule type="duplicateValues" dxfId="4377" priority="5391"/>
    <cfRule type="duplicateValues" dxfId="4376" priority="5392"/>
    <cfRule type="duplicateValues" dxfId="4375" priority="5393"/>
  </conditionalFormatting>
  <conditionalFormatting sqref="J20 J18">
    <cfRule type="duplicateValues" dxfId="4374" priority="5409"/>
    <cfRule type="duplicateValues" dxfId="4373" priority="5410"/>
    <cfRule type="duplicateValues" dxfId="4372" priority="5411"/>
    <cfRule type="duplicateValues" dxfId="4371" priority="5412"/>
    <cfRule type="duplicateValues" dxfId="4370" priority="5413"/>
    <cfRule type="duplicateValues" dxfId="4369" priority="5414"/>
    <cfRule type="duplicateValues" dxfId="4368" priority="5415"/>
    <cfRule type="duplicateValues" dxfId="4367" priority="5416"/>
    <cfRule type="duplicateValues" dxfId="4366" priority="5417"/>
    <cfRule type="duplicateValues" dxfId="4365" priority="5418"/>
    <cfRule type="duplicateValues" dxfId="4364" priority="5419"/>
    <cfRule type="duplicateValues" dxfId="4363" priority="5420"/>
    <cfRule type="duplicateValues" dxfId="4362" priority="5421"/>
    <cfRule type="duplicateValues" dxfId="4361" priority="5422"/>
    <cfRule type="duplicateValues" dxfId="4360" priority="5423"/>
    <cfRule type="duplicateValues" dxfId="4359" priority="5424"/>
    <cfRule type="duplicateValues" dxfId="4358" priority="5425"/>
    <cfRule type="duplicateValues" dxfId="4357" priority="5426"/>
    <cfRule type="duplicateValues" dxfId="4356" priority="5427"/>
    <cfRule type="duplicateValues" dxfId="4355" priority="5428"/>
    <cfRule type="duplicateValues" dxfId="4354" priority="5429"/>
    <cfRule type="duplicateValues" dxfId="4353" priority="5430"/>
    <cfRule type="duplicateValues" dxfId="4352" priority="5431"/>
    <cfRule type="duplicateValues" dxfId="4351" priority="5432"/>
    <cfRule type="duplicateValues" dxfId="4350" priority="5433"/>
    <cfRule type="duplicateValues" dxfId="4349" priority="5434"/>
    <cfRule type="duplicateValues" dxfId="4348" priority="5435"/>
    <cfRule type="duplicateValues" dxfId="4347" priority="5436"/>
  </conditionalFormatting>
  <conditionalFormatting sqref="J21:J23">
    <cfRule type="duplicateValues" dxfId="4346" priority="5225"/>
  </conditionalFormatting>
  <conditionalFormatting sqref="J21:J23">
    <cfRule type="duplicateValues" dxfId="4345" priority="5223"/>
    <cfRule type="duplicateValues" dxfId="4344" priority="5224"/>
  </conditionalFormatting>
  <conditionalFormatting sqref="J21:J23">
    <cfRule type="duplicateValues" dxfId="4343" priority="5229"/>
  </conditionalFormatting>
  <conditionalFormatting sqref="J21:J23">
    <cfRule type="duplicateValues" dxfId="4342" priority="5230"/>
    <cfRule type="duplicateValues" dxfId="4341" priority="5231"/>
  </conditionalFormatting>
  <conditionalFormatting sqref="J21:J23">
    <cfRule type="duplicateValues" dxfId="4340" priority="5227"/>
  </conditionalFormatting>
  <conditionalFormatting sqref="J21:J23">
    <cfRule type="duplicateValues" dxfId="4339" priority="5228"/>
  </conditionalFormatting>
  <conditionalFormatting sqref="J21:J23">
    <cfRule type="duplicateValues" dxfId="4338" priority="5226"/>
  </conditionalFormatting>
  <conditionalFormatting sqref="J21:J23">
    <cfRule type="duplicateValues" dxfId="4337" priority="5217"/>
    <cfRule type="duplicateValues" dxfId="4336" priority="5218"/>
    <cfRule type="duplicateValues" dxfId="4335" priority="5219"/>
    <cfRule type="duplicateValues" dxfId="4334" priority="5220"/>
    <cfRule type="duplicateValues" dxfId="4333" priority="5221"/>
    <cfRule type="duplicateValues" dxfId="4332" priority="5222"/>
  </conditionalFormatting>
  <conditionalFormatting sqref="J21:J23">
    <cfRule type="duplicateValues" dxfId="4331" priority="5212"/>
    <cfRule type="duplicateValues" dxfId="4330" priority="5213"/>
    <cfRule type="duplicateValues" dxfId="4329" priority="5214"/>
    <cfRule type="duplicateValues" dxfId="4328" priority="5215"/>
    <cfRule type="duplicateValues" dxfId="4327" priority="5216"/>
  </conditionalFormatting>
  <conditionalFormatting sqref="J21:J23">
    <cfRule type="duplicateValues" dxfId="4326" priority="5232"/>
    <cfRule type="duplicateValues" dxfId="4325" priority="5233"/>
    <cfRule type="duplicateValues" dxfId="4324" priority="5234"/>
    <cfRule type="duplicateValues" dxfId="4323" priority="5235"/>
    <cfRule type="duplicateValues" dxfId="4322" priority="5236"/>
    <cfRule type="duplicateValues" dxfId="4321" priority="5237"/>
    <cfRule type="duplicateValues" dxfId="4320" priority="5238"/>
    <cfRule type="duplicateValues" dxfId="4319" priority="5239"/>
    <cfRule type="duplicateValues" dxfId="4318" priority="5240"/>
    <cfRule type="duplicateValues" dxfId="4317" priority="5241"/>
    <cfRule type="duplicateValues" dxfId="4316" priority="5242"/>
    <cfRule type="duplicateValues" dxfId="4315" priority="5243"/>
    <cfRule type="duplicateValues" dxfId="4314" priority="5244"/>
    <cfRule type="duplicateValues" dxfId="4313" priority="5245"/>
    <cfRule type="duplicateValues" dxfId="4312" priority="5246"/>
    <cfRule type="duplicateValues" dxfId="4311" priority="5247"/>
    <cfRule type="duplicateValues" dxfId="4310" priority="5248"/>
    <cfRule type="duplicateValues" dxfId="4309" priority="5249"/>
    <cfRule type="duplicateValues" dxfId="4308" priority="5250"/>
    <cfRule type="duplicateValues" dxfId="4307" priority="5251"/>
    <cfRule type="duplicateValues" dxfId="4306" priority="5252"/>
    <cfRule type="duplicateValues" dxfId="4305" priority="5253"/>
    <cfRule type="duplicateValues" dxfId="4304" priority="5254"/>
    <cfRule type="duplicateValues" dxfId="4303" priority="5255"/>
    <cfRule type="duplicateValues" dxfId="4302" priority="5256"/>
    <cfRule type="duplicateValues" dxfId="4301" priority="5257"/>
    <cfRule type="duplicateValues" dxfId="4300" priority="5258"/>
    <cfRule type="duplicateValues" dxfId="4299" priority="5259"/>
  </conditionalFormatting>
  <conditionalFormatting sqref="J20">
    <cfRule type="duplicateValues" dxfId="4298" priority="5177"/>
  </conditionalFormatting>
  <conditionalFormatting sqref="J20">
    <cfRule type="duplicateValues" dxfId="4297" priority="5175"/>
    <cfRule type="duplicateValues" dxfId="4296" priority="5176"/>
  </conditionalFormatting>
  <conditionalFormatting sqref="J20">
    <cfRule type="duplicateValues" dxfId="4295" priority="5181"/>
  </conditionalFormatting>
  <conditionalFormatting sqref="J20">
    <cfRule type="duplicateValues" dxfId="4294" priority="5182"/>
    <cfRule type="duplicateValues" dxfId="4293" priority="5183"/>
  </conditionalFormatting>
  <conditionalFormatting sqref="J20">
    <cfRule type="duplicateValues" dxfId="4292" priority="5179"/>
  </conditionalFormatting>
  <conditionalFormatting sqref="J20">
    <cfRule type="duplicateValues" dxfId="4291" priority="5180"/>
  </conditionalFormatting>
  <conditionalFormatting sqref="J20">
    <cfRule type="duplicateValues" dxfId="4290" priority="5178"/>
  </conditionalFormatting>
  <conditionalFormatting sqref="J20">
    <cfRule type="duplicateValues" dxfId="4289" priority="5169"/>
    <cfRule type="duplicateValues" dxfId="4288" priority="5170"/>
    <cfRule type="duplicateValues" dxfId="4287" priority="5171"/>
    <cfRule type="duplicateValues" dxfId="4286" priority="5172"/>
    <cfRule type="duplicateValues" dxfId="4285" priority="5173"/>
    <cfRule type="duplicateValues" dxfId="4284" priority="5174"/>
  </conditionalFormatting>
  <conditionalFormatting sqref="J20">
    <cfRule type="duplicateValues" dxfId="4283" priority="5164"/>
    <cfRule type="duplicateValues" dxfId="4282" priority="5165"/>
    <cfRule type="duplicateValues" dxfId="4281" priority="5166"/>
    <cfRule type="duplicateValues" dxfId="4280" priority="5167"/>
    <cfRule type="duplicateValues" dxfId="4279" priority="5168"/>
  </conditionalFormatting>
  <conditionalFormatting sqref="J20">
    <cfRule type="duplicateValues" dxfId="4278" priority="5184"/>
    <cfRule type="duplicateValues" dxfId="4277" priority="5185"/>
    <cfRule type="duplicateValues" dxfId="4276" priority="5186"/>
    <cfRule type="duplicateValues" dxfId="4275" priority="5187"/>
    <cfRule type="duplicateValues" dxfId="4274" priority="5188"/>
    <cfRule type="duplicateValues" dxfId="4273" priority="5189"/>
    <cfRule type="duplicateValues" dxfId="4272" priority="5190"/>
    <cfRule type="duplicateValues" dxfId="4271" priority="5191"/>
    <cfRule type="duplicateValues" dxfId="4270" priority="5192"/>
    <cfRule type="duplicateValues" dxfId="4269" priority="5193"/>
    <cfRule type="duplicateValues" dxfId="4268" priority="5194"/>
    <cfRule type="duplicateValues" dxfId="4267" priority="5195"/>
    <cfRule type="duplicateValues" dxfId="4266" priority="5196"/>
    <cfRule type="duplicateValues" dxfId="4265" priority="5197"/>
    <cfRule type="duplicateValues" dxfId="4264" priority="5198"/>
    <cfRule type="duplicateValues" dxfId="4263" priority="5199"/>
    <cfRule type="duplicateValues" dxfId="4262" priority="5200"/>
    <cfRule type="duplicateValues" dxfId="4261" priority="5201"/>
    <cfRule type="duplicateValues" dxfId="4260" priority="5202"/>
    <cfRule type="duplicateValues" dxfId="4259" priority="5203"/>
    <cfRule type="duplicateValues" dxfId="4258" priority="5204"/>
    <cfRule type="duplicateValues" dxfId="4257" priority="5205"/>
    <cfRule type="duplicateValues" dxfId="4256" priority="5206"/>
    <cfRule type="duplicateValues" dxfId="4255" priority="5207"/>
    <cfRule type="duplicateValues" dxfId="4254" priority="5208"/>
    <cfRule type="duplicateValues" dxfId="4253" priority="5209"/>
    <cfRule type="duplicateValues" dxfId="4252" priority="5210"/>
    <cfRule type="duplicateValues" dxfId="4251" priority="5211"/>
  </conditionalFormatting>
  <conditionalFormatting sqref="J21:J22">
    <cfRule type="duplicateValues" dxfId="4250" priority="5096"/>
  </conditionalFormatting>
  <conditionalFormatting sqref="J21:J22">
    <cfRule type="duplicateValues" dxfId="4249" priority="5094"/>
    <cfRule type="duplicateValues" dxfId="4248" priority="5095"/>
  </conditionalFormatting>
  <conditionalFormatting sqref="J21:J22">
    <cfRule type="duplicateValues" dxfId="4247" priority="5133"/>
  </conditionalFormatting>
  <conditionalFormatting sqref="J21:J22">
    <cfRule type="duplicateValues" dxfId="4246" priority="5134"/>
    <cfRule type="duplicateValues" dxfId="4245" priority="5135"/>
  </conditionalFormatting>
  <conditionalFormatting sqref="J21:J22">
    <cfRule type="duplicateValues" dxfId="4244" priority="5131"/>
  </conditionalFormatting>
  <conditionalFormatting sqref="J21:J22">
    <cfRule type="duplicateValues" dxfId="4243" priority="5132"/>
  </conditionalFormatting>
  <conditionalFormatting sqref="J21:J22">
    <cfRule type="duplicateValues" dxfId="4242" priority="5130"/>
  </conditionalFormatting>
  <conditionalFormatting sqref="J21:J22">
    <cfRule type="duplicateValues" dxfId="4241" priority="5097"/>
    <cfRule type="duplicateValues" dxfId="4240" priority="5098"/>
    <cfRule type="duplicateValues" dxfId="4239" priority="5099"/>
    <cfRule type="duplicateValues" dxfId="4238" priority="5100"/>
  </conditionalFormatting>
  <conditionalFormatting sqref="J21:J22">
    <cfRule type="duplicateValues" dxfId="4237" priority="5102"/>
    <cfRule type="duplicateValues" dxfId="4236" priority="5103"/>
    <cfRule type="duplicateValues" dxfId="4235" priority="5104"/>
    <cfRule type="duplicateValues" dxfId="4234" priority="5105"/>
    <cfRule type="duplicateValues" dxfId="4233" priority="5106"/>
  </conditionalFormatting>
  <conditionalFormatting sqref="J21:J22">
    <cfRule type="duplicateValues" dxfId="4232" priority="5113"/>
    <cfRule type="duplicateValues" dxfId="4231" priority="5114"/>
    <cfRule type="duplicateValues" dxfId="4230" priority="5115"/>
    <cfRule type="duplicateValues" dxfId="4229" priority="5116"/>
    <cfRule type="duplicateValues" dxfId="4228" priority="5117"/>
    <cfRule type="duplicateValues" dxfId="4227" priority="5118"/>
    <cfRule type="duplicateValues" dxfId="4226" priority="5119"/>
    <cfRule type="duplicateValues" dxfId="4225" priority="5120"/>
    <cfRule type="duplicateValues" dxfId="4224" priority="5121"/>
    <cfRule type="duplicateValues" dxfId="4223" priority="5122"/>
    <cfRule type="duplicateValues" dxfId="4222" priority="5123"/>
  </conditionalFormatting>
  <conditionalFormatting sqref="J21:J22">
    <cfRule type="duplicateValues" dxfId="4221" priority="5107"/>
    <cfRule type="duplicateValues" dxfId="4220" priority="5108"/>
    <cfRule type="duplicateValues" dxfId="4219" priority="5109"/>
    <cfRule type="duplicateValues" dxfId="4218" priority="5110"/>
    <cfRule type="duplicateValues" dxfId="4217" priority="5111"/>
    <cfRule type="duplicateValues" dxfId="4216" priority="5112"/>
  </conditionalFormatting>
  <conditionalFormatting sqref="J21:J22">
    <cfRule type="duplicateValues" dxfId="4215" priority="5124"/>
    <cfRule type="duplicateValues" dxfId="4214" priority="5125"/>
    <cfRule type="duplicateValues" dxfId="4213" priority="5126"/>
    <cfRule type="duplicateValues" dxfId="4212" priority="5127"/>
    <cfRule type="duplicateValues" dxfId="4211" priority="5128"/>
    <cfRule type="duplicateValues" dxfId="4210" priority="5129"/>
  </conditionalFormatting>
  <conditionalFormatting sqref="J21:J22">
    <cfRule type="duplicateValues" dxfId="4209" priority="5101"/>
  </conditionalFormatting>
  <conditionalFormatting sqref="J21:J22">
    <cfRule type="duplicateValues" dxfId="4208" priority="5088"/>
    <cfRule type="duplicateValues" dxfId="4207" priority="5089"/>
    <cfRule type="duplicateValues" dxfId="4206" priority="5090"/>
    <cfRule type="duplicateValues" dxfId="4205" priority="5091"/>
    <cfRule type="duplicateValues" dxfId="4204" priority="5092"/>
    <cfRule type="duplicateValues" dxfId="4203" priority="5093"/>
  </conditionalFormatting>
  <conditionalFormatting sqref="J21:J22">
    <cfRule type="duplicateValues" dxfId="4202" priority="5083"/>
    <cfRule type="duplicateValues" dxfId="4201" priority="5084"/>
    <cfRule type="duplicateValues" dxfId="4200" priority="5085"/>
    <cfRule type="duplicateValues" dxfId="4199" priority="5086"/>
    <cfRule type="duplicateValues" dxfId="4198" priority="5087"/>
  </conditionalFormatting>
  <conditionalFormatting sqref="J21:J22">
    <cfRule type="duplicateValues" dxfId="4197" priority="5136"/>
    <cfRule type="duplicateValues" dxfId="4196" priority="5137"/>
    <cfRule type="duplicateValues" dxfId="4195" priority="5138"/>
    <cfRule type="duplicateValues" dxfId="4194" priority="5139"/>
    <cfRule type="duplicateValues" dxfId="4193" priority="5140"/>
    <cfRule type="duplicateValues" dxfId="4192" priority="5141"/>
    <cfRule type="duplicateValues" dxfId="4191" priority="5142"/>
    <cfRule type="duplicateValues" dxfId="4190" priority="5143"/>
    <cfRule type="duplicateValues" dxfId="4189" priority="5144"/>
    <cfRule type="duplicateValues" dxfId="4188" priority="5145"/>
    <cfRule type="duplicateValues" dxfId="4187" priority="5146"/>
    <cfRule type="duplicateValues" dxfId="4186" priority="5147"/>
    <cfRule type="duplicateValues" dxfId="4185" priority="5148"/>
    <cfRule type="duplicateValues" dxfId="4184" priority="5149"/>
    <cfRule type="duplicateValues" dxfId="4183" priority="5150"/>
    <cfRule type="duplicateValues" dxfId="4182" priority="5151"/>
    <cfRule type="duplicateValues" dxfId="4181" priority="5152"/>
    <cfRule type="duplicateValues" dxfId="4180" priority="5153"/>
    <cfRule type="duplicateValues" dxfId="4179" priority="5154"/>
    <cfRule type="duplicateValues" dxfId="4178" priority="5155"/>
    <cfRule type="duplicateValues" dxfId="4177" priority="5156"/>
    <cfRule type="duplicateValues" dxfId="4176" priority="5157"/>
  </conditionalFormatting>
  <conditionalFormatting sqref="J21:J22">
    <cfRule type="duplicateValues" dxfId="4175" priority="5158"/>
    <cfRule type="duplicateValues" dxfId="4174" priority="5159"/>
    <cfRule type="duplicateValues" dxfId="4173" priority="5160"/>
    <cfRule type="duplicateValues" dxfId="4172" priority="5161"/>
    <cfRule type="duplicateValues" dxfId="4171" priority="5162"/>
    <cfRule type="duplicateValues" dxfId="4170" priority="5163"/>
  </conditionalFormatting>
  <conditionalFormatting sqref="R34:R35">
    <cfRule type="duplicateValues" dxfId="4169" priority="5015"/>
  </conditionalFormatting>
  <conditionalFormatting sqref="R34:R35">
    <cfRule type="duplicateValues" dxfId="4168" priority="5013"/>
    <cfRule type="duplicateValues" dxfId="4167" priority="5014"/>
  </conditionalFormatting>
  <conditionalFormatting sqref="R34:R35">
    <cfRule type="duplicateValues" dxfId="4166" priority="5052"/>
  </conditionalFormatting>
  <conditionalFormatting sqref="R34:R35">
    <cfRule type="duplicateValues" dxfId="4165" priority="5053"/>
    <cfRule type="duplicateValues" dxfId="4164" priority="5054"/>
  </conditionalFormatting>
  <conditionalFormatting sqref="R34:R35">
    <cfRule type="duplicateValues" dxfId="4163" priority="5050"/>
  </conditionalFormatting>
  <conditionalFormatting sqref="R34:R35">
    <cfRule type="duplicateValues" dxfId="4162" priority="5051"/>
  </conditionalFormatting>
  <conditionalFormatting sqref="R34:R35">
    <cfRule type="duplicateValues" dxfId="4161" priority="5049"/>
  </conditionalFormatting>
  <conditionalFormatting sqref="R34:R35">
    <cfRule type="duplicateValues" dxfId="4160" priority="5016"/>
    <cfRule type="duplicateValues" dxfId="4159" priority="5017"/>
    <cfRule type="duplicateValues" dxfId="4158" priority="5018"/>
    <cfRule type="duplicateValues" dxfId="4157" priority="5019"/>
  </conditionalFormatting>
  <conditionalFormatting sqref="R34:R35">
    <cfRule type="duplicateValues" dxfId="4156" priority="5021"/>
    <cfRule type="duplicateValues" dxfId="4155" priority="5022"/>
    <cfRule type="duplicateValues" dxfId="4154" priority="5023"/>
    <cfRule type="duplicateValues" dxfId="4153" priority="5024"/>
    <cfRule type="duplicateValues" dxfId="4152" priority="5025"/>
  </conditionalFormatting>
  <conditionalFormatting sqref="R34:R35">
    <cfRule type="duplicateValues" dxfId="4151" priority="5032"/>
    <cfRule type="duplicateValues" dxfId="4150" priority="5033"/>
    <cfRule type="duplicateValues" dxfId="4149" priority="5034"/>
    <cfRule type="duplicateValues" dxfId="4148" priority="5035"/>
    <cfRule type="duplicateValues" dxfId="4147" priority="5036"/>
    <cfRule type="duplicateValues" dxfId="4146" priority="5037"/>
    <cfRule type="duplicateValues" dxfId="4145" priority="5038"/>
    <cfRule type="duplicateValues" dxfId="4144" priority="5039"/>
    <cfRule type="duplicateValues" dxfId="4143" priority="5040"/>
    <cfRule type="duplicateValues" dxfId="4142" priority="5041"/>
    <cfRule type="duplicateValues" dxfId="4141" priority="5042"/>
  </conditionalFormatting>
  <conditionalFormatting sqref="R34:R35">
    <cfRule type="duplicateValues" dxfId="4140" priority="5026"/>
    <cfRule type="duplicateValues" dxfId="4139" priority="5027"/>
    <cfRule type="duplicateValues" dxfId="4138" priority="5028"/>
    <cfRule type="duplicateValues" dxfId="4137" priority="5029"/>
    <cfRule type="duplicateValues" dxfId="4136" priority="5030"/>
    <cfRule type="duplicateValues" dxfId="4135" priority="5031"/>
  </conditionalFormatting>
  <conditionalFormatting sqref="R34:R35">
    <cfRule type="duplicateValues" dxfId="4134" priority="5043"/>
    <cfRule type="duplicateValues" dxfId="4133" priority="5044"/>
    <cfRule type="duplicateValues" dxfId="4132" priority="5045"/>
    <cfRule type="duplicateValues" dxfId="4131" priority="5046"/>
    <cfRule type="duplicateValues" dxfId="4130" priority="5047"/>
    <cfRule type="duplicateValues" dxfId="4129" priority="5048"/>
  </conditionalFormatting>
  <conditionalFormatting sqref="R34:R35">
    <cfRule type="duplicateValues" dxfId="4128" priority="5020"/>
  </conditionalFormatting>
  <conditionalFormatting sqref="R34:R35">
    <cfRule type="duplicateValues" dxfId="4127" priority="5007"/>
    <cfRule type="duplicateValues" dxfId="4126" priority="5008"/>
    <cfRule type="duplicateValues" dxfId="4125" priority="5009"/>
    <cfRule type="duplicateValues" dxfId="4124" priority="5010"/>
    <cfRule type="duplicateValues" dxfId="4123" priority="5011"/>
    <cfRule type="duplicateValues" dxfId="4122" priority="5012"/>
  </conditionalFormatting>
  <conditionalFormatting sqref="R34:R35">
    <cfRule type="duplicateValues" dxfId="4121" priority="5002"/>
    <cfRule type="duplicateValues" dxfId="4120" priority="5003"/>
    <cfRule type="duplicateValues" dxfId="4119" priority="5004"/>
    <cfRule type="duplicateValues" dxfId="4118" priority="5005"/>
    <cfRule type="duplicateValues" dxfId="4117" priority="5006"/>
  </conditionalFormatting>
  <conditionalFormatting sqref="R34:R35">
    <cfRule type="duplicateValues" dxfId="4116" priority="5055"/>
    <cfRule type="duplicateValues" dxfId="4115" priority="5056"/>
    <cfRule type="duplicateValues" dxfId="4114" priority="5057"/>
    <cfRule type="duplicateValues" dxfId="4113" priority="5058"/>
    <cfRule type="duplicateValues" dxfId="4112" priority="5059"/>
    <cfRule type="duplicateValues" dxfId="4111" priority="5060"/>
    <cfRule type="duplicateValues" dxfId="4110" priority="5061"/>
    <cfRule type="duplicateValues" dxfId="4109" priority="5062"/>
    <cfRule type="duplicateValues" dxfId="4108" priority="5063"/>
    <cfRule type="duplicateValues" dxfId="4107" priority="5064"/>
    <cfRule type="duplicateValues" dxfId="4106" priority="5065"/>
    <cfRule type="duplicateValues" dxfId="4105" priority="5066"/>
    <cfRule type="duplicateValues" dxfId="4104" priority="5067"/>
    <cfRule type="duplicateValues" dxfId="4103" priority="5068"/>
    <cfRule type="duplicateValues" dxfId="4102" priority="5069"/>
    <cfRule type="duplicateValues" dxfId="4101" priority="5070"/>
    <cfRule type="duplicateValues" dxfId="4100" priority="5071"/>
    <cfRule type="duplicateValues" dxfId="4099" priority="5072"/>
    <cfRule type="duplicateValues" dxfId="4098" priority="5073"/>
    <cfRule type="duplicateValues" dxfId="4097" priority="5074"/>
    <cfRule type="duplicateValues" dxfId="4096" priority="5075"/>
    <cfRule type="duplicateValues" dxfId="4095" priority="5076"/>
  </conditionalFormatting>
  <conditionalFormatting sqref="R34:R35">
    <cfRule type="duplicateValues" dxfId="4094" priority="5077"/>
    <cfRule type="duplicateValues" dxfId="4093" priority="5078"/>
    <cfRule type="duplicateValues" dxfId="4092" priority="5079"/>
    <cfRule type="duplicateValues" dxfId="4091" priority="5080"/>
    <cfRule type="duplicateValues" dxfId="4090" priority="5081"/>
    <cfRule type="duplicateValues" dxfId="4089" priority="5082"/>
  </conditionalFormatting>
  <conditionalFormatting sqref="R36">
    <cfRule type="duplicateValues" dxfId="4088" priority="4934"/>
  </conditionalFormatting>
  <conditionalFormatting sqref="R36">
    <cfRule type="duplicateValues" dxfId="4087" priority="4932"/>
    <cfRule type="duplicateValues" dxfId="4086" priority="4933"/>
  </conditionalFormatting>
  <conditionalFormatting sqref="R36">
    <cfRule type="duplicateValues" dxfId="4085" priority="4971"/>
  </conditionalFormatting>
  <conditionalFormatting sqref="R36">
    <cfRule type="duplicateValues" dxfId="4084" priority="4972"/>
    <cfRule type="duplicateValues" dxfId="4083" priority="4973"/>
  </conditionalFormatting>
  <conditionalFormatting sqref="R36">
    <cfRule type="duplicateValues" dxfId="4082" priority="4969"/>
  </conditionalFormatting>
  <conditionalFormatting sqref="R36">
    <cfRule type="duplicateValues" dxfId="4081" priority="4970"/>
  </conditionalFormatting>
  <conditionalFormatting sqref="R36">
    <cfRule type="duplicateValues" dxfId="4080" priority="4968"/>
  </conditionalFormatting>
  <conditionalFormatting sqref="R36">
    <cfRule type="duplicateValues" dxfId="4079" priority="4935"/>
    <cfRule type="duplicateValues" dxfId="4078" priority="4936"/>
    <cfRule type="duplicateValues" dxfId="4077" priority="4937"/>
    <cfRule type="duplicateValues" dxfId="4076" priority="4938"/>
  </conditionalFormatting>
  <conditionalFormatting sqref="R36">
    <cfRule type="duplicateValues" dxfId="4075" priority="4940"/>
    <cfRule type="duplicateValues" dxfId="4074" priority="4941"/>
    <cfRule type="duplicateValues" dxfId="4073" priority="4942"/>
    <cfRule type="duplicateValues" dxfId="4072" priority="4943"/>
    <cfRule type="duplicateValues" dxfId="4071" priority="4944"/>
  </conditionalFormatting>
  <conditionalFormatting sqref="R36">
    <cfRule type="duplicateValues" dxfId="4070" priority="4951"/>
    <cfRule type="duplicateValues" dxfId="4069" priority="4952"/>
    <cfRule type="duplicateValues" dxfId="4068" priority="4953"/>
    <cfRule type="duplicateValues" dxfId="4067" priority="4954"/>
    <cfRule type="duplicateValues" dxfId="4066" priority="4955"/>
    <cfRule type="duplicateValues" dxfId="4065" priority="4956"/>
    <cfRule type="duplicateValues" dxfId="4064" priority="4957"/>
    <cfRule type="duplicateValues" dxfId="4063" priority="4958"/>
    <cfRule type="duplicateValues" dxfId="4062" priority="4959"/>
    <cfRule type="duplicateValues" dxfId="4061" priority="4960"/>
    <cfRule type="duplicateValues" dxfId="4060" priority="4961"/>
  </conditionalFormatting>
  <conditionalFormatting sqref="R36">
    <cfRule type="duplicateValues" dxfId="4059" priority="4945"/>
    <cfRule type="duplicateValues" dxfId="4058" priority="4946"/>
    <cfRule type="duplicateValues" dxfId="4057" priority="4947"/>
    <cfRule type="duplicateValues" dxfId="4056" priority="4948"/>
    <cfRule type="duplicateValues" dxfId="4055" priority="4949"/>
    <cfRule type="duplicateValues" dxfId="4054" priority="4950"/>
  </conditionalFormatting>
  <conditionalFormatting sqref="R36">
    <cfRule type="duplicateValues" dxfId="4053" priority="4962"/>
    <cfRule type="duplicateValues" dxfId="4052" priority="4963"/>
    <cfRule type="duplicateValues" dxfId="4051" priority="4964"/>
    <cfRule type="duplicateValues" dxfId="4050" priority="4965"/>
    <cfRule type="duplicateValues" dxfId="4049" priority="4966"/>
    <cfRule type="duplicateValues" dxfId="4048" priority="4967"/>
  </conditionalFormatting>
  <conditionalFormatting sqref="R36">
    <cfRule type="duplicateValues" dxfId="4047" priority="4939"/>
  </conditionalFormatting>
  <conditionalFormatting sqref="R36">
    <cfRule type="duplicateValues" dxfId="4046" priority="4926"/>
    <cfRule type="duplicateValues" dxfId="4045" priority="4927"/>
    <cfRule type="duplicateValues" dxfId="4044" priority="4928"/>
    <cfRule type="duplicateValues" dxfId="4043" priority="4929"/>
    <cfRule type="duplicateValues" dxfId="4042" priority="4930"/>
    <cfRule type="duplicateValues" dxfId="4041" priority="4931"/>
  </conditionalFormatting>
  <conditionalFormatting sqref="R36">
    <cfRule type="duplicateValues" dxfId="4040" priority="4921"/>
    <cfRule type="duplicateValues" dxfId="4039" priority="4922"/>
    <cfRule type="duplicateValues" dxfId="4038" priority="4923"/>
    <cfRule type="duplicateValues" dxfId="4037" priority="4924"/>
    <cfRule type="duplicateValues" dxfId="4036" priority="4925"/>
  </conditionalFormatting>
  <conditionalFormatting sqref="R36">
    <cfRule type="duplicateValues" dxfId="4035" priority="4974"/>
    <cfRule type="duplicateValues" dxfId="4034" priority="4975"/>
    <cfRule type="duplicateValues" dxfId="4033" priority="4976"/>
    <cfRule type="duplicateValues" dxfId="4032" priority="4977"/>
    <cfRule type="duplicateValues" dxfId="4031" priority="4978"/>
    <cfRule type="duplicateValues" dxfId="4030" priority="4979"/>
    <cfRule type="duplicateValues" dxfId="4029" priority="4980"/>
    <cfRule type="duplicateValues" dxfId="4028" priority="4981"/>
    <cfRule type="duplicateValues" dxfId="4027" priority="4982"/>
    <cfRule type="duplicateValues" dxfId="4026" priority="4983"/>
    <cfRule type="duplicateValues" dxfId="4025" priority="4984"/>
    <cfRule type="duplicateValues" dxfId="4024" priority="4985"/>
    <cfRule type="duplicateValues" dxfId="4023" priority="4986"/>
    <cfRule type="duplicateValues" dxfId="4022" priority="4987"/>
    <cfRule type="duplicateValues" dxfId="4021" priority="4988"/>
    <cfRule type="duplicateValues" dxfId="4020" priority="4989"/>
    <cfRule type="duplicateValues" dxfId="4019" priority="4990"/>
    <cfRule type="duplicateValues" dxfId="4018" priority="4991"/>
    <cfRule type="duplicateValues" dxfId="4017" priority="4992"/>
    <cfRule type="duplicateValues" dxfId="4016" priority="4993"/>
    <cfRule type="duplicateValues" dxfId="4015" priority="4994"/>
    <cfRule type="duplicateValues" dxfId="4014" priority="4995"/>
  </conditionalFormatting>
  <conditionalFormatting sqref="R36">
    <cfRule type="duplicateValues" dxfId="4013" priority="4996"/>
    <cfRule type="duplicateValues" dxfId="4012" priority="4997"/>
    <cfRule type="duplicateValues" dxfId="4011" priority="4998"/>
    <cfRule type="duplicateValues" dxfId="4010" priority="4999"/>
    <cfRule type="duplicateValues" dxfId="4009" priority="5000"/>
    <cfRule type="duplicateValues" dxfId="4008" priority="5001"/>
  </conditionalFormatting>
  <conditionalFormatting sqref="R37">
    <cfRule type="duplicateValues" dxfId="4007" priority="4886"/>
  </conditionalFormatting>
  <conditionalFormatting sqref="R37">
    <cfRule type="duplicateValues" dxfId="4006" priority="4884"/>
    <cfRule type="duplicateValues" dxfId="4005" priority="4885"/>
  </conditionalFormatting>
  <conditionalFormatting sqref="R37">
    <cfRule type="duplicateValues" dxfId="4004" priority="4890"/>
  </conditionalFormatting>
  <conditionalFormatting sqref="R37">
    <cfRule type="duplicateValues" dxfId="4003" priority="4891"/>
    <cfRule type="duplicateValues" dxfId="4002" priority="4892"/>
  </conditionalFormatting>
  <conditionalFormatting sqref="R37">
    <cfRule type="duplicateValues" dxfId="4001" priority="4888"/>
  </conditionalFormatting>
  <conditionalFormatting sqref="R37">
    <cfRule type="duplicateValues" dxfId="4000" priority="4889"/>
  </conditionalFormatting>
  <conditionalFormatting sqref="R37">
    <cfRule type="duplicateValues" dxfId="3999" priority="4887"/>
  </conditionalFormatting>
  <conditionalFormatting sqref="R37">
    <cfRule type="duplicateValues" dxfId="3998" priority="4878"/>
    <cfRule type="duplicateValues" dxfId="3997" priority="4879"/>
    <cfRule type="duplicateValues" dxfId="3996" priority="4880"/>
    <cfRule type="duplicateValues" dxfId="3995" priority="4881"/>
    <cfRule type="duplicateValues" dxfId="3994" priority="4882"/>
    <cfRule type="duplicateValues" dxfId="3993" priority="4883"/>
  </conditionalFormatting>
  <conditionalFormatting sqref="R37">
    <cfRule type="duplicateValues" dxfId="3992" priority="4873"/>
    <cfRule type="duplicateValues" dxfId="3991" priority="4874"/>
    <cfRule type="duplicateValues" dxfId="3990" priority="4875"/>
    <cfRule type="duplicateValues" dxfId="3989" priority="4876"/>
    <cfRule type="duplicateValues" dxfId="3988" priority="4877"/>
  </conditionalFormatting>
  <conditionalFormatting sqref="R37">
    <cfRule type="duplicateValues" dxfId="3987" priority="4893"/>
    <cfRule type="duplicateValues" dxfId="3986" priority="4894"/>
    <cfRule type="duplicateValues" dxfId="3985" priority="4895"/>
    <cfRule type="duplicateValues" dxfId="3984" priority="4896"/>
    <cfRule type="duplicateValues" dxfId="3983" priority="4897"/>
    <cfRule type="duplicateValues" dxfId="3982" priority="4898"/>
    <cfRule type="duplicateValues" dxfId="3981" priority="4899"/>
    <cfRule type="duplicateValues" dxfId="3980" priority="4900"/>
    <cfRule type="duplicateValues" dxfId="3979" priority="4901"/>
    <cfRule type="duplicateValues" dxfId="3978" priority="4902"/>
    <cfRule type="duplicateValues" dxfId="3977" priority="4903"/>
    <cfRule type="duplicateValues" dxfId="3976" priority="4904"/>
    <cfRule type="duplicateValues" dxfId="3975" priority="4905"/>
    <cfRule type="duplicateValues" dxfId="3974" priority="4906"/>
    <cfRule type="duplicateValues" dxfId="3973" priority="4907"/>
    <cfRule type="duplicateValues" dxfId="3972" priority="4908"/>
    <cfRule type="duplicateValues" dxfId="3971" priority="4909"/>
    <cfRule type="duplicateValues" dxfId="3970" priority="4910"/>
    <cfRule type="duplicateValues" dxfId="3969" priority="4911"/>
    <cfRule type="duplicateValues" dxfId="3968" priority="4912"/>
    <cfRule type="duplicateValues" dxfId="3967" priority="4913"/>
    <cfRule type="duplicateValues" dxfId="3966" priority="4914"/>
    <cfRule type="duplicateValues" dxfId="3965" priority="4915"/>
    <cfRule type="duplicateValues" dxfId="3964" priority="4916"/>
    <cfRule type="duplicateValues" dxfId="3963" priority="4917"/>
    <cfRule type="duplicateValues" dxfId="3962" priority="4918"/>
    <cfRule type="duplicateValues" dxfId="3961" priority="4919"/>
    <cfRule type="duplicateValues" dxfId="3960" priority="4920"/>
  </conditionalFormatting>
  <conditionalFormatting sqref="R38">
    <cfRule type="duplicateValues" dxfId="3959" priority="4831"/>
  </conditionalFormatting>
  <conditionalFormatting sqref="R38">
    <cfRule type="duplicateValues" dxfId="3958" priority="4832"/>
    <cfRule type="duplicateValues" dxfId="3957" priority="4833"/>
  </conditionalFormatting>
  <conditionalFormatting sqref="R38">
    <cfRule type="duplicateValues" dxfId="3956" priority="4834"/>
    <cfRule type="duplicateValues" dxfId="3955" priority="4835"/>
    <cfRule type="duplicateValues" dxfId="3954" priority="4836"/>
    <cfRule type="duplicateValues" dxfId="3953" priority="4837"/>
    <cfRule type="duplicateValues" dxfId="3952" priority="4838"/>
    <cfRule type="duplicateValues" dxfId="3951" priority="4839"/>
  </conditionalFormatting>
  <conditionalFormatting sqref="R38">
    <cfRule type="duplicateValues" dxfId="3950" priority="4840"/>
    <cfRule type="duplicateValues" dxfId="3949" priority="4841"/>
    <cfRule type="duplicateValues" dxfId="3948" priority="4842"/>
    <cfRule type="duplicateValues" dxfId="3947" priority="4843"/>
    <cfRule type="duplicateValues" dxfId="3946" priority="4844"/>
  </conditionalFormatting>
  <conditionalFormatting sqref="R38">
    <cfRule type="duplicateValues" dxfId="3945" priority="4845"/>
    <cfRule type="duplicateValues" dxfId="3944" priority="4846"/>
    <cfRule type="duplicateValues" dxfId="3943" priority="4847"/>
    <cfRule type="duplicateValues" dxfId="3942" priority="4848"/>
    <cfRule type="duplicateValues" dxfId="3941" priority="4849"/>
    <cfRule type="duplicateValues" dxfId="3940" priority="4850"/>
    <cfRule type="duplicateValues" dxfId="3939" priority="4851"/>
    <cfRule type="duplicateValues" dxfId="3938" priority="4852"/>
    <cfRule type="duplicateValues" dxfId="3937" priority="4853"/>
    <cfRule type="duplicateValues" dxfId="3936" priority="4854"/>
    <cfRule type="duplicateValues" dxfId="3935" priority="4855"/>
    <cfRule type="duplicateValues" dxfId="3934" priority="4856"/>
    <cfRule type="duplicateValues" dxfId="3933" priority="4857"/>
    <cfRule type="duplicateValues" dxfId="3932" priority="4858"/>
    <cfRule type="duplicateValues" dxfId="3931" priority="4859"/>
    <cfRule type="duplicateValues" dxfId="3930" priority="4860"/>
    <cfRule type="duplicateValues" dxfId="3929" priority="4861"/>
    <cfRule type="duplicateValues" dxfId="3928" priority="4862"/>
    <cfRule type="duplicateValues" dxfId="3927" priority="4863"/>
    <cfRule type="duplicateValues" dxfId="3926" priority="4864"/>
    <cfRule type="duplicateValues" dxfId="3925" priority="4865"/>
    <cfRule type="duplicateValues" dxfId="3924" priority="4866"/>
    <cfRule type="duplicateValues" dxfId="3923" priority="4867"/>
    <cfRule type="duplicateValues" dxfId="3922" priority="4868"/>
    <cfRule type="duplicateValues" dxfId="3921" priority="4869"/>
    <cfRule type="duplicateValues" dxfId="3920" priority="4870"/>
    <cfRule type="duplicateValues" dxfId="3919" priority="4871"/>
    <cfRule type="duplicateValues" dxfId="3918" priority="4872"/>
  </conditionalFormatting>
  <conditionalFormatting sqref="R39">
    <cfRule type="duplicateValues" dxfId="3917" priority="4796"/>
  </conditionalFormatting>
  <conditionalFormatting sqref="R39">
    <cfRule type="duplicateValues" dxfId="3916" priority="4794"/>
    <cfRule type="duplicateValues" dxfId="3915" priority="4795"/>
  </conditionalFormatting>
  <conditionalFormatting sqref="R39">
    <cfRule type="duplicateValues" dxfId="3914" priority="4800"/>
  </conditionalFormatting>
  <conditionalFormatting sqref="R39">
    <cfRule type="duplicateValues" dxfId="3913" priority="4801"/>
    <cfRule type="duplicateValues" dxfId="3912" priority="4802"/>
  </conditionalFormatting>
  <conditionalFormatting sqref="R39">
    <cfRule type="duplicateValues" dxfId="3911" priority="4798"/>
  </conditionalFormatting>
  <conditionalFormatting sqref="R39">
    <cfRule type="duplicateValues" dxfId="3910" priority="4799"/>
  </conditionalFormatting>
  <conditionalFormatting sqref="R39">
    <cfRule type="duplicateValues" dxfId="3909" priority="4797"/>
  </conditionalFormatting>
  <conditionalFormatting sqref="R39">
    <cfRule type="duplicateValues" dxfId="3908" priority="4788"/>
    <cfRule type="duplicateValues" dxfId="3907" priority="4789"/>
    <cfRule type="duplicateValues" dxfId="3906" priority="4790"/>
    <cfRule type="duplicateValues" dxfId="3905" priority="4791"/>
    <cfRule type="duplicateValues" dxfId="3904" priority="4792"/>
    <cfRule type="duplicateValues" dxfId="3903" priority="4793"/>
  </conditionalFormatting>
  <conditionalFormatting sqref="R39">
    <cfRule type="duplicateValues" dxfId="3902" priority="4783"/>
    <cfRule type="duplicateValues" dxfId="3901" priority="4784"/>
    <cfRule type="duplicateValues" dxfId="3900" priority="4785"/>
    <cfRule type="duplicateValues" dxfId="3899" priority="4786"/>
    <cfRule type="duplicateValues" dxfId="3898" priority="4787"/>
  </conditionalFormatting>
  <conditionalFormatting sqref="R39">
    <cfRule type="duplicateValues" dxfId="3897" priority="4803"/>
    <cfRule type="duplicateValues" dxfId="3896" priority="4804"/>
    <cfRule type="duplicateValues" dxfId="3895" priority="4805"/>
    <cfRule type="duplicateValues" dxfId="3894" priority="4806"/>
    <cfRule type="duplicateValues" dxfId="3893" priority="4807"/>
    <cfRule type="duplicateValues" dxfId="3892" priority="4808"/>
    <cfRule type="duplicateValues" dxfId="3891" priority="4809"/>
    <cfRule type="duplicateValues" dxfId="3890" priority="4810"/>
    <cfRule type="duplicateValues" dxfId="3889" priority="4811"/>
    <cfRule type="duplicateValues" dxfId="3888" priority="4812"/>
    <cfRule type="duplicateValues" dxfId="3887" priority="4813"/>
    <cfRule type="duplicateValues" dxfId="3886" priority="4814"/>
    <cfRule type="duplicateValues" dxfId="3885" priority="4815"/>
    <cfRule type="duplicateValues" dxfId="3884" priority="4816"/>
    <cfRule type="duplicateValues" dxfId="3883" priority="4817"/>
    <cfRule type="duplicateValues" dxfId="3882" priority="4818"/>
    <cfRule type="duplicateValues" dxfId="3881" priority="4819"/>
    <cfRule type="duplicateValues" dxfId="3880" priority="4820"/>
    <cfRule type="duplicateValues" dxfId="3879" priority="4821"/>
    <cfRule type="duplicateValues" dxfId="3878" priority="4822"/>
    <cfRule type="duplicateValues" dxfId="3877" priority="4823"/>
    <cfRule type="duplicateValues" dxfId="3876" priority="4824"/>
    <cfRule type="duplicateValues" dxfId="3875" priority="4825"/>
    <cfRule type="duplicateValues" dxfId="3874" priority="4826"/>
    <cfRule type="duplicateValues" dxfId="3873" priority="4827"/>
    <cfRule type="duplicateValues" dxfId="3872" priority="4828"/>
    <cfRule type="duplicateValues" dxfId="3871" priority="4829"/>
    <cfRule type="duplicateValues" dxfId="3870" priority="4830"/>
  </conditionalFormatting>
  <conditionalFormatting sqref="R40">
    <cfRule type="duplicateValues" dxfId="3869" priority="4741"/>
  </conditionalFormatting>
  <conditionalFormatting sqref="R40">
    <cfRule type="duplicateValues" dxfId="3868" priority="4742"/>
    <cfRule type="duplicateValues" dxfId="3867" priority="4743"/>
  </conditionalFormatting>
  <conditionalFormatting sqref="R40">
    <cfRule type="duplicateValues" dxfId="3866" priority="4744"/>
    <cfRule type="duplicateValues" dxfId="3865" priority="4745"/>
    <cfRule type="duplicateValues" dxfId="3864" priority="4746"/>
    <cfRule type="duplicateValues" dxfId="3863" priority="4747"/>
    <cfRule type="duplicateValues" dxfId="3862" priority="4748"/>
    <cfRule type="duplicateValues" dxfId="3861" priority="4749"/>
  </conditionalFormatting>
  <conditionalFormatting sqref="R40">
    <cfRule type="duplicateValues" dxfId="3860" priority="4750"/>
    <cfRule type="duplicateValues" dxfId="3859" priority="4751"/>
    <cfRule type="duplicateValues" dxfId="3858" priority="4752"/>
    <cfRule type="duplicateValues" dxfId="3857" priority="4753"/>
    <cfRule type="duplicateValues" dxfId="3856" priority="4754"/>
  </conditionalFormatting>
  <conditionalFormatting sqref="R40">
    <cfRule type="duplicateValues" dxfId="3855" priority="4755"/>
    <cfRule type="duplicateValues" dxfId="3854" priority="4756"/>
    <cfRule type="duplicateValues" dxfId="3853" priority="4757"/>
    <cfRule type="duplicateValues" dxfId="3852" priority="4758"/>
    <cfRule type="duplicateValues" dxfId="3851" priority="4759"/>
    <cfRule type="duplicateValues" dxfId="3850" priority="4760"/>
    <cfRule type="duplicateValues" dxfId="3849" priority="4761"/>
    <cfRule type="duplicateValues" dxfId="3848" priority="4762"/>
    <cfRule type="duplicateValues" dxfId="3847" priority="4763"/>
    <cfRule type="duplicateValues" dxfId="3846" priority="4764"/>
    <cfRule type="duplicateValues" dxfId="3845" priority="4765"/>
    <cfRule type="duplicateValues" dxfId="3844" priority="4766"/>
    <cfRule type="duplicateValues" dxfId="3843" priority="4767"/>
    <cfRule type="duplicateValues" dxfId="3842" priority="4768"/>
    <cfRule type="duplicateValues" dxfId="3841" priority="4769"/>
    <cfRule type="duplicateValues" dxfId="3840" priority="4770"/>
    <cfRule type="duplicateValues" dxfId="3839" priority="4771"/>
    <cfRule type="duplicateValues" dxfId="3838" priority="4772"/>
    <cfRule type="duplicateValues" dxfId="3837" priority="4773"/>
    <cfRule type="duplicateValues" dxfId="3836" priority="4774"/>
    <cfRule type="duplicateValues" dxfId="3835" priority="4775"/>
    <cfRule type="duplicateValues" dxfId="3834" priority="4776"/>
    <cfRule type="duplicateValues" dxfId="3833" priority="4777"/>
    <cfRule type="duplicateValues" dxfId="3832" priority="4778"/>
    <cfRule type="duplicateValues" dxfId="3831" priority="4779"/>
    <cfRule type="duplicateValues" dxfId="3830" priority="4780"/>
    <cfRule type="duplicateValues" dxfId="3829" priority="4781"/>
    <cfRule type="duplicateValues" dxfId="3828" priority="4782"/>
  </conditionalFormatting>
  <conditionalFormatting sqref="R41">
    <cfRule type="duplicateValues" dxfId="3827" priority="4699"/>
  </conditionalFormatting>
  <conditionalFormatting sqref="R41">
    <cfRule type="duplicateValues" dxfId="3826" priority="4700"/>
    <cfRule type="duplicateValues" dxfId="3825" priority="4701"/>
  </conditionalFormatting>
  <conditionalFormatting sqref="R41">
    <cfRule type="duplicateValues" dxfId="3824" priority="4702"/>
    <cfRule type="duplicateValues" dxfId="3823" priority="4703"/>
    <cfRule type="duplicateValues" dxfId="3822" priority="4704"/>
    <cfRule type="duplicateValues" dxfId="3821" priority="4705"/>
    <cfRule type="duplicateValues" dxfId="3820" priority="4706"/>
    <cfRule type="duplicateValues" dxfId="3819" priority="4707"/>
  </conditionalFormatting>
  <conditionalFormatting sqref="R41">
    <cfRule type="duplicateValues" dxfId="3818" priority="4708"/>
    <cfRule type="duplicateValues" dxfId="3817" priority="4709"/>
    <cfRule type="duplicateValues" dxfId="3816" priority="4710"/>
    <cfRule type="duplicateValues" dxfId="3815" priority="4711"/>
    <cfRule type="duplicateValues" dxfId="3814" priority="4712"/>
  </conditionalFormatting>
  <conditionalFormatting sqref="R41">
    <cfRule type="duplicateValues" dxfId="3813" priority="4713"/>
    <cfRule type="duplicateValues" dxfId="3812" priority="4714"/>
    <cfRule type="duplicateValues" dxfId="3811" priority="4715"/>
    <cfRule type="duplicateValues" dxfId="3810" priority="4716"/>
    <cfRule type="duplicateValues" dxfId="3809" priority="4717"/>
    <cfRule type="duplicateValues" dxfId="3808" priority="4718"/>
    <cfRule type="duplicateValues" dxfId="3807" priority="4719"/>
    <cfRule type="duplicateValues" dxfId="3806" priority="4720"/>
    <cfRule type="duplicateValues" dxfId="3805" priority="4721"/>
    <cfRule type="duplicateValues" dxfId="3804" priority="4722"/>
    <cfRule type="duplicateValues" dxfId="3803" priority="4723"/>
    <cfRule type="duplicateValues" dxfId="3802" priority="4724"/>
    <cfRule type="duplicateValues" dxfId="3801" priority="4725"/>
    <cfRule type="duplicateValues" dxfId="3800" priority="4726"/>
    <cfRule type="duplicateValues" dxfId="3799" priority="4727"/>
    <cfRule type="duplicateValues" dxfId="3798" priority="4728"/>
    <cfRule type="duplicateValues" dxfId="3797" priority="4729"/>
    <cfRule type="duplicateValues" dxfId="3796" priority="4730"/>
    <cfRule type="duplicateValues" dxfId="3795" priority="4731"/>
    <cfRule type="duplicateValues" dxfId="3794" priority="4732"/>
    <cfRule type="duplicateValues" dxfId="3793" priority="4733"/>
    <cfRule type="duplicateValues" dxfId="3792" priority="4734"/>
    <cfRule type="duplicateValues" dxfId="3791" priority="4735"/>
    <cfRule type="duplicateValues" dxfId="3790" priority="4736"/>
    <cfRule type="duplicateValues" dxfId="3789" priority="4737"/>
    <cfRule type="duplicateValues" dxfId="3788" priority="4738"/>
    <cfRule type="duplicateValues" dxfId="3787" priority="4739"/>
    <cfRule type="duplicateValues" dxfId="3786" priority="4740"/>
  </conditionalFormatting>
  <conditionalFormatting sqref="R42">
    <cfRule type="duplicateValues" dxfId="3785" priority="4657"/>
  </conditionalFormatting>
  <conditionalFormatting sqref="R42">
    <cfRule type="duplicateValues" dxfId="3784" priority="4658"/>
    <cfRule type="duplicateValues" dxfId="3783" priority="4659"/>
  </conditionalFormatting>
  <conditionalFormatting sqref="R42">
    <cfRule type="duplicateValues" dxfId="3782" priority="4660"/>
    <cfRule type="duplicateValues" dxfId="3781" priority="4661"/>
    <cfRule type="duplicateValues" dxfId="3780" priority="4662"/>
    <cfRule type="duplicateValues" dxfId="3779" priority="4663"/>
    <cfRule type="duplicateValues" dxfId="3778" priority="4664"/>
    <cfRule type="duplicateValues" dxfId="3777" priority="4665"/>
  </conditionalFormatting>
  <conditionalFormatting sqref="R42">
    <cfRule type="duplicateValues" dxfId="3776" priority="4666"/>
    <cfRule type="duplicateValues" dxfId="3775" priority="4667"/>
    <cfRule type="duplicateValues" dxfId="3774" priority="4668"/>
    <cfRule type="duplicateValues" dxfId="3773" priority="4669"/>
    <cfRule type="duplicateValues" dxfId="3772" priority="4670"/>
  </conditionalFormatting>
  <conditionalFormatting sqref="R42">
    <cfRule type="duplicateValues" dxfId="3771" priority="4671"/>
    <cfRule type="duplicateValues" dxfId="3770" priority="4672"/>
    <cfRule type="duplicateValues" dxfId="3769" priority="4673"/>
    <cfRule type="duplicateValues" dxfId="3768" priority="4674"/>
    <cfRule type="duplicateValues" dxfId="3767" priority="4675"/>
    <cfRule type="duplicateValues" dxfId="3766" priority="4676"/>
    <cfRule type="duplicateValues" dxfId="3765" priority="4677"/>
    <cfRule type="duplicateValues" dxfId="3764" priority="4678"/>
    <cfRule type="duplicateValues" dxfId="3763" priority="4679"/>
    <cfRule type="duplicateValues" dxfId="3762" priority="4680"/>
    <cfRule type="duplicateValues" dxfId="3761" priority="4681"/>
    <cfRule type="duplicateValues" dxfId="3760" priority="4682"/>
    <cfRule type="duplicateValues" dxfId="3759" priority="4683"/>
    <cfRule type="duplicateValues" dxfId="3758" priority="4684"/>
    <cfRule type="duplicateValues" dxfId="3757" priority="4685"/>
    <cfRule type="duplicateValues" dxfId="3756" priority="4686"/>
    <cfRule type="duplicateValues" dxfId="3755" priority="4687"/>
    <cfRule type="duplicateValues" dxfId="3754" priority="4688"/>
    <cfRule type="duplicateValues" dxfId="3753" priority="4689"/>
    <cfRule type="duplicateValues" dxfId="3752" priority="4690"/>
    <cfRule type="duplicateValues" dxfId="3751" priority="4691"/>
    <cfRule type="duplicateValues" dxfId="3750" priority="4692"/>
    <cfRule type="duplicateValues" dxfId="3749" priority="4693"/>
    <cfRule type="duplicateValues" dxfId="3748" priority="4694"/>
    <cfRule type="duplicateValues" dxfId="3747" priority="4695"/>
    <cfRule type="duplicateValues" dxfId="3746" priority="4696"/>
    <cfRule type="duplicateValues" dxfId="3745" priority="4697"/>
    <cfRule type="duplicateValues" dxfId="3744" priority="4698"/>
  </conditionalFormatting>
  <conditionalFormatting sqref="R43">
    <cfRule type="duplicateValues" dxfId="3743" priority="4615"/>
  </conditionalFormatting>
  <conditionalFormatting sqref="R43">
    <cfRule type="duplicateValues" dxfId="3742" priority="4616"/>
    <cfRule type="duplicateValues" dxfId="3741" priority="4617"/>
  </conditionalFormatting>
  <conditionalFormatting sqref="R43">
    <cfRule type="duplicateValues" dxfId="3740" priority="4618"/>
    <cfRule type="duplicateValues" dxfId="3739" priority="4619"/>
    <cfRule type="duplicateValues" dxfId="3738" priority="4620"/>
    <cfRule type="duplicateValues" dxfId="3737" priority="4621"/>
    <cfRule type="duplicateValues" dxfId="3736" priority="4622"/>
    <cfRule type="duplicateValues" dxfId="3735" priority="4623"/>
  </conditionalFormatting>
  <conditionalFormatting sqref="R43">
    <cfRule type="duplicateValues" dxfId="3734" priority="4624"/>
    <cfRule type="duplicateValues" dxfId="3733" priority="4625"/>
    <cfRule type="duplicateValues" dxfId="3732" priority="4626"/>
    <cfRule type="duplicateValues" dxfId="3731" priority="4627"/>
    <cfRule type="duplicateValues" dxfId="3730" priority="4628"/>
  </conditionalFormatting>
  <conditionalFormatting sqref="R43">
    <cfRule type="duplicateValues" dxfId="3729" priority="4629"/>
    <cfRule type="duplicateValues" dxfId="3728" priority="4630"/>
    <cfRule type="duplicateValues" dxfId="3727" priority="4631"/>
    <cfRule type="duplicateValues" dxfId="3726" priority="4632"/>
    <cfRule type="duplicateValues" dxfId="3725" priority="4633"/>
    <cfRule type="duplicateValues" dxfId="3724" priority="4634"/>
    <cfRule type="duplicateValues" dxfId="3723" priority="4635"/>
    <cfRule type="duplicateValues" dxfId="3722" priority="4636"/>
    <cfRule type="duplicateValues" dxfId="3721" priority="4637"/>
    <cfRule type="duplicateValues" dxfId="3720" priority="4638"/>
    <cfRule type="duplicateValues" dxfId="3719" priority="4639"/>
    <cfRule type="duplicateValues" dxfId="3718" priority="4640"/>
    <cfRule type="duplicateValues" dxfId="3717" priority="4641"/>
    <cfRule type="duplicateValues" dxfId="3716" priority="4642"/>
    <cfRule type="duplicateValues" dxfId="3715" priority="4643"/>
    <cfRule type="duplicateValues" dxfId="3714" priority="4644"/>
    <cfRule type="duplicateValues" dxfId="3713" priority="4645"/>
    <cfRule type="duplicateValues" dxfId="3712" priority="4646"/>
    <cfRule type="duplicateValues" dxfId="3711" priority="4647"/>
    <cfRule type="duplicateValues" dxfId="3710" priority="4648"/>
    <cfRule type="duplicateValues" dxfId="3709" priority="4649"/>
    <cfRule type="duplicateValues" dxfId="3708" priority="4650"/>
    <cfRule type="duplicateValues" dxfId="3707" priority="4651"/>
    <cfRule type="duplicateValues" dxfId="3706" priority="4652"/>
    <cfRule type="duplicateValues" dxfId="3705" priority="4653"/>
    <cfRule type="duplicateValues" dxfId="3704" priority="4654"/>
    <cfRule type="duplicateValues" dxfId="3703" priority="4655"/>
    <cfRule type="duplicateValues" dxfId="3702" priority="4656"/>
  </conditionalFormatting>
  <conditionalFormatting sqref="R44">
    <cfRule type="duplicateValues" dxfId="3701" priority="4573"/>
  </conditionalFormatting>
  <conditionalFormatting sqref="R44">
    <cfRule type="duplicateValues" dxfId="3700" priority="4574"/>
    <cfRule type="duplicateValues" dxfId="3699" priority="4575"/>
  </conditionalFormatting>
  <conditionalFormatting sqref="R44">
    <cfRule type="duplicateValues" dxfId="3698" priority="4576"/>
    <cfRule type="duplicateValues" dxfId="3697" priority="4577"/>
    <cfRule type="duplicateValues" dxfId="3696" priority="4578"/>
    <cfRule type="duplicateValues" dxfId="3695" priority="4579"/>
    <cfRule type="duplicateValues" dxfId="3694" priority="4580"/>
    <cfRule type="duplicateValues" dxfId="3693" priority="4581"/>
  </conditionalFormatting>
  <conditionalFormatting sqref="R44">
    <cfRule type="duplicateValues" dxfId="3692" priority="4582"/>
    <cfRule type="duplicateValues" dxfId="3691" priority="4583"/>
    <cfRule type="duplicateValues" dxfId="3690" priority="4584"/>
    <cfRule type="duplicateValues" dxfId="3689" priority="4585"/>
    <cfRule type="duplicateValues" dxfId="3688" priority="4586"/>
  </conditionalFormatting>
  <conditionalFormatting sqref="R44">
    <cfRule type="duplicateValues" dxfId="3687" priority="4587"/>
    <cfRule type="duplicateValues" dxfId="3686" priority="4588"/>
    <cfRule type="duplicateValues" dxfId="3685" priority="4589"/>
    <cfRule type="duplicateValues" dxfId="3684" priority="4590"/>
    <cfRule type="duplicateValues" dxfId="3683" priority="4591"/>
    <cfRule type="duplicateValues" dxfId="3682" priority="4592"/>
    <cfRule type="duplicateValues" dxfId="3681" priority="4593"/>
    <cfRule type="duplicateValues" dxfId="3680" priority="4594"/>
    <cfRule type="duplicateValues" dxfId="3679" priority="4595"/>
    <cfRule type="duplicateValues" dxfId="3678" priority="4596"/>
    <cfRule type="duplicateValues" dxfId="3677" priority="4597"/>
    <cfRule type="duplicateValues" dxfId="3676" priority="4598"/>
    <cfRule type="duplicateValues" dxfId="3675" priority="4599"/>
    <cfRule type="duplicateValues" dxfId="3674" priority="4600"/>
    <cfRule type="duplicateValues" dxfId="3673" priority="4601"/>
    <cfRule type="duplicateValues" dxfId="3672" priority="4602"/>
    <cfRule type="duplicateValues" dxfId="3671" priority="4603"/>
    <cfRule type="duplicateValues" dxfId="3670" priority="4604"/>
    <cfRule type="duplicateValues" dxfId="3669" priority="4605"/>
    <cfRule type="duplicateValues" dxfId="3668" priority="4606"/>
    <cfRule type="duplicateValues" dxfId="3667" priority="4607"/>
    <cfRule type="duplicateValues" dxfId="3666" priority="4608"/>
    <cfRule type="duplicateValues" dxfId="3665" priority="4609"/>
    <cfRule type="duplicateValues" dxfId="3664" priority="4610"/>
    <cfRule type="duplicateValues" dxfId="3663" priority="4611"/>
    <cfRule type="duplicateValues" dxfId="3662" priority="4612"/>
    <cfRule type="duplicateValues" dxfId="3661" priority="4613"/>
    <cfRule type="duplicateValues" dxfId="3660" priority="4614"/>
  </conditionalFormatting>
  <conditionalFormatting sqref="R45">
    <cfRule type="duplicateValues" dxfId="3659" priority="4538"/>
  </conditionalFormatting>
  <conditionalFormatting sqref="R45">
    <cfRule type="duplicateValues" dxfId="3658" priority="4536"/>
    <cfRule type="duplicateValues" dxfId="3657" priority="4537"/>
  </conditionalFormatting>
  <conditionalFormatting sqref="R45">
    <cfRule type="duplicateValues" dxfId="3656" priority="4542"/>
  </conditionalFormatting>
  <conditionalFormatting sqref="R45">
    <cfRule type="duplicateValues" dxfId="3655" priority="4543"/>
    <cfRule type="duplicateValues" dxfId="3654" priority="4544"/>
  </conditionalFormatting>
  <conditionalFormatting sqref="R45">
    <cfRule type="duplicateValues" dxfId="3653" priority="4540"/>
  </conditionalFormatting>
  <conditionalFormatting sqref="R45">
    <cfRule type="duplicateValues" dxfId="3652" priority="4541"/>
  </conditionalFormatting>
  <conditionalFormatting sqref="R45">
    <cfRule type="duplicateValues" dxfId="3651" priority="4539"/>
  </conditionalFormatting>
  <conditionalFormatting sqref="R45">
    <cfRule type="duplicateValues" dxfId="3650" priority="4530"/>
    <cfRule type="duplicateValues" dxfId="3649" priority="4531"/>
    <cfRule type="duplicateValues" dxfId="3648" priority="4532"/>
    <cfRule type="duplicateValues" dxfId="3647" priority="4533"/>
    <cfRule type="duplicateValues" dxfId="3646" priority="4534"/>
    <cfRule type="duplicateValues" dxfId="3645" priority="4535"/>
  </conditionalFormatting>
  <conditionalFormatting sqref="R45">
    <cfRule type="duplicateValues" dxfId="3644" priority="4525"/>
    <cfRule type="duplicateValues" dxfId="3643" priority="4526"/>
    <cfRule type="duplicateValues" dxfId="3642" priority="4527"/>
    <cfRule type="duplicateValues" dxfId="3641" priority="4528"/>
    <cfRule type="duplicateValues" dxfId="3640" priority="4529"/>
  </conditionalFormatting>
  <conditionalFormatting sqref="R45">
    <cfRule type="duplicateValues" dxfId="3639" priority="4545"/>
    <cfRule type="duplicateValues" dxfId="3638" priority="4546"/>
    <cfRule type="duplicateValues" dxfId="3637" priority="4547"/>
    <cfRule type="duplicateValues" dxfId="3636" priority="4548"/>
    <cfRule type="duplicateValues" dxfId="3635" priority="4549"/>
    <cfRule type="duplicateValues" dxfId="3634" priority="4550"/>
    <cfRule type="duplicateValues" dxfId="3633" priority="4551"/>
    <cfRule type="duplicateValues" dxfId="3632" priority="4552"/>
    <cfRule type="duplicateValues" dxfId="3631" priority="4553"/>
    <cfRule type="duplicateValues" dxfId="3630" priority="4554"/>
    <cfRule type="duplicateValues" dxfId="3629" priority="4555"/>
    <cfRule type="duplicateValues" dxfId="3628" priority="4556"/>
    <cfRule type="duplicateValues" dxfId="3627" priority="4557"/>
    <cfRule type="duplicateValues" dxfId="3626" priority="4558"/>
    <cfRule type="duplicateValues" dxfId="3625" priority="4559"/>
    <cfRule type="duplicateValues" dxfId="3624" priority="4560"/>
    <cfRule type="duplicateValues" dxfId="3623" priority="4561"/>
    <cfRule type="duplicateValues" dxfId="3622" priority="4562"/>
    <cfRule type="duplicateValues" dxfId="3621" priority="4563"/>
    <cfRule type="duplicateValues" dxfId="3620" priority="4564"/>
    <cfRule type="duplicateValues" dxfId="3619" priority="4565"/>
    <cfRule type="duplicateValues" dxfId="3618" priority="4566"/>
    <cfRule type="duplicateValues" dxfId="3617" priority="4567"/>
    <cfRule type="duplicateValues" dxfId="3616" priority="4568"/>
    <cfRule type="duplicateValues" dxfId="3615" priority="4569"/>
    <cfRule type="duplicateValues" dxfId="3614" priority="4570"/>
    <cfRule type="duplicateValues" dxfId="3613" priority="4571"/>
    <cfRule type="duplicateValues" dxfId="3612" priority="4572"/>
  </conditionalFormatting>
  <conditionalFormatting sqref="R46">
    <cfRule type="duplicateValues" dxfId="3611" priority="4490"/>
  </conditionalFormatting>
  <conditionalFormatting sqref="R46">
    <cfRule type="duplicateValues" dxfId="3610" priority="4488"/>
    <cfRule type="duplicateValues" dxfId="3609" priority="4489"/>
  </conditionalFormatting>
  <conditionalFormatting sqref="R46">
    <cfRule type="duplicateValues" dxfId="3608" priority="4494"/>
  </conditionalFormatting>
  <conditionalFormatting sqref="R46">
    <cfRule type="duplicateValues" dxfId="3607" priority="4495"/>
    <cfRule type="duplicateValues" dxfId="3606" priority="4496"/>
  </conditionalFormatting>
  <conditionalFormatting sqref="R46">
    <cfRule type="duplicateValues" dxfId="3605" priority="4492"/>
  </conditionalFormatting>
  <conditionalFormatting sqref="R46">
    <cfRule type="duplicateValues" dxfId="3604" priority="4493"/>
  </conditionalFormatting>
  <conditionalFormatting sqref="R46">
    <cfRule type="duplicateValues" dxfId="3603" priority="4491"/>
  </conditionalFormatting>
  <conditionalFormatting sqref="R46">
    <cfRule type="duplicateValues" dxfId="3602" priority="4482"/>
    <cfRule type="duplicateValues" dxfId="3601" priority="4483"/>
    <cfRule type="duplicateValues" dxfId="3600" priority="4484"/>
    <cfRule type="duplicateValues" dxfId="3599" priority="4485"/>
    <cfRule type="duplicateValues" dxfId="3598" priority="4486"/>
    <cfRule type="duplicateValues" dxfId="3597" priority="4487"/>
  </conditionalFormatting>
  <conditionalFormatting sqref="R46">
    <cfRule type="duplicateValues" dxfId="3596" priority="4477"/>
    <cfRule type="duplicateValues" dxfId="3595" priority="4478"/>
    <cfRule type="duplicateValues" dxfId="3594" priority="4479"/>
    <cfRule type="duplicateValues" dxfId="3593" priority="4480"/>
    <cfRule type="duplicateValues" dxfId="3592" priority="4481"/>
  </conditionalFormatting>
  <conditionalFormatting sqref="R46">
    <cfRule type="duplicateValues" dxfId="3591" priority="4497"/>
    <cfRule type="duplicateValues" dxfId="3590" priority="4498"/>
    <cfRule type="duplicateValues" dxfId="3589" priority="4499"/>
    <cfRule type="duplicateValues" dxfId="3588" priority="4500"/>
    <cfRule type="duplicateValues" dxfId="3587" priority="4501"/>
    <cfRule type="duplicateValues" dxfId="3586" priority="4502"/>
    <cfRule type="duplicateValues" dxfId="3585" priority="4503"/>
    <cfRule type="duplicateValues" dxfId="3584" priority="4504"/>
    <cfRule type="duplicateValues" dxfId="3583" priority="4505"/>
    <cfRule type="duplicateValues" dxfId="3582" priority="4506"/>
    <cfRule type="duplicateValues" dxfId="3581" priority="4507"/>
    <cfRule type="duplicateValues" dxfId="3580" priority="4508"/>
    <cfRule type="duplicateValues" dxfId="3579" priority="4509"/>
    <cfRule type="duplicateValues" dxfId="3578" priority="4510"/>
    <cfRule type="duplicateValues" dxfId="3577" priority="4511"/>
    <cfRule type="duplicateValues" dxfId="3576" priority="4512"/>
    <cfRule type="duplicateValues" dxfId="3575" priority="4513"/>
    <cfRule type="duplicateValues" dxfId="3574" priority="4514"/>
    <cfRule type="duplicateValues" dxfId="3573" priority="4515"/>
    <cfRule type="duplicateValues" dxfId="3572" priority="4516"/>
    <cfRule type="duplicateValues" dxfId="3571" priority="4517"/>
    <cfRule type="duplicateValues" dxfId="3570" priority="4518"/>
    <cfRule type="duplicateValues" dxfId="3569" priority="4519"/>
    <cfRule type="duplicateValues" dxfId="3568" priority="4520"/>
    <cfRule type="duplicateValues" dxfId="3567" priority="4521"/>
    <cfRule type="duplicateValues" dxfId="3566" priority="4522"/>
    <cfRule type="duplicateValues" dxfId="3565" priority="4523"/>
    <cfRule type="duplicateValues" dxfId="3564" priority="4524"/>
  </conditionalFormatting>
  <conditionalFormatting sqref="R47">
    <cfRule type="duplicateValues" dxfId="3563" priority="4409"/>
  </conditionalFormatting>
  <conditionalFormatting sqref="R47">
    <cfRule type="duplicateValues" dxfId="3562" priority="4407"/>
    <cfRule type="duplicateValues" dxfId="3561" priority="4408"/>
  </conditionalFormatting>
  <conditionalFormatting sqref="R47">
    <cfRule type="duplicateValues" dxfId="3560" priority="4446"/>
  </conditionalFormatting>
  <conditionalFormatting sqref="R47">
    <cfRule type="duplicateValues" dxfId="3559" priority="4447"/>
    <cfRule type="duplicateValues" dxfId="3558" priority="4448"/>
  </conditionalFormatting>
  <conditionalFormatting sqref="R47">
    <cfRule type="duplicateValues" dxfId="3557" priority="4444"/>
  </conditionalFormatting>
  <conditionalFormatting sqref="R47">
    <cfRule type="duplicateValues" dxfId="3556" priority="4445"/>
  </conditionalFormatting>
  <conditionalFormatting sqref="R47">
    <cfRule type="duplicateValues" dxfId="3555" priority="4443"/>
  </conditionalFormatting>
  <conditionalFormatting sqref="R47">
    <cfRule type="duplicateValues" dxfId="3554" priority="4410"/>
    <cfRule type="duplicateValues" dxfId="3553" priority="4411"/>
    <cfRule type="duplicateValues" dxfId="3552" priority="4412"/>
    <cfRule type="duplicateValues" dxfId="3551" priority="4413"/>
  </conditionalFormatting>
  <conditionalFormatting sqref="R47">
    <cfRule type="duplicateValues" dxfId="3550" priority="4415"/>
    <cfRule type="duplicateValues" dxfId="3549" priority="4416"/>
    <cfRule type="duplicateValues" dxfId="3548" priority="4417"/>
    <cfRule type="duplicateValues" dxfId="3547" priority="4418"/>
    <cfRule type="duplicateValues" dxfId="3546" priority="4419"/>
  </conditionalFormatting>
  <conditionalFormatting sqref="R47">
    <cfRule type="duplicateValues" dxfId="3545" priority="4426"/>
    <cfRule type="duplicateValues" dxfId="3544" priority="4427"/>
    <cfRule type="duplicateValues" dxfId="3543" priority="4428"/>
    <cfRule type="duplicateValues" dxfId="3542" priority="4429"/>
    <cfRule type="duplicateValues" dxfId="3541" priority="4430"/>
    <cfRule type="duplicateValues" dxfId="3540" priority="4431"/>
    <cfRule type="duplicateValues" dxfId="3539" priority="4432"/>
    <cfRule type="duplicateValues" dxfId="3538" priority="4433"/>
    <cfRule type="duplicateValues" dxfId="3537" priority="4434"/>
    <cfRule type="duplicateValues" dxfId="3536" priority="4435"/>
    <cfRule type="duplicateValues" dxfId="3535" priority="4436"/>
  </conditionalFormatting>
  <conditionalFormatting sqref="R47">
    <cfRule type="duplicateValues" dxfId="3534" priority="4420"/>
    <cfRule type="duplicateValues" dxfId="3533" priority="4421"/>
    <cfRule type="duplicateValues" dxfId="3532" priority="4422"/>
    <cfRule type="duplicateValues" dxfId="3531" priority="4423"/>
    <cfRule type="duplicateValues" dxfId="3530" priority="4424"/>
    <cfRule type="duplicateValues" dxfId="3529" priority="4425"/>
  </conditionalFormatting>
  <conditionalFormatting sqref="R47">
    <cfRule type="duplicateValues" dxfId="3528" priority="4437"/>
    <cfRule type="duplicateValues" dxfId="3527" priority="4438"/>
    <cfRule type="duplicateValues" dxfId="3526" priority="4439"/>
    <cfRule type="duplicateValues" dxfId="3525" priority="4440"/>
    <cfRule type="duplicateValues" dxfId="3524" priority="4441"/>
    <cfRule type="duplicateValues" dxfId="3523" priority="4442"/>
  </conditionalFormatting>
  <conditionalFormatting sqref="R47">
    <cfRule type="duplicateValues" dxfId="3522" priority="4414"/>
  </conditionalFormatting>
  <conditionalFormatting sqref="R47">
    <cfRule type="duplicateValues" dxfId="3521" priority="4401"/>
    <cfRule type="duplicateValues" dxfId="3520" priority="4402"/>
    <cfRule type="duplicateValues" dxfId="3519" priority="4403"/>
    <cfRule type="duplicateValues" dxfId="3518" priority="4404"/>
    <cfRule type="duplicateValues" dxfId="3517" priority="4405"/>
    <cfRule type="duplicateValues" dxfId="3516" priority="4406"/>
  </conditionalFormatting>
  <conditionalFormatting sqref="R47">
    <cfRule type="duplicateValues" dxfId="3515" priority="4396"/>
    <cfRule type="duplicateValues" dxfId="3514" priority="4397"/>
    <cfRule type="duplicateValues" dxfId="3513" priority="4398"/>
    <cfRule type="duplicateValues" dxfId="3512" priority="4399"/>
    <cfRule type="duplicateValues" dxfId="3511" priority="4400"/>
  </conditionalFormatting>
  <conditionalFormatting sqref="R47">
    <cfRule type="duplicateValues" dxfId="3510" priority="4449"/>
    <cfRule type="duplicateValues" dxfId="3509" priority="4450"/>
    <cfRule type="duplicateValues" dxfId="3508" priority="4451"/>
    <cfRule type="duplicateValues" dxfId="3507" priority="4452"/>
    <cfRule type="duplicateValues" dxfId="3506" priority="4453"/>
    <cfRule type="duplicateValues" dxfId="3505" priority="4454"/>
    <cfRule type="duplicateValues" dxfId="3504" priority="4455"/>
    <cfRule type="duplicateValues" dxfId="3503" priority="4456"/>
    <cfRule type="duplicateValues" dxfId="3502" priority="4457"/>
    <cfRule type="duplicateValues" dxfId="3501" priority="4458"/>
    <cfRule type="duplicateValues" dxfId="3500" priority="4459"/>
    <cfRule type="duplicateValues" dxfId="3499" priority="4460"/>
    <cfRule type="duplicateValues" dxfId="3498" priority="4461"/>
    <cfRule type="duplicateValues" dxfId="3497" priority="4462"/>
    <cfRule type="duplicateValues" dxfId="3496" priority="4463"/>
    <cfRule type="duplicateValues" dxfId="3495" priority="4464"/>
    <cfRule type="duplicateValues" dxfId="3494" priority="4465"/>
    <cfRule type="duplicateValues" dxfId="3493" priority="4466"/>
    <cfRule type="duplicateValues" dxfId="3492" priority="4467"/>
    <cfRule type="duplicateValues" dxfId="3491" priority="4468"/>
    <cfRule type="duplicateValues" dxfId="3490" priority="4469"/>
    <cfRule type="duplicateValues" dxfId="3489" priority="4470"/>
  </conditionalFormatting>
  <conditionalFormatting sqref="R47">
    <cfRule type="duplicateValues" dxfId="3488" priority="4471"/>
    <cfRule type="duplicateValues" dxfId="3487" priority="4472"/>
    <cfRule type="duplicateValues" dxfId="3486" priority="4473"/>
    <cfRule type="duplicateValues" dxfId="3485" priority="4474"/>
    <cfRule type="duplicateValues" dxfId="3484" priority="4475"/>
    <cfRule type="duplicateValues" dxfId="3483" priority="4476"/>
  </conditionalFormatting>
  <conditionalFormatting sqref="R15">
    <cfRule type="duplicateValues" dxfId="3482" priority="70673"/>
  </conditionalFormatting>
  <conditionalFormatting sqref="R15">
    <cfRule type="duplicateValues" dxfId="3481" priority="70674"/>
    <cfRule type="duplicateValues" dxfId="3480" priority="70675"/>
  </conditionalFormatting>
  <conditionalFormatting sqref="R15">
    <cfRule type="duplicateValues" dxfId="3479" priority="70676"/>
    <cfRule type="duplicateValues" dxfId="3478" priority="70677"/>
    <cfRule type="duplicateValues" dxfId="3477" priority="70678"/>
    <cfRule type="duplicateValues" dxfId="3476" priority="70679"/>
    <cfRule type="duplicateValues" dxfId="3475" priority="70680"/>
    <cfRule type="duplicateValues" dxfId="3474" priority="70681"/>
  </conditionalFormatting>
  <conditionalFormatting sqref="R15">
    <cfRule type="duplicateValues" dxfId="3473" priority="70682"/>
    <cfRule type="duplicateValues" dxfId="3472" priority="70683"/>
    <cfRule type="duplicateValues" dxfId="3471" priority="70684"/>
    <cfRule type="duplicateValues" dxfId="3470" priority="70685"/>
    <cfRule type="duplicateValues" dxfId="3469" priority="70686"/>
  </conditionalFormatting>
  <conditionalFormatting sqref="R15">
    <cfRule type="duplicateValues" dxfId="3468" priority="70687"/>
    <cfRule type="duplicateValues" dxfId="3467" priority="70688"/>
    <cfRule type="duplicateValues" dxfId="3466" priority="70689"/>
    <cfRule type="duplicateValues" dxfId="3465" priority="70690"/>
    <cfRule type="duplicateValues" dxfId="3464" priority="70691"/>
    <cfRule type="duplicateValues" dxfId="3463" priority="70692"/>
    <cfRule type="duplicateValues" dxfId="3462" priority="70693"/>
    <cfRule type="duplicateValues" dxfId="3461" priority="70694"/>
    <cfRule type="duplicateValues" dxfId="3460" priority="70695"/>
    <cfRule type="duplicateValues" dxfId="3459" priority="70696"/>
    <cfRule type="duplicateValues" dxfId="3458" priority="70697"/>
    <cfRule type="duplicateValues" dxfId="3457" priority="70698"/>
    <cfRule type="duplicateValues" dxfId="3456" priority="70699"/>
    <cfRule type="duplicateValues" dxfId="3455" priority="70700"/>
    <cfRule type="duplicateValues" dxfId="3454" priority="70701"/>
    <cfRule type="duplicateValues" dxfId="3453" priority="70702"/>
    <cfRule type="duplicateValues" dxfId="3452" priority="70703"/>
    <cfRule type="duplicateValues" dxfId="3451" priority="70704"/>
    <cfRule type="duplicateValues" dxfId="3450" priority="70705"/>
    <cfRule type="duplicateValues" dxfId="3449" priority="70706"/>
    <cfRule type="duplicateValues" dxfId="3448" priority="70707"/>
    <cfRule type="duplicateValues" dxfId="3447" priority="70708"/>
    <cfRule type="duplicateValues" dxfId="3446" priority="70709"/>
    <cfRule type="duplicateValues" dxfId="3445" priority="70710"/>
    <cfRule type="duplicateValues" dxfId="3444" priority="70711"/>
    <cfRule type="duplicateValues" dxfId="3443" priority="70712"/>
    <cfRule type="duplicateValues" dxfId="3442" priority="70713"/>
    <cfRule type="duplicateValues" dxfId="3441" priority="70714"/>
  </conditionalFormatting>
  <conditionalFormatting sqref="R16:R20">
    <cfRule type="duplicateValues" dxfId="3440" priority="70725"/>
  </conditionalFormatting>
  <conditionalFormatting sqref="R16:R20">
    <cfRule type="duplicateValues" dxfId="3439" priority="70728"/>
    <cfRule type="duplicateValues" dxfId="3438" priority="70729"/>
  </conditionalFormatting>
  <conditionalFormatting sqref="R16:R20">
    <cfRule type="duplicateValues" dxfId="3437" priority="70734"/>
    <cfRule type="duplicateValues" dxfId="3436" priority="70735"/>
    <cfRule type="duplicateValues" dxfId="3435" priority="70736"/>
    <cfRule type="duplicateValues" dxfId="3434" priority="70737"/>
    <cfRule type="duplicateValues" dxfId="3433" priority="70738"/>
    <cfRule type="duplicateValues" dxfId="3432" priority="70739"/>
  </conditionalFormatting>
  <conditionalFormatting sqref="R16:R20">
    <cfRule type="duplicateValues" dxfId="3431" priority="70752"/>
    <cfRule type="duplicateValues" dxfId="3430" priority="70753"/>
    <cfRule type="duplicateValues" dxfId="3429" priority="70754"/>
    <cfRule type="duplicateValues" dxfId="3428" priority="70755"/>
    <cfRule type="duplicateValues" dxfId="3427" priority="70756"/>
  </conditionalFormatting>
  <conditionalFormatting sqref="R16:R20">
    <cfRule type="duplicateValues" dxfId="3426" priority="70767"/>
    <cfRule type="duplicateValues" dxfId="3425" priority="70768"/>
    <cfRule type="duplicateValues" dxfId="3424" priority="70769"/>
    <cfRule type="duplicateValues" dxfId="3423" priority="70770"/>
    <cfRule type="duplicateValues" dxfId="3422" priority="70771"/>
    <cfRule type="duplicateValues" dxfId="3421" priority="70772"/>
    <cfRule type="duplicateValues" dxfId="3420" priority="70773"/>
    <cfRule type="duplicateValues" dxfId="3419" priority="70774"/>
    <cfRule type="duplicateValues" dxfId="3418" priority="70775"/>
    <cfRule type="duplicateValues" dxfId="3417" priority="70776"/>
    <cfRule type="duplicateValues" dxfId="3416" priority="70777"/>
    <cfRule type="duplicateValues" dxfId="3415" priority="70778"/>
    <cfRule type="duplicateValues" dxfId="3414" priority="70779"/>
    <cfRule type="duplicateValues" dxfId="3413" priority="70780"/>
    <cfRule type="duplicateValues" dxfId="3412" priority="70781"/>
    <cfRule type="duplicateValues" dxfId="3411" priority="70782"/>
    <cfRule type="duplicateValues" dxfId="3410" priority="70783"/>
    <cfRule type="duplicateValues" dxfId="3409" priority="70784"/>
    <cfRule type="duplicateValues" dxfId="3408" priority="70785"/>
    <cfRule type="duplicateValues" dxfId="3407" priority="70786"/>
    <cfRule type="duplicateValues" dxfId="3406" priority="70787"/>
    <cfRule type="duplicateValues" dxfId="3405" priority="70788"/>
    <cfRule type="duplicateValues" dxfId="3404" priority="70789"/>
    <cfRule type="duplicateValues" dxfId="3403" priority="70790"/>
    <cfRule type="duplicateValues" dxfId="3402" priority="70791"/>
    <cfRule type="duplicateValues" dxfId="3401" priority="70792"/>
    <cfRule type="duplicateValues" dxfId="3400" priority="70793"/>
    <cfRule type="duplicateValues" dxfId="3399" priority="70794"/>
  </conditionalFormatting>
  <conditionalFormatting sqref="R10:R12">
    <cfRule type="duplicateValues" dxfId="3398" priority="4328"/>
  </conditionalFormatting>
  <conditionalFormatting sqref="R10:R12">
    <cfRule type="duplicateValues" dxfId="3397" priority="4326"/>
    <cfRule type="duplicateValues" dxfId="3396" priority="4327"/>
  </conditionalFormatting>
  <conditionalFormatting sqref="R10:R12">
    <cfRule type="duplicateValues" dxfId="3395" priority="4365"/>
  </conditionalFormatting>
  <conditionalFormatting sqref="R10:R12">
    <cfRule type="duplicateValues" dxfId="3394" priority="4366"/>
    <cfRule type="duplicateValues" dxfId="3393" priority="4367"/>
  </conditionalFormatting>
  <conditionalFormatting sqref="R10:R12">
    <cfRule type="duplicateValues" dxfId="3392" priority="4363"/>
  </conditionalFormatting>
  <conditionalFormatting sqref="R10:R12">
    <cfRule type="duplicateValues" dxfId="3391" priority="4364"/>
  </conditionalFormatting>
  <conditionalFormatting sqref="R10:R12">
    <cfRule type="duplicateValues" dxfId="3390" priority="4362"/>
  </conditionalFormatting>
  <conditionalFormatting sqref="R10:R12">
    <cfRule type="duplicateValues" dxfId="3389" priority="4329"/>
    <cfRule type="duplicateValues" dxfId="3388" priority="4330"/>
    <cfRule type="duplicateValues" dxfId="3387" priority="4331"/>
    <cfRule type="duplicateValues" dxfId="3386" priority="4332"/>
  </conditionalFormatting>
  <conditionalFormatting sqref="R10:R12">
    <cfRule type="duplicateValues" dxfId="3385" priority="4334"/>
    <cfRule type="duplicateValues" dxfId="3384" priority="4335"/>
    <cfRule type="duplicateValues" dxfId="3383" priority="4336"/>
    <cfRule type="duplicateValues" dxfId="3382" priority="4337"/>
    <cfRule type="duplicateValues" dxfId="3381" priority="4338"/>
  </conditionalFormatting>
  <conditionalFormatting sqref="R10:R12">
    <cfRule type="duplicateValues" dxfId="3380" priority="4345"/>
    <cfRule type="duplicateValues" dxfId="3379" priority="4346"/>
    <cfRule type="duplicateValues" dxfId="3378" priority="4347"/>
    <cfRule type="duplicateValues" dxfId="3377" priority="4348"/>
    <cfRule type="duplicateValues" dxfId="3376" priority="4349"/>
    <cfRule type="duplicateValues" dxfId="3375" priority="4350"/>
    <cfRule type="duplicateValues" dxfId="3374" priority="4351"/>
    <cfRule type="duplicateValues" dxfId="3373" priority="4352"/>
    <cfRule type="duplicateValues" dxfId="3372" priority="4353"/>
    <cfRule type="duplicateValues" dxfId="3371" priority="4354"/>
    <cfRule type="duplicateValues" dxfId="3370" priority="4355"/>
  </conditionalFormatting>
  <conditionalFormatting sqref="R10:R12">
    <cfRule type="duplicateValues" dxfId="3369" priority="4339"/>
    <cfRule type="duplicateValues" dxfId="3368" priority="4340"/>
    <cfRule type="duplicateValues" dxfId="3367" priority="4341"/>
    <cfRule type="duplicateValues" dxfId="3366" priority="4342"/>
    <cfRule type="duplicateValues" dxfId="3365" priority="4343"/>
    <cfRule type="duplicateValues" dxfId="3364" priority="4344"/>
  </conditionalFormatting>
  <conditionalFormatting sqref="R10:R12">
    <cfRule type="duplicateValues" dxfId="3363" priority="4356"/>
    <cfRule type="duplicateValues" dxfId="3362" priority="4357"/>
    <cfRule type="duplicateValues" dxfId="3361" priority="4358"/>
    <cfRule type="duplicateValues" dxfId="3360" priority="4359"/>
    <cfRule type="duplicateValues" dxfId="3359" priority="4360"/>
    <cfRule type="duplicateValues" dxfId="3358" priority="4361"/>
  </conditionalFormatting>
  <conditionalFormatting sqref="R10:R12">
    <cfRule type="duplicateValues" dxfId="3357" priority="4333"/>
  </conditionalFormatting>
  <conditionalFormatting sqref="R10:R12">
    <cfRule type="duplicateValues" dxfId="3356" priority="4320"/>
    <cfRule type="duplicateValues" dxfId="3355" priority="4321"/>
    <cfRule type="duplicateValues" dxfId="3354" priority="4322"/>
    <cfRule type="duplicateValues" dxfId="3353" priority="4323"/>
    <cfRule type="duplicateValues" dxfId="3352" priority="4324"/>
    <cfRule type="duplicateValues" dxfId="3351" priority="4325"/>
  </conditionalFormatting>
  <conditionalFormatting sqref="R10:R12">
    <cfRule type="duplicateValues" dxfId="3350" priority="4315"/>
    <cfRule type="duplicateValues" dxfId="3349" priority="4316"/>
    <cfRule type="duplicateValues" dxfId="3348" priority="4317"/>
    <cfRule type="duplicateValues" dxfId="3347" priority="4318"/>
    <cfRule type="duplicateValues" dxfId="3346" priority="4319"/>
  </conditionalFormatting>
  <conditionalFormatting sqref="R10:R12">
    <cfRule type="duplicateValues" dxfId="3345" priority="4368"/>
    <cfRule type="duplicateValues" dxfId="3344" priority="4369"/>
    <cfRule type="duplicateValues" dxfId="3343" priority="4370"/>
    <cfRule type="duplicateValues" dxfId="3342" priority="4371"/>
    <cfRule type="duplicateValues" dxfId="3341" priority="4372"/>
    <cfRule type="duplicateValues" dxfId="3340" priority="4373"/>
    <cfRule type="duplicateValues" dxfId="3339" priority="4374"/>
    <cfRule type="duplicateValues" dxfId="3338" priority="4375"/>
    <cfRule type="duplicateValues" dxfId="3337" priority="4376"/>
    <cfRule type="duplicateValues" dxfId="3336" priority="4377"/>
    <cfRule type="duplicateValues" dxfId="3335" priority="4378"/>
    <cfRule type="duplicateValues" dxfId="3334" priority="4379"/>
    <cfRule type="duplicateValues" dxfId="3333" priority="4380"/>
    <cfRule type="duplicateValues" dxfId="3332" priority="4381"/>
    <cfRule type="duplicateValues" dxfId="3331" priority="4382"/>
    <cfRule type="duplicateValues" dxfId="3330" priority="4383"/>
    <cfRule type="duplicateValues" dxfId="3329" priority="4384"/>
    <cfRule type="duplicateValues" dxfId="3328" priority="4385"/>
    <cfRule type="duplicateValues" dxfId="3327" priority="4386"/>
    <cfRule type="duplicateValues" dxfId="3326" priority="4387"/>
    <cfRule type="duplicateValues" dxfId="3325" priority="4388"/>
    <cfRule type="duplicateValues" dxfId="3324" priority="4389"/>
  </conditionalFormatting>
  <conditionalFormatting sqref="R10:R12">
    <cfRule type="duplicateValues" dxfId="3323" priority="4390"/>
    <cfRule type="duplicateValues" dxfId="3322" priority="4391"/>
    <cfRule type="duplicateValues" dxfId="3321" priority="4392"/>
    <cfRule type="duplicateValues" dxfId="3320" priority="4393"/>
    <cfRule type="duplicateValues" dxfId="3319" priority="4394"/>
    <cfRule type="duplicateValues" dxfId="3318" priority="4395"/>
  </conditionalFormatting>
  <conditionalFormatting sqref="R21:R22">
    <cfRule type="duplicateValues" dxfId="3317" priority="4247"/>
  </conditionalFormatting>
  <conditionalFormatting sqref="R21:R22">
    <cfRule type="duplicateValues" dxfId="3316" priority="4245"/>
    <cfRule type="duplicateValues" dxfId="3315" priority="4246"/>
  </conditionalFormatting>
  <conditionalFormatting sqref="R21:R22">
    <cfRule type="duplicateValues" dxfId="3314" priority="4284"/>
  </conditionalFormatting>
  <conditionalFormatting sqref="R21:R22">
    <cfRule type="duplicateValues" dxfId="3313" priority="4285"/>
    <cfRule type="duplicateValues" dxfId="3312" priority="4286"/>
  </conditionalFormatting>
  <conditionalFormatting sqref="R21:R22">
    <cfRule type="duplicateValues" dxfId="3311" priority="4282"/>
  </conditionalFormatting>
  <conditionalFormatting sqref="R21:R22">
    <cfRule type="duplicateValues" dxfId="3310" priority="4283"/>
  </conditionalFormatting>
  <conditionalFormatting sqref="R21:R22">
    <cfRule type="duplicateValues" dxfId="3309" priority="4281"/>
  </conditionalFormatting>
  <conditionalFormatting sqref="R21:R22">
    <cfRule type="duplicateValues" dxfId="3308" priority="4248"/>
    <cfRule type="duplicateValues" dxfId="3307" priority="4249"/>
    <cfRule type="duplicateValues" dxfId="3306" priority="4250"/>
    <cfRule type="duplicateValues" dxfId="3305" priority="4251"/>
  </conditionalFormatting>
  <conditionalFormatting sqref="R21:R22">
    <cfRule type="duplicateValues" dxfId="3304" priority="4253"/>
    <cfRule type="duplicateValues" dxfId="3303" priority="4254"/>
    <cfRule type="duplicateValues" dxfId="3302" priority="4255"/>
    <cfRule type="duplicateValues" dxfId="3301" priority="4256"/>
    <cfRule type="duplicateValues" dxfId="3300" priority="4257"/>
  </conditionalFormatting>
  <conditionalFormatting sqref="R21:R22">
    <cfRule type="duplicateValues" dxfId="3299" priority="4264"/>
    <cfRule type="duplicateValues" dxfId="3298" priority="4265"/>
    <cfRule type="duplicateValues" dxfId="3297" priority="4266"/>
    <cfRule type="duplicateValues" dxfId="3296" priority="4267"/>
    <cfRule type="duplicateValues" dxfId="3295" priority="4268"/>
    <cfRule type="duplicateValues" dxfId="3294" priority="4269"/>
    <cfRule type="duplicateValues" dxfId="3293" priority="4270"/>
    <cfRule type="duplicateValues" dxfId="3292" priority="4271"/>
    <cfRule type="duplicateValues" dxfId="3291" priority="4272"/>
    <cfRule type="duplicateValues" dxfId="3290" priority="4273"/>
    <cfRule type="duplicateValues" dxfId="3289" priority="4274"/>
  </conditionalFormatting>
  <conditionalFormatting sqref="R21:R22">
    <cfRule type="duplicateValues" dxfId="3288" priority="4258"/>
    <cfRule type="duplicateValues" dxfId="3287" priority="4259"/>
    <cfRule type="duplicateValues" dxfId="3286" priority="4260"/>
    <cfRule type="duplicateValues" dxfId="3285" priority="4261"/>
    <cfRule type="duplicateValues" dxfId="3284" priority="4262"/>
    <cfRule type="duplicateValues" dxfId="3283" priority="4263"/>
  </conditionalFormatting>
  <conditionalFormatting sqref="R21:R22">
    <cfRule type="duplicateValues" dxfId="3282" priority="4275"/>
    <cfRule type="duplicateValues" dxfId="3281" priority="4276"/>
    <cfRule type="duplicateValues" dxfId="3280" priority="4277"/>
    <cfRule type="duplicateValues" dxfId="3279" priority="4278"/>
    <cfRule type="duplicateValues" dxfId="3278" priority="4279"/>
    <cfRule type="duplicateValues" dxfId="3277" priority="4280"/>
  </conditionalFormatting>
  <conditionalFormatting sqref="R21:R22">
    <cfRule type="duplicateValues" dxfId="3276" priority="4252"/>
  </conditionalFormatting>
  <conditionalFormatting sqref="R21:R22">
    <cfRule type="duplicateValues" dxfId="3275" priority="4239"/>
    <cfRule type="duplicateValues" dxfId="3274" priority="4240"/>
    <cfRule type="duplicateValues" dxfId="3273" priority="4241"/>
    <cfRule type="duplicateValues" dxfId="3272" priority="4242"/>
    <cfRule type="duplicateValues" dxfId="3271" priority="4243"/>
    <cfRule type="duplicateValues" dxfId="3270" priority="4244"/>
  </conditionalFormatting>
  <conditionalFormatting sqref="R21:R22">
    <cfRule type="duplicateValues" dxfId="3269" priority="4234"/>
    <cfRule type="duplicateValues" dxfId="3268" priority="4235"/>
    <cfRule type="duplicateValues" dxfId="3267" priority="4236"/>
    <cfRule type="duplicateValues" dxfId="3266" priority="4237"/>
    <cfRule type="duplicateValues" dxfId="3265" priority="4238"/>
  </conditionalFormatting>
  <conditionalFormatting sqref="R21:R22">
    <cfRule type="duplicateValues" dxfId="3264" priority="4287"/>
    <cfRule type="duplicateValues" dxfId="3263" priority="4288"/>
    <cfRule type="duplicateValues" dxfId="3262" priority="4289"/>
    <cfRule type="duplicateValues" dxfId="3261" priority="4290"/>
    <cfRule type="duplicateValues" dxfId="3260" priority="4291"/>
    <cfRule type="duplicateValues" dxfId="3259" priority="4292"/>
    <cfRule type="duplicateValues" dxfId="3258" priority="4293"/>
    <cfRule type="duplicateValues" dxfId="3257" priority="4294"/>
    <cfRule type="duplicateValues" dxfId="3256" priority="4295"/>
    <cfRule type="duplicateValues" dxfId="3255" priority="4296"/>
    <cfRule type="duplicateValues" dxfId="3254" priority="4297"/>
    <cfRule type="duplicateValues" dxfId="3253" priority="4298"/>
    <cfRule type="duplicateValues" dxfId="3252" priority="4299"/>
    <cfRule type="duplicateValues" dxfId="3251" priority="4300"/>
    <cfRule type="duplicateValues" dxfId="3250" priority="4301"/>
    <cfRule type="duplicateValues" dxfId="3249" priority="4302"/>
    <cfRule type="duplicateValues" dxfId="3248" priority="4303"/>
    <cfRule type="duplicateValues" dxfId="3247" priority="4304"/>
    <cfRule type="duplicateValues" dxfId="3246" priority="4305"/>
    <cfRule type="duplicateValues" dxfId="3245" priority="4306"/>
    <cfRule type="duplicateValues" dxfId="3244" priority="4307"/>
    <cfRule type="duplicateValues" dxfId="3243" priority="4308"/>
  </conditionalFormatting>
  <conditionalFormatting sqref="R21:R22">
    <cfRule type="duplicateValues" dxfId="3242" priority="4309"/>
    <cfRule type="duplicateValues" dxfId="3241" priority="4310"/>
    <cfRule type="duplicateValues" dxfId="3240" priority="4311"/>
    <cfRule type="duplicateValues" dxfId="3239" priority="4312"/>
    <cfRule type="duplicateValues" dxfId="3238" priority="4313"/>
    <cfRule type="duplicateValues" dxfId="3237" priority="4314"/>
  </conditionalFormatting>
  <conditionalFormatting sqref="R23">
    <cfRule type="duplicateValues" dxfId="3236" priority="4166"/>
  </conditionalFormatting>
  <conditionalFormatting sqref="R23">
    <cfRule type="duplicateValues" dxfId="3235" priority="4164"/>
    <cfRule type="duplicateValues" dxfId="3234" priority="4165"/>
  </conditionalFormatting>
  <conditionalFormatting sqref="R23">
    <cfRule type="duplicateValues" dxfId="3233" priority="4203"/>
  </conditionalFormatting>
  <conditionalFormatting sqref="R23">
    <cfRule type="duplicateValues" dxfId="3232" priority="4204"/>
    <cfRule type="duplicateValues" dxfId="3231" priority="4205"/>
  </conditionalFormatting>
  <conditionalFormatting sqref="R23">
    <cfRule type="duplicateValues" dxfId="3230" priority="4201"/>
  </conditionalFormatting>
  <conditionalFormatting sqref="R23">
    <cfRule type="duplicateValues" dxfId="3229" priority="4202"/>
  </conditionalFormatting>
  <conditionalFormatting sqref="R23">
    <cfRule type="duplicateValues" dxfId="3228" priority="4200"/>
  </conditionalFormatting>
  <conditionalFormatting sqref="R23">
    <cfRule type="duplicateValues" dxfId="3227" priority="4167"/>
    <cfRule type="duplicateValues" dxfId="3226" priority="4168"/>
    <cfRule type="duplicateValues" dxfId="3225" priority="4169"/>
    <cfRule type="duplicateValues" dxfId="3224" priority="4170"/>
  </conditionalFormatting>
  <conditionalFormatting sqref="R23">
    <cfRule type="duplicateValues" dxfId="3223" priority="4172"/>
    <cfRule type="duplicateValues" dxfId="3222" priority="4173"/>
    <cfRule type="duplicateValues" dxfId="3221" priority="4174"/>
    <cfRule type="duplicateValues" dxfId="3220" priority="4175"/>
    <cfRule type="duplicateValues" dxfId="3219" priority="4176"/>
  </conditionalFormatting>
  <conditionalFormatting sqref="R23">
    <cfRule type="duplicateValues" dxfId="3218" priority="4183"/>
    <cfRule type="duplicateValues" dxfId="3217" priority="4184"/>
    <cfRule type="duplicateValues" dxfId="3216" priority="4185"/>
    <cfRule type="duplicateValues" dxfId="3215" priority="4186"/>
    <cfRule type="duplicateValues" dxfId="3214" priority="4187"/>
    <cfRule type="duplicateValues" dxfId="3213" priority="4188"/>
    <cfRule type="duplicateValues" dxfId="3212" priority="4189"/>
    <cfRule type="duplicateValues" dxfId="3211" priority="4190"/>
    <cfRule type="duplicateValues" dxfId="3210" priority="4191"/>
    <cfRule type="duplicateValues" dxfId="3209" priority="4192"/>
    <cfRule type="duplicateValues" dxfId="3208" priority="4193"/>
  </conditionalFormatting>
  <conditionalFormatting sqref="R23">
    <cfRule type="duplicateValues" dxfId="3207" priority="4177"/>
    <cfRule type="duplicateValues" dxfId="3206" priority="4178"/>
    <cfRule type="duplicateValues" dxfId="3205" priority="4179"/>
    <cfRule type="duplicateValues" dxfId="3204" priority="4180"/>
    <cfRule type="duplicateValues" dxfId="3203" priority="4181"/>
    <cfRule type="duplicateValues" dxfId="3202" priority="4182"/>
  </conditionalFormatting>
  <conditionalFormatting sqref="R23">
    <cfRule type="duplicateValues" dxfId="3201" priority="4194"/>
    <cfRule type="duplicateValues" dxfId="3200" priority="4195"/>
    <cfRule type="duplicateValues" dxfId="3199" priority="4196"/>
    <cfRule type="duplicateValues" dxfId="3198" priority="4197"/>
    <cfRule type="duplicateValues" dxfId="3197" priority="4198"/>
    <cfRule type="duplicateValues" dxfId="3196" priority="4199"/>
  </conditionalFormatting>
  <conditionalFormatting sqref="R23">
    <cfRule type="duplicateValues" dxfId="3195" priority="4171"/>
  </conditionalFormatting>
  <conditionalFormatting sqref="R23">
    <cfRule type="duplicateValues" dxfId="3194" priority="4158"/>
    <cfRule type="duplicateValues" dxfId="3193" priority="4159"/>
    <cfRule type="duplicateValues" dxfId="3192" priority="4160"/>
    <cfRule type="duplicateValues" dxfId="3191" priority="4161"/>
    <cfRule type="duplicateValues" dxfId="3190" priority="4162"/>
    <cfRule type="duplicateValues" dxfId="3189" priority="4163"/>
  </conditionalFormatting>
  <conditionalFormatting sqref="R23">
    <cfRule type="duplicateValues" dxfId="3188" priority="4153"/>
    <cfRule type="duplicateValues" dxfId="3187" priority="4154"/>
    <cfRule type="duplicateValues" dxfId="3186" priority="4155"/>
    <cfRule type="duplicateValues" dxfId="3185" priority="4156"/>
    <cfRule type="duplicateValues" dxfId="3184" priority="4157"/>
  </conditionalFormatting>
  <conditionalFormatting sqref="R23">
    <cfRule type="duplicateValues" dxfId="3183" priority="4206"/>
    <cfRule type="duplicateValues" dxfId="3182" priority="4207"/>
    <cfRule type="duplicateValues" dxfId="3181" priority="4208"/>
    <cfRule type="duplicateValues" dxfId="3180" priority="4209"/>
    <cfRule type="duplicateValues" dxfId="3179" priority="4210"/>
    <cfRule type="duplicateValues" dxfId="3178" priority="4211"/>
    <cfRule type="duplicateValues" dxfId="3177" priority="4212"/>
    <cfRule type="duplicateValues" dxfId="3176" priority="4213"/>
    <cfRule type="duplicateValues" dxfId="3175" priority="4214"/>
    <cfRule type="duplicateValues" dxfId="3174" priority="4215"/>
    <cfRule type="duplicateValues" dxfId="3173" priority="4216"/>
    <cfRule type="duplicateValues" dxfId="3172" priority="4217"/>
    <cfRule type="duplicateValues" dxfId="3171" priority="4218"/>
    <cfRule type="duplicateValues" dxfId="3170" priority="4219"/>
    <cfRule type="duplicateValues" dxfId="3169" priority="4220"/>
    <cfRule type="duplicateValues" dxfId="3168" priority="4221"/>
    <cfRule type="duplicateValues" dxfId="3167" priority="4222"/>
    <cfRule type="duplicateValues" dxfId="3166" priority="4223"/>
    <cfRule type="duplicateValues" dxfId="3165" priority="4224"/>
    <cfRule type="duplicateValues" dxfId="3164" priority="4225"/>
    <cfRule type="duplicateValues" dxfId="3163" priority="4226"/>
    <cfRule type="duplicateValues" dxfId="3162" priority="4227"/>
  </conditionalFormatting>
  <conditionalFormatting sqref="R23">
    <cfRule type="duplicateValues" dxfId="3161" priority="4228"/>
    <cfRule type="duplicateValues" dxfId="3160" priority="4229"/>
    <cfRule type="duplicateValues" dxfId="3159" priority="4230"/>
    <cfRule type="duplicateValues" dxfId="3158" priority="4231"/>
    <cfRule type="duplicateValues" dxfId="3157" priority="4232"/>
    <cfRule type="duplicateValues" dxfId="3156" priority="4233"/>
  </conditionalFormatting>
  <conditionalFormatting sqref="R24">
    <cfRule type="duplicateValues" dxfId="3155" priority="4085"/>
  </conditionalFormatting>
  <conditionalFormatting sqref="R24">
    <cfRule type="duplicateValues" dxfId="3154" priority="4083"/>
    <cfRule type="duplicateValues" dxfId="3153" priority="4084"/>
  </conditionalFormatting>
  <conditionalFormatting sqref="R24">
    <cfRule type="duplicateValues" dxfId="3152" priority="4122"/>
  </conditionalFormatting>
  <conditionalFormatting sqref="R24">
    <cfRule type="duplicateValues" dxfId="3151" priority="4123"/>
    <cfRule type="duplicateValues" dxfId="3150" priority="4124"/>
  </conditionalFormatting>
  <conditionalFormatting sqref="R24">
    <cfRule type="duplicateValues" dxfId="3149" priority="4120"/>
  </conditionalFormatting>
  <conditionalFormatting sqref="R24">
    <cfRule type="duplicateValues" dxfId="3148" priority="4121"/>
  </conditionalFormatting>
  <conditionalFormatting sqref="R24">
    <cfRule type="duplicateValues" dxfId="3147" priority="4119"/>
  </conditionalFormatting>
  <conditionalFormatting sqref="R24">
    <cfRule type="duplicateValues" dxfId="3146" priority="4086"/>
    <cfRule type="duplicateValues" dxfId="3145" priority="4087"/>
    <cfRule type="duplicateValues" dxfId="3144" priority="4088"/>
    <cfRule type="duplicateValues" dxfId="3143" priority="4089"/>
  </conditionalFormatting>
  <conditionalFormatting sqref="R24">
    <cfRule type="duplicateValues" dxfId="3142" priority="4091"/>
    <cfRule type="duplicateValues" dxfId="3141" priority="4092"/>
    <cfRule type="duplicateValues" dxfId="3140" priority="4093"/>
    <cfRule type="duplicateValues" dxfId="3139" priority="4094"/>
    <cfRule type="duplicateValues" dxfId="3138" priority="4095"/>
  </conditionalFormatting>
  <conditionalFormatting sqref="R24">
    <cfRule type="duplicateValues" dxfId="3137" priority="4102"/>
    <cfRule type="duplicateValues" dxfId="3136" priority="4103"/>
    <cfRule type="duplicateValues" dxfId="3135" priority="4104"/>
    <cfRule type="duplicateValues" dxfId="3134" priority="4105"/>
    <cfRule type="duplicateValues" dxfId="3133" priority="4106"/>
    <cfRule type="duplicateValues" dxfId="3132" priority="4107"/>
    <cfRule type="duplicateValues" dxfId="3131" priority="4108"/>
    <cfRule type="duplicateValues" dxfId="3130" priority="4109"/>
    <cfRule type="duplicateValues" dxfId="3129" priority="4110"/>
    <cfRule type="duplicateValues" dxfId="3128" priority="4111"/>
    <cfRule type="duplicateValues" dxfId="3127" priority="4112"/>
  </conditionalFormatting>
  <conditionalFormatting sqref="R24">
    <cfRule type="duplicateValues" dxfId="3126" priority="4096"/>
    <cfRule type="duplicateValues" dxfId="3125" priority="4097"/>
    <cfRule type="duplicateValues" dxfId="3124" priority="4098"/>
    <cfRule type="duplicateValues" dxfId="3123" priority="4099"/>
    <cfRule type="duplicateValues" dxfId="3122" priority="4100"/>
    <cfRule type="duplicateValues" dxfId="3121" priority="4101"/>
  </conditionalFormatting>
  <conditionalFormatting sqref="R24">
    <cfRule type="duplicateValues" dxfId="3120" priority="4113"/>
    <cfRule type="duplicateValues" dxfId="3119" priority="4114"/>
    <cfRule type="duplicateValues" dxfId="3118" priority="4115"/>
    <cfRule type="duplicateValues" dxfId="3117" priority="4116"/>
    <cfRule type="duplicateValues" dxfId="3116" priority="4117"/>
    <cfRule type="duplicateValues" dxfId="3115" priority="4118"/>
  </conditionalFormatting>
  <conditionalFormatting sqref="R24">
    <cfRule type="duplicateValues" dxfId="3114" priority="4090"/>
  </conditionalFormatting>
  <conditionalFormatting sqref="R24">
    <cfRule type="duplicateValues" dxfId="3113" priority="4077"/>
    <cfRule type="duplicateValues" dxfId="3112" priority="4078"/>
    <cfRule type="duplicateValues" dxfId="3111" priority="4079"/>
    <cfRule type="duplicateValues" dxfId="3110" priority="4080"/>
    <cfRule type="duplicateValues" dxfId="3109" priority="4081"/>
    <cfRule type="duplicateValues" dxfId="3108" priority="4082"/>
  </conditionalFormatting>
  <conditionalFormatting sqref="R24">
    <cfRule type="duplicateValues" dxfId="3107" priority="4072"/>
    <cfRule type="duplicateValues" dxfId="3106" priority="4073"/>
    <cfRule type="duplicateValues" dxfId="3105" priority="4074"/>
    <cfRule type="duplicateValues" dxfId="3104" priority="4075"/>
    <cfRule type="duplicateValues" dxfId="3103" priority="4076"/>
  </conditionalFormatting>
  <conditionalFormatting sqref="R24">
    <cfRule type="duplicateValues" dxfId="3102" priority="4125"/>
    <cfRule type="duplicateValues" dxfId="3101" priority="4126"/>
    <cfRule type="duplicateValues" dxfId="3100" priority="4127"/>
    <cfRule type="duplicateValues" dxfId="3099" priority="4128"/>
    <cfRule type="duplicateValues" dxfId="3098" priority="4129"/>
    <cfRule type="duplicateValues" dxfId="3097" priority="4130"/>
    <cfRule type="duplicateValues" dxfId="3096" priority="4131"/>
    <cfRule type="duplicateValues" dxfId="3095" priority="4132"/>
    <cfRule type="duplicateValues" dxfId="3094" priority="4133"/>
    <cfRule type="duplicateValues" dxfId="3093" priority="4134"/>
    <cfRule type="duplicateValues" dxfId="3092" priority="4135"/>
    <cfRule type="duplicateValues" dxfId="3091" priority="4136"/>
    <cfRule type="duplicateValues" dxfId="3090" priority="4137"/>
    <cfRule type="duplicateValues" dxfId="3089" priority="4138"/>
    <cfRule type="duplicateValues" dxfId="3088" priority="4139"/>
    <cfRule type="duplicateValues" dxfId="3087" priority="4140"/>
    <cfRule type="duplicateValues" dxfId="3086" priority="4141"/>
    <cfRule type="duplicateValues" dxfId="3085" priority="4142"/>
    <cfRule type="duplicateValues" dxfId="3084" priority="4143"/>
    <cfRule type="duplicateValues" dxfId="3083" priority="4144"/>
    <cfRule type="duplicateValues" dxfId="3082" priority="4145"/>
    <cfRule type="duplicateValues" dxfId="3081" priority="4146"/>
  </conditionalFormatting>
  <conditionalFormatting sqref="R24">
    <cfRule type="duplicateValues" dxfId="3080" priority="4147"/>
    <cfRule type="duplicateValues" dxfId="3079" priority="4148"/>
    <cfRule type="duplicateValues" dxfId="3078" priority="4149"/>
    <cfRule type="duplicateValues" dxfId="3077" priority="4150"/>
    <cfRule type="duplicateValues" dxfId="3076" priority="4151"/>
    <cfRule type="duplicateValues" dxfId="3075" priority="4152"/>
  </conditionalFormatting>
  <conditionalFormatting sqref="J11">
    <cfRule type="duplicateValues" dxfId="3074" priority="3675"/>
  </conditionalFormatting>
  <conditionalFormatting sqref="J11">
    <cfRule type="duplicateValues" dxfId="3073" priority="3673"/>
    <cfRule type="duplicateValues" dxfId="3072" priority="3674"/>
  </conditionalFormatting>
  <conditionalFormatting sqref="J11">
    <cfRule type="duplicateValues" dxfId="3071" priority="3667"/>
    <cfRule type="duplicateValues" dxfId="3070" priority="3668"/>
    <cfRule type="duplicateValues" dxfId="3069" priority="3669"/>
    <cfRule type="duplicateValues" dxfId="3068" priority="3670"/>
    <cfRule type="duplicateValues" dxfId="3067" priority="3671"/>
    <cfRule type="duplicateValues" dxfId="3066" priority="3672"/>
  </conditionalFormatting>
  <conditionalFormatting sqref="J11">
    <cfRule type="duplicateValues" dxfId="3065" priority="3662"/>
    <cfRule type="duplicateValues" dxfId="3064" priority="3663"/>
    <cfRule type="duplicateValues" dxfId="3063" priority="3664"/>
    <cfRule type="duplicateValues" dxfId="3062" priority="3665"/>
    <cfRule type="duplicateValues" dxfId="3061" priority="3666"/>
  </conditionalFormatting>
  <conditionalFormatting sqref="J11">
    <cfRule type="duplicateValues" dxfId="3060" priority="3634"/>
    <cfRule type="duplicateValues" dxfId="3059" priority="3635"/>
    <cfRule type="duplicateValues" dxfId="3058" priority="3636"/>
    <cfRule type="duplicateValues" dxfId="3057" priority="3637"/>
    <cfRule type="duplicateValues" dxfId="3056" priority="3638"/>
    <cfRule type="duplicateValues" dxfId="3055" priority="3639"/>
    <cfRule type="duplicateValues" dxfId="3054" priority="3640"/>
    <cfRule type="duplicateValues" dxfId="3053" priority="3641"/>
    <cfRule type="duplicateValues" dxfId="3052" priority="3642"/>
    <cfRule type="duplicateValues" dxfId="3051" priority="3643"/>
    <cfRule type="duplicateValues" dxfId="3050" priority="3644"/>
    <cfRule type="duplicateValues" dxfId="3049" priority="3645"/>
    <cfRule type="duplicateValues" dxfId="3048" priority="3646"/>
    <cfRule type="duplicateValues" dxfId="3047" priority="3647"/>
    <cfRule type="duplicateValues" dxfId="3046" priority="3648"/>
    <cfRule type="duplicateValues" dxfId="3045" priority="3649"/>
    <cfRule type="duplicateValues" dxfId="3044" priority="3650"/>
    <cfRule type="duplicateValues" dxfId="3043" priority="3651"/>
    <cfRule type="duplicateValues" dxfId="3042" priority="3652"/>
    <cfRule type="duplicateValues" dxfId="3041" priority="3653"/>
    <cfRule type="duplicateValues" dxfId="3040" priority="3654"/>
    <cfRule type="duplicateValues" dxfId="3039" priority="3655"/>
    <cfRule type="duplicateValues" dxfId="3038" priority="3656"/>
    <cfRule type="duplicateValues" dxfId="3037" priority="3657"/>
    <cfRule type="duplicateValues" dxfId="3036" priority="3658"/>
    <cfRule type="duplicateValues" dxfId="3035" priority="3659"/>
    <cfRule type="duplicateValues" dxfId="3034" priority="3660"/>
    <cfRule type="duplicateValues" dxfId="3033" priority="3661"/>
  </conditionalFormatting>
  <conditionalFormatting sqref="J11">
    <cfRule type="duplicateValues" dxfId="3032" priority="3633"/>
  </conditionalFormatting>
  <conditionalFormatting sqref="J11">
    <cfRule type="duplicateValues" dxfId="3031" priority="3631"/>
    <cfRule type="duplicateValues" dxfId="3030" priority="3632"/>
  </conditionalFormatting>
  <conditionalFormatting sqref="J11">
    <cfRule type="duplicateValues" dxfId="3029" priority="3625"/>
    <cfRule type="duplicateValues" dxfId="3028" priority="3626"/>
    <cfRule type="duplicateValues" dxfId="3027" priority="3627"/>
    <cfRule type="duplicateValues" dxfId="3026" priority="3628"/>
    <cfRule type="duplicateValues" dxfId="3025" priority="3629"/>
    <cfRule type="duplicateValues" dxfId="3024" priority="3630"/>
  </conditionalFormatting>
  <conditionalFormatting sqref="J11">
    <cfRule type="duplicateValues" dxfId="3023" priority="3620"/>
    <cfRule type="duplicateValues" dxfId="3022" priority="3621"/>
    <cfRule type="duplicateValues" dxfId="3021" priority="3622"/>
    <cfRule type="duplicateValues" dxfId="3020" priority="3623"/>
    <cfRule type="duplicateValues" dxfId="3019" priority="3624"/>
  </conditionalFormatting>
  <conditionalFormatting sqref="J11">
    <cfRule type="duplicateValues" dxfId="3018" priority="3592"/>
    <cfRule type="duplicateValues" dxfId="3017" priority="3593"/>
    <cfRule type="duplicateValues" dxfId="3016" priority="3594"/>
    <cfRule type="duplicateValues" dxfId="3015" priority="3595"/>
    <cfRule type="duplicateValues" dxfId="3014" priority="3596"/>
    <cfRule type="duplicateValues" dxfId="3013" priority="3597"/>
    <cfRule type="duplicateValues" dxfId="3012" priority="3598"/>
    <cfRule type="duplicateValues" dxfId="3011" priority="3599"/>
    <cfRule type="duplicateValues" dxfId="3010" priority="3600"/>
    <cfRule type="duplicateValues" dxfId="3009" priority="3601"/>
    <cfRule type="duplicateValues" dxfId="3008" priority="3602"/>
    <cfRule type="duplicateValues" dxfId="3007" priority="3603"/>
    <cfRule type="duplicateValues" dxfId="3006" priority="3604"/>
    <cfRule type="duplicateValues" dxfId="3005" priority="3605"/>
    <cfRule type="duplicateValues" dxfId="3004" priority="3606"/>
    <cfRule type="duplicateValues" dxfId="3003" priority="3607"/>
    <cfRule type="duplicateValues" dxfId="3002" priority="3608"/>
    <cfRule type="duplicateValues" dxfId="3001" priority="3609"/>
    <cfRule type="duplicateValues" dxfId="3000" priority="3610"/>
    <cfRule type="duplicateValues" dxfId="2999" priority="3611"/>
    <cfRule type="duplicateValues" dxfId="2998" priority="3612"/>
    <cfRule type="duplicateValues" dxfId="2997" priority="3613"/>
    <cfRule type="duplicateValues" dxfId="2996" priority="3614"/>
    <cfRule type="duplicateValues" dxfId="2995" priority="3615"/>
    <cfRule type="duplicateValues" dxfId="2994" priority="3616"/>
    <cfRule type="duplicateValues" dxfId="2993" priority="3617"/>
    <cfRule type="duplicateValues" dxfId="2992" priority="3618"/>
    <cfRule type="duplicateValues" dxfId="2991" priority="3619"/>
  </conditionalFormatting>
  <conditionalFormatting sqref="J11">
    <cfRule type="duplicateValues" dxfId="2990" priority="3591"/>
  </conditionalFormatting>
  <conditionalFormatting sqref="J11">
    <cfRule type="duplicateValues" dxfId="2989" priority="3589"/>
    <cfRule type="duplicateValues" dxfId="2988" priority="3590"/>
  </conditionalFormatting>
  <conditionalFormatting sqref="J11">
    <cfRule type="duplicateValues" dxfId="2987" priority="3585"/>
    <cfRule type="duplicateValues" dxfId="2986" priority="3586"/>
    <cfRule type="duplicateValues" dxfId="2985" priority="3587"/>
    <cfRule type="duplicateValues" dxfId="2984" priority="3588"/>
  </conditionalFormatting>
  <conditionalFormatting sqref="J11">
    <cfRule type="duplicateValues" dxfId="2983" priority="3580"/>
    <cfRule type="duplicateValues" dxfId="2982" priority="3581"/>
    <cfRule type="duplicateValues" dxfId="2981" priority="3582"/>
    <cfRule type="duplicateValues" dxfId="2980" priority="3583"/>
    <cfRule type="duplicateValues" dxfId="2979" priority="3584"/>
  </conditionalFormatting>
  <conditionalFormatting sqref="J11">
    <cfRule type="duplicateValues" dxfId="2978" priority="3569"/>
    <cfRule type="duplicateValues" dxfId="2977" priority="3570"/>
    <cfRule type="duplicateValues" dxfId="2976" priority="3571"/>
    <cfRule type="duplicateValues" dxfId="2975" priority="3572"/>
    <cfRule type="duplicateValues" dxfId="2974" priority="3573"/>
    <cfRule type="duplicateValues" dxfId="2973" priority="3574"/>
    <cfRule type="duplicateValues" dxfId="2972" priority="3575"/>
    <cfRule type="duplicateValues" dxfId="2971" priority="3576"/>
    <cfRule type="duplicateValues" dxfId="2970" priority="3577"/>
    <cfRule type="duplicateValues" dxfId="2969" priority="3578"/>
    <cfRule type="duplicateValues" dxfId="2968" priority="3579"/>
  </conditionalFormatting>
  <conditionalFormatting sqref="J11">
    <cfRule type="duplicateValues" dxfId="2967" priority="3563"/>
    <cfRule type="duplicateValues" dxfId="2966" priority="3564"/>
    <cfRule type="duplicateValues" dxfId="2965" priority="3565"/>
    <cfRule type="duplicateValues" dxfId="2964" priority="3566"/>
    <cfRule type="duplicateValues" dxfId="2963" priority="3567"/>
    <cfRule type="duplicateValues" dxfId="2962" priority="3568"/>
  </conditionalFormatting>
  <conditionalFormatting sqref="J11">
    <cfRule type="duplicateValues" dxfId="2961" priority="3541"/>
    <cfRule type="duplicateValues" dxfId="2960" priority="3542"/>
    <cfRule type="duplicateValues" dxfId="2959" priority="3543"/>
    <cfRule type="duplicateValues" dxfId="2958" priority="3544"/>
    <cfRule type="duplicateValues" dxfId="2957" priority="3545"/>
    <cfRule type="duplicateValues" dxfId="2956" priority="3546"/>
    <cfRule type="duplicateValues" dxfId="2955" priority="3547"/>
    <cfRule type="duplicateValues" dxfId="2954" priority="3548"/>
    <cfRule type="duplicateValues" dxfId="2953" priority="3549"/>
    <cfRule type="duplicateValues" dxfId="2952" priority="3550"/>
    <cfRule type="duplicateValues" dxfId="2951" priority="3551"/>
    <cfRule type="duplicateValues" dxfId="2950" priority="3552"/>
    <cfRule type="duplicateValues" dxfId="2949" priority="3553"/>
    <cfRule type="duplicateValues" dxfId="2948" priority="3554"/>
    <cfRule type="duplicateValues" dxfId="2947" priority="3555"/>
    <cfRule type="duplicateValues" dxfId="2946" priority="3556"/>
    <cfRule type="duplicateValues" dxfId="2945" priority="3557"/>
    <cfRule type="duplicateValues" dxfId="2944" priority="3558"/>
    <cfRule type="duplicateValues" dxfId="2943" priority="3559"/>
    <cfRule type="duplicateValues" dxfId="2942" priority="3560"/>
    <cfRule type="duplicateValues" dxfId="2941" priority="3561"/>
    <cfRule type="duplicateValues" dxfId="2940" priority="3562"/>
  </conditionalFormatting>
  <conditionalFormatting sqref="J19">
    <cfRule type="duplicateValues" dxfId="2939" priority="3506"/>
  </conditionalFormatting>
  <conditionalFormatting sqref="J19">
    <cfRule type="duplicateValues" dxfId="2938" priority="3504"/>
    <cfRule type="duplicateValues" dxfId="2937" priority="3505"/>
  </conditionalFormatting>
  <conditionalFormatting sqref="J19">
    <cfRule type="duplicateValues" dxfId="2936" priority="3510"/>
  </conditionalFormatting>
  <conditionalFormatting sqref="J19">
    <cfRule type="duplicateValues" dxfId="2935" priority="3511"/>
    <cfRule type="duplicateValues" dxfId="2934" priority="3512"/>
  </conditionalFormatting>
  <conditionalFormatting sqref="J19">
    <cfRule type="duplicateValues" dxfId="2933" priority="3508"/>
  </conditionalFormatting>
  <conditionalFormatting sqref="J19">
    <cfRule type="duplicateValues" dxfId="2932" priority="3509"/>
  </conditionalFormatting>
  <conditionalFormatting sqref="J19">
    <cfRule type="duplicateValues" dxfId="2931" priority="3507"/>
  </conditionalFormatting>
  <conditionalFormatting sqref="J19">
    <cfRule type="duplicateValues" dxfId="2930" priority="3498"/>
    <cfRule type="duplicateValues" dxfId="2929" priority="3499"/>
    <cfRule type="duplicateValues" dxfId="2928" priority="3500"/>
    <cfRule type="duplicateValues" dxfId="2927" priority="3501"/>
    <cfRule type="duplicateValues" dxfId="2926" priority="3502"/>
    <cfRule type="duplicateValues" dxfId="2925" priority="3503"/>
  </conditionalFormatting>
  <conditionalFormatting sqref="J19">
    <cfRule type="duplicateValues" dxfId="2924" priority="3493"/>
    <cfRule type="duplicateValues" dxfId="2923" priority="3494"/>
    <cfRule type="duplicateValues" dxfId="2922" priority="3495"/>
    <cfRule type="duplicateValues" dxfId="2921" priority="3496"/>
    <cfRule type="duplicateValues" dxfId="2920" priority="3497"/>
  </conditionalFormatting>
  <conditionalFormatting sqref="J19">
    <cfRule type="duplicateValues" dxfId="2919" priority="3513"/>
    <cfRule type="duplicateValues" dxfId="2918" priority="3514"/>
    <cfRule type="duplicateValues" dxfId="2917" priority="3515"/>
    <cfRule type="duplicateValues" dxfId="2916" priority="3516"/>
    <cfRule type="duplicateValues" dxfId="2915" priority="3517"/>
    <cfRule type="duplicateValues" dxfId="2914" priority="3518"/>
    <cfRule type="duplicateValues" dxfId="2913" priority="3519"/>
    <cfRule type="duplicateValues" dxfId="2912" priority="3520"/>
    <cfRule type="duplicateValues" dxfId="2911" priority="3521"/>
    <cfRule type="duplicateValues" dxfId="2910" priority="3522"/>
    <cfRule type="duplicateValues" dxfId="2909" priority="3523"/>
    <cfRule type="duplicateValues" dxfId="2908" priority="3524"/>
    <cfRule type="duplicateValues" dxfId="2907" priority="3525"/>
    <cfRule type="duplicateValues" dxfId="2906" priority="3526"/>
    <cfRule type="duplicateValues" dxfId="2905" priority="3527"/>
    <cfRule type="duplicateValues" dxfId="2904" priority="3528"/>
    <cfRule type="duplicateValues" dxfId="2903" priority="3529"/>
    <cfRule type="duplicateValues" dxfId="2902" priority="3530"/>
    <cfRule type="duplicateValues" dxfId="2901" priority="3531"/>
    <cfRule type="duplicateValues" dxfId="2900" priority="3532"/>
    <cfRule type="duplicateValues" dxfId="2899" priority="3533"/>
    <cfRule type="duplicateValues" dxfId="2898" priority="3534"/>
    <cfRule type="duplicateValues" dxfId="2897" priority="3535"/>
    <cfRule type="duplicateValues" dxfId="2896" priority="3536"/>
    <cfRule type="duplicateValues" dxfId="2895" priority="3537"/>
    <cfRule type="duplicateValues" dxfId="2894" priority="3538"/>
    <cfRule type="duplicateValues" dxfId="2893" priority="3539"/>
    <cfRule type="duplicateValues" dxfId="2892" priority="3540"/>
  </conditionalFormatting>
  <conditionalFormatting sqref="J18">
    <cfRule type="duplicateValues" dxfId="2891" priority="3425"/>
  </conditionalFormatting>
  <conditionalFormatting sqref="J18">
    <cfRule type="duplicateValues" dxfId="2890" priority="3423"/>
    <cfRule type="duplicateValues" dxfId="2889" priority="3424"/>
  </conditionalFormatting>
  <conditionalFormatting sqref="J18">
    <cfRule type="duplicateValues" dxfId="2888" priority="3462"/>
  </conditionalFormatting>
  <conditionalFormatting sqref="J18">
    <cfRule type="duplicateValues" dxfId="2887" priority="3463"/>
    <cfRule type="duplicateValues" dxfId="2886" priority="3464"/>
  </conditionalFormatting>
  <conditionalFormatting sqref="J18">
    <cfRule type="duplicateValues" dxfId="2885" priority="3460"/>
  </conditionalFormatting>
  <conditionalFormatting sqref="J18">
    <cfRule type="duplicateValues" dxfId="2884" priority="3461"/>
  </conditionalFormatting>
  <conditionalFormatting sqref="J18">
    <cfRule type="duplicateValues" dxfId="2883" priority="3459"/>
  </conditionalFormatting>
  <conditionalFormatting sqref="J18">
    <cfRule type="duplicateValues" dxfId="2882" priority="3426"/>
    <cfRule type="duplicateValues" dxfId="2881" priority="3427"/>
    <cfRule type="duplicateValues" dxfId="2880" priority="3428"/>
    <cfRule type="duplicateValues" dxfId="2879" priority="3429"/>
  </conditionalFormatting>
  <conditionalFormatting sqref="J18">
    <cfRule type="duplicateValues" dxfId="2878" priority="3431"/>
    <cfRule type="duplicateValues" dxfId="2877" priority="3432"/>
    <cfRule type="duplicateValues" dxfId="2876" priority="3433"/>
    <cfRule type="duplicateValues" dxfId="2875" priority="3434"/>
    <cfRule type="duplicateValues" dxfId="2874" priority="3435"/>
  </conditionalFormatting>
  <conditionalFormatting sqref="J18">
    <cfRule type="duplicateValues" dxfId="2873" priority="3442"/>
    <cfRule type="duplicateValues" dxfId="2872" priority="3443"/>
    <cfRule type="duplicateValues" dxfId="2871" priority="3444"/>
    <cfRule type="duplicateValues" dxfId="2870" priority="3445"/>
    <cfRule type="duplicateValues" dxfId="2869" priority="3446"/>
    <cfRule type="duplicateValues" dxfId="2868" priority="3447"/>
    <cfRule type="duplicateValues" dxfId="2867" priority="3448"/>
    <cfRule type="duplicateValues" dxfId="2866" priority="3449"/>
    <cfRule type="duplicateValues" dxfId="2865" priority="3450"/>
    <cfRule type="duplicateValues" dxfId="2864" priority="3451"/>
    <cfRule type="duplicateValues" dxfId="2863" priority="3452"/>
  </conditionalFormatting>
  <conditionalFormatting sqref="J18">
    <cfRule type="duplicateValues" dxfId="2862" priority="3436"/>
    <cfRule type="duplicateValues" dxfId="2861" priority="3437"/>
    <cfRule type="duplicateValues" dxfId="2860" priority="3438"/>
    <cfRule type="duplicateValues" dxfId="2859" priority="3439"/>
    <cfRule type="duplicateValues" dxfId="2858" priority="3440"/>
    <cfRule type="duplicateValues" dxfId="2857" priority="3441"/>
  </conditionalFormatting>
  <conditionalFormatting sqref="J18">
    <cfRule type="duplicateValues" dxfId="2856" priority="3453"/>
    <cfRule type="duplicateValues" dxfId="2855" priority="3454"/>
    <cfRule type="duplicateValues" dxfId="2854" priority="3455"/>
    <cfRule type="duplicateValues" dxfId="2853" priority="3456"/>
    <cfRule type="duplicateValues" dxfId="2852" priority="3457"/>
    <cfRule type="duplicateValues" dxfId="2851" priority="3458"/>
  </conditionalFormatting>
  <conditionalFormatting sqref="J18">
    <cfRule type="duplicateValues" dxfId="2850" priority="3430"/>
  </conditionalFormatting>
  <conditionalFormatting sqref="J18">
    <cfRule type="duplicateValues" dxfId="2849" priority="3417"/>
    <cfRule type="duplicateValues" dxfId="2848" priority="3418"/>
    <cfRule type="duplicateValues" dxfId="2847" priority="3419"/>
    <cfRule type="duplicateValues" dxfId="2846" priority="3420"/>
    <cfRule type="duplicateValues" dxfId="2845" priority="3421"/>
    <cfRule type="duplicateValues" dxfId="2844" priority="3422"/>
  </conditionalFormatting>
  <conditionalFormatting sqref="J18">
    <cfRule type="duplicateValues" dxfId="2843" priority="3412"/>
    <cfRule type="duplicateValues" dxfId="2842" priority="3413"/>
    <cfRule type="duplicateValues" dxfId="2841" priority="3414"/>
    <cfRule type="duplicateValues" dxfId="2840" priority="3415"/>
    <cfRule type="duplicateValues" dxfId="2839" priority="3416"/>
  </conditionalFormatting>
  <conditionalFormatting sqref="J18">
    <cfRule type="duplicateValues" dxfId="2838" priority="3465"/>
    <cfRule type="duplicateValues" dxfId="2837" priority="3466"/>
    <cfRule type="duplicateValues" dxfId="2836" priority="3467"/>
    <cfRule type="duplicateValues" dxfId="2835" priority="3468"/>
    <cfRule type="duplicateValues" dxfId="2834" priority="3469"/>
    <cfRule type="duplicateValues" dxfId="2833" priority="3470"/>
    <cfRule type="duplicateValues" dxfId="2832" priority="3471"/>
    <cfRule type="duplicateValues" dxfId="2831" priority="3472"/>
    <cfRule type="duplicateValues" dxfId="2830" priority="3473"/>
    <cfRule type="duplicateValues" dxfId="2829" priority="3474"/>
    <cfRule type="duplicateValues" dxfId="2828" priority="3475"/>
    <cfRule type="duplicateValues" dxfId="2827" priority="3476"/>
    <cfRule type="duplicateValues" dxfId="2826" priority="3477"/>
    <cfRule type="duplicateValues" dxfId="2825" priority="3478"/>
    <cfRule type="duplicateValues" dxfId="2824" priority="3479"/>
    <cfRule type="duplicateValues" dxfId="2823" priority="3480"/>
    <cfRule type="duplicateValues" dxfId="2822" priority="3481"/>
    <cfRule type="duplicateValues" dxfId="2821" priority="3482"/>
    <cfRule type="duplicateValues" dxfId="2820" priority="3483"/>
    <cfRule type="duplicateValues" dxfId="2819" priority="3484"/>
    <cfRule type="duplicateValues" dxfId="2818" priority="3485"/>
    <cfRule type="duplicateValues" dxfId="2817" priority="3486"/>
  </conditionalFormatting>
  <conditionalFormatting sqref="J18">
    <cfRule type="duplicateValues" dxfId="2816" priority="3487"/>
    <cfRule type="duplicateValues" dxfId="2815" priority="3488"/>
    <cfRule type="duplicateValues" dxfId="2814" priority="3489"/>
    <cfRule type="duplicateValues" dxfId="2813" priority="3490"/>
    <cfRule type="duplicateValues" dxfId="2812" priority="3491"/>
    <cfRule type="duplicateValues" dxfId="2811" priority="3492"/>
  </conditionalFormatting>
  <conditionalFormatting sqref="J19">
    <cfRule type="duplicateValues" dxfId="2810" priority="3377"/>
  </conditionalFormatting>
  <conditionalFormatting sqref="J19">
    <cfRule type="duplicateValues" dxfId="2809" priority="3375"/>
    <cfRule type="duplicateValues" dxfId="2808" priority="3376"/>
  </conditionalFormatting>
  <conditionalFormatting sqref="J19">
    <cfRule type="duplicateValues" dxfId="2807" priority="3381"/>
  </conditionalFormatting>
  <conditionalFormatting sqref="J19">
    <cfRule type="duplicateValues" dxfId="2806" priority="3382"/>
    <cfRule type="duplicateValues" dxfId="2805" priority="3383"/>
  </conditionalFormatting>
  <conditionalFormatting sqref="J19">
    <cfRule type="duplicateValues" dxfId="2804" priority="3379"/>
  </conditionalFormatting>
  <conditionalFormatting sqref="J19">
    <cfRule type="duplicateValues" dxfId="2803" priority="3380"/>
  </conditionalFormatting>
  <conditionalFormatting sqref="J19">
    <cfRule type="duplicateValues" dxfId="2802" priority="3378"/>
  </conditionalFormatting>
  <conditionalFormatting sqref="J19">
    <cfRule type="duplicateValues" dxfId="2801" priority="3369"/>
    <cfRule type="duplicateValues" dxfId="2800" priority="3370"/>
    <cfRule type="duplicateValues" dxfId="2799" priority="3371"/>
    <cfRule type="duplicateValues" dxfId="2798" priority="3372"/>
    <cfRule type="duplicateValues" dxfId="2797" priority="3373"/>
    <cfRule type="duplicateValues" dxfId="2796" priority="3374"/>
  </conditionalFormatting>
  <conditionalFormatting sqref="J19">
    <cfRule type="duplicateValues" dxfId="2795" priority="3364"/>
    <cfRule type="duplicateValues" dxfId="2794" priority="3365"/>
    <cfRule type="duplicateValues" dxfId="2793" priority="3366"/>
    <cfRule type="duplicateValues" dxfId="2792" priority="3367"/>
    <cfRule type="duplicateValues" dxfId="2791" priority="3368"/>
  </conditionalFormatting>
  <conditionalFormatting sqref="J19">
    <cfRule type="duplicateValues" dxfId="2790" priority="3384"/>
    <cfRule type="duplicateValues" dxfId="2789" priority="3385"/>
    <cfRule type="duplicateValues" dxfId="2788" priority="3386"/>
    <cfRule type="duplicateValues" dxfId="2787" priority="3387"/>
    <cfRule type="duplicateValues" dxfId="2786" priority="3388"/>
    <cfRule type="duplicateValues" dxfId="2785" priority="3389"/>
    <cfRule type="duplicateValues" dxfId="2784" priority="3390"/>
    <cfRule type="duplicateValues" dxfId="2783" priority="3391"/>
    <cfRule type="duplicateValues" dxfId="2782" priority="3392"/>
    <cfRule type="duplicateValues" dxfId="2781" priority="3393"/>
    <cfRule type="duplicateValues" dxfId="2780" priority="3394"/>
    <cfRule type="duplicateValues" dxfId="2779" priority="3395"/>
    <cfRule type="duplicateValues" dxfId="2778" priority="3396"/>
    <cfRule type="duplicateValues" dxfId="2777" priority="3397"/>
    <cfRule type="duplicateValues" dxfId="2776" priority="3398"/>
    <cfRule type="duplicateValues" dxfId="2775" priority="3399"/>
    <cfRule type="duplicateValues" dxfId="2774" priority="3400"/>
    <cfRule type="duplicateValues" dxfId="2773" priority="3401"/>
    <cfRule type="duplicateValues" dxfId="2772" priority="3402"/>
    <cfRule type="duplicateValues" dxfId="2771" priority="3403"/>
    <cfRule type="duplicateValues" dxfId="2770" priority="3404"/>
    <cfRule type="duplicateValues" dxfId="2769" priority="3405"/>
    <cfRule type="duplicateValues" dxfId="2768" priority="3406"/>
    <cfRule type="duplicateValues" dxfId="2767" priority="3407"/>
    <cfRule type="duplicateValues" dxfId="2766" priority="3408"/>
    <cfRule type="duplicateValues" dxfId="2765" priority="3409"/>
    <cfRule type="duplicateValues" dxfId="2764" priority="3410"/>
    <cfRule type="duplicateValues" dxfId="2763" priority="3411"/>
  </conditionalFormatting>
  <conditionalFormatting sqref="J19">
    <cfRule type="duplicateValues" dxfId="2762" priority="3329"/>
  </conditionalFormatting>
  <conditionalFormatting sqref="J19">
    <cfRule type="duplicateValues" dxfId="2761" priority="3327"/>
    <cfRule type="duplicateValues" dxfId="2760" priority="3328"/>
  </conditionalFormatting>
  <conditionalFormatting sqref="J19">
    <cfRule type="duplicateValues" dxfId="2759" priority="3333"/>
  </conditionalFormatting>
  <conditionalFormatting sqref="J19">
    <cfRule type="duplicateValues" dxfId="2758" priority="3334"/>
    <cfRule type="duplicateValues" dxfId="2757" priority="3335"/>
  </conditionalFormatting>
  <conditionalFormatting sqref="J19">
    <cfRule type="duplicateValues" dxfId="2756" priority="3331"/>
  </conditionalFormatting>
  <conditionalFormatting sqref="J19">
    <cfRule type="duplicateValues" dxfId="2755" priority="3332"/>
  </conditionalFormatting>
  <conditionalFormatting sqref="J19">
    <cfRule type="duplicateValues" dxfId="2754" priority="3330"/>
  </conditionalFormatting>
  <conditionalFormatting sqref="J19">
    <cfRule type="duplicateValues" dxfId="2753" priority="3321"/>
    <cfRule type="duplicateValues" dxfId="2752" priority="3322"/>
    <cfRule type="duplicateValues" dxfId="2751" priority="3323"/>
    <cfRule type="duplicateValues" dxfId="2750" priority="3324"/>
    <cfRule type="duplicateValues" dxfId="2749" priority="3325"/>
    <cfRule type="duplicateValues" dxfId="2748" priority="3326"/>
  </conditionalFormatting>
  <conditionalFormatting sqref="J19">
    <cfRule type="duplicateValues" dxfId="2747" priority="3316"/>
    <cfRule type="duplicateValues" dxfId="2746" priority="3317"/>
    <cfRule type="duplicateValues" dxfId="2745" priority="3318"/>
    <cfRule type="duplicateValues" dxfId="2744" priority="3319"/>
    <cfRule type="duplicateValues" dxfId="2743" priority="3320"/>
  </conditionalFormatting>
  <conditionalFormatting sqref="J19">
    <cfRule type="duplicateValues" dxfId="2742" priority="3336"/>
    <cfRule type="duplicateValues" dxfId="2741" priority="3337"/>
    <cfRule type="duplicateValues" dxfId="2740" priority="3338"/>
    <cfRule type="duplicateValues" dxfId="2739" priority="3339"/>
    <cfRule type="duplicateValues" dxfId="2738" priority="3340"/>
    <cfRule type="duplicateValues" dxfId="2737" priority="3341"/>
    <cfRule type="duplicateValues" dxfId="2736" priority="3342"/>
    <cfRule type="duplicateValues" dxfId="2735" priority="3343"/>
    <cfRule type="duplicateValues" dxfId="2734" priority="3344"/>
    <cfRule type="duplicateValues" dxfId="2733" priority="3345"/>
    <cfRule type="duplicateValues" dxfId="2732" priority="3346"/>
    <cfRule type="duplicateValues" dxfId="2731" priority="3347"/>
    <cfRule type="duplicateValues" dxfId="2730" priority="3348"/>
    <cfRule type="duplicateValues" dxfId="2729" priority="3349"/>
    <cfRule type="duplicateValues" dxfId="2728" priority="3350"/>
    <cfRule type="duplicateValues" dxfId="2727" priority="3351"/>
    <cfRule type="duplicateValues" dxfId="2726" priority="3352"/>
    <cfRule type="duplicateValues" dxfId="2725" priority="3353"/>
    <cfRule type="duplicateValues" dxfId="2724" priority="3354"/>
    <cfRule type="duplicateValues" dxfId="2723" priority="3355"/>
    <cfRule type="duplicateValues" dxfId="2722" priority="3356"/>
    <cfRule type="duplicateValues" dxfId="2721" priority="3357"/>
    <cfRule type="duplicateValues" dxfId="2720" priority="3358"/>
    <cfRule type="duplicateValues" dxfId="2719" priority="3359"/>
    <cfRule type="duplicateValues" dxfId="2718" priority="3360"/>
    <cfRule type="duplicateValues" dxfId="2717" priority="3361"/>
    <cfRule type="duplicateValues" dxfId="2716" priority="3362"/>
    <cfRule type="duplicateValues" dxfId="2715" priority="3363"/>
  </conditionalFormatting>
  <conditionalFormatting sqref="J18">
    <cfRule type="duplicateValues" dxfId="2714" priority="3281"/>
  </conditionalFormatting>
  <conditionalFormatting sqref="J18">
    <cfRule type="duplicateValues" dxfId="2713" priority="3279"/>
    <cfRule type="duplicateValues" dxfId="2712" priority="3280"/>
  </conditionalFormatting>
  <conditionalFormatting sqref="J18">
    <cfRule type="duplicateValues" dxfId="2711" priority="3285"/>
  </conditionalFormatting>
  <conditionalFormatting sqref="J18">
    <cfRule type="duplicateValues" dxfId="2710" priority="3286"/>
    <cfRule type="duplicateValues" dxfId="2709" priority="3287"/>
  </conditionalFormatting>
  <conditionalFormatting sqref="J18">
    <cfRule type="duplicateValues" dxfId="2708" priority="3283"/>
  </conditionalFormatting>
  <conditionalFormatting sqref="J18">
    <cfRule type="duplicateValues" dxfId="2707" priority="3284"/>
  </conditionalFormatting>
  <conditionalFormatting sqref="J18">
    <cfRule type="duplicateValues" dxfId="2706" priority="3282"/>
  </conditionalFormatting>
  <conditionalFormatting sqref="J18">
    <cfRule type="duplicateValues" dxfId="2705" priority="3273"/>
    <cfRule type="duplicateValues" dxfId="2704" priority="3274"/>
    <cfRule type="duplicateValues" dxfId="2703" priority="3275"/>
    <cfRule type="duplicateValues" dxfId="2702" priority="3276"/>
    <cfRule type="duplicateValues" dxfId="2701" priority="3277"/>
    <cfRule type="duplicateValues" dxfId="2700" priority="3278"/>
  </conditionalFormatting>
  <conditionalFormatting sqref="J18">
    <cfRule type="duplicateValues" dxfId="2699" priority="3268"/>
    <cfRule type="duplicateValues" dxfId="2698" priority="3269"/>
    <cfRule type="duplicateValues" dxfId="2697" priority="3270"/>
    <cfRule type="duplicateValues" dxfId="2696" priority="3271"/>
    <cfRule type="duplicateValues" dxfId="2695" priority="3272"/>
  </conditionalFormatting>
  <conditionalFormatting sqref="J18">
    <cfRule type="duplicateValues" dxfId="2694" priority="3288"/>
    <cfRule type="duplicateValues" dxfId="2693" priority="3289"/>
    <cfRule type="duplicateValues" dxfId="2692" priority="3290"/>
    <cfRule type="duplicateValues" dxfId="2691" priority="3291"/>
    <cfRule type="duplicateValues" dxfId="2690" priority="3292"/>
    <cfRule type="duplicateValues" dxfId="2689" priority="3293"/>
    <cfRule type="duplicateValues" dxfId="2688" priority="3294"/>
    <cfRule type="duplicateValues" dxfId="2687" priority="3295"/>
    <cfRule type="duplicateValues" dxfId="2686" priority="3296"/>
    <cfRule type="duplicateValues" dxfId="2685" priority="3297"/>
    <cfRule type="duplicateValues" dxfId="2684" priority="3298"/>
    <cfRule type="duplicateValues" dxfId="2683" priority="3299"/>
    <cfRule type="duplicateValues" dxfId="2682" priority="3300"/>
    <cfRule type="duplicateValues" dxfId="2681" priority="3301"/>
    <cfRule type="duplicateValues" dxfId="2680" priority="3302"/>
    <cfRule type="duplicateValues" dxfId="2679" priority="3303"/>
    <cfRule type="duplicateValues" dxfId="2678" priority="3304"/>
    <cfRule type="duplicateValues" dxfId="2677" priority="3305"/>
    <cfRule type="duplicateValues" dxfId="2676" priority="3306"/>
    <cfRule type="duplicateValues" dxfId="2675" priority="3307"/>
    <cfRule type="duplicateValues" dxfId="2674" priority="3308"/>
    <cfRule type="duplicateValues" dxfId="2673" priority="3309"/>
    <cfRule type="duplicateValues" dxfId="2672" priority="3310"/>
    <cfRule type="duplicateValues" dxfId="2671" priority="3311"/>
    <cfRule type="duplicateValues" dxfId="2670" priority="3312"/>
    <cfRule type="duplicateValues" dxfId="2669" priority="3313"/>
    <cfRule type="duplicateValues" dxfId="2668" priority="3314"/>
    <cfRule type="duplicateValues" dxfId="2667" priority="3315"/>
  </conditionalFormatting>
  <conditionalFormatting sqref="J19">
    <cfRule type="duplicateValues" dxfId="2666" priority="3200"/>
  </conditionalFormatting>
  <conditionalFormatting sqref="J19">
    <cfRule type="duplicateValues" dxfId="2665" priority="3198"/>
    <cfRule type="duplicateValues" dxfId="2664" priority="3199"/>
  </conditionalFormatting>
  <conditionalFormatting sqref="J19">
    <cfRule type="duplicateValues" dxfId="2663" priority="3237"/>
  </conditionalFormatting>
  <conditionalFormatting sqref="J19">
    <cfRule type="duplicateValues" dxfId="2662" priority="3238"/>
    <cfRule type="duplicateValues" dxfId="2661" priority="3239"/>
  </conditionalFormatting>
  <conditionalFormatting sqref="J19">
    <cfRule type="duplicateValues" dxfId="2660" priority="3235"/>
  </conditionalFormatting>
  <conditionalFormatting sqref="J19">
    <cfRule type="duplicateValues" dxfId="2659" priority="3236"/>
  </conditionalFormatting>
  <conditionalFormatting sqref="J19">
    <cfRule type="duplicateValues" dxfId="2658" priority="3234"/>
  </conditionalFormatting>
  <conditionalFormatting sqref="J19">
    <cfRule type="duplicateValues" dxfId="2657" priority="3201"/>
    <cfRule type="duplicateValues" dxfId="2656" priority="3202"/>
    <cfRule type="duplicateValues" dxfId="2655" priority="3203"/>
    <cfRule type="duplicateValues" dxfId="2654" priority="3204"/>
  </conditionalFormatting>
  <conditionalFormatting sqref="J19">
    <cfRule type="duplicateValues" dxfId="2653" priority="3206"/>
    <cfRule type="duplicateValues" dxfId="2652" priority="3207"/>
    <cfRule type="duplicateValues" dxfId="2651" priority="3208"/>
    <cfRule type="duplicateValues" dxfId="2650" priority="3209"/>
    <cfRule type="duplicateValues" dxfId="2649" priority="3210"/>
  </conditionalFormatting>
  <conditionalFormatting sqref="J19">
    <cfRule type="duplicateValues" dxfId="2648" priority="3217"/>
    <cfRule type="duplicateValues" dxfId="2647" priority="3218"/>
    <cfRule type="duplicateValues" dxfId="2646" priority="3219"/>
    <cfRule type="duplicateValues" dxfId="2645" priority="3220"/>
    <cfRule type="duplicateValues" dxfId="2644" priority="3221"/>
    <cfRule type="duplicateValues" dxfId="2643" priority="3222"/>
    <cfRule type="duplicateValues" dxfId="2642" priority="3223"/>
    <cfRule type="duplicateValues" dxfId="2641" priority="3224"/>
    <cfRule type="duplicateValues" dxfId="2640" priority="3225"/>
    <cfRule type="duplicateValues" dxfId="2639" priority="3226"/>
    <cfRule type="duplicateValues" dxfId="2638" priority="3227"/>
  </conditionalFormatting>
  <conditionalFormatting sqref="J19">
    <cfRule type="duplicateValues" dxfId="2637" priority="3211"/>
    <cfRule type="duplicateValues" dxfId="2636" priority="3212"/>
    <cfRule type="duplicateValues" dxfId="2635" priority="3213"/>
    <cfRule type="duplicateValues" dxfId="2634" priority="3214"/>
    <cfRule type="duplicateValues" dxfId="2633" priority="3215"/>
    <cfRule type="duplicateValues" dxfId="2632" priority="3216"/>
  </conditionalFormatting>
  <conditionalFormatting sqref="J19">
    <cfRule type="duplicateValues" dxfId="2631" priority="3228"/>
    <cfRule type="duplicateValues" dxfId="2630" priority="3229"/>
    <cfRule type="duplicateValues" dxfId="2629" priority="3230"/>
    <cfRule type="duplicateValues" dxfId="2628" priority="3231"/>
    <cfRule type="duplicateValues" dxfId="2627" priority="3232"/>
    <cfRule type="duplicateValues" dxfId="2626" priority="3233"/>
  </conditionalFormatting>
  <conditionalFormatting sqref="J19">
    <cfRule type="duplicateValues" dxfId="2625" priority="3205"/>
  </conditionalFormatting>
  <conditionalFormatting sqref="J19">
    <cfRule type="duplicateValues" dxfId="2624" priority="3192"/>
    <cfRule type="duplicateValues" dxfId="2623" priority="3193"/>
    <cfRule type="duplicateValues" dxfId="2622" priority="3194"/>
    <cfRule type="duplicateValues" dxfId="2621" priority="3195"/>
    <cfRule type="duplicateValues" dxfId="2620" priority="3196"/>
    <cfRule type="duplicateValues" dxfId="2619" priority="3197"/>
  </conditionalFormatting>
  <conditionalFormatting sqref="J19">
    <cfRule type="duplicateValues" dxfId="2618" priority="3187"/>
    <cfRule type="duplicateValues" dxfId="2617" priority="3188"/>
    <cfRule type="duplicateValues" dxfId="2616" priority="3189"/>
    <cfRule type="duplicateValues" dxfId="2615" priority="3190"/>
    <cfRule type="duplicateValues" dxfId="2614" priority="3191"/>
  </conditionalFormatting>
  <conditionalFormatting sqref="J19">
    <cfRule type="duplicateValues" dxfId="2613" priority="3240"/>
    <cfRule type="duplicateValues" dxfId="2612" priority="3241"/>
    <cfRule type="duplicateValues" dxfId="2611" priority="3242"/>
    <cfRule type="duplicateValues" dxfId="2610" priority="3243"/>
    <cfRule type="duplicateValues" dxfId="2609" priority="3244"/>
    <cfRule type="duplicateValues" dxfId="2608" priority="3245"/>
    <cfRule type="duplicateValues" dxfId="2607" priority="3246"/>
    <cfRule type="duplicateValues" dxfId="2606" priority="3247"/>
    <cfRule type="duplicateValues" dxfId="2605" priority="3248"/>
    <cfRule type="duplicateValues" dxfId="2604" priority="3249"/>
    <cfRule type="duplicateValues" dxfId="2603" priority="3250"/>
    <cfRule type="duplicateValues" dxfId="2602" priority="3251"/>
    <cfRule type="duplicateValues" dxfId="2601" priority="3252"/>
    <cfRule type="duplicateValues" dxfId="2600" priority="3253"/>
    <cfRule type="duplicateValues" dxfId="2599" priority="3254"/>
    <cfRule type="duplicateValues" dxfId="2598" priority="3255"/>
    <cfRule type="duplicateValues" dxfId="2597" priority="3256"/>
    <cfRule type="duplicateValues" dxfId="2596" priority="3257"/>
    <cfRule type="duplicateValues" dxfId="2595" priority="3258"/>
    <cfRule type="duplicateValues" dxfId="2594" priority="3259"/>
    <cfRule type="duplicateValues" dxfId="2593" priority="3260"/>
    <cfRule type="duplicateValues" dxfId="2592" priority="3261"/>
  </conditionalFormatting>
  <conditionalFormatting sqref="J19">
    <cfRule type="duplicateValues" dxfId="2591" priority="3262"/>
    <cfRule type="duplicateValues" dxfId="2590" priority="3263"/>
    <cfRule type="duplicateValues" dxfId="2589" priority="3264"/>
    <cfRule type="duplicateValues" dxfId="2588" priority="3265"/>
    <cfRule type="duplicateValues" dxfId="2587" priority="3266"/>
    <cfRule type="duplicateValues" dxfId="2586" priority="3267"/>
  </conditionalFormatting>
  <conditionalFormatting sqref="AA5:AA6 AA20:AA22">
    <cfRule type="duplicateValues" dxfId="2585" priority="70819"/>
  </conditionalFormatting>
  <conditionalFormatting sqref="AA5:AA6 AA20:AA22">
    <cfRule type="duplicateValues" dxfId="2584" priority="70823"/>
    <cfRule type="duplicateValues" dxfId="2583" priority="70824"/>
    <cfRule type="duplicateValues" dxfId="2582" priority="70825"/>
    <cfRule type="duplicateValues" dxfId="2581" priority="70826"/>
    <cfRule type="duplicateValues" dxfId="2580" priority="70827"/>
    <cfRule type="duplicateValues" dxfId="2579" priority="70828"/>
  </conditionalFormatting>
  <conditionalFormatting sqref="AA5:AA6 AA20:AA22">
    <cfRule type="duplicateValues" dxfId="2578" priority="70835"/>
    <cfRule type="duplicateValues" dxfId="2577" priority="70836"/>
    <cfRule type="duplicateValues" dxfId="2576" priority="70837"/>
    <cfRule type="duplicateValues" dxfId="2575" priority="70838"/>
    <cfRule type="duplicateValues" dxfId="2574" priority="70839"/>
    <cfRule type="duplicateValues" dxfId="2573" priority="70840"/>
    <cfRule type="duplicateValues" dxfId="2572" priority="70841"/>
    <cfRule type="duplicateValues" dxfId="2571" priority="70842"/>
    <cfRule type="duplicateValues" dxfId="2570" priority="70843"/>
    <cfRule type="duplicateValues" dxfId="2569" priority="70844"/>
    <cfRule type="duplicateValues" dxfId="2568" priority="70845"/>
  </conditionalFormatting>
  <conditionalFormatting sqref="AA5:AA6 AA20:AA22">
    <cfRule type="duplicateValues" dxfId="2567" priority="70857"/>
    <cfRule type="duplicateValues" dxfId="2566" priority="70858"/>
    <cfRule type="duplicateValues" dxfId="2565" priority="70859"/>
    <cfRule type="duplicateValues" dxfId="2564" priority="70860"/>
    <cfRule type="duplicateValues" dxfId="2563" priority="70861"/>
    <cfRule type="duplicateValues" dxfId="2562" priority="70862"/>
    <cfRule type="duplicateValues" dxfId="2561" priority="70863"/>
    <cfRule type="duplicateValues" dxfId="2560" priority="70864"/>
    <cfRule type="duplicateValues" dxfId="2559" priority="70865"/>
    <cfRule type="duplicateValues" dxfId="2558" priority="70866"/>
    <cfRule type="duplicateValues" dxfId="2557" priority="70867"/>
    <cfRule type="duplicateValues" dxfId="2556" priority="70868"/>
    <cfRule type="duplicateValues" dxfId="2555" priority="70869"/>
    <cfRule type="duplicateValues" dxfId="2554" priority="70870"/>
    <cfRule type="duplicateValues" dxfId="2553" priority="70871"/>
    <cfRule type="duplicateValues" dxfId="2552" priority="70872"/>
    <cfRule type="duplicateValues" dxfId="2551" priority="70873"/>
  </conditionalFormatting>
  <conditionalFormatting sqref="AA5:AA6 AA20:AA22">
    <cfRule type="duplicateValues" dxfId="2550" priority="70893"/>
    <cfRule type="duplicateValues" dxfId="2549" priority="70894"/>
    <cfRule type="duplicateValues" dxfId="2548" priority="70895"/>
    <cfRule type="duplicateValues" dxfId="2547" priority="70896"/>
  </conditionalFormatting>
  <conditionalFormatting sqref="AA5:AA6 AA20:AA22">
    <cfRule type="duplicateValues" dxfId="2546" priority="70901"/>
    <cfRule type="duplicateValues" dxfId="2545" priority="70902"/>
    <cfRule type="duplicateValues" dxfId="2544" priority="70903"/>
    <cfRule type="duplicateValues" dxfId="2543" priority="70904"/>
    <cfRule type="duplicateValues" dxfId="2542" priority="70905"/>
  </conditionalFormatting>
  <conditionalFormatting sqref="AA5:AA6 AA20:AA22">
    <cfRule type="duplicateValues" dxfId="2541" priority="70935"/>
    <cfRule type="duplicateValues" dxfId="2540" priority="70936"/>
    <cfRule type="duplicateValues" dxfId="2539" priority="70937"/>
  </conditionalFormatting>
  <conditionalFormatting sqref="J9">
    <cfRule type="duplicateValues" dxfId="2538" priority="2754"/>
  </conditionalFormatting>
  <conditionalFormatting sqref="J9">
    <cfRule type="duplicateValues" dxfId="2537" priority="2752"/>
    <cfRule type="duplicateValues" dxfId="2536" priority="2753"/>
  </conditionalFormatting>
  <conditionalFormatting sqref="J9">
    <cfRule type="duplicateValues" dxfId="2535" priority="2746"/>
    <cfRule type="duplicateValues" dxfId="2534" priority="2747"/>
    <cfRule type="duplicateValues" dxfId="2533" priority="2748"/>
    <cfRule type="duplicateValues" dxfId="2532" priority="2749"/>
    <cfRule type="duplicateValues" dxfId="2531" priority="2750"/>
    <cfRule type="duplicateValues" dxfId="2530" priority="2751"/>
  </conditionalFormatting>
  <conditionalFormatting sqref="J9">
    <cfRule type="duplicateValues" dxfId="2529" priority="2741"/>
    <cfRule type="duplicateValues" dxfId="2528" priority="2742"/>
    <cfRule type="duplicateValues" dxfId="2527" priority="2743"/>
    <cfRule type="duplicateValues" dxfId="2526" priority="2744"/>
    <cfRule type="duplicateValues" dxfId="2525" priority="2745"/>
  </conditionalFormatting>
  <conditionalFormatting sqref="J9">
    <cfRule type="duplicateValues" dxfId="2524" priority="2713"/>
    <cfRule type="duplicateValues" dxfId="2523" priority="2714"/>
    <cfRule type="duplicateValues" dxfId="2522" priority="2715"/>
    <cfRule type="duplicateValues" dxfId="2521" priority="2716"/>
    <cfRule type="duplicateValues" dxfId="2520" priority="2717"/>
    <cfRule type="duplicateValues" dxfId="2519" priority="2718"/>
    <cfRule type="duplicateValues" dxfId="2518" priority="2719"/>
    <cfRule type="duplicateValues" dxfId="2517" priority="2720"/>
    <cfRule type="duplicateValues" dxfId="2516" priority="2721"/>
    <cfRule type="duplicateValues" dxfId="2515" priority="2722"/>
    <cfRule type="duplicateValues" dxfId="2514" priority="2723"/>
    <cfRule type="duplicateValues" dxfId="2513" priority="2724"/>
    <cfRule type="duplicateValues" dxfId="2512" priority="2725"/>
    <cfRule type="duplicateValues" dxfId="2511" priority="2726"/>
    <cfRule type="duplicateValues" dxfId="2510" priority="2727"/>
    <cfRule type="duplicateValues" dxfId="2509" priority="2728"/>
    <cfRule type="duplicateValues" dxfId="2508" priority="2729"/>
    <cfRule type="duplicateValues" dxfId="2507" priority="2730"/>
    <cfRule type="duplicateValues" dxfId="2506" priority="2731"/>
    <cfRule type="duplicateValues" dxfId="2505" priority="2732"/>
    <cfRule type="duplicateValues" dxfId="2504" priority="2733"/>
    <cfRule type="duplicateValues" dxfId="2503" priority="2734"/>
    <cfRule type="duplicateValues" dxfId="2502" priority="2735"/>
    <cfRule type="duplicateValues" dxfId="2501" priority="2736"/>
    <cfRule type="duplicateValues" dxfId="2500" priority="2737"/>
    <cfRule type="duplicateValues" dxfId="2499" priority="2738"/>
    <cfRule type="duplicateValues" dxfId="2498" priority="2739"/>
    <cfRule type="duplicateValues" dxfId="2497" priority="2740"/>
  </conditionalFormatting>
  <conditionalFormatting sqref="J9">
    <cfRule type="duplicateValues" dxfId="2496" priority="2712"/>
  </conditionalFormatting>
  <conditionalFormatting sqref="J9">
    <cfRule type="duplicateValues" dxfId="2495" priority="2710"/>
    <cfRule type="duplicateValues" dxfId="2494" priority="2711"/>
  </conditionalFormatting>
  <conditionalFormatting sqref="J9">
    <cfRule type="duplicateValues" dxfId="2493" priority="2704"/>
    <cfRule type="duplicateValues" dxfId="2492" priority="2705"/>
    <cfRule type="duplicateValues" dxfId="2491" priority="2706"/>
    <cfRule type="duplicateValues" dxfId="2490" priority="2707"/>
    <cfRule type="duplicateValues" dxfId="2489" priority="2708"/>
    <cfRule type="duplicateValues" dxfId="2488" priority="2709"/>
  </conditionalFormatting>
  <conditionalFormatting sqref="J9">
    <cfRule type="duplicateValues" dxfId="2487" priority="2699"/>
    <cfRule type="duplicateValues" dxfId="2486" priority="2700"/>
    <cfRule type="duplicateValues" dxfId="2485" priority="2701"/>
    <cfRule type="duplicateValues" dxfId="2484" priority="2702"/>
    <cfRule type="duplicateValues" dxfId="2483" priority="2703"/>
  </conditionalFormatting>
  <conditionalFormatting sqref="J9">
    <cfRule type="duplicateValues" dxfId="2482" priority="2671"/>
    <cfRule type="duplicateValues" dxfId="2481" priority="2672"/>
    <cfRule type="duplicateValues" dxfId="2480" priority="2673"/>
    <cfRule type="duplicateValues" dxfId="2479" priority="2674"/>
    <cfRule type="duplicateValues" dxfId="2478" priority="2675"/>
    <cfRule type="duplicateValues" dxfId="2477" priority="2676"/>
    <cfRule type="duplicateValues" dxfId="2476" priority="2677"/>
    <cfRule type="duplicateValues" dxfId="2475" priority="2678"/>
    <cfRule type="duplicateValues" dxfId="2474" priority="2679"/>
    <cfRule type="duplicateValues" dxfId="2473" priority="2680"/>
    <cfRule type="duplicateValues" dxfId="2472" priority="2681"/>
    <cfRule type="duplicateValues" dxfId="2471" priority="2682"/>
    <cfRule type="duplicateValues" dxfId="2470" priority="2683"/>
    <cfRule type="duplicateValues" dxfId="2469" priority="2684"/>
    <cfRule type="duplicateValues" dxfId="2468" priority="2685"/>
    <cfRule type="duplicateValues" dxfId="2467" priority="2686"/>
    <cfRule type="duplicateValues" dxfId="2466" priority="2687"/>
    <cfRule type="duplicateValues" dxfId="2465" priority="2688"/>
    <cfRule type="duplicateValues" dxfId="2464" priority="2689"/>
    <cfRule type="duplicateValues" dxfId="2463" priority="2690"/>
    <cfRule type="duplicateValues" dxfId="2462" priority="2691"/>
    <cfRule type="duplicateValues" dxfId="2461" priority="2692"/>
    <cfRule type="duplicateValues" dxfId="2460" priority="2693"/>
    <cfRule type="duplicateValues" dxfId="2459" priority="2694"/>
    <cfRule type="duplicateValues" dxfId="2458" priority="2695"/>
    <cfRule type="duplicateValues" dxfId="2457" priority="2696"/>
    <cfRule type="duplicateValues" dxfId="2456" priority="2697"/>
    <cfRule type="duplicateValues" dxfId="2455" priority="2698"/>
  </conditionalFormatting>
  <conditionalFormatting sqref="J6">
    <cfRule type="duplicateValues" dxfId="2454" priority="2454"/>
  </conditionalFormatting>
  <conditionalFormatting sqref="J6">
    <cfRule type="duplicateValues" dxfId="2453" priority="2452"/>
    <cfRule type="duplicateValues" dxfId="2452" priority="2453"/>
  </conditionalFormatting>
  <conditionalFormatting sqref="J6">
    <cfRule type="duplicateValues" dxfId="2451" priority="2446"/>
    <cfRule type="duplicateValues" dxfId="2450" priority="2447"/>
    <cfRule type="duplicateValues" dxfId="2449" priority="2448"/>
    <cfRule type="duplicateValues" dxfId="2448" priority="2449"/>
    <cfRule type="duplicateValues" dxfId="2447" priority="2450"/>
    <cfRule type="duplicateValues" dxfId="2446" priority="2451"/>
  </conditionalFormatting>
  <conditionalFormatting sqref="J6">
    <cfRule type="duplicateValues" dxfId="2445" priority="2441"/>
    <cfRule type="duplicateValues" dxfId="2444" priority="2442"/>
    <cfRule type="duplicateValues" dxfId="2443" priority="2443"/>
    <cfRule type="duplicateValues" dxfId="2442" priority="2444"/>
    <cfRule type="duplicateValues" dxfId="2441" priority="2445"/>
  </conditionalFormatting>
  <conditionalFormatting sqref="J6">
    <cfRule type="duplicateValues" dxfId="2440" priority="2413"/>
    <cfRule type="duplicateValues" dxfId="2439" priority="2414"/>
    <cfRule type="duplicateValues" dxfId="2438" priority="2415"/>
    <cfRule type="duplicateValues" dxfId="2437" priority="2416"/>
    <cfRule type="duplicateValues" dxfId="2436" priority="2417"/>
    <cfRule type="duplicateValues" dxfId="2435" priority="2418"/>
    <cfRule type="duplicateValues" dxfId="2434" priority="2419"/>
    <cfRule type="duplicateValues" dxfId="2433" priority="2420"/>
    <cfRule type="duplicateValues" dxfId="2432" priority="2421"/>
    <cfRule type="duplicateValues" dxfId="2431" priority="2422"/>
    <cfRule type="duplicateValues" dxfId="2430" priority="2423"/>
    <cfRule type="duplicateValues" dxfId="2429" priority="2424"/>
    <cfRule type="duplicateValues" dxfId="2428" priority="2425"/>
    <cfRule type="duplicateValues" dxfId="2427" priority="2426"/>
    <cfRule type="duplicateValues" dxfId="2426" priority="2427"/>
    <cfRule type="duplicateValues" dxfId="2425" priority="2428"/>
    <cfRule type="duplicateValues" dxfId="2424" priority="2429"/>
    <cfRule type="duplicateValues" dxfId="2423" priority="2430"/>
    <cfRule type="duplicateValues" dxfId="2422" priority="2431"/>
    <cfRule type="duplicateValues" dxfId="2421" priority="2432"/>
    <cfRule type="duplicateValues" dxfId="2420" priority="2433"/>
    <cfRule type="duplicateValues" dxfId="2419" priority="2434"/>
    <cfRule type="duplicateValues" dxfId="2418" priority="2435"/>
    <cfRule type="duplicateValues" dxfId="2417" priority="2436"/>
    <cfRule type="duplicateValues" dxfId="2416" priority="2437"/>
    <cfRule type="duplicateValues" dxfId="2415" priority="2438"/>
    <cfRule type="duplicateValues" dxfId="2414" priority="2439"/>
    <cfRule type="duplicateValues" dxfId="2413" priority="2440"/>
  </conditionalFormatting>
  <conditionalFormatting sqref="J5:J6">
    <cfRule type="duplicateValues" dxfId="2412" priority="2412"/>
  </conditionalFormatting>
  <conditionalFormatting sqref="J5:J6">
    <cfRule type="duplicateValues" dxfId="2411" priority="2410"/>
    <cfRule type="duplicateValues" dxfId="2410" priority="2411"/>
  </conditionalFormatting>
  <conditionalFormatting sqref="J5:J6">
    <cfRule type="duplicateValues" dxfId="2409" priority="2404"/>
    <cfRule type="duplicateValues" dxfId="2408" priority="2405"/>
    <cfRule type="duplicateValues" dxfId="2407" priority="2406"/>
    <cfRule type="duplicateValues" dxfId="2406" priority="2407"/>
    <cfRule type="duplicateValues" dxfId="2405" priority="2408"/>
    <cfRule type="duplicateValues" dxfId="2404" priority="2409"/>
  </conditionalFormatting>
  <conditionalFormatting sqref="J5:J6">
    <cfRule type="duplicateValues" dxfId="2403" priority="2399"/>
    <cfRule type="duplicateValues" dxfId="2402" priority="2400"/>
    <cfRule type="duplicateValues" dxfId="2401" priority="2401"/>
    <cfRule type="duplicateValues" dxfId="2400" priority="2402"/>
    <cfRule type="duplicateValues" dxfId="2399" priority="2403"/>
  </conditionalFormatting>
  <conditionalFormatting sqref="J5:J6">
    <cfRule type="duplicateValues" dxfId="2398" priority="2371"/>
    <cfRule type="duplicateValues" dxfId="2397" priority="2372"/>
    <cfRule type="duplicateValues" dxfId="2396" priority="2373"/>
    <cfRule type="duplicateValues" dxfId="2395" priority="2374"/>
    <cfRule type="duplicateValues" dxfId="2394" priority="2375"/>
    <cfRule type="duplicateValues" dxfId="2393" priority="2376"/>
    <cfRule type="duplicateValues" dxfId="2392" priority="2377"/>
    <cfRule type="duplicateValues" dxfId="2391" priority="2378"/>
    <cfRule type="duplicateValues" dxfId="2390" priority="2379"/>
    <cfRule type="duplicateValues" dxfId="2389" priority="2380"/>
    <cfRule type="duplicateValues" dxfId="2388" priority="2381"/>
    <cfRule type="duplicateValues" dxfId="2387" priority="2382"/>
    <cfRule type="duplicateValues" dxfId="2386" priority="2383"/>
    <cfRule type="duplicateValues" dxfId="2385" priority="2384"/>
    <cfRule type="duplicateValues" dxfId="2384" priority="2385"/>
    <cfRule type="duplicateValues" dxfId="2383" priority="2386"/>
    <cfRule type="duplicateValues" dxfId="2382" priority="2387"/>
    <cfRule type="duplicateValues" dxfId="2381" priority="2388"/>
    <cfRule type="duplicateValues" dxfId="2380" priority="2389"/>
    <cfRule type="duplicateValues" dxfId="2379" priority="2390"/>
    <cfRule type="duplicateValues" dxfId="2378" priority="2391"/>
    <cfRule type="duplicateValues" dxfId="2377" priority="2392"/>
    <cfRule type="duplicateValues" dxfId="2376" priority="2393"/>
    <cfRule type="duplicateValues" dxfId="2375" priority="2394"/>
    <cfRule type="duplicateValues" dxfId="2374" priority="2395"/>
    <cfRule type="duplicateValues" dxfId="2373" priority="2396"/>
    <cfRule type="duplicateValues" dxfId="2372" priority="2397"/>
    <cfRule type="duplicateValues" dxfId="2371" priority="2398"/>
  </conditionalFormatting>
  <conditionalFormatting sqref="J6">
    <cfRule type="duplicateValues" dxfId="2370" priority="2370"/>
  </conditionalFormatting>
  <conditionalFormatting sqref="J6">
    <cfRule type="duplicateValues" dxfId="2369" priority="2368"/>
    <cfRule type="duplicateValues" dxfId="2368" priority="2369"/>
  </conditionalFormatting>
  <conditionalFormatting sqref="J6">
    <cfRule type="duplicateValues" dxfId="2367" priority="2362"/>
    <cfRule type="duplicateValues" dxfId="2366" priority="2363"/>
    <cfRule type="duplicateValues" dxfId="2365" priority="2364"/>
    <cfRule type="duplicateValues" dxfId="2364" priority="2365"/>
    <cfRule type="duplicateValues" dxfId="2363" priority="2366"/>
    <cfRule type="duplicateValues" dxfId="2362" priority="2367"/>
  </conditionalFormatting>
  <conditionalFormatting sqref="J6">
    <cfRule type="duplicateValues" dxfId="2361" priority="2357"/>
    <cfRule type="duplicateValues" dxfId="2360" priority="2358"/>
    <cfRule type="duplicateValues" dxfId="2359" priority="2359"/>
    <cfRule type="duplicateValues" dxfId="2358" priority="2360"/>
    <cfRule type="duplicateValues" dxfId="2357" priority="2361"/>
  </conditionalFormatting>
  <conditionalFormatting sqref="J6">
    <cfRule type="duplicateValues" dxfId="2356" priority="2329"/>
    <cfRule type="duplicateValues" dxfId="2355" priority="2330"/>
    <cfRule type="duplicateValues" dxfId="2354" priority="2331"/>
    <cfRule type="duplicateValues" dxfId="2353" priority="2332"/>
    <cfRule type="duplicateValues" dxfId="2352" priority="2333"/>
    <cfRule type="duplicateValues" dxfId="2351" priority="2334"/>
    <cfRule type="duplicateValues" dxfId="2350" priority="2335"/>
    <cfRule type="duplicateValues" dxfId="2349" priority="2336"/>
    <cfRule type="duplicateValues" dxfId="2348" priority="2337"/>
    <cfRule type="duplicateValues" dxfId="2347" priority="2338"/>
    <cfRule type="duplicateValues" dxfId="2346" priority="2339"/>
    <cfRule type="duplicateValues" dxfId="2345" priority="2340"/>
    <cfRule type="duplicateValues" dxfId="2344" priority="2341"/>
    <cfRule type="duplicateValues" dxfId="2343" priority="2342"/>
    <cfRule type="duplicateValues" dxfId="2342" priority="2343"/>
    <cfRule type="duplicateValues" dxfId="2341" priority="2344"/>
    <cfRule type="duplicateValues" dxfId="2340" priority="2345"/>
    <cfRule type="duplicateValues" dxfId="2339" priority="2346"/>
    <cfRule type="duplicateValues" dxfId="2338" priority="2347"/>
    <cfRule type="duplicateValues" dxfId="2337" priority="2348"/>
    <cfRule type="duplicateValues" dxfId="2336" priority="2349"/>
    <cfRule type="duplicateValues" dxfId="2335" priority="2350"/>
    <cfRule type="duplicateValues" dxfId="2334" priority="2351"/>
    <cfRule type="duplicateValues" dxfId="2333" priority="2352"/>
    <cfRule type="duplicateValues" dxfId="2332" priority="2353"/>
    <cfRule type="duplicateValues" dxfId="2331" priority="2354"/>
    <cfRule type="duplicateValues" dxfId="2330" priority="2355"/>
    <cfRule type="duplicateValues" dxfId="2329" priority="2356"/>
  </conditionalFormatting>
  <conditionalFormatting sqref="J5:J6">
    <cfRule type="duplicateValues" dxfId="2328" priority="2328"/>
  </conditionalFormatting>
  <conditionalFormatting sqref="J5:J6">
    <cfRule type="duplicateValues" dxfId="2327" priority="2326"/>
    <cfRule type="duplicateValues" dxfId="2326" priority="2327"/>
  </conditionalFormatting>
  <conditionalFormatting sqref="J5:J6">
    <cfRule type="duplicateValues" dxfId="2325" priority="2325"/>
  </conditionalFormatting>
  <conditionalFormatting sqref="J5:J6">
    <cfRule type="duplicateValues" dxfId="2324" priority="2323"/>
    <cfRule type="duplicateValues" dxfId="2323" priority="2324"/>
  </conditionalFormatting>
  <conditionalFormatting sqref="J5:J6">
    <cfRule type="duplicateValues" dxfId="2322" priority="2322"/>
  </conditionalFormatting>
  <conditionalFormatting sqref="J5:J6">
    <cfRule type="duplicateValues" dxfId="2321" priority="2321"/>
  </conditionalFormatting>
  <conditionalFormatting sqref="J5:J6">
    <cfRule type="duplicateValues" dxfId="2320" priority="2320"/>
  </conditionalFormatting>
  <conditionalFormatting sqref="J5:J6">
    <cfRule type="duplicateValues" dxfId="2319" priority="2314"/>
    <cfRule type="duplicateValues" dxfId="2318" priority="2315"/>
    <cfRule type="duplicateValues" dxfId="2317" priority="2316"/>
    <cfRule type="duplicateValues" dxfId="2316" priority="2317"/>
    <cfRule type="duplicateValues" dxfId="2315" priority="2318"/>
    <cfRule type="duplicateValues" dxfId="2314" priority="2319"/>
  </conditionalFormatting>
  <conditionalFormatting sqref="J5:J6">
    <cfRule type="duplicateValues" dxfId="2313" priority="2309"/>
    <cfRule type="duplicateValues" dxfId="2312" priority="2310"/>
    <cfRule type="duplicateValues" dxfId="2311" priority="2311"/>
    <cfRule type="duplicateValues" dxfId="2310" priority="2312"/>
    <cfRule type="duplicateValues" dxfId="2309" priority="2313"/>
  </conditionalFormatting>
  <conditionalFormatting sqref="J5:J6">
    <cfRule type="duplicateValues" dxfId="2308" priority="2281"/>
    <cfRule type="duplicateValues" dxfId="2307" priority="2282"/>
    <cfRule type="duplicateValues" dxfId="2306" priority="2283"/>
    <cfRule type="duplicateValues" dxfId="2305" priority="2284"/>
    <cfRule type="duplicateValues" dxfId="2304" priority="2285"/>
    <cfRule type="duplicateValues" dxfId="2303" priority="2286"/>
    <cfRule type="duplicateValues" dxfId="2302" priority="2287"/>
    <cfRule type="duplicateValues" dxfId="2301" priority="2288"/>
    <cfRule type="duplicateValues" dxfId="2300" priority="2289"/>
    <cfRule type="duplicateValues" dxfId="2299" priority="2290"/>
    <cfRule type="duplicateValues" dxfId="2298" priority="2291"/>
    <cfRule type="duplicateValues" dxfId="2297" priority="2292"/>
    <cfRule type="duplicateValues" dxfId="2296" priority="2293"/>
    <cfRule type="duplicateValues" dxfId="2295" priority="2294"/>
    <cfRule type="duplicateValues" dxfId="2294" priority="2295"/>
    <cfRule type="duplicateValues" dxfId="2293" priority="2296"/>
    <cfRule type="duplicateValues" dxfId="2292" priority="2297"/>
    <cfRule type="duplicateValues" dxfId="2291" priority="2298"/>
    <cfRule type="duplicateValues" dxfId="2290" priority="2299"/>
    <cfRule type="duplicateValues" dxfId="2289" priority="2300"/>
    <cfRule type="duplicateValues" dxfId="2288" priority="2301"/>
    <cfRule type="duplicateValues" dxfId="2287" priority="2302"/>
    <cfRule type="duplicateValues" dxfId="2286" priority="2303"/>
    <cfRule type="duplicateValues" dxfId="2285" priority="2304"/>
    <cfRule type="duplicateValues" dxfId="2284" priority="2305"/>
    <cfRule type="duplicateValues" dxfId="2283" priority="2306"/>
    <cfRule type="duplicateValues" dxfId="2282" priority="2307"/>
    <cfRule type="duplicateValues" dxfId="2281" priority="2308"/>
  </conditionalFormatting>
  <conditionalFormatting sqref="J5:J6">
    <cfRule type="duplicateValues" dxfId="2280" priority="2280"/>
  </conditionalFormatting>
  <conditionalFormatting sqref="J5:J6">
    <cfRule type="duplicateValues" dxfId="2279" priority="2278"/>
    <cfRule type="duplicateValues" dxfId="2278" priority="2279"/>
  </conditionalFormatting>
  <conditionalFormatting sqref="J5:J6">
    <cfRule type="duplicateValues" dxfId="2277" priority="2277"/>
  </conditionalFormatting>
  <conditionalFormatting sqref="J5:J6">
    <cfRule type="duplicateValues" dxfId="2276" priority="2275"/>
    <cfRule type="duplicateValues" dxfId="2275" priority="2276"/>
  </conditionalFormatting>
  <conditionalFormatting sqref="J5:J6">
    <cfRule type="duplicateValues" dxfId="2274" priority="2274"/>
  </conditionalFormatting>
  <conditionalFormatting sqref="J5:J6">
    <cfRule type="duplicateValues" dxfId="2273" priority="2273"/>
  </conditionalFormatting>
  <conditionalFormatting sqref="J5:J6">
    <cfRule type="duplicateValues" dxfId="2272" priority="2272"/>
  </conditionalFormatting>
  <conditionalFormatting sqref="J5:J6">
    <cfRule type="duplicateValues" dxfId="2271" priority="2266"/>
    <cfRule type="duplicateValues" dxfId="2270" priority="2267"/>
    <cfRule type="duplicateValues" dxfId="2269" priority="2268"/>
    <cfRule type="duplicateValues" dxfId="2268" priority="2269"/>
    <cfRule type="duplicateValues" dxfId="2267" priority="2270"/>
    <cfRule type="duplicateValues" dxfId="2266" priority="2271"/>
  </conditionalFormatting>
  <conditionalFormatting sqref="J5:J6">
    <cfRule type="duplicateValues" dxfId="2265" priority="2261"/>
    <cfRule type="duplicateValues" dxfId="2264" priority="2262"/>
    <cfRule type="duplicateValues" dxfId="2263" priority="2263"/>
    <cfRule type="duplicateValues" dxfId="2262" priority="2264"/>
    <cfRule type="duplicateValues" dxfId="2261" priority="2265"/>
  </conditionalFormatting>
  <conditionalFormatting sqref="J5:J6">
    <cfRule type="duplicateValues" dxfId="2260" priority="2233"/>
    <cfRule type="duplicateValues" dxfId="2259" priority="2234"/>
    <cfRule type="duplicateValues" dxfId="2258" priority="2235"/>
    <cfRule type="duplicateValues" dxfId="2257" priority="2236"/>
    <cfRule type="duplicateValues" dxfId="2256" priority="2237"/>
    <cfRule type="duplicateValues" dxfId="2255" priority="2238"/>
    <cfRule type="duplicateValues" dxfId="2254" priority="2239"/>
    <cfRule type="duplicateValues" dxfId="2253" priority="2240"/>
    <cfRule type="duplicateValues" dxfId="2252" priority="2241"/>
    <cfRule type="duplicateValues" dxfId="2251" priority="2242"/>
    <cfRule type="duplicateValues" dxfId="2250" priority="2243"/>
    <cfRule type="duplicateValues" dxfId="2249" priority="2244"/>
    <cfRule type="duplicateValues" dxfId="2248" priority="2245"/>
    <cfRule type="duplicateValues" dxfId="2247" priority="2246"/>
    <cfRule type="duplicateValues" dxfId="2246" priority="2247"/>
    <cfRule type="duplicateValues" dxfId="2245" priority="2248"/>
    <cfRule type="duplicateValues" dxfId="2244" priority="2249"/>
    <cfRule type="duplicateValues" dxfId="2243" priority="2250"/>
    <cfRule type="duplicateValues" dxfId="2242" priority="2251"/>
    <cfRule type="duplicateValues" dxfId="2241" priority="2252"/>
    <cfRule type="duplicateValues" dxfId="2240" priority="2253"/>
    <cfRule type="duplicateValues" dxfId="2239" priority="2254"/>
    <cfRule type="duplicateValues" dxfId="2238" priority="2255"/>
    <cfRule type="duplicateValues" dxfId="2237" priority="2256"/>
    <cfRule type="duplicateValues" dxfId="2236" priority="2257"/>
    <cfRule type="duplicateValues" dxfId="2235" priority="2258"/>
    <cfRule type="duplicateValues" dxfId="2234" priority="2259"/>
    <cfRule type="duplicateValues" dxfId="2233" priority="2260"/>
  </conditionalFormatting>
  <conditionalFormatting sqref="J6">
    <cfRule type="duplicateValues" dxfId="2232" priority="2232"/>
  </conditionalFormatting>
  <conditionalFormatting sqref="J6">
    <cfRule type="duplicateValues" dxfId="2231" priority="2230"/>
    <cfRule type="duplicateValues" dxfId="2230" priority="2231"/>
  </conditionalFormatting>
  <conditionalFormatting sqref="J6">
    <cfRule type="duplicateValues" dxfId="2229" priority="2226"/>
    <cfRule type="duplicateValues" dxfId="2228" priority="2227"/>
    <cfRule type="duplicateValues" dxfId="2227" priority="2228"/>
    <cfRule type="duplicateValues" dxfId="2226" priority="2229"/>
  </conditionalFormatting>
  <conditionalFormatting sqref="J6">
    <cfRule type="duplicateValues" dxfId="2225" priority="2221"/>
    <cfRule type="duplicateValues" dxfId="2224" priority="2222"/>
    <cfRule type="duplicateValues" dxfId="2223" priority="2223"/>
    <cfRule type="duplicateValues" dxfId="2222" priority="2224"/>
    <cfRule type="duplicateValues" dxfId="2221" priority="2225"/>
  </conditionalFormatting>
  <conditionalFormatting sqref="J6">
    <cfRule type="duplicateValues" dxfId="2220" priority="2210"/>
    <cfRule type="duplicateValues" dxfId="2219" priority="2211"/>
    <cfRule type="duplicateValues" dxfId="2218" priority="2212"/>
    <cfRule type="duplicateValues" dxfId="2217" priority="2213"/>
    <cfRule type="duplicateValues" dxfId="2216" priority="2214"/>
    <cfRule type="duplicateValues" dxfId="2215" priority="2215"/>
    <cfRule type="duplicateValues" dxfId="2214" priority="2216"/>
    <cfRule type="duplicateValues" dxfId="2213" priority="2217"/>
    <cfRule type="duplicateValues" dxfId="2212" priority="2218"/>
    <cfRule type="duplicateValues" dxfId="2211" priority="2219"/>
    <cfRule type="duplicateValues" dxfId="2210" priority="2220"/>
  </conditionalFormatting>
  <conditionalFormatting sqref="J6">
    <cfRule type="duplicateValues" dxfId="2209" priority="2204"/>
    <cfRule type="duplicateValues" dxfId="2208" priority="2205"/>
    <cfRule type="duplicateValues" dxfId="2207" priority="2206"/>
    <cfRule type="duplicateValues" dxfId="2206" priority="2207"/>
    <cfRule type="duplicateValues" dxfId="2205" priority="2208"/>
    <cfRule type="duplicateValues" dxfId="2204" priority="2209"/>
  </conditionalFormatting>
  <conditionalFormatting sqref="J6">
    <cfRule type="duplicateValues" dxfId="2203" priority="2182"/>
    <cfRule type="duplicateValues" dxfId="2202" priority="2183"/>
    <cfRule type="duplicateValues" dxfId="2201" priority="2184"/>
    <cfRule type="duplicateValues" dxfId="2200" priority="2185"/>
    <cfRule type="duplicateValues" dxfId="2199" priority="2186"/>
    <cfRule type="duplicateValues" dxfId="2198" priority="2187"/>
    <cfRule type="duplicateValues" dxfId="2197" priority="2188"/>
    <cfRule type="duplicateValues" dxfId="2196" priority="2189"/>
    <cfRule type="duplicateValues" dxfId="2195" priority="2190"/>
    <cfRule type="duplicateValues" dxfId="2194" priority="2191"/>
    <cfRule type="duplicateValues" dxfId="2193" priority="2192"/>
    <cfRule type="duplicateValues" dxfId="2192" priority="2193"/>
    <cfRule type="duplicateValues" dxfId="2191" priority="2194"/>
    <cfRule type="duplicateValues" dxfId="2190" priority="2195"/>
    <cfRule type="duplicateValues" dxfId="2189" priority="2196"/>
    <cfRule type="duplicateValues" dxfId="2188" priority="2197"/>
    <cfRule type="duplicateValues" dxfId="2187" priority="2198"/>
    <cfRule type="duplicateValues" dxfId="2186" priority="2199"/>
    <cfRule type="duplicateValues" dxfId="2185" priority="2200"/>
    <cfRule type="duplicateValues" dxfId="2184" priority="2201"/>
    <cfRule type="duplicateValues" dxfId="2183" priority="2202"/>
    <cfRule type="duplicateValues" dxfId="2182" priority="2203"/>
  </conditionalFormatting>
  <conditionalFormatting sqref="J5:J6">
    <cfRule type="duplicateValues" dxfId="2181" priority="2181"/>
  </conditionalFormatting>
  <conditionalFormatting sqref="J5:J6">
    <cfRule type="duplicateValues" dxfId="2180" priority="2179"/>
    <cfRule type="duplicateValues" dxfId="2179" priority="2180"/>
  </conditionalFormatting>
  <conditionalFormatting sqref="J5:J6">
    <cfRule type="duplicateValues" dxfId="2178" priority="2173"/>
    <cfRule type="duplicateValues" dxfId="2177" priority="2174"/>
    <cfRule type="duplicateValues" dxfId="2176" priority="2175"/>
    <cfRule type="duplicateValues" dxfId="2175" priority="2176"/>
    <cfRule type="duplicateValues" dxfId="2174" priority="2177"/>
    <cfRule type="duplicateValues" dxfId="2173" priority="2178"/>
  </conditionalFormatting>
  <conditionalFormatting sqref="J5:J6">
    <cfRule type="duplicateValues" dxfId="2172" priority="2168"/>
    <cfRule type="duplicateValues" dxfId="2171" priority="2169"/>
    <cfRule type="duplicateValues" dxfId="2170" priority="2170"/>
    <cfRule type="duplicateValues" dxfId="2169" priority="2171"/>
    <cfRule type="duplicateValues" dxfId="2168" priority="2172"/>
  </conditionalFormatting>
  <conditionalFormatting sqref="J5:J6">
    <cfRule type="duplicateValues" dxfId="2167" priority="2140"/>
    <cfRule type="duplicateValues" dxfId="2166" priority="2141"/>
    <cfRule type="duplicateValues" dxfId="2165" priority="2142"/>
    <cfRule type="duplicateValues" dxfId="2164" priority="2143"/>
    <cfRule type="duplicateValues" dxfId="2163" priority="2144"/>
    <cfRule type="duplicateValues" dxfId="2162" priority="2145"/>
    <cfRule type="duplicateValues" dxfId="2161" priority="2146"/>
    <cfRule type="duplicateValues" dxfId="2160" priority="2147"/>
    <cfRule type="duplicateValues" dxfId="2159" priority="2148"/>
    <cfRule type="duplicateValues" dxfId="2158" priority="2149"/>
    <cfRule type="duplicateValues" dxfId="2157" priority="2150"/>
    <cfRule type="duplicateValues" dxfId="2156" priority="2151"/>
    <cfRule type="duplicateValues" dxfId="2155" priority="2152"/>
    <cfRule type="duplicateValues" dxfId="2154" priority="2153"/>
    <cfRule type="duplicateValues" dxfId="2153" priority="2154"/>
    <cfRule type="duplicateValues" dxfId="2152" priority="2155"/>
    <cfRule type="duplicateValues" dxfId="2151" priority="2156"/>
    <cfRule type="duplicateValues" dxfId="2150" priority="2157"/>
    <cfRule type="duplicateValues" dxfId="2149" priority="2158"/>
    <cfRule type="duplicateValues" dxfId="2148" priority="2159"/>
    <cfRule type="duplicateValues" dxfId="2147" priority="2160"/>
    <cfRule type="duplicateValues" dxfId="2146" priority="2161"/>
    <cfRule type="duplicateValues" dxfId="2145" priority="2162"/>
    <cfRule type="duplicateValues" dxfId="2144" priority="2163"/>
    <cfRule type="duplicateValues" dxfId="2143" priority="2164"/>
    <cfRule type="duplicateValues" dxfId="2142" priority="2165"/>
    <cfRule type="duplicateValues" dxfId="2141" priority="2166"/>
    <cfRule type="duplicateValues" dxfId="2140" priority="2167"/>
  </conditionalFormatting>
  <conditionalFormatting sqref="J11">
    <cfRule type="duplicateValues" dxfId="2139" priority="2105"/>
  </conditionalFormatting>
  <conditionalFormatting sqref="J11">
    <cfRule type="duplicateValues" dxfId="2138" priority="2103"/>
    <cfRule type="duplicateValues" dxfId="2137" priority="2104"/>
  </conditionalFormatting>
  <conditionalFormatting sqref="J11">
    <cfRule type="duplicateValues" dxfId="2136" priority="2109"/>
  </conditionalFormatting>
  <conditionalFormatting sqref="J11">
    <cfRule type="duplicateValues" dxfId="2135" priority="2110"/>
    <cfRule type="duplicateValues" dxfId="2134" priority="2111"/>
  </conditionalFormatting>
  <conditionalFormatting sqref="J11">
    <cfRule type="duplicateValues" dxfId="2133" priority="2107"/>
  </conditionalFormatting>
  <conditionalFormatting sqref="J11">
    <cfRule type="duplicateValues" dxfId="2132" priority="2108"/>
  </conditionalFormatting>
  <conditionalFormatting sqref="J11">
    <cfRule type="duplicateValues" dxfId="2131" priority="2106"/>
  </conditionalFormatting>
  <conditionalFormatting sqref="J11">
    <cfRule type="duplicateValues" dxfId="2130" priority="2097"/>
    <cfRule type="duplicateValues" dxfId="2129" priority="2098"/>
    <cfRule type="duplicateValues" dxfId="2128" priority="2099"/>
    <cfRule type="duplicateValues" dxfId="2127" priority="2100"/>
    <cfRule type="duplicateValues" dxfId="2126" priority="2101"/>
    <cfRule type="duplicateValues" dxfId="2125" priority="2102"/>
  </conditionalFormatting>
  <conditionalFormatting sqref="J11">
    <cfRule type="duplicateValues" dxfId="2124" priority="2092"/>
    <cfRule type="duplicateValues" dxfId="2123" priority="2093"/>
    <cfRule type="duplicateValues" dxfId="2122" priority="2094"/>
    <cfRule type="duplicateValues" dxfId="2121" priority="2095"/>
    <cfRule type="duplicateValues" dxfId="2120" priority="2096"/>
  </conditionalFormatting>
  <conditionalFormatting sqref="J11">
    <cfRule type="duplicateValues" dxfId="2119" priority="2112"/>
    <cfRule type="duplicateValues" dxfId="2118" priority="2113"/>
    <cfRule type="duplicateValues" dxfId="2117" priority="2114"/>
    <cfRule type="duplicateValues" dxfId="2116" priority="2115"/>
    <cfRule type="duplicateValues" dxfId="2115" priority="2116"/>
    <cfRule type="duplicateValues" dxfId="2114" priority="2117"/>
    <cfRule type="duplicateValues" dxfId="2113" priority="2118"/>
    <cfRule type="duplicateValues" dxfId="2112" priority="2119"/>
    <cfRule type="duplicateValues" dxfId="2111" priority="2120"/>
    <cfRule type="duplicateValues" dxfId="2110" priority="2121"/>
    <cfRule type="duplicateValues" dxfId="2109" priority="2122"/>
    <cfRule type="duplicateValues" dxfId="2108" priority="2123"/>
    <cfRule type="duplicateValues" dxfId="2107" priority="2124"/>
    <cfRule type="duplicateValues" dxfId="2106" priority="2125"/>
    <cfRule type="duplicateValues" dxfId="2105" priority="2126"/>
    <cfRule type="duplicateValues" dxfId="2104" priority="2127"/>
    <cfRule type="duplicateValues" dxfId="2103" priority="2128"/>
    <cfRule type="duplicateValues" dxfId="2102" priority="2129"/>
    <cfRule type="duplicateValues" dxfId="2101" priority="2130"/>
    <cfRule type="duplicateValues" dxfId="2100" priority="2131"/>
    <cfRule type="duplicateValues" dxfId="2099" priority="2132"/>
    <cfRule type="duplicateValues" dxfId="2098" priority="2133"/>
    <cfRule type="duplicateValues" dxfId="2097" priority="2134"/>
    <cfRule type="duplicateValues" dxfId="2096" priority="2135"/>
    <cfRule type="duplicateValues" dxfId="2095" priority="2136"/>
    <cfRule type="duplicateValues" dxfId="2094" priority="2137"/>
    <cfRule type="duplicateValues" dxfId="2093" priority="2138"/>
    <cfRule type="duplicateValues" dxfId="2092" priority="2139"/>
  </conditionalFormatting>
  <conditionalFormatting sqref="J11">
    <cfRule type="duplicateValues" dxfId="2091" priority="2063"/>
  </conditionalFormatting>
  <conditionalFormatting sqref="J11">
    <cfRule type="duplicateValues" dxfId="2090" priority="2061"/>
    <cfRule type="duplicateValues" dxfId="2089" priority="2062"/>
  </conditionalFormatting>
  <conditionalFormatting sqref="J11">
    <cfRule type="duplicateValues" dxfId="2088" priority="2055"/>
    <cfRule type="duplicateValues" dxfId="2087" priority="2056"/>
    <cfRule type="duplicateValues" dxfId="2086" priority="2057"/>
    <cfRule type="duplicateValues" dxfId="2085" priority="2058"/>
    <cfRule type="duplicateValues" dxfId="2084" priority="2059"/>
    <cfRule type="duplicateValues" dxfId="2083" priority="2060"/>
  </conditionalFormatting>
  <conditionalFormatting sqref="J11">
    <cfRule type="duplicateValues" dxfId="2082" priority="2050"/>
    <cfRule type="duplicateValues" dxfId="2081" priority="2051"/>
    <cfRule type="duplicateValues" dxfId="2080" priority="2052"/>
    <cfRule type="duplicateValues" dxfId="2079" priority="2053"/>
    <cfRule type="duplicateValues" dxfId="2078" priority="2054"/>
  </conditionalFormatting>
  <conditionalFormatting sqref="J11">
    <cfRule type="duplicateValues" dxfId="2077" priority="2064"/>
    <cfRule type="duplicateValues" dxfId="2076" priority="2065"/>
    <cfRule type="duplicateValues" dxfId="2075" priority="2066"/>
    <cfRule type="duplicateValues" dxfId="2074" priority="2067"/>
    <cfRule type="duplicateValues" dxfId="2073" priority="2068"/>
    <cfRule type="duplicateValues" dxfId="2072" priority="2069"/>
    <cfRule type="duplicateValues" dxfId="2071" priority="2070"/>
    <cfRule type="duplicateValues" dxfId="2070" priority="2071"/>
    <cfRule type="duplicateValues" dxfId="2069" priority="2072"/>
    <cfRule type="duplicateValues" dxfId="2068" priority="2073"/>
    <cfRule type="duplicateValues" dxfId="2067" priority="2074"/>
    <cfRule type="duplicateValues" dxfId="2066" priority="2075"/>
    <cfRule type="duplicateValues" dxfId="2065" priority="2076"/>
    <cfRule type="duplicateValues" dxfId="2064" priority="2077"/>
    <cfRule type="duplicateValues" dxfId="2063" priority="2078"/>
    <cfRule type="duplicateValues" dxfId="2062" priority="2079"/>
    <cfRule type="duplicateValues" dxfId="2061" priority="2080"/>
    <cfRule type="duplicateValues" dxfId="2060" priority="2081"/>
    <cfRule type="duplicateValues" dxfId="2059" priority="2082"/>
    <cfRule type="duplicateValues" dxfId="2058" priority="2083"/>
    <cfRule type="duplicateValues" dxfId="2057" priority="2084"/>
    <cfRule type="duplicateValues" dxfId="2056" priority="2085"/>
    <cfRule type="duplicateValues" dxfId="2055" priority="2086"/>
    <cfRule type="duplicateValues" dxfId="2054" priority="2087"/>
    <cfRule type="duplicateValues" dxfId="2053" priority="2088"/>
    <cfRule type="duplicateValues" dxfId="2052" priority="2089"/>
    <cfRule type="duplicateValues" dxfId="2051" priority="2090"/>
    <cfRule type="duplicateValues" dxfId="2050" priority="2091"/>
  </conditionalFormatting>
  <conditionalFormatting sqref="J11">
    <cfRule type="duplicateValues" dxfId="2049" priority="2021"/>
  </conditionalFormatting>
  <conditionalFormatting sqref="J11">
    <cfRule type="duplicateValues" dxfId="2048" priority="2019"/>
    <cfRule type="duplicateValues" dxfId="2047" priority="2020"/>
  </conditionalFormatting>
  <conditionalFormatting sqref="J11">
    <cfRule type="duplicateValues" dxfId="2046" priority="2013"/>
    <cfRule type="duplicateValues" dxfId="2045" priority="2014"/>
    <cfRule type="duplicateValues" dxfId="2044" priority="2015"/>
    <cfRule type="duplicateValues" dxfId="2043" priority="2016"/>
    <cfRule type="duplicateValues" dxfId="2042" priority="2017"/>
    <cfRule type="duplicateValues" dxfId="2041" priority="2018"/>
  </conditionalFormatting>
  <conditionalFormatting sqref="J11">
    <cfRule type="duplicateValues" dxfId="2040" priority="2008"/>
    <cfRule type="duplicateValues" dxfId="2039" priority="2009"/>
    <cfRule type="duplicateValues" dxfId="2038" priority="2010"/>
    <cfRule type="duplicateValues" dxfId="2037" priority="2011"/>
    <cfRule type="duplicateValues" dxfId="2036" priority="2012"/>
  </conditionalFormatting>
  <conditionalFormatting sqref="J11">
    <cfRule type="duplicateValues" dxfId="2035" priority="2022"/>
    <cfRule type="duplicateValues" dxfId="2034" priority="2023"/>
    <cfRule type="duplicateValues" dxfId="2033" priority="2024"/>
    <cfRule type="duplicateValues" dxfId="2032" priority="2025"/>
    <cfRule type="duplicateValues" dxfId="2031" priority="2026"/>
    <cfRule type="duplicateValues" dxfId="2030" priority="2027"/>
    <cfRule type="duplicateValues" dxfId="2029" priority="2028"/>
    <cfRule type="duplicateValues" dxfId="2028" priority="2029"/>
    <cfRule type="duplicateValues" dxfId="2027" priority="2030"/>
    <cfRule type="duplicateValues" dxfId="2026" priority="2031"/>
    <cfRule type="duplicateValues" dxfId="2025" priority="2032"/>
    <cfRule type="duplicateValues" dxfId="2024" priority="2033"/>
    <cfRule type="duplicateValues" dxfId="2023" priority="2034"/>
    <cfRule type="duplicateValues" dxfId="2022" priority="2035"/>
    <cfRule type="duplicateValues" dxfId="2021" priority="2036"/>
    <cfRule type="duplicateValues" dxfId="2020" priority="2037"/>
    <cfRule type="duplicateValues" dxfId="2019" priority="2038"/>
    <cfRule type="duplicateValues" dxfId="2018" priority="2039"/>
    <cfRule type="duplicateValues" dxfId="2017" priority="2040"/>
    <cfRule type="duplicateValues" dxfId="2016" priority="2041"/>
    <cfRule type="duplicateValues" dxfId="2015" priority="2042"/>
    <cfRule type="duplicateValues" dxfId="2014" priority="2043"/>
    <cfRule type="duplicateValues" dxfId="2013" priority="2044"/>
    <cfRule type="duplicateValues" dxfId="2012" priority="2045"/>
    <cfRule type="duplicateValues" dxfId="2011" priority="2046"/>
    <cfRule type="duplicateValues" dxfId="2010" priority="2047"/>
    <cfRule type="duplicateValues" dxfId="2009" priority="2048"/>
    <cfRule type="duplicateValues" dxfId="2008" priority="2049"/>
  </conditionalFormatting>
  <conditionalFormatting sqref="J9">
    <cfRule type="duplicateValues" dxfId="2007" priority="2007"/>
  </conditionalFormatting>
  <conditionalFormatting sqref="J9">
    <cfRule type="duplicateValues" dxfId="2006" priority="2005"/>
    <cfRule type="duplicateValues" dxfId="2005" priority="2006"/>
  </conditionalFormatting>
  <conditionalFormatting sqref="J9">
    <cfRule type="duplicateValues" dxfId="2004" priority="1999"/>
    <cfRule type="duplicateValues" dxfId="2003" priority="2000"/>
    <cfRule type="duplicateValues" dxfId="2002" priority="2001"/>
    <cfRule type="duplicateValues" dxfId="2001" priority="2002"/>
    <cfRule type="duplicateValues" dxfId="2000" priority="2003"/>
    <cfRule type="duplicateValues" dxfId="1999" priority="2004"/>
  </conditionalFormatting>
  <conditionalFormatting sqref="J9">
    <cfRule type="duplicateValues" dxfId="1998" priority="1994"/>
    <cfRule type="duplicateValues" dxfId="1997" priority="1995"/>
    <cfRule type="duplicateValues" dxfId="1996" priority="1996"/>
    <cfRule type="duplicateValues" dxfId="1995" priority="1997"/>
    <cfRule type="duplicateValues" dxfId="1994" priority="1998"/>
  </conditionalFormatting>
  <conditionalFormatting sqref="J9">
    <cfRule type="duplicateValues" dxfId="1993" priority="1966"/>
    <cfRule type="duplicateValues" dxfId="1992" priority="1967"/>
    <cfRule type="duplicateValues" dxfId="1991" priority="1968"/>
    <cfRule type="duplicateValues" dxfId="1990" priority="1969"/>
    <cfRule type="duplicateValues" dxfId="1989" priority="1970"/>
    <cfRule type="duplicateValues" dxfId="1988" priority="1971"/>
    <cfRule type="duplicateValues" dxfId="1987" priority="1972"/>
    <cfRule type="duplicateValues" dxfId="1986" priority="1973"/>
    <cfRule type="duplicateValues" dxfId="1985" priority="1974"/>
    <cfRule type="duplicateValues" dxfId="1984" priority="1975"/>
    <cfRule type="duplicateValues" dxfId="1983" priority="1976"/>
    <cfRule type="duplicateValues" dxfId="1982" priority="1977"/>
    <cfRule type="duplicateValues" dxfId="1981" priority="1978"/>
    <cfRule type="duplicateValues" dxfId="1980" priority="1979"/>
    <cfRule type="duplicateValues" dxfId="1979" priority="1980"/>
    <cfRule type="duplicateValues" dxfId="1978" priority="1981"/>
    <cfRule type="duplicateValues" dxfId="1977" priority="1982"/>
    <cfRule type="duplicateValues" dxfId="1976" priority="1983"/>
    <cfRule type="duplicateValues" dxfId="1975" priority="1984"/>
    <cfRule type="duplicateValues" dxfId="1974" priority="1985"/>
    <cfRule type="duplicateValues" dxfId="1973" priority="1986"/>
    <cfRule type="duplicateValues" dxfId="1972" priority="1987"/>
    <cfRule type="duplicateValues" dxfId="1971" priority="1988"/>
    <cfRule type="duplicateValues" dxfId="1970" priority="1989"/>
    <cfRule type="duplicateValues" dxfId="1969" priority="1990"/>
    <cfRule type="duplicateValues" dxfId="1968" priority="1991"/>
    <cfRule type="duplicateValues" dxfId="1967" priority="1992"/>
    <cfRule type="duplicateValues" dxfId="1966" priority="1993"/>
  </conditionalFormatting>
  <conditionalFormatting sqref="J9">
    <cfRule type="duplicateValues" dxfId="1965" priority="1965"/>
  </conditionalFormatting>
  <conditionalFormatting sqref="J9">
    <cfRule type="duplicateValues" dxfId="1964" priority="1963"/>
    <cfRule type="duplicateValues" dxfId="1963" priority="1964"/>
  </conditionalFormatting>
  <conditionalFormatting sqref="J9">
    <cfRule type="duplicateValues" dxfId="1962" priority="1957"/>
    <cfRule type="duplicateValues" dxfId="1961" priority="1958"/>
    <cfRule type="duplicateValues" dxfId="1960" priority="1959"/>
    <cfRule type="duplicateValues" dxfId="1959" priority="1960"/>
    <cfRule type="duplicateValues" dxfId="1958" priority="1961"/>
    <cfRule type="duplicateValues" dxfId="1957" priority="1962"/>
  </conditionalFormatting>
  <conditionalFormatting sqref="J9">
    <cfRule type="duplicateValues" dxfId="1956" priority="1952"/>
    <cfRule type="duplicateValues" dxfId="1955" priority="1953"/>
    <cfRule type="duplicateValues" dxfId="1954" priority="1954"/>
    <cfRule type="duplicateValues" dxfId="1953" priority="1955"/>
    <cfRule type="duplicateValues" dxfId="1952" priority="1956"/>
  </conditionalFormatting>
  <conditionalFormatting sqref="J9">
    <cfRule type="duplicateValues" dxfId="1951" priority="1924"/>
    <cfRule type="duplicateValues" dxfId="1950" priority="1925"/>
    <cfRule type="duplicateValues" dxfId="1949" priority="1926"/>
    <cfRule type="duplicateValues" dxfId="1948" priority="1927"/>
    <cfRule type="duplicateValues" dxfId="1947" priority="1928"/>
    <cfRule type="duplicateValues" dxfId="1946" priority="1929"/>
    <cfRule type="duplicateValues" dxfId="1945" priority="1930"/>
    <cfRule type="duplicateValues" dxfId="1944" priority="1931"/>
    <cfRule type="duplicateValues" dxfId="1943" priority="1932"/>
    <cfRule type="duplicateValues" dxfId="1942" priority="1933"/>
    <cfRule type="duplicateValues" dxfId="1941" priority="1934"/>
    <cfRule type="duplicateValues" dxfId="1940" priority="1935"/>
    <cfRule type="duplicateValues" dxfId="1939" priority="1936"/>
    <cfRule type="duplicateValues" dxfId="1938" priority="1937"/>
    <cfRule type="duplicateValues" dxfId="1937" priority="1938"/>
    <cfRule type="duplicateValues" dxfId="1936" priority="1939"/>
    <cfRule type="duplicateValues" dxfId="1935" priority="1940"/>
    <cfRule type="duplicateValues" dxfId="1934" priority="1941"/>
    <cfRule type="duplicateValues" dxfId="1933" priority="1942"/>
    <cfRule type="duplicateValues" dxfId="1932" priority="1943"/>
    <cfRule type="duplicateValues" dxfId="1931" priority="1944"/>
    <cfRule type="duplicateValues" dxfId="1930" priority="1945"/>
    <cfRule type="duplicateValues" dxfId="1929" priority="1946"/>
    <cfRule type="duplicateValues" dxfId="1928" priority="1947"/>
    <cfRule type="duplicateValues" dxfId="1927" priority="1948"/>
    <cfRule type="duplicateValues" dxfId="1926" priority="1949"/>
    <cfRule type="duplicateValues" dxfId="1925" priority="1950"/>
    <cfRule type="duplicateValues" dxfId="1924" priority="1951"/>
  </conditionalFormatting>
  <conditionalFormatting sqref="J10">
    <cfRule type="duplicateValues" dxfId="1923" priority="1889"/>
  </conditionalFormatting>
  <conditionalFormatting sqref="J10">
    <cfRule type="duplicateValues" dxfId="1922" priority="1887"/>
    <cfRule type="duplicateValues" dxfId="1921" priority="1888"/>
  </conditionalFormatting>
  <conditionalFormatting sqref="J10">
    <cfRule type="duplicateValues" dxfId="1920" priority="1893"/>
  </conditionalFormatting>
  <conditionalFormatting sqref="J10">
    <cfRule type="duplicateValues" dxfId="1919" priority="1894"/>
    <cfRule type="duplicateValues" dxfId="1918" priority="1895"/>
  </conditionalFormatting>
  <conditionalFormatting sqref="J10">
    <cfRule type="duplicateValues" dxfId="1917" priority="1891"/>
  </conditionalFormatting>
  <conditionalFormatting sqref="J10">
    <cfRule type="duplicateValues" dxfId="1916" priority="1892"/>
  </conditionalFormatting>
  <conditionalFormatting sqref="J10">
    <cfRule type="duplicateValues" dxfId="1915" priority="1890"/>
  </conditionalFormatting>
  <conditionalFormatting sqref="J10">
    <cfRule type="duplicateValues" dxfId="1914" priority="1881"/>
    <cfRule type="duplicateValues" dxfId="1913" priority="1882"/>
    <cfRule type="duplicateValues" dxfId="1912" priority="1883"/>
    <cfRule type="duplicateValues" dxfId="1911" priority="1884"/>
    <cfRule type="duplicateValues" dxfId="1910" priority="1885"/>
    <cfRule type="duplicateValues" dxfId="1909" priority="1886"/>
  </conditionalFormatting>
  <conditionalFormatting sqref="J10">
    <cfRule type="duplicateValues" dxfId="1908" priority="1876"/>
    <cfRule type="duplicateValues" dxfId="1907" priority="1877"/>
    <cfRule type="duplicateValues" dxfId="1906" priority="1878"/>
    <cfRule type="duplicateValues" dxfId="1905" priority="1879"/>
    <cfRule type="duplicateValues" dxfId="1904" priority="1880"/>
  </conditionalFormatting>
  <conditionalFormatting sqref="J10">
    <cfRule type="duplicateValues" dxfId="1903" priority="1896"/>
    <cfRule type="duplicateValues" dxfId="1902" priority="1897"/>
    <cfRule type="duplicateValues" dxfId="1901" priority="1898"/>
    <cfRule type="duplicateValues" dxfId="1900" priority="1899"/>
    <cfRule type="duplicateValues" dxfId="1899" priority="1900"/>
    <cfRule type="duplicateValues" dxfId="1898" priority="1901"/>
    <cfRule type="duplicateValues" dxfId="1897" priority="1902"/>
    <cfRule type="duplicateValues" dxfId="1896" priority="1903"/>
    <cfRule type="duplicateValues" dxfId="1895" priority="1904"/>
    <cfRule type="duplicateValues" dxfId="1894" priority="1905"/>
    <cfRule type="duplicateValues" dxfId="1893" priority="1906"/>
    <cfRule type="duplicateValues" dxfId="1892" priority="1907"/>
    <cfRule type="duplicateValues" dxfId="1891" priority="1908"/>
    <cfRule type="duplicateValues" dxfId="1890" priority="1909"/>
    <cfRule type="duplicateValues" dxfId="1889" priority="1910"/>
    <cfRule type="duplicateValues" dxfId="1888" priority="1911"/>
    <cfRule type="duplicateValues" dxfId="1887" priority="1912"/>
    <cfRule type="duplicateValues" dxfId="1886" priority="1913"/>
    <cfRule type="duplicateValues" dxfId="1885" priority="1914"/>
    <cfRule type="duplicateValues" dxfId="1884" priority="1915"/>
    <cfRule type="duplicateValues" dxfId="1883" priority="1916"/>
    <cfRule type="duplicateValues" dxfId="1882" priority="1917"/>
    <cfRule type="duplicateValues" dxfId="1881" priority="1918"/>
    <cfRule type="duplicateValues" dxfId="1880" priority="1919"/>
    <cfRule type="duplicateValues" dxfId="1879" priority="1920"/>
    <cfRule type="duplicateValues" dxfId="1878" priority="1921"/>
    <cfRule type="duplicateValues" dxfId="1877" priority="1922"/>
    <cfRule type="duplicateValues" dxfId="1876" priority="1923"/>
  </conditionalFormatting>
  <conditionalFormatting sqref="J10">
    <cfRule type="duplicateValues" dxfId="1875" priority="1841"/>
  </conditionalFormatting>
  <conditionalFormatting sqref="J10">
    <cfRule type="duplicateValues" dxfId="1874" priority="1839"/>
    <cfRule type="duplicateValues" dxfId="1873" priority="1840"/>
  </conditionalFormatting>
  <conditionalFormatting sqref="J10">
    <cfRule type="duplicateValues" dxfId="1872" priority="1845"/>
  </conditionalFormatting>
  <conditionalFormatting sqref="J10">
    <cfRule type="duplicateValues" dxfId="1871" priority="1846"/>
    <cfRule type="duplicateValues" dxfId="1870" priority="1847"/>
  </conditionalFormatting>
  <conditionalFormatting sqref="J10">
    <cfRule type="duplicateValues" dxfId="1869" priority="1843"/>
  </conditionalFormatting>
  <conditionalFormatting sqref="J10">
    <cfRule type="duplicateValues" dxfId="1868" priority="1844"/>
  </conditionalFormatting>
  <conditionalFormatting sqref="J10">
    <cfRule type="duplicateValues" dxfId="1867" priority="1842"/>
  </conditionalFormatting>
  <conditionalFormatting sqref="J10">
    <cfRule type="duplicateValues" dxfId="1866" priority="1833"/>
    <cfRule type="duplicateValues" dxfId="1865" priority="1834"/>
    <cfRule type="duplicateValues" dxfId="1864" priority="1835"/>
    <cfRule type="duplicateValues" dxfId="1863" priority="1836"/>
    <cfRule type="duplicateValues" dxfId="1862" priority="1837"/>
    <cfRule type="duplicateValues" dxfId="1861" priority="1838"/>
  </conditionalFormatting>
  <conditionalFormatting sqref="J10">
    <cfRule type="duplicateValues" dxfId="1860" priority="1828"/>
    <cfRule type="duplicateValues" dxfId="1859" priority="1829"/>
    <cfRule type="duplicateValues" dxfId="1858" priority="1830"/>
    <cfRule type="duplicateValues" dxfId="1857" priority="1831"/>
    <cfRule type="duplicateValues" dxfId="1856" priority="1832"/>
  </conditionalFormatting>
  <conditionalFormatting sqref="J10">
    <cfRule type="duplicateValues" dxfId="1855" priority="1848"/>
    <cfRule type="duplicateValues" dxfId="1854" priority="1849"/>
    <cfRule type="duplicateValues" dxfId="1853" priority="1850"/>
    <cfRule type="duplicateValues" dxfId="1852" priority="1851"/>
    <cfRule type="duplicateValues" dxfId="1851" priority="1852"/>
    <cfRule type="duplicateValues" dxfId="1850" priority="1853"/>
    <cfRule type="duplicateValues" dxfId="1849" priority="1854"/>
    <cfRule type="duplicateValues" dxfId="1848" priority="1855"/>
    <cfRule type="duplicateValues" dxfId="1847" priority="1856"/>
    <cfRule type="duplicateValues" dxfId="1846" priority="1857"/>
    <cfRule type="duplicateValues" dxfId="1845" priority="1858"/>
    <cfRule type="duplicateValues" dxfId="1844" priority="1859"/>
    <cfRule type="duplicateValues" dxfId="1843" priority="1860"/>
    <cfRule type="duplicateValues" dxfId="1842" priority="1861"/>
    <cfRule type="duplicateValues" dxfId="1841" priority="1862"/>
    <cfRule type="duplicateValues" dxfId="1840" priority="1863"/>
    <cfRule type="duplicateValues" dxfId="1839" priority="1864"/>
    <cfRule type="duplicateValues" dxfId="1838" priority="1865"/>
    <cfRule type="duplicateValues" dxfId="1837" priority="1866"/>
    <cfRule type="duplicateValues" dxfId="1836" priority="1867"/>
    <cfRule type="duplicateValues" dxfId="1835" priority="1868"/>
    <cfRule type="duplicateValues" dxfId="1834" priority="1869"/>
    <cfRule type="duplicateValues" dxfId="1833" priority="1870"/>
    <cfRule type="duplicateValues" dxfId="1832" priority="1871"/>
    <cfRule type="duplicateValues" dxfId="1831" priority="1872"/>
    <cfRule type="duplicateValues" dxfId="1830" priority="1873"/>
    <cfRule type="duplicateValues" dxfId="1829" priority="1874"/>
    <cfRule type="duplicateValues" dxfId="1828" priority="1875"/>
  </conditionalFormatting>
  <conditionalFormatting sqref="J9">
    <cfRule type="duplicateValues" dxfId="1827" priority="1827"/>
  </conditionalFormatting>
  <conditionalFormatting sqref="J9">
    <cfRule type="duplicateValues" dxfId="1826" priority="1825"/>
    <cfRule type="duplicateValues" dxfId="1825" priority="1826"/>
  </conditionalFormatting>
  <conditionalFormatting sqref="J9">
    <cfRule type="duplicateValues" dxfId="1824" priority="1824"/>
  </conditionalFormatting>
  <conditionalFormatting sqref="J9">
    <cfRule type="duplicateValues" dxfId="1823" priority="1822"/>
    <cfRule type="duplicateValues" dxfId="1822" priority="1823"/>
  </conditionalFormatting>
  <conditionalFormatting sqref="J9">
    <cfRule type="duplicateValues" dxfId="1821" priority="1821"/>
  </conditionalFormatting>
  <conditionalFormatting sqref="J9">
    <cfRule type="duplicateValues" dxfId="1820" priority="1820"/>
  </conditionalFormatting>
  <conditionalFormatting sqref="J9">
    <cfRule type="duplicateValues" dxfId="1819" priority="1819"/>
  </conditionalFormatting>
  <conditionalFormatting sqref="J9">
    <cfRule type="duplicateValues" dxfId="1818" priority="1813"/>
    <cfRule type="duplicateValues" dxfId="1817" priority="1814"/>
    <cfRule type="duplicateValues" dxfId="1816" priority="1815"/>
    <cfRule type="duplicateValues" dxfId="1815" priority="1816"/>
    <cfRule type="duplicateValues" dxfId="1814" priority="1817"/>
    <cfRule type="duplicateValues" dxfId="1813" priority="1818"/>
  </conditionalFormatting>
  <conditionalFormatting sqref="J9">
    <cfRule type="duplicateValues" dxfId="1812" priority="1808"/>
    <cfRule type="duplicateValues" dxfId="1811" priority="1809"/>
    <cfRule type="duplicateValues" dxfId="1810" priority="1810"/>
    <cfRule type="duplicateValues" dxfId="1809" priority="1811"/>
    <cfRule type="duplicateValues" dxfId="1808" priority="1812"/>
  </conditionalFormatting>
  <conditionalFormatting sqref="J9">
    <cfRule type="duplicateValues" dxfId="1807" priority="1780"/>
    <cfRule type="duplicateValues" dxfId="1806" priority="1781"/>
    <cfRule type="duplicateValues" dxfId="1805" priority="1782"/>
    <cfRule type="duplicateValues" dxfId="1804" priority="1783"/>
    <cfRule type="duplicateValues" dxfId="1803" priority="1784"/>
    <cfRule type="duplicateValues" dxfId="1802" priority="1785"/>
    <cfRule type="duplicateValues" dxfId="1801" priority="1786"/>
    <cfRule type="duplicateValues" dxfId="1800" priority="1787"/>
    <cfRule type="duplicateValues" dxfId="1799" priority="1788"/>
    <cfRule type="duplicateValues" dxfId="1798" priority="1789"/>
    <cfRule type="duplicateValues" dxfId="1797" priority="1790"/>
    <cfRule type="duplicateValues" dxfId="1796" priority="1791"/>
    <cfRule type="duplicateValues" dxfId="1795" priority="1792"/>
    <cfRule type="duplicateValues" dxfId="1794" priority="1793"/>
    <cfRule type="duplicateValues" dxfId="1793" priority="1794"/>
    <cfRule type="duplicateValues" dxfId="1792" priority="1795"/>
    <cfRule type="duplicateValues" dxfId="1791" priority="1796"/>
    <cfRule type="duplicateValues" dxfId="1790" priority="1797"/>
    <cfRule type="duplicateValues" dxfId="1789" priority="1798"/>
    <cfRule type="duplicateValues" dxfId="1788" priority="1799"/>
    <cfRule type="duplicateValues" dxfId="1787" priority="1800"/>
    <cfRule type="duplicateValues" dxfId="1786" priority="1801"/>
    <cfRule type="duplicateValues" dxfId="1785" priority="1802"/>
    <cfRule type="duplicateValues" dxfId="1784" priority="1803"/>
    <cfRule type="duplicateValues" dxfId="1783" priority="1804"/>
    <cfRule type="duplicateValues" dxfId="1782" priority="1805"/>
    <cfRule type="duplicateValues" dxfId="1781" priority="1806"/>
    <cfRule type="duplicateValues" dxfId="1780" priority="1807"/>
  </conditionalFormatting>
  <conditionalFormatting sqref="J9">
    <cfRule type="duplicateValues" dxfId="1779" priority="1779"/>
  </conditionalFormatting>
  <conditionalFormatting sqref="J9">
    <cfRule type="duplicateValues" dxfId="1778" priority="1777"/>
    <cfRule type="duplicateValues" dxfId="1777" priority="1778"/>
  </conditionalFormatting>
  <conditionalFormatting sqref="J9">
    <cfRule type="duplicateValues" dxfId="1776" priority="1771"/>
    <cfRule type="duplicateValues" dxfId="1775" priority="1772"/>
    <cfRule type="duplicateValues" dxfId="1774" priority="1773"/>
    <cfRule type="duplicateValues" dxfId="1773" priority="1774"/>
    <cfRule type="duplicateValues" dxfId="1772" priority="1775"/>
    <cfRule type="duplicateValues" dxfId="1771" priority="1776"/>
  </conditionalFormatting>
  <conditionalFormatting sqref="J9">
    <cfRule type="duplicateValues" dxfId="1770" priority="1766"/>
    <cfRule type="duplicateValues" dxfId="1769" priority="1767"/>
    <cfRule type="duplicateValues" dxfId="1768" priority="1768"/>
    <cfRule type="duplicateValues" dxfId="1767" priority="1769"/>
    <cfRule type="duplicateValues" dxfId="1766" priority="1770"/>
  </conditionalFormatting>
  <conditionalFormatting sqref="J9">
    <cfRule type="duplicateValues" dxfId="1765" priority="1738"/>
    <cfRule type="duplicateValues" dxfId="1764" priority="1739"/>
    <cfRule type="duplicateValues" dxfId="1763" priority="1740"/>
    <cfRule type="duplicateValues" dxfId="1762" priority="1741"/>
    <cfRule type="duplicateValues" dxfId="1761" priority="1742"/>
    <cfRule type="duplicateValues" dxfId="1760" priority="1743"/>
    <cfRule type="duplicateValues" dxfId="1759" priority="1744"/>
    <cfRule type="duplicateValues" dxfId="1758" priority="1745"/>
    <cfRule type="duplicateValues" dxfId="1757" priority="1746"/>
    <cfRule type="duplicateValues" dxfId="1756" priority="1747"/>
    <cfRule type="duplicateValues" dxfId="1755" priority="1748"/>
    <cfRule type="duplicateValues" dxfId="1754" priority="1749"/>
    <cfRule type="duplicateValues" dxfId="1753" priority="1750"/>
    <cfRule type="duplicateValues" dxfId="1752" priority="1751"/>
    <cfRule type="duplicateValues" dxfId="1751" priority="1752"/>
    <cfRule type="duplicateValues" dxfId="1750" priority="1753"/>
    <cfRule type="duplicateValues" dxfId="1749" priority="1754"/>
    <cfRule type="duplicateValues" dxfId="1748" priority="1755"/>
    <cfRule type="duplicateValues" dxfId="1747" priority="1756"/>
    <cfRule type="duplicateValues" dxfId="1746" priority="1757"/>
    <cfRule type="duplicateValues" dxfId="1745" priority="1758"/>
    <cfRule type="duplicateValues" dxfId="1744" priority="1759"/>
    <cfRule type="duplicateValues" dxfId="1743" priority="1760"/>
    <cfRule type="duplicateValues" dxfId="1742" priority="1761"/>
    <cfRule type="duplicateValues" dxfId="1741" priority="1762"/>
    <cfRule type="duplicateValues" dxfId="1740" priority="1763"/>
    <cfRule type="duplicateValues" dxfId="1739" priority="1764"/>
    <cfRule type="duplicateValues" dxfId="1738" priority="1765"/>
  </conditionalFormatting>
  <conditionalFormatting sqref="J9">
    <cfRule type="duplicateValues" dxfId="1737" priority="1737"/>
  </conditionalFormatting>
  <conditionalFormatting sqref="J9">
    <cfRule type="duplicateValues" dxfId="1736" priority="1735"/>
    <cfRule type="duplicateValues" dxfId="1735" priority="1736"/>
  </conditionalFormatting>
  <conditionalFormatting sqref="J9">
    <cfRule type="duplicateValues" dxfId="1734" priority="1729"/>
    <cfRule type="duplicateValues" dxfId="1733" priority="1730"/>
    <cfRule type="duplicateValues" dxfId="1732" priority="1731"/>
    <cfRule type="duplicateValues" dxfId="1731" priority="1732"/>
    <cfRule type="duplicateValues" dxfId="1730" priority="1733"/>
    <cfRule type="duplicateValues" dxfId="1729" priority="1734"/>
  </conditionalFormatting>
  <conditionalFormatting sqref="J9">
    <cfRule type="duplicateValues" dxfId="1728" priority="1724"/>
    <cfRule type="duplicateValues" dxfId="1727" priority="1725"/>
    <cfRule type="duplicateValues" dxfId="1726" priority="1726"/>
    <cfRule type="duplicateValues" dxfId="1725" priority="1727"/>
    <cfRule type="duplicateValues" dxfId="1724" priority="1728"/>
  </conditionalFormatting>
  <conditionalFormatting sqref="J9">
    <cfRule type="duplicateValues" dxfId="1723" priority="1696"/>
    <cfRule type="duplicateValues" dxfId="1722" priority="1697"/>
    <cfRule type="duplicateValues" dxfId="1721" priority="1698"/>
    <cfRule type="duplicateValues" dxfId="1720" priority="1699"/>
    <cfRule type="duplicateValues" dxfId="1719" priority="1700"/>
    <cfRule type="duplicateValues" dxfId="1718" priority="1701"/>
    <cfRule type="duplicateValues" dxfId="1717" priority="1702"/>
    <cfRule type="duplicateValues" dxfId="1716" priority="1703"/>
    <cfRule type="duplicateValues" dxfId="1715" priority="1704"/>
    <cfRule type="duplicateValues" dxfId="1714" priority="1705"/>
    <cfRule type="duplicateValues" dxfId="1713" priority="1706"/>
    <cfRule type="duplicateValues" dxfId="1712" priority="1707"/>
    <cfRule type="duplicateValues" dxfId="1711" priority="1708"/>
    <cfRule type="duplicateValues" dxfId="1710" priority="1709"/>
    <cfRule type="duplicateValues" dxfId="1709" priority="1710"/>
    <cfRule type="duplicateValues" dxfId="1708" priority="1711"/>
    <cfRule type="duplicateValues" dxfId="1707" priority="1712"/>
    <cfRule type="duplicateValues" dxfId="1706" priority="1713"/>
    <cfRule type="duplicateValues" dxfId="1705" priority="1714"/>
    <cfRule type="duplicateValues" dxfId="1704" priority="1715"/>
    <cfRule type="duplicateValues" dxfId="1703" priority="1716"/>
    <cfRule type="duplicateValues" dxfId="1702" priority="1717"/>
    <cfRule type="duplicateValues" dxfId="1701" priority="1718"/>
    <cfRule type="duplicateValues" dxfId="1700" priority="1719"/>
    <cfRule type="duplicateValues" dxfId="1699" priority="1720"/>
    <cfRule type="duplicateValues" dxfId="1698" priority="1721"/>
    <cfRule type="duplicateValues" dxfId="1697" priority="1722"/>
    <cfRule type="duplicateValues" dxfId="1696" priority="1723"/>
  </conditionalFormatting>
  <conditionalFormatting sqref="J9">
    <cfRule type="duplicateValues" dxfId="1695" priority="1695"/>
  </conditionalFormatting>
  <conditionalFormatting sqref="J9">
    <cfRule type="duplicateValues" dxfId="1694" priority="1693"/>
    <cfRule type="duplicateValues" dxfId="1693" priority="1694"/>
  </conditionalFormatting>
  <conditionalFormatting sqref="J9">
    <cfRule type="duplicateValues" dxfId="1692" priority="1687"/>
    <cfRule type="duplicateValues" dxfId="1691" priority="1688"/>
    <cfRule type="duplicateValues" dxfId="1690" priority="1689"/>
    <cfRule type="duplicateValues" dxfId="1689" priority="1690"/>
    <cfRule type="duplicateValues" dxfId="1688" priority="1691"/>
    <cfRule type="duplicateValues" dxfId="1687" priority="1692"/>
  </conditionalFormatting>
  <conditionalFormatting sqref="J9">
    <cfRule type="duplicateValues" dxfId="1686" priority="1682"/>
    <cfRule type="duplicateValues" dxfId="1685" priority="1683"/>
    <cfRule type="duplicateValues" dxfId="1684" priority="1684"/>
    <cfRule type="duplicateValues" dxfId="1683" priority="1685"/>
    <cfRule type="duplicateValues" dxfId="1682" priority="1686"/>
  </conditionalFormatting>
  <conditionalFormatting sqref="J9">
    <cfRule type="duplicateValues" dxfId="1681" priority="1654"/>
    <cfRule type="duplicateValues" dxfId="1680" priority="1655"/>
    <cfRule type="duplicateValues" dxfId="1679" priority="1656"/>
    <cfRule type="duplicateValues" dxfId="1678" priority="1657"/>
    <cfRule type="duplicateValues" dxfId="1677" priority="1658"/>
    <cfRule type="duplicateValues" dxfId="1676" priority="1659"/>
    <cfRule type="duplicateValues" dxfId="1675" priority="1660"/>
    <cfRule type="duplicateValues" dxfId="1674" priority="1661"/>
    <cfRule type="duplicateValues" dxfId="1673" priority="1662"/>
    <cfRule type="duplicateValues" dxfId="1672" priority="1663"/>
    <cfRule type="duplicateValues" dxfId="1671" priority="1664"/>
    <cfRule type="duplicateValues" dxfId="1670" priority="1665"/>
    <cfRule type="duplicateValues" dxfId="1669" priority="1666"/>
    <cfRule type="duplicateValues" dxfId="1668" priority="1667"/>
    <cfRule type="duplicateValues" dxfId="1667" priority="1668"/>
    <cfRule type="duplicateValues" dxfId="1666" priority="1669"/>
    <cfRule type="duplicateValues" dxfId="1665" priority="1670"/>
    <cfRule type="duplicateValues" dxfId="1664" priority="1671"/>
    <cfRule type="duplicateValues" dxfId="1663" priority="1672"/>
    <cfRule type="duplicateValues" dxfId="1662" priority="1673"/>
    <cfRule type="duplicateValues" dxfId="1661" priority="1674"/>
    <cfRule type="duplicateValues" dxfId="1660" priority="1675"/>
    <cfRule type="duplicateValues" dxfId="1659" priority="1676"/>
    <cfRule type="duplicateValues" dxfId="1658" priority="1677"/>
    <cfRule type="duplicateValues" dxfId="1657" priority="1678"/>
    <cfRule type="duplicateValues" dxfId="1656" priority="1679"/>
    <cfRule type="duplicateValues" dxfId="1655" priority="1680"/>
    <cfRule type="duplicateValues" dxfId="1654" priority="1681"/>
  </conditionalFormatting>
  <conditionalFormatting sqref="J9">
    <cfRule type="duplicateValues" dxfId="1653" priority="1653"/>
  </conditionalFormatting>
  <conditionalFormatting sqref="J9">
    <cfRule type="duplicateValues" dxfId="1652" priority="1651"/>
    <cfRule type="duplicateValues" dxfId="1651" priority="1652"/>
  </conditionalFormatting>
  <conditionalFormatting sqref="J9">
    <cfRule type="duplicateValues" dxfId="1650" priority="1645"/>
    <cfRule type="duplicateValues" dxfId="1649" priority="1646"/>
    <cfRule type="duplicateValues" dxfId="1648" priority="1647"/>
    <cfRule type="duplicateValues" dxfId="1647" priority="1648"/>
    <cfRule type="duplicateValues" dxfId="1646" priority="1649"/>
    <cfRule type="duplicateValues" dxfId="1645" priority="1650"/>
  </conditionalFormatting>
  <conditionalFormatting sqref="J9">
    <cfRule type="duplicateValues" dxfId="1644" priority="1640"/>
    <cfRule type="duplicateValues" dxfId="1643" priority="1641"/>
    <cfRule type="duplicateValues" dxfId="1642" priority="1642"/>
    <cfRule type="duplicateValues" dxfId="1641" priority="1643"/>
    <cfRule type="duplicateValues" dxfId="1640" priority="1644"/>
  </conditionalFormatting>
  <conditionalFormatting sqref="J9">
    <cfRule type="duplicateValues" dxfId="1639" priority="1612"/>
    <cfRule type="duplicateValues" dxfId="1638" priority="1613"/>
    <cfRule type="duplicateValues" dxfId="1637" priority="1614"/>
    <cfRule type="duplicateValues" dxfId="1636" priority="1615"/>
    <cfRule type="duplicateValues" dxfId="1635" priority="1616"/>
    <cfRule type="duplicateValues" dxfId="1634" priority="1617"/>
    <cfRule type="duplicateValues" dxfId="1633" priority="1618"/>
    <cfRule type="duplicateValues" dxfId="1632" priority="1619"/>
    <cfRule type="duplicateValues" dxfId="1631" priority="1620"/>
    <cfRule type="duplicateValues" dxfId="1630" priority="1621"/>
    <cfRule type="duplicateValues" dxfId="1629" priority="1622"/>
    <cfRule type="duplicateValues" dxfId="1628" priority="1623"/>
    <cfRule type="duplicateValues" dxfId="1627" priority="1624"/>
    <cfRule type="duplicateValues" dxfId="1626" priority="1625"/>
    <cfRule type="duplicateValues" dxfId="1625" priority="1626"/>
    <cfRule type="duplicateValues" dxfId="1624" priority="1627"/>
    <cfRule type="duplicateValues" dxfId="1623" priority="1628"/>
    <cfRule type="duplicateValues" dxfId="1622" priority="1629"/>
    <cfRule type="duplicateValues" dxfId="1621" priority="1630"/>
    <cfRule type="duplicateValues" dxfId="1620" priority="1631"/>
    <cfRule type="duplicateValues" dxfId="1619" priority="1632"/>
    <cfRule type="duplicateValues" dxfId="1618" priority="1633"/>
    <cfRule type="duplicateValues" dxfId="1617" priority="1634"/>
    <cfRule type="duplicateValues" dxfId="1616" priority="1635"/>
    <cfRule type="duplicateValues" dxfId="1615" priority="1636"/>
    <cfRule type="duplicateValues" dxfId="1614" priority="1637"/>
    <cfRule type="duplicateValues" dxfId="1613" priority="1638"/>
    <cfRule type="duplicateValues" dxfId="1612" priority="1639"/>
  </conditionalFormatting>
  <conditionalFormatting sqref="J11">
    <cfRule type="duplicateValues" dxfId="1611" priority="1611"/>
  </conditionalFormatting>
  <conditionalFormatting sqref="J11">
    <cfRule type="duplicateValues" dxfId="1610" priority="1609"/>
    <cfRule type="duplicateValues" dxfId="1609" priority="1610"/>
  </conditionalFormatting>
  <conditionalFormatting sqref="J11">
    <cfRule type="duplicateValues" dxfId="1608" priority="1603"/>
    <cfRule type="duplicateValues" dxfId="1607" priority="1604"/>
    <cfRule type="duplicateValues" dxfId="1606" priority="1605"/>
    <cfRule type="duplicateValues" dxfId="1605" priority="1606"/>
    <cfRule type="duplicateValues" dxfId="1604" priority="1607"/>
    <cfRule type="duplicateValues" dxfId="1603" priority="1608"/>
  </conditionalFormatting>
  <conditionalFormatting sqref="J11">
    <cfRule type="duplicateValues" dxfId="1602" priority="1598"/>
    <cfRule type="duplicateValues" dxfId="1601" priority="1599"/>
    <cfRule type="duplicateValues" dxfId="1600" priority="1600"/>
    <cfRule type="duplicateValues" dxfId="1599" priority="1601"/>
    <cfRule type="duplicateValues" dxfId="1598" priority="1602"/>
  </conditionalFormatting>
  <conditionalFormatting sqref="J11">
    <cfRule type="duplicateValues" dxfId="1597" priority="1570"/>
    <cfRule type="duplicateValues" dxfId="1596" priority="1571"/>
    <cfRule type="duplicateValues" dxfId="1595" priority="1572"/>
    <cfRule type="duplicateValues" dxfId="1594" priority="1573"/>
    <cfRule type="duplicateValues" dxfId="1593" priority="1574"/>
    <cfRule type="duplicateValues" dxfId="1592" priority="1575"/>
    <cfRule type="duplicateValues" dxfId="1591" priority="1576"/>
    <cfRule type="duplicateValues" dxfId="1590" priority="1577"/>
    <cfRule type="duplicateValues" dxfId="1589" priority="1578"/>
    <cfRule type="duplicateValues" dxfId="1588" priority="1579"/>
    <cfRule type="duplicateValues" dxfId="1587" priority="1580"/>
    <cfRule type="duplicateValues" dxfId="1586" priority="1581"/>
    <cfRule type="duplicateValues" dxfId="1585" priority="1582"/>
    <cfRule type="duplicateValues" dxfId="1584" priority="1583"/>
    <cfRule type="duplicateValues" dxfId="1583" priority="1584"/>
    <cfRule type="duplicateValues" dxfId="1582" priority="1585"/>
    <cfRule type="duplicateValues" dxfId="1581" priority="1586"/>
    <cfRule type="duplicateValues" dxfId="1580" priority="1587"/>
    <cfRule type="duplicateValues" dxfId="1579" priority="1588"/>
    <cfRule type="duplicateValues" dxfId="1578" priority="1589"/>
    <cfRule type="duplicateValues" dxfId="1577" priority="1590"/>
    <cfRule type="duplicateValues" dxfId="1576" priority="1591"/>
    <cfRule type="duplicateValues" dxfId="1575" priority="1592"/>
    <cfRule type="duplicateValues" dxfId="1574" priority="1593"/>
    <cfRule type="duplicateValues" dxfId="1573" priority="1594"/>
    <cfRule type="duplicateValues" dxfId="1572" priority="1595"/>
    <cfRule type="duplicateValues" dxfId="1571" priority="1596"/>
    <cfRule type="duplicateValues" dxfId="1570" priority="1597"/>
  </conditionalFormatting>
  <conditionalFormatting sqref="J11">
    <cfRule type="duplicateValues" dxfId="1569" priority="1569"/>
  </conditionalFormatting>
  <conditionalFormatting sqref="J11">
    <cfRule type="duplicateValues" dxfId="1568" priority="1567"/>
    <cfRule type="duplicateValues" dxfId="1567" priority="1568"/>
  </conditionalFormatting>
  <conditionalFormatting sqref="J11">
    <cfRule type="duplicateValues" dxfId="1566" priority="1561"/>
    <cfRule type="duplicateValues" dxfId="1565" priority="1562"/>
    <cfRule type="duplicateValues" dxfId="1564" priority="1563"/>
    <cfRule type="duplicateValues" dxfId="1563" priority="1564"/>
    <cfRule type="duplicateValues" dxfId="1562" priority="1565"/>
    <cfRule type="duplicateValues" dxfId="1561" priority="1566"/>
  </conditionalFormatting>
  <conditionalFormatting sqref="J11">
    <cfRule type="duplicateValues" dxfId="1560" priority="1556"/>
    <cfRule type="duplicateValues" dxfId="1559" priority="1557"/>
    <cfRule type="duplicateValues" dxfId="1558" priority="1558"/>
    <cfRule type="duplicateValues" dxfId="1557" priority="1559"/>
    <cfRule type="duplicateValues" dxfId="1556" priority="1560"/>
  </conditionalFormatting>
  <conditionalFormatting sqref="J11">
    <cfRule type="duplicateValues" dxfId="1555" priority="1528"/>
    <cfRule type="duplicateValues" dxfId="1554" priority="1529"/>
    <cfRule type="duplicateValues" dxfId="1553" priority="1530"/>
    <cfRule type="duplicateValues" dxfId="1552" priority="1531"/>
    <cfRule type="duplicateValues" dxfId="1551" priority="1532"/>
    <cfRule type="duplicateValues" dxfId="1550" priority="1533"/>
    <cfRule type="duplicateValues" dxfId="1549" priority="1534"/>
    <cfRule type="duplicateValues" dxfId="1548" priority="1535"/>
    <cfRule type="duplicateValues" dxfId="1547" priority="1536"/>
    <cfRule type="duplicateValues" dxfId="1546" priority="1537"/>
    <cfRule type="duplicateValues" dxfId="1545" priority="1538"/>
    <cfRule type="duplicateValues" dxfId="1544" priority="1539"/>
    <cfRule type="duplicateValues" dxfId="1543" priority="1540"/>
    <cfRule type="duplicateValues" dxfId="1542" priority="1541"/>
    <cfRule type="duplicateValues" dxfId="1541" priority="1542"/>
    <cfRule type="duplicateValues" dxfId="1540" priority="1543"/>
    <cfRule type="duplicateValues" dxfId="1539" priority="1544"/>
    <cfRule type="duplicateValues" dxfId="1538" priority="1545"/>
    <cfRule type="duplicateValues" dxfId="1537" priority="1546"/>
    <cfRule type="duplicateValues" dxfId="1536" priority="1547"/>
    <cfRule type="duplicateValues" dxfId="1535" priority="1548"/>
    <cfRule type="duplicateValues" dxfId="1534" priority="1549"/>
    <cfRule type="duplicateValues" dxfId="1533" priority="1550"/>
    <cfRule type="duplicateValues" dxfId="1532" priority="1551"/>
    <cfRule type="duplicateValues" dxfId="1531" priority="1552"/>
    <cfRule type="duplicateValues" dxfId="1530" priority="1553"/>
    <cfRule type="duplicateValues" dxfId="1529" priority="1554"/>
    <cfRule type="duplicateValues" dxfId="1528" priority="1555"/>
  </conditionalFormatting>
  <conditionalFormatting sqref="J10">
    <cfRule type="duplicateValues" dxfId="1527" priority="1527"/>
  </conditionalFormatting>
  <conditionalFormatting sqref="J10">
    <cfRule type="duplicateValues" dxfId="1526" priority="1525"/>
    <cfRule type="duplicateValues" dxfId="1525" priority="1526"/>
  </conditionalFormatting>
  <conditionalFormatting sqref="J10">
    <cfRule type="duplicateValues" dxfId="1524" priority="1524"/>
  </conditionalFormatting>
  <conditionalFormatting sqref="J10">
    <cfRule type="duplicateValues" dxfId="1523" priority="1522"/>
    <cfRule type="duplicateValues" dxfId="1522" priority="1523"/>
  </conditionalFormatting>
  <conditionalFormatting sqref="J10">
    <cfRule type="duplicateValues" dxfId="1521" priority="1521"/>
  </conditionalFormatting>
  <conditionalFormatting sqref="J10">
    <cfRule type="duplicateValues" dxfId="1520" priority="1520"/>
  </conditionalFormatting>
  <conditionalFormatting sqref="J10">
    <cfRule type="duplicateValues" dxfId="1519" priority="1519"/>
  </conditionalFormatting>
  <conditionalFormatting sqref="J10">
    <cfRule type="duplicateValues" dxfId="1518" priority="1513"/>
    <cfRule type="duplicateValues" dxfId="1517" priority="1514"/>
    <cfRule type="duplicateValues" dxfId="1516" priority="1515"/>
    <cfRule type="duplicateValues" dxfId="1515" priority="1516"/>
    <cfRule type="duplicateValues" dxfId="1514" priority="1517"/>
    <cfRule type="duplicateValues" dxfId="1513" priority="1518"/>
  </conditionalFormatting>
  <conditionalFormatting sqref="J10">
    <cfRule type="duplicateValues" dxfId="1512" priority="1508"/>
    <cfRule type="duplicateValues" dxfId="1511" priority="1509"/>
    <cfRule type="duplicateValues" dxfId="1510" priority="1510"/>
    <cfRule type="duplicateValues" dxfId="1509" priority="1511"/>
    <cfRule type="duplicateValues" dxfId="1508" priority="1512"/>
  </conditionalFormatting>
  <conditionalFormatting sqref="J10">
    <cfRule type="duplicateValues" dxfId="1507" priority="1480"/>
    <cfRule type="duplicateValues" dxfId="1506" priority="1481"/>
    <cfRule type="duplicateValues" dxfId="1505" priority="1482"/>
    <cfRule type="duplicateValues" dxfId="1504" priority="1483"/>
    <cfRule type="duplicateValues" dxfId="1503" priority="1484"/>
    <cfRule type="duplicateValues" dxfId="1502" priority="1485"/>
    <cfRule type="duplicateValues" dxfId="1501" priority="1486"/>
    <cfRule type="duplicateValues" dxfId="1500" priority="1487"/>
    <cfRule type="duplicateValues" dxfId="1499" priority="1488"/>
    <cfRule type="duplicateValues" dxfId="1498" priority="1489"/>
    <cfRule type="duplicateValues" dxfId="1497" priority="1490"/>
    <cfRule type="duplicateValues" dxfId="1496" priority="1491"/>
    <cfRule type="duplicateValues" dxfId="1495" priority="1492"/>
    <cfRule type="duplicateValues" dxfId="1494" priority="1493"/>
    <cfRule type="duplicateValues" dxfId="1493" priority="1494"/>
    <cfRule type="duplicateValues" dxfId="1492" priority="1495"/>
    <cfRule type="duplicateValues" dxfId="1491" priority="1496"/>
    <cfRule type="duplicateValues" dxfId="1490" priority="1497"/>
    <cfRule type="duplicateValues" dxfId="1489" priority="1498"/>
    <cfRule type="duplicateValues" dxfId="1488" priority="1499"/>
    <cfRule type="duplicateValues" dxfId="1487" priority="1500"/>
    <cfRule type="duplicateValues" dxfId="1486" priority="1501"/>
    <cfRule type="duplicateValues" dxfId="1485" priority="1502"/>
    <cfRule type="duplicateValues" dxfId="1484" priority="1503"/>
    <cfRule type="duplicateValues" dxfId="1483" priority="1504"/>
    <cfRule type="duplicateValues" dxfId="1482" priority="1505"/>
    <cfRule type="duplicateValues" dxfId="1481" priority="1506"/>
    <cfRule type="duplicateValues" dxfId="1480" priority="1507"/>
  </conditionalFormatting>
  <conditionalFormatting sqref="J10">
    <cfRule type="duplicateValues" dxfId="1479" priority="1479"/>
  </conditionalFormatting>
  <conditionalFormatting sqref="J10">
    <cfRule type="duplicateValues" dxfId="1478" priority="1477"/>
    <cfRule type="duplicateValues" dxfId="1477" priority="1478"/>
  </conditionalFormatting>
  <conditionalFormatting sqref="J10">
    <cfRule type="duplicateValues" dxfId="1476" priority="1471"/>
    <cfRule type="duplicateValues" dxfId="1475" priority="1472"/>
    <cfRule type="duplicateValues" dxfId="1474" priority="1473"/>
    <cfRule type="duplicateValues" dxfId="1473" priority="1474"/>
    <cfRule type="duplicateValues" dxfId="1472" priority="1475"/>
    <cfRule type="duplicateValues" dxfId="1471" priority="1476"/>
  </conditionalFormatting>
  <conditionalFormatting sqref="J10">
    <cfRule type="duplicateValues" dxfId="1470" priority="1466"/>
    <cfRule type="duplicateValues" dxfId="1469" priority="1467"/>
    <cfRule type="duplicateValues" dxfId="1468" priority="1468"/>
    <cfRule type="duplicateValues" dxfId="1467" priority="1469"/>
    <cfRule type="duplicateValues" dxfId="1466" priority="1470"/>
  </conditionalFormatting>
  <conditionalFormatting sqref="J10">
    <cfRule type="duplicateValues" dxfId="1465" priority="1438"/>
    <cfRule type="duplicateValues" dxfId="1464" priority="1439"/>
    <cfRule type="duplicateValues" dxfId="1463" priority="1440"/>
    <cfRule type="duplicateValues" dxfId="1462" priority="1441"/>
    <cfRule type="duplicateValues" dxfId="1461" priority="1442"/>
    <cfRule type="duplicateValues" dxfId="1460" priority="1443"/>
    <cfRule type="duplicateValues" dxfId="1459" priority="1444"/>
    <cfRule type="duplicateValues" dxfId="1458" priority="1445"/>
    <cfRule type="duplicateValues" dxfId="1457" priority="1446"/>
    <cfRule type="duplicateValues" dxfId="1456" priority="1447"/>
    <cfRule type="duplicateValues" dxfId="1455" priority="1448"/>
    <cfRule type="duplicateValues" dxfId="1454" priority="1449"/>
    <cfRule type="duplicateValues" dxfId="1453" priority="1450"/>
    <cfRule type="duplicateValues" dxfId="1452" priority="1451"/>
    <cfRule type="duplicateValues" dxfId="1451" priority="1452"/>
    <cfRule type="duplicateValues" dxfId="1450" priority="1453"/>
    <cfRule type="duplicateValues" dxfId="1449" priority="1454"/>
    <cfRule type="duplicateValues" dxfId="1448" priority="1455"/>
    <cfRule type="duplicateValues" dxfId="1447" priority="1456"/>
    <cfRule type="duplicateValues" dxfId="1446" priority="1457"/>
    <cfRule type="duplicateValues" dxfId="1445" priority="1458"/>
    <cfRule type="duplicateValues" dxfId="1444" priority="1459"/>
    <cfRule type="duplicateValues" dxfId="1443" priority="1460"/>
    <cfRule type="duplicateValues" dxfId="1442" priority="1461"/>
    <cfRule type="duplicateValues" dxfId="1441" priority="1462"/>
    <cfRule type="duplicateValues" dxfId="1440" priority="1463"/>
    <cfRule type="duplicateValues" dxfId="1439" priority="1464"/>
    <cfRule type="duplicateValues" dxfId="1438" priority="1465"/>
  </conditionalFormatting>
  <conditionalFormatting sqref="J10">
    <cfRule type="duplicateValues" dxfId="1437" priority="1437"/>
  </conditionalFormatting>
  <conditionalFormatting sqref="J10">
    <cfRule type="duplicateValues" dxfId="1436" priority="1435"/>
    <cfRule type="duplicateValues" dxfId="1435" priority="1436"/>
  </conditionalFormatting>
  <conditionalFormatting sqref="J10">
    <cfRule type="duplicateValues" dxfId="1434" priority="1429"/>
    <cfRule type="duplicateValues" dxfId="1433" priority="1430"/>
    <cfRule type="duplicateValues" dxfId="1432" priority="1431"/>
    <cfRule type="duplicateValues" dxfId="1431" priority="1432"/>
    <cfRule type="duplicateValues" dxfId="1430" priority="1433"/>
    <cfRule type="duplicateValues" dxfId="1429" priority="1434"/>
  </conditionalFormatting>
  <conditionalFormatting sqref="J10">
    <cfRule type="duplicateValues" dxfId="1428" priority="1424"/>
    <cfRule type="duplicateValues" dxfId="1427" priority="1425"/>
    <cfRule type="duplicateValues" dxfId="1426" priority="1426"/>
    <cfRule type="duplicateValues" dxfId="1425" priority="1427"/>
    <cfRule type="duplicateValues" dxfId="1424" priority="1428"/>
  </conditionalFormatting>
  <conditionalFormatting sqref="J10">
    <cfRule type="duplicateValues" dxfId="1423" priority="1396"/>
    <cfRule type="duplicateValues" dxfId="1422" priority="1397"/>
    <cfRule type="duplicateValues" dxfId="1421" priority="1398"/>
    <cfRule type="duplicateValues" dxfId="1420" priority="1399"/>
    <cfRule type="duplicateValues" dxfId="1419" priority="1400"/>
    <cfRule type="duplicateValues" dxfId="1418" priority="1401"/>
    <cfRule type="duplicateValues" dxfId="1417" priority="1402"/>
    <cfRule type="duplicateValues" dxfId="1416" priority="1403"/>
    <cfRule type="duplicateValues" dxfId="1415" priority="1404"/>
    <cfRule type="duplicateValues" dxfId="1414" priority="1405"/>
    <cfRule type="duplicateValues" dxfId="1413" priority="1406"/>
    <cfRule type="duplicateValues" dxfId="1412" priority="1407"/>
    <cfRule type="duplicateValues" dxfId="1411" priority="1408"/>
    <cfRule type="duplicateValues" dxfId="1410" priority="1409"/>
    <cfRule type="duplicateValues" dxfId="1409" priority="1410"/>
    <cfRule type="duplicateValues" dxfId="1408" priority="1411"/>
    <cfRule type="duplicateValues" dxfId="1407" priority="1412"/>
    <cfRule type="duplicateValues" dxfId="1406" priority="1413"/>
    <cfRule type="duplicateValues" dxfId="1405" priority="1414"/>
    <cfRule type="duplicateValues" dxfId="1404" priority="1415"/>
    <cfRule type="duplicateValues" dxfId="1403" priority="1416"/>
    <cfRule type="duplicateValues" dxfId="1402" priority="1417"/>
    <cfRule type="duplicateValues" dxfId="1401" priority="1418"/>
    <cfRule type="duplicateValues" dxfId="1400" priority="1419"/>
    <cfRule type="duplicateValues" dxfId="1399" priority="1420"/>
    <cfRule type="duplicateValues" dxfId="1398" priority="1421"/>
    <cfRule type="duplicateValues" dxfId="1397" priority="1422"/>
    <cfRule type="duplicateValues" dxfId="1396" priority="1423"/>
  </conditionalFormatting>
  <conditionalFormatting sqref="J10">
    <cfRule type="duplicateValues" dxfId="1395" priority="1395"/>
  </conditionalFormatting>
  <conditionalFormatting sqref="J10">
    <cfRule type="duplicateValues" dxfId="1394" priority="1393"/>
    <cfRule type="duplicateValues" dxfId="1393" priority="1394"/>
  </conditionalFormatting>
  <conditionalFormatting sqref="J10">
    <cfRule type="duplicateValues" dxfId="1392" priority="1387"/>
    <cfRule type="duplicateValues" dxfId="1391" priority="1388"/>
    <cfRule type="duplicateValues" dxfId="1390" priority="1389"/>
    <cfRule type="duplicateValues" dxfId="1389" priority="1390"/>
    <cfRule type="duplicateValues" dxfId="1388" priority="1391"/>
    <cfRule type="duplicateValues" dxfId="1387" priority="1392"/>
  </conditionalFormatting>
  <conditionalFormatting sqref="J10">
    <cfRule type="duplicateValues" dxfId="1386" priority="1382"/>
    <cfRule type="duplicateValues" dxfId="1385" priority="1383"/>
    <cfRule type="duplicateValues" dxfId="1384" priority="1384"/>
    <cfRule type="duplicateValues" dxfId="1383" priority="1385"/>
    <cfRule type="duplicateValues" dxfId="1382" priority="1386"/>
  </conditionalFormatting>
  <conditionalFormatting sqref="J10">
    <cfRule type="duplicateValues" dxfId="1381" priority="1354"/>
    <cfRule type="duplicateValues" dxfId="1380" priority="1355"/>
    <cfRule type="duplicateValues" dxfId="1379" priority="1356"/>
    <cfRule type="duplicateValues" dxfId="1378" priority="1357"/>
    <cfRule type="duplicateValues" dxfId="1377" priority="1358"/>
    <cfRule type="duplicateValues" dxfId="1376" priority="1359"/>
    <cfRule type="duplicateValues" dxfId="1375" priority="1360"/>
    <cfRule type="duplicateValues" dxfId="1374" priority="1361"/>
    <cfRule type="duplicateValues" dxfId="1373" priority="1362"/>
    <cfRule type="duplicateValues" dxfId="1372" priority="1363"/>
    <cfRule type="duplicateValues" dxfId="1371" priority="1364"/>
    <cfRule type="duplicateValues" dxfId="1370" priority="1365"/>
    <cfRule type="duplicateValues" dxfId="1369" priority="1366"/>
    <cfRule type="duplicateValues" dxfId="1368" priority="1367"/>
    <cfRule type="duplicateValues" dxfId="1367" priority="1368"/>
    <cfRule type="duplicateValues" dxfId="1366" priority="1369"/>
    <cfRule type="duplicateValues" dxfId="1365" priority="1370"/>
    <cfRule type="duplicateValues" dxfId="1364" priority="1371"/>
    <cfRule type="duplicateValues" dxfId="1363" priority="1372"/>
    <cfRule type="duplicateValues" dxfId="1362" priority="1373"/>
    <cfRule type="duplicateValues" dxfId="1361" priority="1374"/>
    <cfRule type="duplicateValues" dxfId="1360" priority="1375"/>
    <cfRule type="duplicateValues" dxfId="1359" priority="1376"/>
    <cfRule type="duplicateValues" dxfId="1358" priority="1377"/>
    <cfRule type="duplicateValues" dxfId="1357" priority="1378"/>
    <cfRule type="duplicateValues" dxfId="1356" priority="1379"/>
    <cfRule type="duplicateValues" dxfId="1355" priority="1380"/>
    <cfRule type="duplicateValues" dxfId="1354" priority="1381"/>
  </conditionalFormatting>
  <conditionalFormatting sqref="J10">
    <cfRule type="duplicateValues" dxfId="1353" priority="1353"/>
  </conditionalFormatting>
  <conditionalFormatting sqref="J10">
    <cfRule type="duplicateValues" dxfId="1352" priority="1351"/>
    <cfRule type="duplicateValues" dxfId="1351" priority="1352"/>
  </conditionalFormatting>
  <conditionalFormatting sqref="J10">
    <cfRule type="duplicateValues" dxfId="1350" priority="1345"/>
    <cfRule type="duplicateValues" dxfId="1349" priority="1346"/>
    <cfRule type="duplicateValues" dxfId="1348" priority="1347"/>
    <cfRule type="duplicateValues" dxfId="1347" priority="1348"/>
    <cfRule type="duplicateValues" dxfId="1346" priority="1349"/>
    <cfRule type="duplicateValues" dxfId="1345" priority="1350"/>
  </conditionalFormatting>
  <conditionalFormatting sqref="J10">
    <cfRule type="duplicateValues" dxfId="1344" priority="1340"/>
    <cfRule type="duplicateValues" dxfId="1343" priority="1341"/>
    <cfRule type="duplicateValues" dxfId="1342" priority="1342"/>
    <cfRule type="duplicateValues" dxfId="1341" priority="1343"/>
    <cfRule type="duplicateValues" dxfId="1340" priority="1344"/>
  </conditionalFormatting>
  <conditionalFormatting sqref="J10">
    <cfRule type="duplicateValues" dxfId="1339" priority="1312"/>
    <cfRule type="duplicateValues" dxfId="1338" priority="1313"/>
    <cfRule type="duplicateValues" dxfId="1337" priority="1314"/>
    <cfRule type="duplicateValues" dxfId="1336" priority="1315"/>
    <cfRule type="duplicateValues" dxfId="1335" priority="1316"/>
    <cfRule type="duplicateValues" dxfId="1334" priority="1317"/>
    <cfRule type="duplicateValues" dxfId="1333" priority="1318"/>
    <cfRule type="duplicateValues" dxfId="1332" priority="1319"/>
    <cfRule type="duplicateValues" dxfId="1331" priority="1320"/>
    <cfRule type="duplicateValues" dxfId="1330" priority="1321"/>
    <cfRule type="duplicateValues" dxfId="1329" priority="1322"/>
    <cfRule type="duplicateValues" dxfId="1328" priority="1323"/>
    <cfRule type="duplicateValues" dxfId="1327" priority="1324"/>
    <cfRule type="duplicateValues" dxfId="1326" priority="1325"/>
    <cfRule type="duplicateValues" dxfId="1325" priority="1326"/>
    <cfRule type="duplicateValues" dxfId="1324" priority="1327"/>
    <cfRule type="duplicateValues" dxfId="1323" priority="1328"/>
    <cfRule type="duplicateValues" dxfId="1322" priority="1329"/>
    <cfRule type="duplicateValues" dxfId="1321" priority="1330"/>
    <cfRule type="duplicateValues" dxfId="1320" priority="1331"/>
    <cfRule type="duplicateValues" dxfId="1319" priority="1332"/>
    <cfRule type="duplicateValues" dxfId="1318" priority="1333"/>
    <cfRule type="duplicateValues" dxfId="1317" priority="1334"/>
    <cfRule type="duplicateValues" dxfId="1316" priority="1335"/>
    <cfRule type="duplicateValues" dxfId="1315" priority="1336"/>
    <cfRule type="duplicateValues" dxfId="1314" priority="1337"/>
    <cfRule type="duplicateValues" dxfId="1313" priority="1338"/>
    <cfRule type="duplicateValues" dxfId="1312" priority="1339"/>
  </conditionalFormatting>
  <conditionalFormatting sqref="J7:J8">
    <cfRule type="duplicateValues" dxfId="1311" priority="1311"/>
  </conditionalFormatting>
  <conditionalFormatting sqref="J7:J8">
    <cfRule type="duplicateValues" dxfId="1310" priority="1309"/>
    <cfRule type="duplicateValues" dxfId="1309" priority="1310"/>
  </conditionalFormatting>
  <conditionalFormatting sqref="J7:J8">
    <cfRule type="duplicateValues" dxfId="1308" priority="1303"/>
    <cfRule type="duplicateValues" dxfId="1307" priority="1304"/>
    <cfRule type="duplicateValues" dxfId="1306" priority="1305"/>
    <cfRule type="duplicateValues" dxfId="1305" priority="1306"/>
    <cfRule type="duplicateValues" dxfId="1304" priority="1307"/>
    <cfRule type="duplicateValues" dxfId="1303" priority="1308"/>
  </conditionalFormatting>
  <conditionalFormatting sqref="J7:J8">
    <cfRule type="duplicateValues" dxfId="1302" priority="1298"/>
    <cfRule type="duplicateValues" dxfId="1301" priority="1299"/>
    <cfRule type="duplicateValues" dxfId="1300" priority="1300"/>
    <cfRule type="duplicateValues" dxfId="1299" priority="1301"/>
    <cfRule type="duplicateValues" dxfId="1298" priority="1302"/>
  </conditionalFormatting>
  <conditionalFormatting sqref="J7:J8">
    <cfRule type="duplicateValues" dxfId="1297" priority="1270"/>
    <cfRule type="duplicateValues" dxfId="1296" priority="1271"/>
    <cfRule type="duplicateValues" dxfId="1295" priority="1272"/>
    <cfRule type="duplicateValues" dxfId="1294" priority="1273"/>
    <cfRule type="duplicateValues" dxfId="1293" priority="1274"/>
    <cfRule type="duplicateValues" dxfId="1292" priority="1275"/>
    <cfRule type="duplicateValues" dxfId="1291" priority="1276"/>
    <cfRule type="duplicateValues" dxfId="1290" priority="1277"/>
    <cfRule type="duplicateValues" dxfId="1289" priority="1278"/>
    <cfRule type="duplicateValues" dxfId="1288" priority="1279"/>
    <cfRule type="duplicateValues" dxfId="1287" priority="1280"/>
    <cfRule type="duplicateValues" dxfId="1286" priority="1281"/>
    <cfRule type="duplicateValues" dxfId="1285" priority="1282"/>
    <cfRule type="duplicateValues" dxfId="1284" priority="1283"/>
    <cfRule type="duplicateValues" dxfId="1283" priority="1284"/>
    <cfRule type="duplicateValues" dxfId="1282" priority="1285"/>
    <cfRule type="duplicateValues" dxfId="1281" priority="1286"/>
    <cfRule type="duplicateValues" dxfId="1280" priority="1287"/>
    <cfRule type="duplicateValues" dxfId="1279" priority="1288"/>
    <cfRule type="duplicateValues" dxfId="1278" priority="1289"/>
    <cfRule type="duplicateValues" dxfId="1277" priority="1290"/>
    <cfRule type="duplicateValues" dxfId="1276" priority="1291"/>
    <cfRule type="duplicateValues" dxfId="1275" priority="1292"/>
    <cfRule type="duplicateValues" dxfId="1274" priority="1293"/>
    <cfRule type="duplicateValues" dxfId="1273" priority="1294"/>
    <cfRule type="duplicateValues" dxfId="1272" priority="1295"/>
    <cfRule type="duplicateValues" dxfId="1271" priority="1296"/>
    <cfRule type="duplicateValues" dxfId="1270" priority="1297"/>
  </conditionalFormatting>
  <conditionalFormatting sqref="J7:J8">
    <cfRule type="duplicateValues" dxfId="1269" priority="1269"/>
  </conditionalFormatting>
  <conditionalFormatting sqref="J7:J8">
    <cfRule type="duplicateValues" dxfId="1268" priority="1267"/>
    <cfRule type="duplicateValues" dxfId="1267" priority="1268"/>
  </conditionalFormatting>
  <conditionalFormatting sqref="J7:J8">
    <cfRule type="duplicateValues" dxfId="1266" priority="1266"/>
  </conditionalFormatting>
  <conditionalFormatting sqref="J7:J8">
    <cfRule type="duplicateValues" dxfId="1265" priority="1264"/>
    <cfRule type="duplicateValues" dxfId="1264" priority="1265"/>
  </conditionalFormatting>
  <conditionalFormatting sqref="J7:J8">
    <cfRule type="duplicateValues" dxfId="1263" priority="1263"/>
  </conditionalFormatting>
  <conditionalFormatting sqref="J7:J8">
    <cfRule type="duplicateValues" dxfId="1262" priority="1262"/>
  </conditionalFormatting>
  <conditionalFormatting sqref="J7:J8">
    <cfRule type="duplicateValues" dxfId="1261" priority="1261"/>
  </conditionalFormatting>
  <conditionalFormatting sqref="J7:J8">
    <cfRule type="duplicateValues" dxfId="1260" priority="1255"/>
    <cfRule type="duplicateValues" dxfId="1259" priority="1256"/>
    <cfRule type="duplicateValues" dxfId="1258" priority="1257"/>
    <cfRule type="duplicateValues" dxfId="1257" priority="1258"/>
    <cfRule type="duplicateValues" dxfId="1256" priority="1259"/>
    <cfRule type="duplicateValues" dxfId="1255" priority="1260"/>
  </conditionalFormatting>
  <conditionalFormatting sqref="J7:J8">
    <cfRule type="duplicateValues" dxfId="1254" priority="1250"/>
    <cfRule type="duplicateValues" dxfId="1253" priority="1251"/>
    <cfRule type="duplicateValues" dxfId="1252" priority="1252"/>
    <cfRule type="duplicateValues" dxfId="1251" priority="1253"/>
    <cfRule type="duplicateValues" dxfId="1250" priority="1254"/>
  </conditionalFormatting>
  <conditionalFormatting sqref="J7:J8">
    <cfRule type="duplicateValues" dxfId="1249" priority="1222"/>
    <cfRule type="duplicateValues" dxfId="1248" priority="1223"/>
    <cfRule type="duplicateValues" dxfId="1247" priority="1224"/>
    <cfRule type="duplicateValues" dxfId="1246" priority="1225"/>
    <cfRule type="duplicateValues" dxfId="1245" priority="1226"/>
    <cfRule type="duplicateValues" dxfId="1244" priority="1227"/>
    <cfRule type="duplicateValues" dxfId="1243" priority="1228"/>
    <cfRule type="duplicateValues" dxfId="1242" priority="1229"/>
    <cfRule type="duplicateValues" dxfId="1241" priority="1230"/>
    <cfRule type="duplicateValues" dxfId="1240" priority="1231"/>
    <cfRule type="duplicateValues" dxfId="1239" priority="1232"/>
    <cfRule type="duplicateValues" dxfId="1238" priority="1233"/>
    <cfRule type="duplicateValues" dxfId="1237" priority="1234"/>
    <cfRule type="duplicateValues" dxfId="1236" priority="1235"/>
    <cfRule type="duplicateValues" dxfId="1235" priority="1236"/>
    <cfRule type="duplicateValues" dxfId="1234" priority="1237"/>
    <cfRule type="duplicateValues" dxfId="1233" priority="1238"/>
    <cfRule type="duplicateValues" dxfId="1232" priority="1239"/>
    <cfRule type="duplicateValues" dxfId="1231" priority="1240"/>
    <cfRule type="duplicateValues" dxfId="1230" priority="1241"/>
    <cfRule type="duplicateValues" dxfId="1229" priority="1242"/>
    <cfRule type="duplicateValues" dxfId="1228" priority="1243"/>
    <cfRule type="duplicateValues" dxfId="1227" priority="1244"/>
    <cfRule type="duplicateValues" dxfId="1226" priority="1245"/>
    <cfRule type="duplicateValues" dxfId="1225" priority="1246"/>
    <cfRule type="duplicateValues" dxfId="1224" priority="1247"/>
    <cfRule type="duplicateValues" dxfId="1223" priority="1248"/>
    <cfRule type="duplicateValues" dxfId="1222" priority="1249"/>
  </conditionalFormatting>
  <conditionalFormatting sqref="J7:J8">
    <cfRule type="duplicateValues" dxfId="1221" priority="1221"/>
  </conditionalFormatting>
  <conditionalFormatting sqref="J7:J8">
    <cfRule type="duplicateValues" dxfId="1220" priority="1219"/>
    <cfRule type="duplicateValues" dxfId="1219" priority="1220"/>
  </conditionalFormatting>
  <conditionalFormatting sqref="J7:J8">
    <cfRule type="duplicateValues" dxfId="1218" priority="1213"/>
    <cfRule type="duplicateValues" dxfId="1217" priority="1214"/>
    <cfRule type="duplicateValues" dxfId="1216" priority="1215"/>
    <cfRule type="duplicateValues" dxfId="1215" priority="1216"/>
    <cfRule type="duplicateValues" dxfId="1214" priority="1217"/>
    <cfRule type="duplicateValues" dxfId="1213" priority="1218"/>
  </conditionalFormatting>
  <conditionalFormatting sqref="J7:J8">
    <cfRule type="duplicateValues" dxfId="1212" priority="1208"/>
    <cfRule type="duplicateValues" dxfId="1211" priority="1209"/>
    <cfRule type="duplicateValues" dxfId="1210" priority="1210"/>
    <cfRule type="duplicateValues" dxfId="1209" priority="1211"/>
    <cfRule type="duplicateValues" dxfId="1208" priority="1212"/>
  </conditionalFormatting>
  <conditionalFormatting sqref="J7:J8">
    <cfRule type="duplicateValues" dxfId="1207" priority="1180"/>
    <cfRule type="duplicateValues" dxfId="1206" priority="1181"/>
    <cfRule type="duplicateValues" dxfId="1205" priority="1182"/>
    <cfRule type="duplicateValues" dxfId="1204" priority="1183"/>
    <cfRule type="duplicateValues" dxfId="1203" priority="1184"/>
    <cfRule type="duplicateValues" dxfId="1202" priority="1185"/>
    <cfRule type="duplicateValues" dxfId="1201" priority="1186"/>
    <cfRule type="duplicateValues" dxfId="1200" priority="1187"/>
    <cfRule type="duplicateValues" dxfId="1199" priority="1188"/>
    <cfRule type="duplicateValues" dxfId="1198" priority="1189"/>
    <cfRule type="duplicateValues" dxfId="1197" priority="1190"/>
    <cfRule type="duplicateValues" dxfId="1196" priority="1191"/>
    <cfRule type="duplicateValues" dxfId="1195" priority="1192"/>
    <cfRule type="duplicateValues" dxfId="1194" priority="1193"/>
    <cfRule type="duplicateValues" dxfId="1193" priority="1194"/>
    <cfRule type="duplicateValues" dxfId="1192" priority="1195"/>
    <cfRule type="duplicateValues" dxfId="1191" priority="1196"/>
    <cfRule type="duplicateValues" dxfId="1190" priority="1197"/>
    <cfRule type="duplicateValues" dxfId="1189" priority="1198"/>
    <cfRule type="duplicateValues" dxfId="1188" priority="1199"/>
    <cfRule type="duplicateValues" dxfId="1187" priority="1200"/>
    <cfRule type="duplicateValues" dxfId="1186" priority="1201"/>
    <cfRule type="duplicateValues" dxfId="1185" priority="1202"/>
    <cfRule type="duplicateValues" dxfId="1184" priority="1203"/>
    <cfRule type="duplicateValues" dxfId="1183" priority="1204"/>
    <cfRule type="duplicateValues" dxfId="1182" priority="1205"/>
    <cfRule type="duplicateValues" dxfId="1181" priority="1206"/>
    <cfRule type="duplicateValues" dxfId="1180" priority="1207"/>
  </conditionalFormatting>
  <conditionalFormatting sqref="J8">
    <cfRule type="duplicateValues" dxfId="1179" priority="1179"/>
  </conditionalFormatting>
  <conditionalFormatting sqref="J8">
    <cfRule type="duplicateValues" dxfId="1178" priority="1177"/>
    <cfRule type="duplicateValues" dxfId="1177" priority="1178"/>
  </conditionalFormatting>
  <conditionalFormatting sqref="J8">
    <cfRule type="duplicateValues" dxfId="1176" priority="1176"/>
  </conditionalFormatting>
  <conditionalFormatting sqref="J8">
    <cfRule type="duplicateValues" dxfId="1175" priority="1174"/>
    <cfRule type="duplicateValues" dxfId="1174" priority="1175"/>
  </conditionalFormatting>
  <conditionalFormatting sqref="J8">
    <cfRule type="duplicateValues" dxfId="1173" priority="1173"/>
  </conditionalFormatting>
  <conditionalFormatting sqref="J8">
    <cfRule type="duplicateValues" dxfId="1172" priority="1172"/>
  </conditionalFormatting>
  <conditionalFormatting sqref="J8">
    <cfRule type="duplicateValues" dxfId="1171" priority="1171"/>
  </conditionalFormatting>
  <conditionalFormatting sqref="J8">
    <cfRule type="duplicateValues" dxfId="1170" priority="1167"/>
    <cfRule type="duplicateValues" dxfId="1169" priority="1168"/>
    <cfRule type="duplicateValues" dxfId="1168" priority="1169"/>
    <cfRule type="duplicateValues" dxfId="1167" priority="1170"/>
  </conditionalFormatting>
  <conditionalFormatting sqref="J8">
    <cfRule type="duplicateValues" dxfId="1166" priority="1162"/>
    <cfRule type="duplicateValues" dxfId="1165" priority="1163"/>
    <cfRule type="duplicateValues" dxfId="1164" priority="1164"/>
    <cfRule type="duplicateValues" dxfId="1163" priority="1165"/>
    <cfRule type="duplicateValues" dxfId="1162" priority="1166"/>
  </conditionalFormatting>
  <conditionalFormatting sqref="J8">
    <cfRule type="duplicateValues" dxfId="1161" priority="1151"/>
    <cfRule type="duplicateValues" dxfId="1160" priority="1152"/>
    <cfRule type="duplicateValues" dxfId="1159" priority="1153"/>
    <cfRule type="duplicateValues" dxfId="1158" priority="1154"/>
    <cfRule type="duplicateValues" dxfId="1157" priority="1155"/>
    <cfRule type="duplicateValues" dxfId="1156" priority="1156"/>
    <cfRule type="duplicateValues" dxfId="1155" priority="1157"/>
    <cfRule type="duplicateValues" dxfId="1154" priority="1158"/>
    <cfRule type="duplicateValues" dxfId="1153" priority="1159"/>
    <cfRule type="duplicateValues" dxfId="1152" priority="1160"/>
    <cfRule type="duplicateValues" dxfId="1151" priority="1161"/>
  </conditionalFormatting>
  <conditionalFormatting sqref="J8">
    <cfRule type="duplicateValues" dxfId="1150" priority="1145"/>
    <cfRule type="duplicateValues" dxfId="1149" priority="1146"/>
    <cfRule type="duplicateValues" dxfId="1148" priority="1147"/>
    <cfRule type="duplicateValues" dxfId="1147" priority="1148"/>
    <cfRule type="duplicateValues" dxfId="1146" priority="1149"/>
    <cfRule type="duplicateValues" dxfId="1145" priority="1150"/>
  </conditionalFormatting>
  <conditionalFormatting sqref="J8">
    <cfRule type="duplicateValues" dxfId="1144" priority="1139"/>
    <cfRule type="duplicateValues" dxfId="1143" priority="1140"/>
    <cfRule type="duplicateValues" dxfId="1142" priority="1141"/>
    <cfRule type="duplicateValues" dxfId="1141" priority="1142"/>
    <cfRule type="duplicateValues" dxfId="1140" priority="1143"/>
    <cfRule type="duplicateValues" dxfId="1139" priority="1144"/>
  </conditionalFormatting>
  <conditionalFormatting sqref="J8">
    <cfRule type="duplicateValues" dxfId="1138" priority="1138"/>
  </conditionalFormatting>
  <conditionalFormatting sqref="J8">
    <cfRule type="duplicateValues" dxfId="1137" priority="1132"/>
    <cfRule type="duplicateValues" dxfId="1136" priority="1133"/>
    <cfRule type="duplicateValues" dxfId="1135" priority="1134"/>
    <cfRule type="duplicateValues" dxfId="1134" priority="1135"/>
    <cfRule type="duplicateValues" dxfId="1133" priority="1136"/>
    <cfRule type="duplicateValues" dxfId="1132" priority="1137"/>
  </conditionalFormatting>
  <conditionalFormatting sqref="J8">
    <cfRule type="duplicateValues" dxfId="1131" priority="1127"/>
    <cfRule type="duplicateValues" dxfId="1130" priority="1128"/>
    <cfRule type="duplicateValues" dxfId="1129" priority="1129"/>
    <cfRule type="duplicateValues" dxfId="1128" priority="1130"/>
    <cfRule type="duplicateValues" dxfId="1127" priority="1131"/>
  </conditionalFormatting>
  <conditionalFormatting sqref="J8">
    <cfRule type="duplicateValues" dxfId="1126" priority="1105"/>
    <cfRule type="duplicateValues" dxfId="1125" priority="1106"/>
    <cfRule type="duplicateValues" dxfId="1124" priority="1107"/>
    <cfRule type="duplicateValues" dxfId="1123" priority="1108"/>
    <cfRule type="duplicateValues" dxfId="1122" priority="1109"/>
    <cfRule type="duplicateValues" dxfId="1121" priority="1110"/>
    <cfRule type="duplicateValues" dxfId="1120" priority="1111"/>
    <cfRule type="duplicateValues" dxfId="1119" priority="1112"/>
    <cfRule type="duplicateValues" dxfId="1118" priority="1113"/>
    <cfRule type="duplicateValues" dxfId="1117" priority="1114"/>
    <cfRule type="duplicateValues" dxfId="1116" priority="1115"/>
    <cfRule type="duplicateValues" dxfId="1115" priority="1116"/>
    <cfRule type="duplicateValues" dxfId="1114" priority="1117"/>
    <cfRule type="duplicateValues" dxfId="1113" priority="1118"/>
    <cfRule type="duplicateValues" dxfId="1112" priority="1119"/>
    <cfRule type="duplicateValues" dxfId="1111" priority="1120"/>
    <cfRule type="duplicateValues" dxfId="1110" priority="1121"/>
    <cfRule type="duplicateValues" dxfId="1109" priority="1122"/>
    <cfRule type="duplicateValues" dxfId="1108" priority="1123"/>
    <cfRule type="duplicateValues" dxfId="1107" priority="1124"/>
    <cfRule type="duplicateValues" dxfId="1106" priority="1125"/>
    <cfRule type="duplicateValues" dxfId="1105" priority="1126"/>
  </conditionalFormatting>
  <conditionalFormatting sqref="J8">
    <cfRule type="duplicateValues" dxfId="1104" priority="1099"/>
    <cfRule type="duplicateValues" dxfId="1103" priority="1100"/>
    <cfRule type="duplicateValues" dxfId="1102" priority="1101"/>
    <cfRule type="duplicateValues" dxfId="1101" priority="1102"/>
    <cfRule type="duplicateValues" dxfId="1100" priority="1103"/>
    <cfRule type="duplicateValues" dxfId="1099" priority="1104"/>
  </conditionalFormatting>
  <conditionalFormatting sqref="J7:J8">
    <cfRule type="duplicateValues" dxfId="1098" priority="1098"/>
  </conditionalFormatting>
  <conditionalFormatting sqref="J7:J8">
    <cfRule type="duplicateValues" dxfId="1097" priority="1096"/>
    <cfRule type="duplicateValues" dxfId="1096" priority="1097"/>
  </conditionalFormatting>
  <conditionalFormatting sqref="J7:J8">
    <cfRule type="duplicateValues" dxfId="1095" priority="1092"/>
    <cfRule type="duplicateValues" dxfId="1094" priority="1093"/>
    <cfRule type="duplicateValues" dxfId="1093" priority="1094"/>
    <cfRule type="duplicateValues" dxfId="1092" priority="1095"/>
  </conditionalFormatting>
  <conditionalFormatting sqref="J7:J8">
    <cfRule type="duplicateValues" dxfId="1091" priority="1087"/>
    <cfRule type="duplicateValues" dxfId="1090" priority="1088"/>
    <cfRule type="duplicateValues" dxfId="1089" priority="1089"/>
    <cfRule type="duplicateValues" dxfId="1088" priority="1090"/>
    <cfRule type="duplicateValues" dxfId="1087" priority="1091"/>
  </conditionalFormatting>
  <conditionalFormatting sqref="J7:J8">
    <cfRule type="duplicateValues" dxfId="1086" priority="1076"/>
    <cfRule type="duplicateValues" dxfId="1085" priority="1077"/>
    <cfRule type="duplicateValues" dxfId="1084" priority="1078"/>
    <cfRule type="duplicateValues" dxfId="1083" priority="1079"/>
    <cfRule type="duplicateValues" dxfId="1082" priority="1080"/>
    <cfRule type="duplicateValues" dxfId="1081" priority="1081"/>
    <cfRule type="duplicateValues" dxfId="1080" priority="1082"/>
    <cfRule type="duplicateValues" dxfId="1079" priority="1083"/>
    <cfRule type="duplicateValues" dxfId="1078" priority="1084"/>
    <cfRule type="duplicateValues" dxfId="1077" priority="1085"/>
    <cfRule type="duplicateValues" dxfId="1076" priority="1086"/>
  </conditionalFormatting>
  <conditionalFormatting sqref="J7:J8">
    <cfRule type="duplicateValues" dxfId="1075" priority="1070"/>
    <cfRule type="duplicateValues" dxfId="1074" priority="1071"/>
    <cfRule type="duplicateValues" dxfId="1073" priority="1072"/>
    <cfRule type="duplicateValues" dxfId="1072" priority="1073"/>
    <cfRule type="duplicateValues" dxfId="1071" priority="1074"/>
    <cfRule type="duplicateValues" dxfId="1070" priority="1075"/>
  </conditionalFormatting>
  <conditionalFormatting sqref="J7:J8">
    <cfRule type="duplicateValues" dxfId="1069" priority="1048"/>
    <cfRule type="duplicateValues" dxfId="1068" priority="1049"/>
    <cfRule type="duplicateValues" dxfId="1067" priority="1050"/>
    <cfRule type="duplicateValues" dxfId="1066" priority="1051"/>
    <cfRule type="duplicateValues" dxfId="1065" priority="1052"/>
    <cfRule type="duplicateValues" dxfId="1064" priority="1053"/>
    <cfRule type="duplicateValues" dxfId="1063" priority="1054"/>
    <cfRule type="duplicateValues" dxfId="1062" priority="1055"/>
    <cfRule type="duplicateValues" dxfId="1061" priority="1056"/>
    <cfRule type="duplicateValues" dxfId="1060" priority="1057"/>
    <cfRule type="duplicateValues" dxfId="1059" priority="1058"/>
    <cfRule type="duplicateValues" dxfId="1058" priority="1059"/>
    <cfRule type="duplicateValues" dxfId="1057" priority="1060"/>
    <cfRule type="duplicateValues" dxfId="1056" priority="1061"/>
    <cfRule type="duplicateValues" dxfId="1055" priority="1062"/>
    <cfRule type="duplicateValues" dxfId="1054" priority="1063"/>
    <cfRule type="duplicateValues" dxfId="1053" priority="1064"/>
    <cfRule type="duplicateValues" dxfId="1052" priority="1065"/>
    <cfRule type="duplicateValues" dxfId="1051" priority="1066"/>
    <cfRule type="duplicateValues" dxfId="1050" priority="1067"/>
    <cfRule type="duplicateValues" dxfId="1049" priority="1068"/>
    <cfRule type="duplicateValues" dxfId="1048" priority="1069"/>
  </conditionalFormatting>
  <conditionalFormatting sqref="J13">
    <cfRule type="duplicateValues" dxfId="1047" priority="1013"/>
  </conditionalFormatting>
  <conditionalFormatting sqref="J13">
    <cfRule type="duplicateValues" dxfId="1046" priority="1011"/>
    <cfRule type="duplicateValues" dxfId="1045" priority="1012"/>
  </conditionalFormatting>
  <conditionalFormatting sqref="J13">
    <cfRule type="duplicateValues" dxfId="1044" priority="1017"/>
  </conditionalFormatting>
  <conditionalFormatting sqref="J13">
    <cfRule type="duplicateValues" dxfId="1043" priority="1018"/>
    <cfRule type="duplicateValues" dxfId="1042" priority="1019"/>
  </conditionalFormatting>
  <conditionalFormatting sqref="J13">
    <cfRule type="duplicateValues" dxfId="1041" priority="1015"/>
  </conditionalFormatting>
  <conditionalFormatting sqref="J13">
    <cfRule type="duplicateValues" dxfId="1040" priority="1016"/>
  </conditionalFormatting>
  <conditionalFormatting sqref="J13">
    <cfRule type="duplicateValues" dxfId="1039" priority="1014"/>
  </conditionalFormatting>
  <conditionalFormatting sqref="J13">
    <cfRule type="duplicateValues" dxfId="1038" priority="1005"/>
    <cfRule type="duplicateValues" dxfId="1037" priority="1006"/>
    <cfRule type="duplicateValues" dxfId="1036" priority="1007"/>
    <cfRule type="duplicateValues" dxfId="1035" priority="1008"/>
    <cfRule type="duplicateValues" dxfId="1034" priority="1009"/>
    <cfRule type="duplicateValues" dxfId="1033" priority="1010"/>
  </conditionalFormatting>
  <conditionalFormatting sqref="J13">
    <cfRule type="duplicateValues" dxfId="1032" priority="1000"/>
    <cfRule type="duplicateValues" dxfId="1031" priority="1001"/>
    <cfRule type="duplicateValues" dxfId="1030" priority="1002"/>
    <cfRule type="duplicateValues" dxfId="1029" priority="1003"/>
    <cfRule type="duplicateValues" dxfId="1028" priority="1004"/>
  </conditionalFormatting>
  <conditionalFormatting sqref="J13">
    <cfRule type="duplicateValues" dxfId="1027" priority="1020"/>
    <cfRule type="duplicateValues" dxfId="1026" priority="1021"/>
    <cfRule type="duplicateValues" dxfId="1025" priority="1022"/>
    <cfRule type="duplicateValues" dxfId="1024" priority="1023"/>
    <cfRule type="duplicateValues" dxfId="1023" priority="1024"/>
    <cfRule type="duplicateValues" dxfId="1022" priority="1025"/>
    <cfRule type="duplicateValues" dxfId="1021" priority="1026"/>
    <cfRule type="duplicateValues" dxfId="1020" priority="1027"/>
    <cfRule type="duplicateValues" dxfId="1019" priority="1028"/>
    <cfRule type="duplicateValues" dxfId="1018" priority="1029"/>
    <cfRule type="duplicateValues" dxfId="1017" priority="1030"/>
    <cfRule type="duplicateValues" dxfId="1016" priority="1031"/>
    <cfRule type="duplicateValues" dxfId="1015" priority="1032"/>
    <cfRule type="duplicateValues" dxfId="1014" priority="1033"/>
    <cfRule type="duplicateValues" dxfId="1013" priority="1034"/>
    <cfRule type="duplicateValues" dxfId="1012" priority="1035"/>
    <cfRule type="duplicateValues" dxfId="1011" priority="1036"/>
    <cfRule type="duplicateValues" dxfId="1010" priority="1037"/>
    <cfRule type="duplicateValues" dxfId="1009" priority="1038"/>
    <cfRule type="duplicateValues" dxfId="1008" priority="1039"/>
    <cfRule type="duplicateValues" dxfId="1007" priority="1040"/>
    <cfRule type="duplicateValues" dxfId="1006" priority="1041"/>
    <cfRule type="duplicateValues" dxfId="1005" priority="1042"/>
    <cfRule type="duplicateValues" dxfId="1004" priority="1043"/>
    <cfRule type="duplicateValues" dxfId="1003" priority="1044"/>
    <cfRule type="duplicateValues" dxfId="1002" priority="1045"/>
    <cfRule type="duplicateValues" dxfId="1001" priority="1046"/>
    <cfRule type="duplicateValues" dxfId="1000" priority="1047"/>
  </conditionalFormatting>
  <conditionalFormatting sqref="J13">
    <cfRule type="duplicateValues" dxfId="999" priority="965"/>
  </conditionalFormatting>
  <conditionalFormatting sqref="J13">
    <cfRule type="duplicateValues" dxfId="998" priority="963"/>
    <cfRule type="duplicateValues" dxfId="997" priority="964"/>
  </conditionalFormatting>
  <conditionalFormatting sqref="J13">
    <cfRule type="duplicateValues" dxfId="996" priority="969"/>
  </conditionalFormatting>
  <conditionalFormatting sqref="J13">
    <cfRule type="duplicateValues" dxfId="995" priority="970"/>
    <cfRule type="duplicateValues" dxfId="994" priority="971"/>
  </conditionalFormatting>
  <conditionalFormatting sqref="J13">
    <cfRule type="duplicateValues" dxfId="993" priority="967"/>
  </conditionalFormatting>
  <conditionalFormatting sqref="J13">
    <cfRule type="duplicateValues" dxfId="992" priority="968"/>
  </conditionalFormatting>
  <conditionalFormatting sqref="J13">
    <cfRule type="duplicateValues" dxfId="991" priority="966"/>
  </conditionalFormatting>
  <conditionalFormatting sqref="J13">
    <cfRule type="duplicateValues" dxfId="990" priority="957"/>
    <cfRule type="duplicateValues" dxfId="989" priority="958"/>
    <cfRule type="duplicateValues" dxfId="988" priority="959"/>
    <cfRule type="duplicateValues" dxfId="987" priority="960"/>
    <cfRule type="duplicateValues" dxfId="986" priority="961"/>
    <cfRule type="duplicateValues" dxfId="985" priority="962"/>
  </conditionalFormatting>
  <conditionalFormatting sqref="J13">
    <cfRule type="duplicateValues" dxfId="984" priority="952"/>
    <cfRule type="duplicateValues" dxfId="983" priority="953"/>
    <cfRule type="duplicateValues" dxfId="982" priority="954"/>
    <cfRule type="duplicateValues" dxfId="981" priority="955"/>
    <cfRule type="duplicateValues" dxfId="980" priority="956"/>
  </conditionalFormatting>
  <conditionalFormatting sqref="J13">
    <cfRule type="duplicateValues" dxfId="979" priority="972"/>
    <cfRule type="duplicateValues" dxfId="978" priority="973"/>
    <cfRule type="duplicateValues" dxfId="977" priority="974"/>
    <cfRule type="duplicateValues" dxfId="976" priority="975"/>
    <cfRule type="duplicateValues" dxfId="975" priority="976"/>
    <cfRule type="duplicateValues" dxfId="974" priority="977"/>
    <cfRule type="duplicateValues" dxfId="973" priority="978"/>
    <cfRule type="duplicateValues" dxfId="972" priority="979"/>
    <cfRule type="duplicateValues" dxfId="971" priority="980"/>
    <cfRule type="duplicateValues" dxfId="970" priority="981"/>
    <cfRule type="duplicateValues" dxfId="969" priority="982"/>
    <cfRule type="duplicateValues" dxfId="968" priority="983"/>
    <cfRule type="duplicateValues" dxfId="967" priority="984"/>
    <cfRule type="duplicateValues" dxfId="966" priority="985"/>
    <cfRule type="duplicateValues" dxfId="965" priority="986"/>
    <cfRule type="duplicateValues" dxfId="964" priority="987"/>
    <cfRule type="duplicateValues" dxfId="963" priority="988"/>
    <cfRule type="duplicateValues" dxfId="962" priority="989"/>
    <cfRule type="duplicateValues" dxfId="961" priority="990"/>
    <cfRule type="duplicateValues" dxfId="960" priority="991"/>
    <cfRule type="duplicateValues" dxfId="959" priority="992"/>
    <cfRule type="duplicateValues" dxfId="958" priority="993"/>
    <cfRule type="duplicateValues" dxfId="957" priority="994"/>
    <cfRule type="duplicateValues" dxfId="956" priority="995"/>
    <cfRule type="duplicateValues" dxfId="955" priority="996"/>
    <cfRule type="duplicateValues" dxfId="954" priority="997"/>
    <cfRule type="duplicateValues" dxfId="953" priority="998"/>
    <cfRule type="duplicateValues" dxfId="952" priority="999"/>
  </conditionalFormatting>
  <conditionalFormatting sqref="J13">
    <cfRule type="duplicateValues" dxfId="951" priority="884"/>
  </conditionalFormatting>
  <conditionalFormatting sqref="J13">
    <cfRule type="duplicateValues" dxfId="950" priority="882"/>
    <cfRule type="duplicateValues" dxfId="949" priority="883"/>
  </conditionalFormatting>
  <conditionalFormatting sqref="J13">
    <cfRule type="duplicateValues" dxfId="948" priority="921"/>
  </conditionalFormatting>
  <conditionalFormatting sqref="J13">
    <cfRule type="duplicateValues" dxfId="947" priority="922"/>
    <cfRule type="duplicateValues" dxfId="946" priority="923"/>
  </conditionalFormatting>
  <conditionalFormatting sqref="J13">
    <cfRule type="duplicateValues" dxfId="945" priority="919"/>
  </conditionalFormatting>
  <conditionalFormatting sqref="J13">
    <cfRule type="duplicateValues" dxfId="944" priority="920"/>
  </conditionalFormatting>
  <conditionalFormatting sqref="J13">
    <cfRule type="duplicateValues" dxfId="943" priority="918"/>
  </conditionalFormatting>
  <conditionalFormatting sqref="J13">
    <cfRule type="duplicateValues" dxfId="942" priority="885"/>
    <cfRule type="duplicateValues" dxfId="941" priority="886"/>
    <cfRule type="duplicateValues" dxfId="940" priority="887"/>
    <cfRule type="duplicateValues" dxfId="939" priority="888"/>
  </conditionalFormatting>
  <conditionalFormatting sqref="J13">
    <cfRule type="duplicateValues" dxfId="938" priority="890"/>
    <cfRule type="duplicateValues" dxfId="937" priority="891"/>
    <cfRule type="duplicateValues" dxfId="936" priority="892"/>
    <cfRule type="duplicateValues" dxfId="935" priority="893"/>
    <cfRule type="duplicateValues" dxfId="934" priority="894"/>
  </conditionalFormatting>
  <conditionalFormatting sqref="J13">
    <cfRule type="duplicateValues" dxfId="933" priority="901"/>
    <cfRule type="duplicateValues" dxfId="932" priority="902"/>
    <cfRule type="duplicateValues" dxfId="931" priority="903"/>
    <cfRule type="duplicateValues" dxfId="930" priority="904"/>
    <cfRule type="duplicateValues" dxfId="929" priority="905"/>
    <cfRule type="duplicateValues" dxfId="928" priority="906"/>
    <cfRule type="duplicateValues" dxfId="927" priority="907"/>
    <cfRule type="duplicateValues" dxfId="926" priority="908"/>
    <cfRule type="duplicateValues" dxfId="925" priority="909"/>
    <cfRule type="duplicateValues" dxfId="924" priority="910"/>
    <cfRule type="duplicateValues" dxfId="923" priority="911"/>
  </conditionalFormatting>
  <conditionalFormatting sqref="J13">
    <cfRule type="duplicateValues" dxfId="922" priority="895"/>
    <cfRule type="duplicateValues" dxfId="921" priority="896"/>
    <cfRule type="duplicateValues" dxfId="920" priority="897"/>
    <cfRule type="duplicateValues" dxfId="919" priority="898"/>
    <cfRule type="duplicateValues" dxfId="918" priority="899"/>
    <cfRule type="duplicateValues" dxfId="917" priority="900"/>
  </conditionalFormatting>
  <conditionalFormatting sqref="J13">
    <cfRule type="duplicateValues" dxfId="916" priority="912"/>
    <cfRule type="duplicateValues" dxfId="915" priority="913"/>
    <cfRule type="duplicateValues" dxfId="914" priority="914"/>
    <cfRule type="duplicateValues" dxfId="913" priority="915"/>
    <cfRule type="duplicateValues" dxfId="912" priority="916"/>
    <cfRule type="duplicateValues" dxfId="911" priority="917"/>
  </conditionalFormatting>
  <conditionalFormatting sqref="J13">
    <cfRule type="duplicateValues" dxfId="910" priority="889"/>
  </conditionalFormatting>
  <conditionalFormatting sqref="J13">
    <cfRule type="duplicateValues" dxfId="909" priority="876"/>
    <cfRule type="duplicateValues" dxfId="908" priority="877"/>
    <cfRule type="duplicateValues" dxfId="907" priority="878"/>
    <cfRule type="duplicateValues" dxfId="906" priority="879"/>
    <cfRule type="duplicateValues" dxfId="905" priority="880"/>
    <cfRule type="duplicateValues" dxfId="904" priority="881"/>
  </conditionalFormatting>
  <conditionalFormatting sqref="J13">
    <cfRule type="duplicateValues" dxfId="903" priority="871"/>
    <cfRule type="duplicateValues" dxfId="902" priority="872"/>
    <cfRule type="duplicateValues" dxfId="901" priority="873"/>
    <cfRule type="duplicateValues" dxfId="900" priority="874"/>
    <cfRule type="duplicateValues" dxfId="899" priority="875"/>
  </conditionalFormatting>
  <conditionalFormatting sqref="J13">
    <cfRule type="duplicateValues" dxfId="898" priority="924"/>
    <cfRule type="duplicateValues" dxfId="897" priority="925"/>
    <cfRule type="duplicateValues" dxfId="896" priority="926"/>
    <cfRule type="duplicateValues" dxfId="895" priority="927"/>
    <cfRule type="duplicateValues" dxfId="894" priority="928"/>
    <cfRule type="duplicateValues" dxfId="893" priority="929"/>
    <cfRule type="duplicateValues" dxfId="892" priority="930"/>
    <cfRule type="duplicateValues" dxfId="891" priority="931"/>
    <cfRule type="duplicateValues" dxfId="890" priority="932"/>
    <cfRule type="duplicateValues" dxfId="889" priority="933"/>
    <cfRule type="duplicateValues" dxfId="888" priority="934"/>
    <cfRule type="duplicateValues" dxfId="887" priority="935"/>
    <cfRule type="duplicateValues" dxfId="886" priority="936"/>
    <cfRule type="duplicateValues" dxfId="885" priority="937"/>
    <cfRule type="duplicateValues" dxfId="884" priority="938"/>
    <cfRule type="duplicateValues" dxfId="883" priority="939"/>
    <cfRule type="duplicateValues" dxfId="882" priority="940"/>
    <cfRule type="duplicateValues" dxfId="881" priority="941"/>
    <cfRule type="duplicateValues" dxfId="880" priority="942"/>
    <cfRule type="duplicateValues" dxfId="879" priority="943"/>
    <cfRule type="duplicateValues" dxfId="878" priority="944"/>
    <cfRule type="duplicateValues" dxfId="877" priority="945"/>
  </conditionalFormatting>
  <conditionalFormatting sqref="J13">
    <cfRule type="duplicateValues" dxfId="876" priority="946"/>
    <cfRule type="duplicateValues" dxfId="875" priority="947"/>
    <cfRule type="duplicateValues" dxfId="874" priority="948"/>
    <cfRule type="duplicateValues" dxfId="873" priority="949"/>
    <cfRule type="duplicateValues" dxfId="872" priority="950"/>
    <cfRule type="duplicateValues" dxfId="871" priority="951"/>
  </conditionalFormatting>
  <conditionalFormatting sqref="J13">
    <cfRule type="duplicateValues" dxfId="870" priority="803"/>
  </conditionalFormatting>
  <conditionalFormatting sqref="J13">
    <cfRule type="duplicateValues" dxfId="869" priority="801"/>
    <cfRule type="duplicateValues" dxfId="868" priority="802"/>
  </conditionalFormatting>
  <conditionalFormatting sqref="J13">
    <cfRule type="duplicateValues" dxfId="867" priority="840"/>
  </conditionalFormatting>
  <conditionalFormatting sqref="J13">
    <cfRule type="duplicateValues" dxfId="866" priority="841"/>
    <cfRule type="duplicateValues" dxfId="865" priority="842"/>
  </conditionalFormatting>
  <conditionalFormatting sqref="J13">
    <cfRule type="duplicateValues" dxfId="864" priority="838"/>
  </conditionalFormatting>
  <conditionalFormatting sqref="J13">
    <cfRule type="duplicateValues" dxfId="863" priority="839"/>
  </conditionalFormatting>
  <conditionalFormatting sqref="J13">
    <cfRule type="duplicateValues" dxfId="862" priority="837"/>
  </conditionalFormatting>
  <conditionalFormatting sqref="J13">
    <cfRule type="duplicateValues" dxfId="861" priority="804"/>
    <cfRule type="duplicateValues" dxfId="860" priority="805"/>
    <cfRule type="duplicateValues" dxfId="859" priority="806"/>
    <cfRule type="duplicateValues" dxfId="858" priority="807"/>
  </conditionalFormatting>
  <conditionalFormatting sqref="J13">
    <cfRule type="duplicateValues" dxfId="857" priority="809"/>
    <cfRule type="duplicateValues" dxfId="856" priority="810"/>
    <cfRule type="duplicateValues" dxfId="855" priority="811"/>
    <cfRule type="duplicateValues" dxfId="854" priority="812"/>
    <cfRule type="duplicateValues" dxfId="853" priority="813"/>
  </conditionalFormatting>
  <conditionalFormatting sqref="J13">
    <cfRule type="duplicateValues" dxfId="852" priority="820"/>
    <cfRule type="duplicateValues" dxfId="851" priority="821"/>
    <cfRule type="duplicateValues" dxfId="850" priority="822"/>
    <cfRule type="duplicateValues" dxfId="849" priority="823"/>
    <cfRule type="duplicateValues" dxfId="848" priority="824"/>
    <cfRule type="duplicateValues" dxfId="847" priority="825"/>
    <cfRule type="duplicateValues" dxfId="846" priority="826"/>
    <cfRule type="duplicateValues" dxfId="845" priority="827"/>
    <cfRule type="duplicateValues" dxfId="844" priority="828"/>
    <cfRule type="duplicateValues" dxfId="843" priority="829"/>
    <cfRule type="duplicateValues" dxfId="842" priority="830"/>
  </conditionalFormatting>
  <conditionalFormatting sqref="J13">
    <cfRule type="duplicateValues" dxfId="841" priority="814"/>
    <cfRule type="duplicateValues" dxfId="840" priority="815"/>
    <cfRule type="duplicateValues" dxfId="839" priority="816"/>
    <cfRule type="duplicateValues" dxfId="838" priority="817"/>
    <cfRule type="duplicateValues" dxfId="837" priority="818"/>
    <cfRule type="duplicateValues" dxfId="836" priority="819"/>
  </conditionalFormatting>
  <conditionalFormatting sqref="J13">
    <cfRule type="duplicateValues" dxfId="835" priority="831"/>
    <cfRule type="duplicateValues" dxfId="834" priority="832"/>
    <cfRule type="duplicateValues" dxfId="833" priority="833"/>
    <cfRule type="duplicateValues" dxfId="832" priority="834"/>
    <cfRule type="duplicateValues" dxfId="831" priority="835"/>
    <cfRule type="duplicateValues" dxfId="830" priority="836"/>
  </conditionalFormatting>
  <conditionalFormatting sqref="J13">
    <cfRule type="duplicateValues" dxfId="829" priority="808"/>
  </conditionalFormatting>
  <conditionalFormatting sqref="J13">
    <cfRule type="duplicateValues" dxfId="828" priority="795"/>
    <cfRule type="duplicateValues" dxfId="827" priority="796"/>
    <cfRule type="duplicateValues" dxfId="826" priority="797"/>
    <cfRule type="duplicateValues" dxfId="825" priority="798"/>
    <cfRule type="duplicateValues" dxfId="824" priority="799"/>
    <cfRule type="duplicateValues" dxfId="823" priority="800"/>
  </conditionalFormatting>
  <conditionalFormatting sqref="J13">
    <cfRule type="duplicateValues" dxfId="822" priority="790"/>
    <cfRule type="duplicateValues" dxfId="821" priority="791"/>
    <cfRule type="duplicateValues" dxfId="820" priority="792"/>
    <cfRule type="duplicateValues" dxfId="819" priority="793"/>
    <cfRule type="duplicateValues" dxfId="818" priority="794"/>
  </conditionalFormatting>
  <conditionalFormatting sqref="J13">
    <cfRule type="duplicateValues" dxfId="817" priority="843"/>
    <cfRule type="duplicateValues" dxfId="816" priority="844"/>
    <cfRule type="duplicateValues" dxfId="815" priority="845"/>
    <cfRule type="duplicateValues" dxfId="814" priority="846"/>
    <cfRule type="duplicateValues" dxfId="813" priority="847"/>
    <cfRule type="duplicateValues" dxfId="812" priority="848"/>
    <cfRule type="duplicateValues" dxfId="811" priority="849"/>
    <cfRule type="duplicateValues" dxfId="810" priority="850"/>
    <cfRule type="duplicateValues" dxfId="809" priority="851"/>
    <cfRule type="duplicateValues" dxfId="808" priority="852"/>
    <cfRule type="duplicateValues" dxfId="807" priority="853"/>
    <cfRule type="duplicateValues" dxfId="806" priority="854"/>
    <cfRule type="duplicateValues" dxfId="805" priority="855"/>
    <cfRule type="duplicateValues" dxfId="804" priority="856"/>
    <cfRule type="duplicateValues" dxfId="803" priority="857"/>
    <cfRule type="duplicateValues" dxfId="802" priority="858"/>
    <cfRule type="duplicateValues" dxfId="801" priority="859"/>
    <cfRule type="duplicateValues" dxfId="800" priority="860"/>
    <cfRule type="duplicateValues" dxfId="799" priority="861"/>
    <cfRule type="duplicateValues" dxfId="798" priority="862"/>
    <cfRule type="duplicateValues" dxfId="797" priority="863"/>
    <cfRule type="duplicateValues" dxfId="796" priority="864"/>
  </conditionalFormatting>
  <conditionalFormatting sqref="J13">
    <cfRule type="duplicateValues" dxfId="795" priority="865"/>
    <cfRule type="duplicateValues" dxfId="794" priority="866"/>
    <cfRule type="duplicateValues" dxfId="793" priority="867"/>
    <cfRule type="duplicateValues" dxfId="792" priority="868"/>
    <cfRule type="duplicateValues" dxfId="791" priority="869"/>
    <cfRule type="duplicateValues" dxfId="790" priority="870"/>
  </conditionalFormatting>
  <conditionalFormatting sqref="J13">
    <cfRule type="duplicateValues" dxfId="789" priority="755"/>
  </conditionalFormatting>
  <conditionalFormatting sqref="J13">
    <cfRule type="duplicateValues" dxfId="788" priority="753"/>
    <cfRule type="duplicateValues" dxfId="787" priority="754"/>
  </conditionalFormatting>
  <conditionalFormatting sqref="J13">
    <cfRule type="duplicateValues" dxfId="786" priority="759"/>
  </conditionalFormatting>
  <conditionalFormatting sqref="J13">
    <cfRule type="duplicateValues" dxfId="785" priority="760"/>
    <cfRule type="duplicateValues" dxfId="784" priority="761"/>
  </conditionalFormatting>
  <conditionalFormatting sqref="J13">
    <cfRule type="duplicateValues" dxfId="783" priority="757"/>
  </conditionalFormatting>
  <conditionalFormatting sqref="J13">
    <cfRule type="duplicateValues" dxfId="782" priority="758"/>
  </conditionalFormatting>
  <conditionalFormatting sqref="J13">
    <cfRule type="duplicateValues" dxfId="781" priority="756"/>
  </conditionalFormatting>
  <conditionalFormatting sqref="J13">
    <cfRule type="duplicateValues" dxfId="780" priority="747"/>
    <cfRule type="duplicateValues" dxfId="779" priority="748"/>
    <cfRule type="duplicateValues" dxfId="778" priority="749"/>
    <cfRule type="duplicateValues" dxfId="777" priority="750"/>
    <cfRule type="duplicateValues" dxfId="776" priority="751"/>
    <cfRule type="duplicateValues" dxfId="775" priority="752"/>
  </conditionalFormatting>
  <conditionalFormatting sqref="J13">
    <cfRule type="duplicateValues" dxfId="774" priority="742"/>
    <cfRule type="duplicateValues" dxfId="773" priority="743"/>
    <cfRule type="duplicateValues" dxfId="772" priority="744"/>
    <cfRule type="duplicateValues" dxfId="771" priority="745"/>
    <cfRule type="duplicateValues" dxfId="770" priority="746"/>
  </conditionalFormatting>
  <conditionalFormatting sqref="J13">
    <cfRule type="duplicateValues" dxfId="769" priority="762"/>
    <cfRule type="duplicateValues" dxfId="768" priority="763"/>
    <cfRule type="duplicateValues" dxfId="767" priority="764"/>
    <cfRule type="duplicateValues" dxfId="766" priority="765"/>
    <cfRule type="duplicateValues" dxfId="765" priority="766"/>
    <cfRule type="duplicateValues" dxfId="764" priority="767"/>
    <cfRule type="duplicateValues" dxfId="763" priority="768"/>
    <cfRule type="duplicateValues" dxfId="762" priority="769"/>
    <cfRule type="duplicateValues" dxfId="761" priority="770"/>
    <cfRule type="duplicateValues" dxfId="760" priority="771"/>
    <cfRule type="duplicateValues" dxfId="759" priority="772"/>
    <cfRule type="duplicateValues" dxfId="758" priority="773"/>
    <cfRule type="duplicateValues" dxfId="757" priority="774"/>
    <cfRule type="duplicateValues" dxfId="756" priority="775"/>
    <cfRule type="duplicateValues" dxfId="755" priority="776"/>
    <cfRule type="duplicateValues" dxfId="754" priority="777"/>
    <cfRule type="duplicateValues" dxfId="753" priority="778"/>
    <cfRule type="duplicateValues" dxfId="752" priority="779"/>
    <cfRule type="duplicateValues" dxfId="751" priority="780"/>
    <cfRule type="duplicateValues" dxfId="750" priority="781"/>
    <cfRule type="duplicateValues" dxfId="749" priority="782"/>
    <cfRule type="duplicateValues" dxfId="748" priority="783"/>
    <cfRule type="duplicateValues" dxfId="747" priority="784"/>
    <cfRule type="duplicateValues" dxfId="746" priority="785"/>
    <cfRule type="duplicateValues" dxfId="745" priority="786"/>
    <cfRule type="duplicateValues" dxfId="744" priority="787"/>
    <cfRule type="duplicateValues" dxfId="743" priority="788"/>
    <cfRule type="duplicateValues" dxfId="742" priority="789"/>
  </conditionalFormatting>
  <conditionalFormatting sqref="J13">
    <cfRule type="duplicateValues" dxfId="741" priority="674"/>
  </conditionalFormatting>
  <conditionalFormatting sqref="J13">
    <cfRule type="duplicateValues" dxfId="740" priority="672"/>
    <cfRule type="duplicateValues" dxfId="739" priority="673"/>
  </conditionalFormatting>
  <conditionalFormatting sqref="J13">
    <cfRule type="duplicateValues" dxfId="738" priority="711"/>
  </conditionalFormatting>
  <conditionalFormatting sqref="J13">
    <cfRule type="duplicateValues" dxfId="737" priority="712"/>
    <cfRule type="duplicateValues" dxfId="736" priority="713"/>
  </conditionalFormatting>
  <conditionalFormatting sqref="J13">
    <cfRule type="duplicateValues" dxfId="735" priority="709"/>
  </conditionalFormatting>
  <conditionalFormatting sqref="J13">
    <cfRule type="duplicateValues" dxfId="734" priority="710"/>
  </conditionalFormatting>
  <conditionalFormatting sqref="J13">
    <cfRule type="duplicateValues" dxfId="733" priority="708"/>
  </conditionalFormatting>
  <conditionalFormatting sqref="J13">
    <cfRule type="duplicateValues" dxfId="732" priority="675"/>
    <cfRule type="duplicateValues" dxfId="731" priority="676"/>
    <cfRule type="duplicateValues" dxfId="730" priority="677"/>
    <cfRule type="duplicateValues" dxfId="729" priority="678"/>
  </conditionalFormatting>
  <conditionalFormatting sqref="J13">
    <cfRule type="duplicateValues" dxfId="728" priority="680"/>
    <cfRule type="duplicateValues" dxfId="727" priority="681"/>
    <cfRule type="duplicateValues" dxfId="726" priority="682"/>
    <cfRule type="duplicateValues" dxfId="725" priority="683"/>
    <cfRule type="duplicateValues" dxfId="724" priority="684"/>
  </conditionalFormatting>
  <conditionalFormatting sqref="J13">
    <cfRule type="duplicateValues" dxfId="723" priority="691"/>
    <cfRule type="duplicateValues" dxfId="722" priority="692"/>
    <cfRule type="duplicateValues" dxfId="721" priority="693"/>
    <cfRule type="duplicateValues" dxfId="720" priority="694"/>
    <cfRule type="duplicateValues" dxfId="719" priority="695"/>
    <cfRule type="duplicateValues" dxfId="718" priority="696"/>
    <cfRule type="duplicateValues" dxfId="717" priority="697"/>
    <cfRule type="duplicateValues" dxfId="716" priority="698"/>
    <cfRule type="duplicateValues" dxfId="715" priority="699"/>
    <cfRule type="duplicateValues" dxfId="714" priority="700"/>
    <cfRule type="duplicateValues" dxfId="713" priority="701"/>
  </conditionalFormatting>
  <conditionalFormatting sqref="J13">
    <cfRule type="duplicateValues" dxfId="712" priority="685"/>
    <cfRule type="duplicateValues" dxfId="711" priority="686"/>
    <cfRule type="duplicateValues" dxfId="710" priority="687"/>
    <cfRule type="duplicateValues" dxfId="709" priority="688"/>
    <cfRule type="duplicateValues" dxfId="708" priority="689"/>
    <cfRule type="duplicateValues" dxfId="707" priority="690"/>
  </conditionalFormatting>
  <conditionalFormatting sqref="J13">
    <cfRule type="duplicateValues" dxfId="706" priority="702"/>
    <cfRule type="duplicateValues" dxfId="705" priority="703"/>
    <cfRule type="duplicateValues" dxfId="704" priority="704"/>
    <cfRule type="duplicateValues" dxfId="703" priority="705"/>
    <cfRule type="duplicateValues" dxfId="702" priority="706"/>
    <cfRule type="duplicateValues" dxfId="701" priority="707"/>
  </conditionalFormatting>
  <conditionalFormatting sqref="J13">
    <cfRule type="duplicateValues" dxfId="700" priority="679"/>
  </conditionalFormatting>
  <conditionalFormatting sqref="J13">
    <cfRule type="duplicateValues" dxfId="699" priority="666"/>
    <cfRule type="duplicateValues" dxfId="698" priority="667"/>
    <cfRule type="duplicateValues" dxfId="697" priority="668"/>
    <cfRule type="duplicateValues" dxfId="696" priority="669"/>
    <cfRule type="duplicateValues" dxfId="695" priority="670"/>
    <cfRule type="duplicateValues" dxfId="694" priority="671"/>
  </conditionalFormatting>
  <conditionalFormatting sqref="J13">
    <cfRule type="duplicateValues" dxfId="693" priority="661"/>
    <cfRule type="duplicateValues" dxfId="692" priority="662"/>
    <cfRule type="duplicateValues" dxfId="691" priority="663"/>
    <cfRule type="duplicateValues" dxfId="690" priority="664"/>
    <cfRule type="duplicateValues" dxfId="689" priority="665"/>
  </conditionalFormatting>
  <conditionalFormatting sqref="J13">
    <cfRule type="duplicateValues" dxfId="688" priority="714"/>
    <cfRule type="duplicateValues" dxfId="687" priority="715"/>
    <cfRule type="duplicateValues" dxfId="686" priority="716"/>
    <cfRule type="duplicateValues" dxfId="685" priority="717"/>
    <cfRule type="duplicateValues" dxfId="684" priority="718"/>
    <cfRule type="duplicateValues" dxfId="683" priority="719"/>
    <cfRule type="duplicateValues" dxfId="682" priority="720"/>
    <cfRule type="duplicateValues" dxfId="681" priority="721"/>
    <cfRule type="duplicateValues" dxfId="680" priority="722"/>
    <cfRule type="duplicateValues" dxfId="679" priority="723"/>
    <cfRule type="duplicateValues" dxfId="678" priority="724"/>
    <cfRule type="duplicateValues" dxfId="677" priority="725"/>
    <cfRule type="duplicateValues" dxfId="676" priority="726"/>
    <cfRule type="duplicateValues" dxfId="675" priority="727"/>
    <cfRule type="duplicateValues" dxfId="674" priority="728"/>
    <cfRule type="duplicateValues" dxfId="673" priority="729"/>
    <cfRule type="duplicateValues" dxfId="672" priority="730"/>
    <cfRule type="duplicateValues" dxfId="671" priority="731"/>
    <cfRule type="duplicateValues" dxfId="670" priority="732"/>
    <cfRule type="duplicateValues" dxfId="669" priority="733"/>
    <cfRule type="duplicateValues" dxfId="668" priority="734"/>
    <cfRule type="duplicateValues" dxfId="667" priority="735"/>
  </conditionalFormatting>
  <conditionalFormatting sqref="J13">
    <cfRule type="duplicateValues" dxfId="666" priority="736"/>
    <cfRule type="duplicateValues" dxfId="665" priority="737"/>
    <cfRule type="duplicateValues" dxfId="664" priority="738"/>
    <cfRule type="duplicateValues" dxfId="663" priority="739"/>
    <cfRule type="duplicateValues" dxfId="662" priority="740"/>
    <cfRule type="duplicateValues" dxfId="661" priority="741"/>
  </conditionalFormatting>
  <conditionalFormatting sqref="J13">
    <cfRule type="duplicateValues" dxfId="660" priority="626"/>
  </conditionalFormatting>
  <conditionalFormatting sqref="J13">
    <cfRule type="duplicateValues" dxfId="659" priority="624"/>
    <cfRule type="duplicateValues" dxfId="658" priority="625"/>
  </conditionalFormatting>
  <conditionalFormatting sqref="J13">
    <cfRule type="duplicateValues" dxfId="657" priority="630"/>
  </conditionalFormatting>
  <conditionalFormatting sqref="J13">
    <cfRule type="duplicateValues" dxfId="656" priority="631"/>
    <cfRule type="duplicateValues" dxfId="655" priority="632"/>
  </conditionalFormatting>
  <conditionalFormatting sqref="J13">
    <cfRule type="duplicateValues" dxfId="654" priority="628"/>
  </conditionalFormatting>
  <conditionalFormatting sqref="J13">
    <cfRule type="duplicateValues" dxfId="653" priority="629"/>
  </conditionalFormatting>
  <conditionalFormatting sqref="J13">
    <cfRule type="duplicateValues" dxfId="652" priority="627"/>
  </conditionalFormatting>
  <conditionalFormatting sqref="J13">
    <cfRule type="duplicateValues" dxfId="651" priority="618"/>
    <cfRule type="duplicateValues" dxfId="650" priority="619"/>
    <cfRule type="duplicateValues" dxfId="649" priority="620"/>
    <cfRule type="duplicateValues" dxfId="648" priority="621"/>
    <cfRule type="duplicateValues" dxfId="647" priority="622"/>
    <cfRule type="duplicateValues" dxfId="646" priority="623"/>
  </conditionalFormatting>
  <conditionalFormatting sqref="J13">
    <cfRule type="duplicateValues" dxfId="645" priority="613"/>
    <cfRule type="duplicateValues" dxfId="644" priority="614"/>
    <cfRule type="duplicateValues" dxfId="643" priority="615"/>
    <cfRule type="duplicateValues" dxfId="642" priority="616"/>
    <cfRule type="duplicateValues" dxfId="641" priority="617"/>
  </conditionalFormatting>
  <conditionalFormatting sqref="J13">
    <cfRule type="duplicateValues" dxfId="640" priority="633"/>
    <cfRule type="duplicateValues" dxfId="639" priority="634"/>
    <cfRule type="duplicateValues" dxfId="638" priority="635"/>
    <cfRule type="duplicateValues" dxfId="637" priority="636"/>
    <cfRule type="duplicateValues" dxfId="636" priority="637"/>
    <cfRule type="duplicateValues" dxfId="635" priority="638"/>
    <cfRule type="duplicateValues" dxfId="634" priority="639"/>
    <cfRule type="duplicateValues" dxfId="633" priority="640"/>
    <cfRule type="duplicateValues" dxfId="632" priority="641"/>
    <cfRule type="duplicateValues" dxfId="631" priority="642"/>
    <cfRule type="duplicateValues" dxfId="630" priority="643"/>
    <cfRule type="duplicateValues" dxfId="629" priority="644"/>
    <cfRule type="duplicateValues" dxfId="628" priority="645"/>
    <cfRule type="duplicateValues" dxfId="627" priority="646"/>
    <cfRule type="duplicateValues" dxfId="626" priority="647"/>
    <cfRule type="duplicateValues" dxfId="625" priority="648"/>
    <cfRule type="duplicateValues" dxfId="624" priority="649"/>
    <cfRule type="duplicateValues" dxfId="623" priority="650"/>
    <cfRule type="duplicateValues" dxfId="622" priority="651"/>
    <cfRule type="duplicateValues" dxfId="621" priority="652"/>
    <cfRule type="duplicateValues" dxfId="620" priority="653"/>
    <cfRule type="duplicateValues" dxfId="619" priority="654"/>
    <cfRule type="duplicateValues" dxfId="618" priority="655"/>
    <cfRule type="duplicateValues" dxfId="617" priority="656"/>
    <cfRule type="duplicateValues" dxfId="616" priority="657"/>
    <cfRule type="duplicateValues" dxfId="615" priority="658"/>
    <cfRule type="duplicateValues" dxfId="614" priority="659"/>
    <cfRule type="duplicateValues" dxfId="613" priority="660"/>
  </conditionalFormatting>
  <conditionalFormatting sqref="J17">
    <cfRule type="duplicateValues" dxfId="612" priority="578"/>
  </conditionalFormatting>
  <conditionalFormatting sqref="J17">
    <cfRule type="duplicateValues" dxfId="611" priority="576"/>
    <cfRule type="duplicateValues" dxfId="610" priority="577"/>
  </conditionalFormatting>
  <conditionalFormatting sqref="J17">
    <cfRule type="duplicateValues" dxfId="609" priority="582"/>
  </conditionalFormatting>
  <conditionalFormatting sqref="J17">
    <cfRule type="duplicateValues" dxfId="608" priority="583"/>
    <cfRule type="duplicateValues" dxfId="607" priority="584"/>
  </conditionalFormatting>
  <conditionalFormatting sqref="J17">
    <cfRule type="duplicateValues" dxfId="606" priority="580"/>
  </conditionalFormatting>
  <conditionalFormatting sqref="J17">
    <cfRule type="duplicateValues" dxfId="605" priority="581"/>
  </conditionalFormatting>
  <conditionalFormatting sqref="J17">
    <cfRule type="duplicateValues" dxfId="604" priority="579"/>
  </conditionalFormatting>
  <conditionalFormatting sqref="J17">
    <cfRule type="duplicateValues" dxfId="603" priority="570"/>
    <cfRule type="duplicateValues" dxfId="602" priority="571"/>
    <cfRule type="duplicateValues" dxfId="601" priority="572"/>
    <cfRule type="duplicateValues" dxfId="600" priority="573"/>
    <cfRule type="duplicateValues" dxfId="599" priority="574"/>
    <cfRule type="duplicateValues" dxfId="598" priority="575"/>
  </conditionalFormatting>
  <conditionalFormatting sqref="J17">
    <cfRule type="duplicateValues" dxfId="597" priority="565"/>
    <cfRule type="duplicateValues" dxfId="596" priority="566"/>
    <cfRule type="duplicateValues" dxfId="595" priority="567"/>
    <cfRule type="duplicateValues" dxfId="594" priority="568"/>
    <cfRule type="duplicateValues" dxfId="593" priority="569"/>
  </conditionalFormatting>
  <conditionalFormatting sqref="J17">
    <cfRule type="duplicateValues" dxfId="592" priority="585"/>
    <cfRule type="duplicateValues" dxfId="591" priority="586"/>
    <cfRule type="duplicateValues" dxfId="590" priority="587"/>
    <cfRule type="duplicateValues" dxfId="589" priority="588"/>
    <cfRule type="duplicateValues" dxfId="588" priority="589"/>
    <cfRule type="duplicateValues" dxfId="587" priority="590"/>
    <cfRule type="duplicateValues" dxfId="586" priority="591"/>
    <cfRule type="duplicateValues" dxfId="585" priority="592"/>
    <cfRule type="duplicateValues" dxfId="584" priority="593"/>
    <cfRule type="duplicateValues" dxfId="583" priority="594"/>
    <cfRule type="duplicateValues" dxfId="582" priority="595"/>
    <cfRule type="duplicateValues" dxfId="581" priority="596"/>
    <cfRule type="duplicateValues" dxfId="580" priority="597"/>
    <cfRule type="duplicateValues" dxfId="579" priority="598"/>
    <cfRule type="duplicateValues" dxfId="578" priority="599"/>
    <cfRule type="duplicateValues" dxfId="577" priority="600"/>
    <cfRule type="duplicateValues" dxfId="576" priority="601"/>
    <cfRule type="duplicateValues" dxfId="575" priority="602"/>
    <cfRule type="duplicateValues" dxfId="574" priority="603"/>
    <cfRule type="duplicateValues" dxfId="573" priority="604"/>
    <cfRule type="duplicateValues" dxfId="572" priority="605"/>
    <cfRule type="duplicateValues" dxfId="571" priority="606"/>
    <cfRule type="duplicateValues" dxfId="570" priority="607"/>
    <cfRule type="duplicateValues" dxfId="569" priority="608"/>
    <cfRule type="duplicateValues" dxfId="568" priority="609"/>
    <cfRule type="duplicateValues" dxfId="567" priority="610"/>
    <cfRule type="duplicateValues" dxfId="566" priority="611"/>
    <cfRule type="duplicateValues" dxfId="565" priority="612"/>
  </conditionalFormatting>
  <conditionalFormatting sqref="J17">
    <cfRule type="duplicateValues" dxfId="564" priority="530"/>
  </conditionalFormatting>
  <conditionalFormatting sqref="J17">
    <cfRule type="duplicateValues" dxfId="563" priority="528"/>
    <cfRule type="duplicateValues" dxfId="562" priority="529"/>
  </conditionalFormatting>
  <conditionalFormatting sqref="J17">
    <cfRule type="duplicateValues" dxfId="561" priority="534"/>
  </conditionalFormatting>
  <conditionalFormatting sqref="J17">
    <cfRule type="duplicateValues" dxfId="560" priority="535"/>
    <cfRule type="duplicateValues" dxfId="559" priority="536"/>
  </conditionalFormatting>
  <conditionalFormatting sqref="J17">
    <cfRule type="duplicateValues" dxfId="558" priority="532"/>
  </conditionalFormatting>
  <conditionalFormatting sqref="J17">
    <cfRule type="duplicateValues" dxfId="557" priority="533"/>
  </conditionalFormatting>
  <conditionalFormatting sqref="J17">
    <cfRule type="duplicateValues" dxfId="556" priority="531"/>
  </conditionalFormatting>
  <conditionalFormatting sqref="J17">
    <cfRule type="duplicateValues" dxfId="555" priority="522"/>
    <cfRule type="duplicateValues" dxfId="554" priority="523"/>
    <cfRule type="duplicateValues" dxfId="553" priority="524"/>
    <cfRule type="duplicateValues" dxfId="552" priority="525"/>
    <cfRule type="duplicateValues" dxfId="551" priority="526"/>
    <cfRule type="duplicateValues" dxfId="550" priority="527"/>
  </conditionalFormatting>
  <conditionalFormatting sqref="J17">
    <cfRule type="duplicateValues" dxfId="549" priority="517"/>
    <cfRule type="duplicateValues" dxfId="548" priority="518"/>
    <cfRule type="duplicateValues" dxfId="547" priority="519"/>
    <cfRule type="duplicateValues" dxfId="546" priority="520"/>
    <cfRule type="duplicateValues" dxfId="545" priority="521"/>
  </conditionalFormatting>
  <conditionalFormatting sqref="J17">
    <cfRule type="duplicateValues" dxfId="544" priority="537"/>
    <cfRule type="duplicateValues" dxfId="543" priority="538"/>
    <cfRule type="duplicateValues" dxfId="542" priority="539"/>
    <cfRule type="duplicateValues" dxfId="541" priority="540"/>
    <cfRule type="duplicateValues" dxfId="540" priority="541"/>
    <cfRule type="duplicateValues" dxfId="539" priority="542"/>
    <cfRule type="duplicateValues" dxfId="538" priority="543"/>
    <cfRule type="duplicateValues" dxfId="537" priority="544"/>
    <cfRule type="duplicateValues" dxfId="536" priority="545"/>
    <cfRule type="duplicateValues" dxfId="535" priority="546"/>
    <cfRule type="duplicateValues" dxfId="534" priority="547"/>
    <cfRule type="duplicateValues" dxfId="533" priority="548"/>
    <cfRule type="duplicateValues" dxfId="532" priority="549"/>
    <cfRule type="duplicateValues" dxfId="531" priority="550"/>
    <cfRule type="duplicateValues" dxfId="530" priority="551"/>
    <cfRule type="duplicateValues" dxfId="529" priority="552"/>
    <cfRule type="duplicateValues" dxfId="528" priority="553"/>
    <cfRule type="duplicateValues" dxfId="527" priority="554"/>
    <cfRule type="duplicateValues" dxfId="526" priority="555"/>
    <cfRule type="duplicateValues" dxfId="525" priority="556"/>
    <cfRule type="duplicateValues" dxfId="524" priority="557"/>
    <cfRule type="duplicateValues" dxfId="523" priority="558"/>
    <cfRule type="duplicateValues" dxfId="522" priority="559"/>
    <cfRule type="duplicateValues" dxfId="521" priority="560"/>
    <cfRule type="duplicateValues" dxfId="520" priority="561"/>
    <cfRule type="duplicateValues" dxfId="519" priority="562"/>
    <cfRule type="duplicateValues" dxfId="518" priority="563"/>
    <cfRule type="duplicateValues" dxfId="517" priority="564"/>
  </conditionalFormatting>
  <conditionalFormatting sqref="J17">
    <cfRule type="duplicateValues" dxfId="516" priority="482"/>
  </conditionalFormatting>
  <conditionalFormatting sqref="J17">
    <cfRule type="duplicateValues" dxfId="515" priority="480"/>
    <cfRule type="duplicateValues" dxfId="514" priority="481"/>
  </conditionalFormatting>
  <conditionalFormatting sqref="J17">
    <cfRule type="duplicateValues" dxfId="513" priority="486"/>
  </conditionalFormatting>
  <conditionalFormatting sqref="J17">
    <cfRule type="duplicateValues" dxfId="512" priority="487"/>
    <cfRule type="duplicateValues" dxfId="511" priority="488"/>
  </conditionalFormatting>
  <conditionalFormatting sqref="J17">
    <cfRule type="duplicateValues" dxfId="510" priority="484"/>
  </conditionalFormatting>
  <conditionalFormatting sqref="J17">
    <cfRule type="duplicateValues" dxfId="509" priority="485"/>
  </conditionalFormatting>
  <conditionalFormatting sqref="J17">
    <cfRule type="duplicateValues" dxfId="508" priority="483"/>
  </conditionalFormatting>
  <conditionalFormatting sqref="J17">
    <cfRule type="duplicateValues" dxfId="507" priority="474"/>
    <cfRule type="duplicateValues" dxfId="506" priority="475"/>
    <cfRule type="duplicateValues" dxfId="505" priority="476"/>
    <cfRule type="duplicateValues" dxfId="504" priority="477"/>
    <cfRule type="duplicateValues" dxfId="503" priority="478"/>
    <cfRule type="duplicateValues" dxfId="502" priority="479"/>
  </conditionalFormatting>
  <conditionalFormatting sqref="J17">
    <cfRule type="duplicateValues" dxfId="501" priority="469"/>
    <cfRule type="duplicateValues" dxfId="500" priority="470"/>
    <cfRule type="duplicateValues" dxfId="499" priority="471"/>
    <cfRule type="duplicateValues" dxfId="498" priority="472"/>
    <cfRule type="duplicateValues" dxfId="497" priority="473"/>
  </conditionalFormatting>
  <conditionalFormatting sqref="J17">
    <cfRule type="duplicateValues" dxfId="496" priority="489"/>
    <cfRule type="duplicateValues" dxfId="495" priority="490"/>
    <cfRule type="duplicateValues" dxfId="494" priority="491"/>
    <cfRule type="duplicateValues" dxfId="493" priority="492"/>
    <cfRule type="duplicateValues" dxfId="492" priority="493"/>
    <cfRule type="duplicateValues" dxfId="491" priority="494"/>
    <cfRule type="duplicateValues" dxfId="490" priority="495"/>
    <cfRule type="duplicateValues" dxfId="489" priority="496"/>
    <cfRule type="duplicateValues" dxfId="488" priority="497"/>
    <cfRule type="duplicateValues" dxfId="487" priority="498"/>
    <cfRule type="duplicateValues" dxfId="486" priority="499"/>
    <cfRule type="duplicateValues" dxfId="485" priority="500"/>
    <cfRule type="duplicateValues" dxfId="484" priority="501"/>
    <cfRule type="duplicateValues" dxfId="483" priority="502"/>
    <cfRule type="duplicateValues" dxfId="482" priority="503"/>
    <cfRule type="duplicateValues" dxfId="481" priority="504"/>
    <cfRule type="duplicateValues" dxfId="480" priority="505"/>
    <cfRule type="duplicateValues" dxfId="479" priority="506"/>
    <cfRule type="duplicateValues" dxfId="478" priority="507"/>
    <cfRule type="duplicateValues" dxfId="477" priority="508"/>
    <cfRule type="duplicateValues" dxfId="476" priority="509"/>
    <cfRule type="duplicateValues" dxfId="475" priority="510"/>
    <cfRule type="duplicateValues" dxfId="474" priority="511"/>
    <cfRule type="duplicateValues" dxfId="473" priority="512"/>
    <cfRule type="duplicateValues" dxfId="472" priority="513"/>
    <cfRule type="duplicateValues" dxfId="471" priority="514"/>
    <cfRule type="duplicateValues" dxfId="470" priority="515"/>
    <cfRule type="duplicateValues" dxfId="469" priority="516"/>
  </conditionalFormatting>
  <conditionalFormatting sqref="J17">
    <cfRule type="duplicateValues" dxfId="468" priority="401"/>
  </conditionalFormatting>
  <conditionalFormatting sqref="J17">
    <cfRule type="duplicateValues" dxfId="467" priority="399"/>
    <cfRule type="duplicateValues" dxfId="466" priority="400"/>
  </conditionalFormatting>
  <conditionalFormatting sqref="J17">
    <cfRule type="duplicateValues" dxfId="465" priority="438"/>
  </conditionalFormatting>
  <conditionalFormatting sqref="J17">
    <cfRule type="duplicateValues" dxfId="464" priority="439"/>
    <cfRule type="duplicateValues" dxfId="463" priority="440"/>
  </conditionalFormatting>
  <conditionalFormatting sqref="J17">
    <cfRule type="duplicateValues" dxfId="462" priority="436"/>
  </conditionalFormatting>
  <conditionalFormatting sqref="J17">
    <cfRule type="duplicateValues" dxfId="461" priority="437"/>
  </conditionalFormatting>
  <conditionalFormatting sqref="J17">
    <cfRule type="duplicateValues" dxfId="460" priority="435"/>
  </conditionalFormatting>
  <conditionalFormatting sqref="J17">
    <cfRule type="duplicateValues" dxfId="459" priority="402"/>
    <cfRule type="duplicateValues" dxfId="458" priority="403"/>
    <cfRule type="duplicateValues" dxfId="457" priority="404"/>
    <cfRule type="duplicateValues" dxfId="456" priority="405"/>
  </conditionalFormatting>
  <conditionalFormatting sqref="J17">
    <cfRule type="duplicateValues" dxfId="455" priority="407"/>
    <cfRule type="duplicateValues" dxfId="454" priority="408"/>
    <cfRule type="duplicateValues" dxfId="453" priority="409"/>
    <cfRule type="duplicateValues" dxfId="452" priority="410"/>
    <cfRule type="duplicateValues" dxfId="451" priority="411"/>
  </conditionalFormatting>
  <conditionalFormatting sqref="J17">
    <cfRule type="duplicateValues" dxfId="450" priority="418"/>
    <cfRule type="duplicateValues" dxfId="449" priority="419"/>
    <cfRule type="duplicateValues" dxfId="448" priority="420"/>
    <cfRule type="duplicateValues" dxfId="447" priority="421"/>
    <cfRule type="duplicateValues" dxfId="446" priority="422"/>
    <cfRule type="duplicateValues" dxfId="445" priority="423"/>
    <cfRule type="duplicateValues" dxfId="444" priority="424"/>
    <cfRule type="duplicateValues" dxfId="443" priority="425"/>
    <cfRule type="duplicateValues" dxfId="442" priority="426"/>
    <cfRule type="duplicateValues" dxfId="441" priority="427"/>
    <cfRule type="duplicateValues" dxfId="440" priority="428"/>
  </conditionalFormatting>
  <conditionalFormatting sqref="J17">
    <cfRule type="duplicateValues" dxfId="439" priority="412"/>
    <cfRule type="duplicateValues" dxfId="438" priority="413"/>
    <cfRule type="duplicateValues" dxfId="437" priority="414"/>
    <cfRule type="duplicateValues" dxfId="436" priority="415"/>
    <cfRule type="duplicateValues" dxfId="435" priority="416"/>
    <cfRule type="duplicateValues" dxfId="434" priority="417"/>
  </conditionalFormatting>
  <conditionalFormatting sqref="J17">
    <cfRule type="duplicateValues" dxfId="433" priority="429"/>
    <cfRule type="duplicateValues" dxfId="432" priority="430"/>
    <cfRule type="duplicateValues" dxfId="431" priority="431"/>
    <cfRule type="duplicateValues" dxfId="430" priority="432"/>
    <cfRule type="duplicateValues" dxfId="429" priority="433"/>
    <cfRule type="duplicateValues" dxfId="428" priority="434"/>
  </conditionalFormatting>
  <conditionalFormatting sqref="J17">
    <cfRule type="duplicateValues" dxfId="427" priority="406"/>
  </conditionalFormatting>
  <conditionalFormatting sqref="J17">
    <cfRule type="duplicateValues" dxfId="426" priority="393"/>
    <cfRule type="duplicateValues" dxfId="425" priority="394"/>
    <cfRule type="duplicateValues" dxfId="424" priority="395"/>
    <cfRule type="duplicateValues" dxfId="423" priority="396"/>
    <cfRule type="duplicateValues" dxfId="422" priority="397"/>
    <cfRule type="duplicateValues" dxfId="421" priority="398"/>
  </conditionalFormatting>
  <conditionalFormatting sqref="J17">
    <cfRule type="duplicateValues" dxfId="420" priority="388"/>
    <cfRule type="duplicateValues" dxfId="419" priority="389"/>
    <cfRule type="duplicateValues" dxfId="418" priority="390"/>
    <cfRule type="duplicateValues" dxfId="417" priority="391"/>
    <cfRule type="duplicateValues" dxfId="416" priority="392"/>
  </conditionalFormatting>
  <conditionalFormatting sqref="J17">
    <cfRule type="duplicateValues" dxfId="415" priority="441"/>
    <cfRule type="duplicateValues" dxfId="414" priority="442"/>
    <cfRule type="duplicateValues" dxfId="413" priority="443"/>
    <cfRule type="duplicateValues" dxfId="412" priority="444"/>
    <cfRule type="duplicateValues" dxfId="411" priority="445"/>
    <cfRule type="duplicateValues" dxfId="410" priority="446"/>
    <cfRule type="duplicateValues" dxfId="409" priority="447"/>
    <cfRule type="duplicateValues" dxfId="408" priority="448"/>
    <cfRule type="duplicateValues" dxfId="407" priority="449"/>
    <cfRule type="duplicateValues" dxfId="406" priority="450"/>
    <cfRule type="duplicateValues" dxfId="405" priority="451"/>
    <cfRule type="duplicateValues" dxfId="404" priority="452"/>
    <cfRule type="duplicateValues" dxfId="403" priority="453"/>
    <cfRule type="duplicateValues" dxfId="402" priority="454"/>
    <cfRule type="duplicateValues" dxfId="401" priority="455"/>
    <cfRule type="duplicateValues" dxfId="400" priority="456"/>
    <cfRule type="duplicateValues" dxfId="399" priority="457"/>
    <cfRule type="duplicateValues" dxfId="398" priority="458"/>
    <cfRule type="duplicateValues" dxfId="397" priority="459"/>
    <cfRule type="duplicateValues" dxfId="396" priority="460"/>
    <cfRule type="duplicateValues" dxfId="395" priority="461"/>
    <cfRule type="duplicateValues" dxfId="394" priority="462"/>
  </conditionalFormatting>
  <conditionalFormatting sqref="J17">
    <cfRule type="duplicateValues" dxfId="393" priority="463"/>
    <cfRule type="duplicateValues" dxfId="392" priority="464"/>
    <cfRule type="duplicateValues" dxfId="391" priority="465"/>
    <cfRule type="duplicateValues" dxfId="390" priority="466"/>
    <cfRule type="duplicateValues" dxfId="389" priority="467"/>
    <cfRule type="duplicateValues" dxfId="388" priority="468"/>
  </conditionalFormatting>
  <conditionalFormatting sqref="J14">
    <cfRule type="duplicateValues" dxfId="387" priority="320"/>
  </conditionalFormatting>
  <conditionalFormatting sqref="J14">
    <cfRule type="duplicateValues" dxfId="386" priority="318"/>
    <cfRule type="duplicateValues" dxfId="385" priority="319"/>
  </conditionalFormatting>
  <conditionalFormatting sqref="J14">
    <cfRule type="duplicateValues" dxfId="384" priority="357"/>
  </conditionalFormatting>
  <conditionalFormatting sqref="J14">
    <cfRule type="duplicateValues" dxfId="383" priority="358"/>
    <cfRule type="duplicateValues" dxfId="382" priority="359"/>
  </conditionalFormatting>
  <conditionalFormatting sqref="J14">
    <cfRule type="duplicateValues" dxfId="381" priority="355"/>
  </conditionalFormatting>
  <conditionalFormatting sqref="J14">
    <cfRule type="duplicateValues" dxfId="380" priority="356"/>
  </conditionalFormatting>
  <conditionalFormatting sqref="J14">
    <cfRule type="duplicateValues" dxfId="379" priority="354"/>
  </conditionalFormatting>
  <conditionalFormatting sqref="J14">
    <cfRule type="duplicateValues" dxfId="378" priority="321"/>
    <cfRule type="duplicateValues" dxfId="377" priority="322"/>
    <cfRule type="duplicateValues" dxfId="376" priority="323"/>
    <cfRule type="duplicateValues" dxfId="375" priority="324"/>
  </conditionalFormatting>
  <conditionalFormatting sqref="J14">
    <cfRule type="duplicateValues" dxfId="374" priority="326"/>
    <cfRule type="duplicateValues" dxfId="373" priority="327"/>
    <cfRule type="duplicateValues" dxfId="372" priority="328"/>
    <cfRule type="duplicateValues" dxfId="371" priority="329"/>
    <cfRule type="duplicateValues" dxfId="370" priority="330"/>
  </conditionalFormatting>
  <conditionalFormatting sqref="J14">
    <cfRule type="duplicateValues" dxfId="369" priority="337"/>
    <cfRule type="duplicateValues" dxfId="368" priority="338"/>
    <cfRule type="duplicateValues" dxfId="367" priority="339"/>
    <cfRule type="duplicateValues" dxfId="366" priority="340"/>
    <cfRule type="duplicateValues" dxfId="365" priority="341"/>
    <cfRule type="duplicateValues" dxfId="364" priority="342"/>
    <cfRule type="duplicateValues" dxfId="363" priority="343"/>
    <cfRule type="duplicateValues" dxfId="362" priority="344"/>
    <cfRule type="duplicateValues" dxfId="361" priority="345"/>
    <cfRule type="duplicateValues" dxfId="360" priority="346"/>
    <cfRule type="duplicateValues" dxfId="359" priority="347"/>
  </conditionalFormatting>
  <conditionalFormatting sqref="J14">
    <cfRule type="duplicateValues" dxfId="358" priority="331"/>
    <cfRule type="duplicateValues" dxfId="357" priority="332"/>
    <cfRule type="duplicateValues" dxfId="356" priority="333"/>
    <cfRule type="duplicateValues" dxfId="355" priority="334"/>
    <cfRule type="duplicateValues" dxfId="354" priority="335"/>
    <cfRule type="duplicateValues" dxfId="353" priority="336"/>
  </conditionalFormatting>
  <conditionalFormatting sqref="J14">
    <cfRule type="duplicateValues" dxfId="352" priority="348"/>
    <cfRule type="duplicateValues" dxfId="351" priority="349"/>
    <cfRule type="duplicateValues" dxfId="350" priority="350"/>
    <cfRule type="duplicateValues" dxfId="349" priority="351"/>
    <cfRule type="duplicateValues" dxfId="348" priority="352"/>
    <cfRule type="duplicateValues" dxfId="347" priority="353"/>
  </conditionalFormatting>
  <conditionalFormatting sqref="J14">
    <cfRule type="duplicateValues" dxfId="346" priority="325"/>
  </conditionalFormatting>
  <conditionalFormatting sqref="J14">
    <cfRule type="duplicateValues" dxfId="345" priority="312"/>
    <cfRule type="duplicateValues" dxfId="344" priority="313"/>
    <cfRule type="duplicateValues" dxfId="343" priority="314"/>
    <cfRule type="duplicateValues" dxfId="342" priority="315"/>
    <cfRule type="duplicateValues" dxfId="341" priority="316"/>
    <cfRule type="duplicateValues" dxfId="340" priority="317"/>
  </conditionalFormatting>
  <conditionalFormatting sqref="J14">
    <cfRule type="duplicateValues" dxfId="339" priority="307"/>
    <cfRule type="duplicateValues" dxfId="338" priority="308"/>
    <cfRule type="duplicateValues" dxfId="337" priority="309"/>
    <cfRule type="duplicateValues" dxfId="336" priority="310"/>
    <cfRule type="duplicateValues" dxfId="335" priority="311"/>
  </conditionalFormatting>
  <conditionalFormatting sqref="J14">
    <cfRule type="duplicateValues" dxfId="334" priority="360"/>
    <cfRule type="duplicateValues" dxfId="333" priority="361"/>
    <cfRule type="duplicateValues" dxfId="332" priority="362"/>
    <cfRule type="duplicateValues" dxfId="331" priority="363"/>
    <cfRule type="duplicateValues" dxfId="330" priority="364"/>
    <cfRule type="duplicateValues" dxfId="329" priority="365"/>
    <cfRule type="duplicateValues" dxfId="328" priority="366"/>
    <cfRule type="duplicateValues" dxfId="327" priority="367"/>
    <cfRule type="duplicateValues" dxfId="326" priority="368"/>
    <cfRule type="duplicateValues" dxfId="325" priority="369"/>
    <cfRule type="duplicateValues" dxfId="324" priority="370"/>
    <cfRule type="duplicateValues" dxfId="323" priority="371"/>
    <cfRule type="duplicateValues" dxfId="322" priority="372"/>
    <cfRule type="duplicateValues" dxfId="321" priority="373"/>
    <cfRule type="duplicateValues" dxfId="320" priority="374"/>
    <cfRule type="duplicateValues" dxfId="319" priority="375"/>
    <cfRule type="duplicateValues" dxfId="318" priority="376"/>
    <cfRule type="duplicateValues" dxfId="317" priority="377"/>
    <cfRule type="duplicateValues" dxfId="316" priority="378"/>
    <cfRule type="duplicateValues" dxfId="315" priority="379"/>
    <cfRule type="duplicateValues" dxfId="314" priority="380"/>
    <cfRule type="duplicateValues" dxfId="313" priority="381"/>
  </conditionalFormatting>
  <conditionalFormatting sqref="J14">
    <cfRule type="duplicateValues" dxfId="312" priority="382"/>
    <cfRule type="duplicateValues" dxfId="311" priority="383"/>
    <cfRule type="duplicateValues" dxfId="310" priority="384"/>
    <cfRule type="duplicateValues" dxfId="309" priority="385"/>
    <cfRule type="duplicateValues" dxfId="308" priority="386"/>
    <cfRule type="duplicateValues" dxfId="307" priority="387"/>
  </conditionalFormatting>
  <conditionalFormatting sqref="J15">
    <cfRule type="duplicateValues" dxfId="306" priority="239"/>
  </conditionalFormatting>
  <conditionalFormatting sqref="J15">
    <cfRule type="duplicateValues" dxfId="305" priority="237"/>
    <cfRule type="duplicateValues" dxfId="304" priority="238"/>
  </conditionalFormatting>
  <conditionalFormatting sqref="J15">
    <cfRule type="duplicateValues" dxfId="303" priority="276"/>
  </conditionalFormatting>
  <conditionalFormatting sqref="J15">
    <cfRule type="duplicateValues" dxfId="302" priority="277"/>
    <cfRule type="duplicateValues" dxfId="301" priority="278"/>
  </conditionalFormatting>
  <conditionalFormatting sqref="J15">
    <cfRule type="duplicateValues" dxfId="300" priority="274"/>
  </conditionalFormatting>
  <conditionalFormatting sqref="J15">
    <cfRule type="duplicateValues" dxfId="299" priority="275"/>
  </conditionalFormatting>
  <conditionalFormatting sqref="J15">
    <cfRule type="duplicateValues" dxfId="298" priority="273"/>
  </conditionalFormatting>
  <conditionalFormatting sqref="J15">
    <cfRule type="duplicateValues" dxfId="297" priority="240"/>
    <cfRule type="duplicateValues" dxfId="296" priority="241"/>
    <cfRule type="duplicateValues" dxfId="295" priority="242"/>
    <cfRule type="duplicateValues" dxfId="294" priority="243"/>
  </conditionalFormatting>
  <conditionalFormatting sqref="J15">
    <cfRule type="duplicateValues" dxfId="293" priority="245"/>
    <cfRule type="duplicateValues" dxfId="292" priority="246"/>
    <cfRule type="duplicateValues" dxfId="291" priority="247"/>
    <cfRule type="duplicateValues" dxfId="290" priority="248"/>
    <cfRule type="duplicateValues" dxfId="289" priority="249"/>
  </conditionalFormatting>
  <conditionalFormatting sqref="J15">
    <cfRule type="duplicateValues" dxfId="288" priority="256"/>
    <cfRule type="duplicateValues" dxfId="287" priority="257"/>
    <cfRule type="duplicateValues" dxfId="286" priority="258"/>
    <cfRule type="duplicateValues" dxfId="285" priority="259"/>
    <cfRule type="duplicateValues" dxfId="284" priority="260"/>
    <cfRule type="duplicateValues" dxfId="283" priority="261"/>
    <cfRule type="duplicateValues" dxfId="282" priority="262"/>
    <cfRule type="duplicateValues" dxfId="281" priority="263"/>
    <cfRule type="duplicateValues" dxfId="280" priority="264"/>
    <cfRule type="duplicateValues" dxfId="279" priority="265"/>
    <cfRule type="duplicateValues" dxfId="278" priority="266"/>
  </conditionalFormatting>
  <conditionalFormatting sqref="J15">
    <cfRule type="duplicateValues" dxfId="277" priority="250"/>
    <cfRule type="duplicateValues" dxfId="276" priority="251"/>
    <cfRule type="duplicateValues" dxfId="275" priority="252"/>
    <cfRule type="duplicateValues" dxfId="274" priority="253"/>
    <cfRule type="duplicateValues" dxfId="273" priority="254"/>
    <cfRule type="duplicateValues" dxfId="272" priority="255"/>
  </conditionalFormatting>
  <conditionalFormatting sqref="J15">
    <cfRule type="duplicateValues" dxfId="271" priority="267"/>
    <cfRule type="duplicateValues" dxfId="270" priority="268"/>
    <cfRule type="duplicateValues" dxfId="269" priority="269"/>
    <cfRule type="duplicateValues" dxfId="268" priority="270"/>
    <cfRule type="duplicateValues" dxfId="267" priority="271"/>
    <cfRule type="duplicateValues" dxfId="266" priority="272"/>
  </conditionalFormatting>
  <conditionalFormatting sqref="J15">
    <cfRule type="duplicateValues" dxfId="265" priority="244"/>
  </conditionalFormatting>
  <conditionalFormatting sqref="J15">
    <cfRule type="duplicateValues" dxfId="264" priority="231"/>
    <cfRule type="duplicateValues" dxfId="263" priority="232"/>
    <cfRule type="duplicateValues" dxfId="262" priority="233"/>
    <cfRule type="duplicateValues" dxfId="261" priority="234"/>
    <cfRule type="duplicateValues" dxfId="260" priority="235"/>
    <cfRule type="duplicateValues" dxfId="259" priority="236"/>
  </conditionalFormatting>
  <conditionalFormatting sqref="J15">
    <cfRule type="duplicateValues" dxfId="258" priority="226"/>
    <cfRule type="duplicateValues" dxfId="257" priority="227"/>
    <cfRule type="duplicateValues" dxfId="256" priority="228"/>
    <cfRule type="duplicateValues" dxfId="255" priority="229"/>
    <cfRule type="duplicateValues" dxfId="254" priority="230"/>
  </conditionalFormatting>
  <conditionalFormatting sqref="J15">
    <cfRule type="duplicateValues" dxfId="253" priority="279"/>
    <cfRule type="duplicateValues" dxfId="252" priority="280"/>
    <cfRule type="duplicateValues" dxfId="251" priority="281"/>
    <cfRule type="duplicateValues" dxfId="250" priority="282"/>
    <cfRule type="duplicateValues" dxfId="249" priority="283"/>
    <cfRule type="duplicateValues" dxfId="248" priority="284"/>
    <cfRule type="duplicateValues" dxfId="247" priority="285"/>
    <cfRule type="duplicateValues" dxfId="246" priority="286"/>
    <cfRule type="duplicateValues" dxfId="245" priority="287"/>
    <cfRule type="duplicateValues" dxfId="244" priority="288"/>
    <cfRule type="duplicateValues" dxfId="243" priority="289"/>
    <cfRule type="duplicateValues" dxfId="242" priority="290"/>
    <cfRule type="duplicateValues" dxfId="241" priority="291"/>
    <cfRule type="duplicateValues" dxfId="240" priority="292"/>
    <cfRule type="duplicateValues" dxfId="239" priority="293"/>
    <cfRule type="duplicateValues" dxfId="238" priority="294"/>
    <cfRule type="duplicateValues" dxfId="237" priority="295"/>
    <cfRule type="duplicateValues" dxfId="236" priority="296"/>
    <cfRule type="duplicateValues" dxfId="235" priority="297"/>
    <cfRule type="duplicateValues" dxfId="234" priority="298"/>
    <cfRule type="duplicateValues" dxfId="233" priority="299"/>
    <cfRule type="duplicateValues" dxfId="232" priority="300"/>
  </conditionalFormatting>
  <conditionalFormatting sqref="J15">
    <cfRule type="duplicateValues" dxfId="231" priority="301"/>
    <cfRule type="duplicateValues" dxfId="230" priority="302"/>
    <cfRule type="duplicateValues" dxfId="229" priority="303"/>
    <cfRule type="duplicateValues" dxfId="228" priority="304"/>
    <cfRule type="duplicateValues" dxfId="227" priority="305"/>
    <cfRule type="duplicateValues" dxfId="226" priority="306"/>
  </conditionalFormatting>
  <conditionalFormatting sqref="J15">
    <cfRule type="duplicateValues" dxfId="225" priority="191"/>
  </conditionalFormatting>
  <conditionalFormatting sqref="J15">
    <cfRule type="duplicateValues" dxfId="224" priority="189"/>
    <cfRule type="duplicateValues" dxfId="223" priority="190"/>
  </conditionalFormatting>
  <conditionalFormatting sqref="J15">
    <cfRule type="duplicateValues" dxfId="222" priority="195"/>
  </conditionalFormatting>
  <conditionalFormatting sqref="J15">
    <cfRule type="duplicateValues" dxfId="221" priority="196"/>
    <cfRule type="duplicateValues" dxfId="220" priority="197"/>
  </conditionalFormatting>
  <conditionalFormatting sqref="J15">
    <cfRule type="duplicateValues" dxfId="219" priority="193"/>
  </conditionalFormatting>
  <conditionalFormatting sqref="J15">
    <cfRule type="duplicateValues" dxfId="218" priority="194"/>
  </conditionalFormatting>
  <conditionalFormatting sqref="J15">
    <cfRule type="duplicateValues" dxfId="217" priority="192"/>
  </conditionalFormatting>
  <conditionalFormatting sqref="J15">
    <cfRule type="duplicateValues" dxfId="216" priority="183"/>
    <cfRule type="duplicateValues" dxfId="215" priority="184"/>
    <cfRule type="duplicateValues" dxfId="214" priority="185"/>
    <cfRule type="duplicateValues" dxfId="213" priority="186"/>
    <cfRule type="duplicateValues" dxfId="212" priority="187"/>
    <cfRule type="duplicateValues" dxfId="211" priority="188"/>
  </conditionalFormatting>
  <conditionalFormatting sqref="J15">
    <cfRule type="duplicateValues" dxfId="210" priority="178"/>
    <cfRule type="duplicateValues" dxfId="209" priority="179"/>
    <cfRule type="duplicateValues" dxfId="208" priority="180"/>
    <cfRule type="duplicateValues" dxfId="207" priority="181"/>
    <cfRule type="duplicateValues" dxfId="206" priority="182"/>
  </conditionalFormatting>
  <conditionalFormatting sqref="J15">
    <cfRule type="duplicateValues" dxfId="205" priority="198"/>
    <cfRule type="duplicateValues" dxfId="204" priority="199"/>
    <cfRule type="duplicateValues" dxfId="203" priority="200"/>
    <cfRule type="duplicateValues" dxfId="202" priority="201"/>
    <cfRule type="duplicateValues" dxfId="201" priority="202"/>
    <cfRule type="duplicateValues" dxfId="200" priority="203"/>
    <cfRule type="duplicateValues" dxfId="199" priority="204"/>
    <cfRule type="duplicateValues" dxfId="198" priority="205"/>
    <cfRule type="duplicateValues" dxfId="197" priority="206"/>
    <cfRule type="duplicateValues" dxfId="196" priority="207"/>
    <cfRule type="duplicateValues" dxfId="195" priority="208"/>
    <cfRule type="duplicateValues" dxfId="194" priority="209"/>
    <cfRule type="duplicateValues" dxfId="193" priority="210"/>
    <cfRule type="duplicateValues" dxfId="192" priority="211"/>
    <cfRule type="duplicateValues" dxfId="191" priority="212"/>
    <cfRule type="duplicateValues" dxfId="190" priority="213"/>
    <cfRule type="duplicateValues" dxfId="189" priority="214"/>
    <cfRule type="duplicateValues" dxfId="188" priority="215"/>
    <cfRule type="duplicateValues" dxfId="187" priority="216"/>
    <cfRule type="duplicateValues" dxfId="186" priority="217"/>
    <cfRule type="duplicateValues" dxfId="185" priority="218"/>
    <cfRule type="duplicateValues" dxfId="184" priority="219"/>
    <cfRule type="duplicateValues" dxfId="183" priority="220"/>
    <cfRule type="duplicateValues" dxfId="182" priority="221"/>
    <cfRule type="duplicateValues" dxfId="181" priority="222"/>
    <cfRule type="duplicateValues" dxfId="180" priority="223"/>
    <cfRule type="duplicateValues" dxfId="179" priority="224"/>
    <cfRule type="duplicateValues" dxfId="178" priority="225"/>
  </conditionalFormatting>
  <conditionalFormatting sqref="J15">
    <cfRule type="duplicateValues" dxfId="177" priority="143"/>
  </conditionalFormatting>
  <conditionalFormatting sqref="J15">
    <cfRule type="duplicateValues" dxfId="176" priority="141"/>
    <cfRule type="duplicateValues" dxfId="175" priority="142"/>
  </conditionalFormatting>
  <conditionalFormatting sqref="J15">
    <cfRule type="duplicateValues" dxfId="174" priority="147"/>
  </conditionalFormatting>
  <conditionalFormatting sqref="J15">
    <cfRule type="duplicateValues" dxfId="173" priority="148"/>
    <cfRule type="duplicateValues" dxfId="172" priority="149"/>
  </conditionalFormatting>
  <conditionalFormatting sqref="J15">
    <cfRule type="duplicateValues" dxfId="171" priority="145"/>
  </conditionalFormatting>
  <conditionalFormatting sqref="J15">
    <cfRule type="duplicateValues" dxfId="170" priority="146"/>
  </conditionalFormatting>
  <conditionalFormatting sqref="J15">
    <cfRule type="duplicateValues" dxfId="169" priority="144"/>
  </conditionalFormatting>
  <conditionalFormatting sqref="J15">
    <cfRule type="duplicateValues" dxfId="168" priority="135"/>
    <cfRule type="duplicateValues" dxfId="167" priority="136"/>
    <cfRule type="duplicateValues" dxfId="166" priority="137"/>
    <cfRule type="duplicateValues" dxfId="165" priority="138"/>
    <cfRule type="duplicateValues" dxfId="164" priority="139"/>
    <cfRule type="duplicateValues" dxfId="163" priority="140"/>
  </conditionalFormatting>
  <conditionalFormatting sqref="J15">
    <cfRule type="duplicateValues" dxfId="162" priority="130"/>
    <cfRule type="duplicateValues" dxfId="161" priority="131"/>
    <cfRule type="duplicateValues" dxfId="160" priority="132"/>
    <cfRule type="duplicateValues" dxfId="159" priority="133"/>
    <cfRule type="duplicateValues" dxfId="158" priority="134"/>
  </conditionalFormatting>
  <conditionalFormatting sqref="J15">
    <cfRule type="duplicateValues" dxfId="157" priority="150"/>
    <cfRule type="duplicateValues" dxfId="156" priority="151"/>
    <cfRule type="duplicateValues" dxfId="155" priority="152"/>
    <cfRule type="duplicateValues" dxfId="154" priority="153"/>
    <cfRule type="duplicateValues" dxfId="153" priority="154"/>
    <cfRule type="duplicateValues" dxfId="152" priority="155"/>
    <cfRule type="duplicateValues" dxfId="151" priority="156"/>
    <cfRule type="duplicateValues" dxfId="150" priority="157"/>
    <cfRule type="duplicateValues" dxfId="149" priority="158"/>
    <cfRule type="duplicateValues" dxfId="148" priority="159"/>
    <cfRule type="duplicateValues" dxfId="147" priority="160"/>
    <cfRule type="duplicateValues" dxfId="146" priority="161"/>
    <cfRule type="duplicateValues" dxfId="145" priority="162"/>
    <cfRule type="duplicateValues" dxfId="144" priority="163"/>
    <cfRule type="duplicateValues" dxfId="143" priority="164"/>
    <cfRule type="duplicateValues" dxfId="142" priority="165"/>
    <cfRule type="duplicateValues" dxfId="141" priority="166"/>
    <cfRule type="duplicateValues" dxfId="140" priority="167"/>
    <cfRule type="duplicateValues" dxfId="139" priority="168"/>
    <cfRule type="duplicateValues" dxfId="138" priority="169"/>
    <cfRule type="duplicateValues" dxfId="137" priority="170"/>
    <cfRule type="duplicateValues" dxfId="136" priority="171"/>
    <cfRule type="duplicateValues" dxfId="135" priority="172"/>
    <cfRule type="duplicateValues" dxfId="134" priority="173"/>
    <cfRule type="duplicateValues" dxfId="133" priority="174"/>
    <cfRule type="duplicateValues" dxfId="132" priority="175"/>
    <cfRule type="duplicateValues" dxfId="131" priority="176"/>
    <cfRule type="duplicateValues" dxfId="130" priority="177"/>
  </conditionalFormatting>
  <conditionalFormatting sqref="J15">
    <cfRule type="duplicateValues" dxfId="129" priority="95"/>
  </conditionalFormatting>
  <conditionalFormatting sqref="J15">
    <cfRule type="duplicateValues" dxfId="128" priority="93"/>
    <cfRule type="duplicateValues" dxfId="127" priority="94"/>
  </conditionalFormatting>
  <conditionalFormatting sqref="J15">
    <cfRule type="duplicateValues" dxfId="126" priority="99"/>
  </conditionalFormatting>
  <conditionalFormatting sqref="J15">
    <cfRule type="duplicateValues" dxfId="125" priority="100"/>
    <cfRule type="duplicateValues" dxfId="124" priority="101"/>
  </conditionalFormatting>
  <conditionalFormatting sqref="J15">
    <cfRule type="duplicateValues" dxfId="123" priority="97"/>
  </conditionalFormatting>
  <conditionalFormatting sqref="J15">
    <cfRule type="duplicateValues" dxfId="122" priority="98"/>
  </conditionalFormatting>
  <conditionalFormatting sqref="J15">
    <cfRule type="duplicateValues" dxfId="121" priority="96"/>
  </conditionalFormatting>
  <conditionalFormatting sqref="J15">
    <cfRule type="duplicateValues" dxfId="120" priority="87"/>
    <cfRule type="duplicateValues" dxfId="119" priority="88"/>
    <cfRule type="duplicateValues" dxfId="118" priority="89"/>
    <cfRule type="duplicateValues" dxfId="117" priority="90"/>
    <cfRule type="duplicateValues" dxfId="116" priority="91"/>
    <cfRule type="duplicateValues" dxfId="115" priority="92"/>
  </conditionalFormatting>
  <conditionalFormatting sqref="J15">
    <cfRule type="duplicateValues" dxfId="114" priority="82"/>
    <cfRule type="duplicateValues" dxfId="113" priority="83"/>
    <cfRule type="duplicateValues" dxfId="112" priority="84"/>
    <cfRule type="duplicateValues" dxfId="111" priority="85"/>
    <cfRule type="duplicateValues" dxfId="110" priority="86"/>
  </conditionalFormatting>
  <conditionalFormatting sqref="J15">
    <cfRule type="duplicateValues" dxfId="109" priority="102"/>
    <cfRule type="duplicateValues" dxfId="108" priority="103"/>
    <cfRule type="duplicateValues" dxfId="107" priority="104"/>
    <cfRule type="duplicateValues" dxfId="106" priority="105"/>
    <cfRule type="duplicateValues" dxfId="105" priority="106"/>
    <cfRule type="duplicateValues" dxfId="104" priority="107"/>
    <cfRule type="duplicateValues" dxfId="103" priority="108"/>
    <cfRule type="duplicateValues" dxfId="102" priority="109"/>
    <cfRule type="duplicateValues" dxfId="101" priority="110"/>
    <cfRule type="duplicateValues" dxfId="100" priority="111"/>
    <cfRule type="duplicateValues" dxfId="99" priority="112"/>
    <cfRule type="duplicateValues" dxfId="98" priority="113"/>
    <cfRule type="duplicateValues" dxfId="97" priority="114"/>
    <cfRule type="duplicateValues" dxfId="96" priority="115"/>
    <cfRule type="duplicateValues" dxfId="95" priority="116"/>
    <cfRule type="duplicateValues" dxfId="94" priority="117"/>
    <cfRule type="duplicateValues" dxfId="93" priority="118"/>
    <cfRule type="duplicateValues" dxfId="92" priority="119"/>
    <cfRule type="duplicateValues" dxfId="91" priority="120"/>
    <cfRule type="duplicateValues" dxfId="90" priority="121"/>
    <cfRule type="duplicateValues" dxfId="89" priority="122"/>
    <cfRule type="duplicateValues" dxfId="88" priority="123"/>
    <cfRule type="duplicateValues" dxfId="87" priority="124"/>
    <cfRule type="duplicateValues" dxfId="86" priority="125"/>
    <cfRule type="duplicateValues" dxfId="85" priority="126"/>
    <cfRule type="duplicateValues" dxfId="84" priority="127"/>
    <cfRule type="duplicateValues" dxfId="83" priority="128"/>
    <cfRule type="duplicateValues" dxfId="82" priority="129"/>
  </conditionalFormatting>
  <conditionalFormatting sqref="J15">
    <cfRule type="duplicateValues" dxfId="81" priority="14"/>
  </conditionalFormatting>
  <conditionalFormatting sqref="J15">
    <cfRule type="duplicateValues" dxfId="80" priority="12"/>
    <cfRule type="duplicateValues" dxfId="79" priority="13"/>
  </conditionalFormatting>
  <conditionalFormatting sqref="J15">
    <cfRule type="duplicateValues" dxfId="78" priority="51"/>
  </conditionalFormatting>
  <conditionalFormatting sqref="J15">
    <cfRule type="duplicateValues" dxfId="77" priority="52"/>
    <cfRule type="duplicateValues" dxfId="76" priority="53"/>
  </conditionalFormatting>
  <conditionalFormatting sqref="J15">
    <cfRule type="duplicateValues" dxfId="75" priority="49"/>
  </conditionalFormatting>
  <conditionalFormatting sqref="J15">
    <cfRule type="duplicateValues" dxfId="74" priority="50"/>
  </conditionalFormatting>
  <conditionalFormatting sqref="J15">
    <cfRule type="duplicateValues" dxfId="73" priority="48"/>
  </conditionalFormatting>
  <conditionalFormatting sqref="J15">
    <cfRule type="duplicateValues" dxfId="72" priority="15"/>
    <cfRule type="duplicateValues" dxfId="71" priority="16"/>
    <cfRule type="duplicateValues" dxfId="70" priority="17"/>
    <cfRule type="duplicateValues" dxfId="69" priority="18"/>
  </conditionalFormatting>
  <conditionalFormatting sqref="J15">
    <cfRule type="duplicateValues" dxfId="68" priority="20"/>
    <cfRule type="duplicateValues" dxfId="67" priority="21"/>
    <cfRule type="duplicateValues" dxfId="66" priority="22"/>
    <cfRule type="duplicateValues" dxfId="65" priority="23"/>
    <cfRule type="duplicateValues" dxfId="64" priority="24"/>
  </conditionalFormatting>
  <conditionalFormatting sqref="J15">
    <cfRule type="duplicateValues" dxfId="63" priority="31"/>
    <cfRule type="duplicateValues" dxfId="62" priority="32"/>
    <cfRule type="duplicateValues" dxfId="61" priority="33"/>
    <cfRule type="duplicateValues" dxfId="60" priority="34"/>
    <cfRule type="duplicateValues" dxfId="59" priority="35"/>
    <cfRule type="duplicateValues" dxfId="58" priority="36"/>
    <cfRule type="duplicateValues" dxfId="57" priority="37"/>
    <cfRule type="duplicateValues" dxfId="56" priority="38"/>
    <cfRule type="duplicateValues" dxfId="55" priority="39"/>
    <cfRule type="duplicateValues" dxfId="54" priority="40"/>
    <cfRule type="duplicateValues" dxfId="53" priority="41"/>
  </conditionalFormatting>
  <conditionalFormatting sqref="J15">
    <cfRule type="duplicateValues" dxfId="52" priority="25"/>
    <cfRule type="duplicateValues" dxfId="51" priority="26"/>
    <cfRule type="duplicateValues" dxfId="50" priority="27"/>
    <cfRule type="duplicateValues" dxfId="49" priority="28"/>
    <cfRule type="duplicateValues" dxfId="48" priority="29"/>
    <cfRule type="duplicateValues" dxfId="47" priority="30"/>
  </conditionalFormatting>
  <conditionalFormatting sqref="J15">
    <cfRule type="duplicateValues" dxfId="46" priority="42"/>
    <cfRule type="duplicateValues" dxfId="45" priority="43"/>
    <cfRule type="duplicateValues" dxfId="44" priority="44"/>
    <cfRule type="duplicateValues" dxfId="43" priority="45"/>
    <cfRule type="duplicateValues" dxfId="42" priority="46"/>
    <cfRule type="duplicateValues" dxfId="41" priority="47"/>
  </conditionalFormatting>
  <conditionalFormatting sqref="J15">
    <cfRule type="duplicateValues" dxfId="40" priority="19"/>
  </conditionalFormatting>
  <conditionalFormatting sqref="J15">
    <cfRule type="duplicateValues" dxfId="39" priority="6"/>
    <cfRule type="duplicateValues" dxfId="38" priority="7"/>
    <cfRule type="duplicateValues" dxfId="37" priority="8"/>
    <cfRule type="duplicateValues" dxfId="36" priority="9"/>
    <cfRule type="duplicateValues" dxfId="35" priority="10"/>
    <cfRule type="duplicateValues" dxfId="34" priority="11"/>
  </conditionalFormatting>
  <conditionalFormatting sqref="J15">
    <cfRule type="duplicateValues" dxfId="33" priority="1"/>
    <cfRule type="duplicateValues" dxfId="32" priority="2"/>
    <cfRule type="duplicateValues" dxfId="31" priority="3"/>
    <cfRule type="duplicateValues" dxfId="30" priority="4"/>
    <cfRule type="duplicateValues" dxfId="29" priority="5"/>
  </conditionalFormatting>
  <conditionalFormatting sqref="J15">
    <cfRule type="duplicateValues" dxfId="28" priority="54"/>
    <cfRule type="duplicateValues" dxfId="27" priority="55"/>
    <cfRule type="duplicateValues" dxfId="26" priority="56"/>
    <cfRule type="duplicateValues" dxfId="25" priority="57"/>
    <cfRule type="duplicateValues" dxfId="24" priority="58"/>
    <cfRule type="duplicateValues" dxfId="23" priority="59"/>
    <cfRule type="duplicateValues" dxfId="22" priority="60"/>
    <cfRule type="duplicateValues" dxfId="21" priority="61"/>
    <cfRule type="duplicateValues" dxfId="20" priority="62"/>
    <cfRule type="duplicateValues" dxfId="19" priority="63"/>
    <cfRule type="duplicateValues" dxfId="18" priority="64"/>
    <cfRule type="duplicateValues" dxfId="17" priority="65"/>
    <cfRule type="duplicateValues" dxfId="16" priority="66"/>
    <cfRule type="duplicateValues" dxfId="15" priority="67"/>
    <cfRule type="duplicateValues" dxfId="14" priority="68"/>
    <cfRule type="duplicateValues" dxfId="13" priority="69"/>
    <cfRule type="duplicateValues" dxfId="12" priority="70"/>
    <cfRule type="duplicateValues" dxfId="11" priority="71"/>
    <cfRule type="duplicateValues" dxfId="10" priority="72"/>
    <cfRule type="duplicateValues" dxfId="9" priority="73"/>
    <cfRule type="duplicateValues" dxfId="8" priority="74"/>
    <cfRule type="duplicateValues" dxfId="7" priority="75"/>
  </conditionalFormatting>
  <conditionalFormatting sqref="J15">
    <cfRule type="duplicateValues" dxfId="6" priority="76"/>
    <cfRule type="duplicateValues" dxfId="5" priority="77"/>
    <cfRule type="duplicateValues" dxfId="4" priority="78"/>
    <cfRule type="duplicateValues" dxfId="3" priority="79"/>
    <cfRule type="duplicateValues" dxfId="2" priority="80"/>
    <cfRule type="duplicateValues" dxfId="1" priority="81"/>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C0463-5F72-47B8-B694-369ACBDCB284}">
  <sheetPr>
    <tabColor rgb="FFC00000"/>
  </sheetPr>
  <dimension ref="A1:AC103"/>
  <sheetViews>
    <sheetView topLeftCell="B76" zoomScale="55" zoomScaleNormal="55" workbookViewId="0">
      <selection activeCell="U90" sqref="U90"/>
    </sheetView>
  </sheetViews>
  <sheetFormatPr defaultColWidth="8.85546875" defaultRowHeight="15" x14ac:dyDescent="0.25"/>
  <cols>
    <col min="1" max="1" width="3.140625" style="806" hidden="1" customWidth="1"/>
    <col min="2" max="2" width="8.5703125" style="798" customWidth="1"/>
    <col min="3" max="3" width="13.85546875" style="812" customWidth="1"/>
    <col min="4" max="4" width="28.85546875" style="807" customWidth="1"/>
    <col min="5" max="5" width="30.85546875" style="807" customWidth="1"/>
    <col min="6" max="6" width="16.42578125" style="806" hidden="1" customWidth="1"/>
    <col min="7" max="7" width="11.42578125" style="806" hidden="1" customWidth="1"/>
    <col min="8" max="8" width="255.5703125" style="806" hidden="1" customWidth="1"/>
    <col min="9" max="9" width="64.85546875" style="806" hidden="1" customWidth="1"/>
    <col min="10" max="10" width="12.85546875" style="806" customWidth="1"/>
    <col min="11" max="11" width="9.42578125" style="806" bestFit="1" customWidth="1"/>
    <col min="12" max="12" width="7" style="798" hidden="1" customWidth="1"/>
    <col min="13" max="13" width="9.5703125" style="808" customWidth="1"/>
    <col min="14" max="14" width="10.5703125" style="808" customWidth="1"/>
    <col min="15" max="15" width="7.85546875" style="809" customWidth="1"/>
    <col min="16" max="16" width="13.85546875" style="806" customWidth="1"/>
    <col min="17" max="18" width="10.85546875" style="806" hidden="1" customWidth="1"/>
    <col min="19" max="19" width="8.85546875" style="806" hidden="1" customWidth="1"/>
    <col min="20" max="20" width="11.85546875" style="806" hidden="1" customWidth="1"/>
    <col min="21" max="21" width="12.42578125" style="813" customWidth="1"/>
    <col min="22" max="22" width="12.140625" style="813" customWidth="1"/>
    <col min="23" max="23" width="12.140625" style="813" hidden="1" customWidth="1"/>
    <col min="24" max="24" width="11.140625" style="813" hidden="1" customWidth="1"/>
    <col min="25" max="25" width="10.140625" style="813" customWidth="1"/>
    <col min="26" max="26" width="22.140625" style="810" customWidth="1"/>
    <col min="27" max="27" width="16.42578125" style="810" customWidth="1"/>
    <col min="28" max="28" width="28.42578125" style="810" customWidth="1"/>
    <col min="29" max="16384" width="8.85546875" style="819"/>
  </cols>
  <sheetData>
    <row r="1" spans="1:29" s="440" customFormat="1" ht="45" x14ac:dyDescent="0.25">
      <c r="A1" s="799" t="s">
        <v>151</v>
      </c>
      <c r="B1" s="797" t="s">
        <v>4291</v>
      </c>
      <c r="C1" s="799" t="s">
        <v>153</v>
      </c>
      <c r="D1" s="800" t="s">
        <v>154</v>
      </c>
      <c r="E1" s="800" t="s">
        <v>155</v>
      </c>
      <c r="F1" s="800" t="s">
        <v>156</v>
      </c>
      <c r="G1" s="800" t="s">
        <v>157</v>
      </c>
      <c r="H1" s="800" t="s">
        <v>158</v>
      </c>
      <c r="I1" s="800" t="s">
        <v>159</v>
      </c>
      <c r="J1" s="800" t="s">
        <v>4110</v>
      </c>
      <c r="K1" s="800" t="s">
        <v>4181</v>
      </c>
      <c r="L1" s="803" t="s">
        <v>4118</v>
      </c>
      <c r="M1" s="801" t="s">
        <v>4292</v>
      </c>
      <c r="N1" s="801" t="s">
        <v>4139</v>
      </c>
      <c r="O1" s="802" t="s">
        <v>164</v>
      </c>
      <c r="P1" s="803" t="s">
        <v>165</v>
      </c>
      <c r="Q1" s="801" t="s">
        <v>166</v>
      </c>
      <c r="R1" s="814" t="s">
        <v>167</v>
      </c>
      <c r="S1" s="815" t="s">
        <v>168</v>
      </c>
      <c r="T1" s="816" t="s">
        <v>169</v>
      </c>
      <c r="U1" s="817" t="s">
        <v>170</v>
      </c>
      <c r="V1" s="817" t="s">
        <v>171</v>
      </c>
      <c r="W1" s="817" t="s">
        <v>172</v>
      </c>
      <c r="X1" s="817" t="s">
        <v>173</v>
      </c>
      <c r="Y1" s="804" t="s">
        <v>174</v>
      </c>
      <c r="Z1" s="805" t="s">
        <v>4293</v>
      </c>
      <c r="AA1" s="805" t="s">
        <v>4294</v>
      </c>
      <c r="AB1" s="805" t="s">
        <v>4295</v>
      </c>
    </row>
    <row r="2" spans="1:29" ht="30" x14ac:dyDescent="0.25">
      <c r="A2" s="806" t="str" cm="1">
        <f t="array" ref="A2:Y103">_xlfn._xlws.FILTER('C1'!C:AA,'C1'!C:C="Y")</f>
        <v>Y</v>
      </c>
      <c r="B2" s="798" t="str">
        <v>REL</v>
      </c>
      <c r="C2" s="812" t="str">
        <v>R19617176</v>
      </c>
      <c r="D2" s="807" t="str">
        <v>OFFICE OF CONGRESSMAN STRIKE B. REVILLA,</v>
      </c>
      <c r="E2" s="807" t="str">
        <v>GEN. EMILIO AGUINALDO, PANAPAAN VI, BACOOR</v>
      </c>
      <c r="F2" s="806" t="str">
        <v>BACOOR CITY</v>
      </c>
      <c r="G2" s="806" t="str">
        <v>DASMA</v>
      </c>
      <c r="H2" s="806" t="str">
        <v>Job 3 for SSP/liveline, Job 4 with telco for email to FA, Job 5 for survey live line, Task 10 with issue on hukay, request assistance bacoor, job 7 for PAI sched;</v>
      </c>
      <c r="I2" s="806" t="str">
        <v>W/ ISSUE</v>
      </c>
      <c r="J2" s="806" t="str">
        <v>AVECO</v>
      </c>
      <c r="K2" s="806" t="str">
        <v>SCHED</v>
      </c>
      <c r="L2" s="798" t="str">
        <v>Ronilo Gange Jr.</v>
      </c>
      <c r="M2" s="808">
        <v>1133.2283999999993</v>
      </c>
      <c r="N2" s="808">
        <v>1795.22</v>
      </c>
      <c r="O2" s="809">
        <v>0</v>
      </c>
      <c r="P2" s="806" t="str">
        <v>RELOC</v>
      </c>
      <c r="Q2" s="806">
        <v>1921072.21</v>
      </c>
      <c r="R2" s="806">
        <v>821316.27</v>
      </c>
      <c r="S2" s="806">
        <v>0</v>
      </c>
      <c r="T2" s="806">
        <v>0</v>
      </c>
      <c r="U2" s="813">
        <v>44475.811805555553</v>
      </c>
      <c r="V2" s="813">
        <v>44481</v>
      </c>
      <c r="W2" s="813">
        <v>44482</v>
      </c>
      <c r="X2" s="813">
        <v>0</v>
      </c>
      <c r="Y2" s="813">
        <v>0</v>
      </c>
      <c r="Z2" s="810" t="str">
        <f>IF(ISBLANK((VLOOKUP(C2,'[5]2025'!$A:$M,11,FALSE))),"",(VLOOKUP(C2,'[5]2025'!$A:$M,11,FALSE)))</f>
        <v xml:space="preserve">LGU Mayor Strike Revilla </v>
      </c>
      <c r="AA2" s="818" t="str">
        <f>IF(ISBLANK((VLOOKUP(C2,'[5]2025'!$A:$M,12,FALSE))),"",(VLOOKUP(C2,'[5]2025'!$A:$M,12,FALSE)))</f>
        <v xml:space="preserve">Pending </v>
      </c>
      <c r="AB2" s="818" t="str">
        <f>IF(ISBLANK((VLOOKUP(C2,'[5]2025'!$A:$M,13,FALSE))),"",(VLOOKUP(C2,'[5]2025'!$A:$M,13,FALSE)))</f>
        <v xml:space="preserve">R/ Way Probelm  </v>
      </c>
      <c r="AC2" s="273"/>
    </row>
    <row r="3" spans="1:29" ht="30" x14ac:dyDescent="0.25">
      <c r="A3" s="806" t="str">
        <v>Y</v>
      </c>
      <c r="B3" s="798" t="str">
        <v>CBG</v>
      </c>
      <c r="C3" s="812" t="str">
        <v>R21631238</v>
      </c>
      <c r="D3" s="807" t="str">
        <v>CAVITEX INFRASTRUCTURE CORP.</v>
      </c>
      <c r="E3" s="807" t="str">
        <v>N. ARMSTRONG, MOONWALK, PARANAQUE</v>
      </c>
      <c r="F3" s="806" t="str">
        <v>PARAÑAQUE CITY</v>
      </c>
      <c r="G3" s="806" t="str">
        <v>PARAÑAQUE</v>
      </c>
      <c r="H3" s="806" t="str">
        <v>awaiting clearance from CAVITEX on completion of project, task 11 modification</v>
      </c>
      <c r="I3" s="806" t="str">
        <v>W/ ISSUE</v>
      </c>
      <c r="J3" s="806" t="str">
        <v>CHALLENGER</v>
      </c>
      <c r="K3" s="806" t="str">
        <v>FCOMP</v>
      </c>
      <c r="L3" s="798" t="str">
        <v>Isan Carlo Lazaro</v>
      </c>
      <c r="M3" s="808">
        <v>382.92960000000033</v>
      </c>
      <c r="N3" s="808">
        <v>638.83000000000004</v>
      </c>
      <c r="O3" s="809">
        <v>0</v>
      </c>
      <c r="P3" s="806" t="str">
        <v>PCA RELOC</v>
      </c>
      <c r="Q3" s="806">
        <v>1414835.62</v>
      </c>
      <c r="R3" s="806">
        <v>433240.12</v>
      </c>
      <c r="S3" s="806">
        <v>0</v>
      </c>
      <c r="T3" s="806">
        <v>0</v>
      </c>
      <c r="U3" s="813">
        <v>44621.599999999999</v>
      </c>
      <c r="V3" s="813">
        <v>44623.522916666669</v>
      </c>
      <c r="W3" s="813">
        <v>44623</v>
      </c>
      <c r="X3" s="813">
        <v>0</v>
      </c>
      <c r="Y3" s="813">
        <v>45818</v>
      </c>
      <c r="Z3" s="810" t="str">
        <f>IF(ISBLANK((VLOOKUP(C3,'[5]2025'!$A:$M,11,FALSE))),"",(VLOOKUP(C3,'[5]2025'!$A:$M,11,FALSE)))</f>
        <v>PMO</v>
      </c>
      <c r="AA3" s="818" t="str">
        <f>IF(ISBLANK((VLOOKUP(C3,'[5]2025'!$A:$M,12,FALSE))),"",(VLOOKUP(C3,'[5]2025'!$A:$M,12,FALSE)))</f>
        <v/>
      </c>
      <c r="AB3" s="818" t="str">
        <f>IF(ISBLANK((VLOOKUP(C3,'[5]2025'!$A:$M,13,FALSE))),"",(VLOOKUP(C3,'[5]2025'!$A:$M,13,FALSE)))</f>
        <v/>
      </c>
      <c r="AC3" s="273"/>
    </row>
    <row r="4" spans="1:29" x14ac:dyDescent="0.25">
      <c r="A4" s="806" t="str">
        <v>Y</v>
      </c>
      <c r="B4" s="798" t="str">
        <v>CBG</v>
      </c>
      <c r="C4" s="812" t="str">
        <v>R21662615</v>
      </c>
      <c r="D4" s="807" t="str">
        <v>FOOD TERMINAL, INC.</v>
      </c>
      <c r="E4" s="807" t="str">
        <v>LANGKA, FTI CPD, TAGUIG CITY</v>
      </c>
      <c r="F4" s="806" t="str">
        <v>TAGUIG CITY</v>
      </c>
      <c r="G4" s="806" t="str">
        <v>PARAÑAQUE</v>
      </c>
      <c r="H4" s="806" t="str">
        <v>for completion May 2022</v>
      </c>
      <c r="I4" s="806" t="str">
        <v>W/O ISSUE</v>
      </c>
      <c r="J4" s="806" t="str">
        <v>VJC</v>
      </c>
      <c r="K4" s="806" t="str">
        <v>DPRG-PCR</v>
      </c>
      <c r="L4" s="798" t="str">
        <v>Raeven De Quiroz</v>
      </c>
      <c r="M4" s="808">
        <v>102.0535</v>
      </c>
      <c r="N4" s="808" t="e">
        <v>#N/A</v>
      </c>
      <c r="O4" s="809">
        <v>0</v>
      </c>
      <c r="P4" s="806" t="str">
        <v>RELOC</v>
      </c>
      <c r="Q4" s="806">
        <v>160444.01999999999</v>
      </c>
      <c r="R4" s="806">
        <v>92012.91</v>
      </c>
      <c r="S4" s="806">
        <v>83552.45</v>
      </c>
      <c r="T4" s="806">
        <v>0.90805138105076766</v>
      </c>
      <c r="U4" s="813">
        <v>44673.324305555558</v>
      </c>
      <c r="V4" s="813">
        <v>44679</v>
      </c>
      <c r="W4" s="813">
        <v>44678</v>
      </c>
      <c r="X4" s="813">
        <v>0</v>
      </c>
      <c r="Y4" s="813">
        <v>0</v>
      </c>
      <c r="Z4" s="810" t="str">
        <f>IF(ISBLANK((VLOOKUP(C4,'[5]2025'!$A:$M,11,FALSE))),"",(VLOOKUP(C4,'[5]2025'!$A:$M,11,FALSE)))</f>
        <v/>
      </c>
      <c r="AA4" s="818" t="str">
        <f>IF(ISBLANK((VLOOKUP(C4,'[5]2025'!$A:$M,12,FALSE))),"",(VLOOKUP(C4,'[5]2025'!$A:$M,12,FALSE)))</f>
        <v/>
      </c>
      <c r="AB4" s="818" t="str">
        <f>IF(ISBLANK((VLOOKUP(C4,'[5]2025'!$A:$M,13,FALSE))),"",(VLOOKUP(C4,'[5]2025'!$A:$M,13,FALSE)))</f>
        <v/>
      </c>
      <c r="AC4" s="273"/>
    </row>
    <row r="5" spans="1:29" s="827" customFormat="1" ht="30" x14ac:dyDescent="0.25">
      <c r="A5" s="806" t="str">
        <v>Y</v>
      </c>
      <c r="B5" s="820" t="str">
        <v>REL</v>
      </c>
      <c r="C5" s="829" t="str">
        <v>R20609999</v>
      </c>
      <c r="D5" s="822" t="str">
        <v>CAVITEX INFRASTRUCTURE CORP.</v>
      </c>
      <c r="E5" s="822" t="str">
        <v>KAINGIN RD., KAINGIN, PARANAQUE</v>
      </c>
      <c r="F5" s="806" t="str">
        <v>PARAÑAQUE CITY</v>
      </c>
      <c r="G5" s="806" t="str">
        <v>PARAÑAQUE</v>
      </c>
      <c r="H5" s="806" t="str">
        <v>PENDING MPTS</v>
      </c>
      <c r="I5" s="806" t="str">
        <v>W/ ISSUE</v>
      </c>
      <c r="J5" s="821" t="str">
        <v>ECOM</v>
      </c>
      <c r="K5" s="821" t="str">
        <v>SCHED</v>
      </c>
      <c r="L5" s="820" t="str">
        <v>Ronilo Gange Jr.</v>
      </c>
      <c r="M5" s="823">
        <v>717.71599999999887</v>
      </c>
      <c r="N5" s="823">
        <v>1361.61</v>
      </c>
      <c r="O5" s="824">
        <v>0</v>
      </c>
      <c r="P5" s="821" t="str">
        <v>RELOC</v>
      </c>
      <c r="Q5" s="806">
        <v>1575766.41</v>
      </c>
      <c r="R5" s="806">
        <v>923509.73</v>
      </c>
      <c r="S5" s="806">
        <v>0</v>
      </c>
      <c r="T5" s="806">
        <v>0</v>
      </c>
      <c r="U5" s="813">
        <v>44677.561805555553</v>
      </c>
      <c r="V5" s="825">
        <v>44680.636805555558</v>
      </c>
      <c r="W5" s="813">
        <v>44680</v>
      </c>
      <c r="X5" s="813">
        <v>0</v>
      </c>
      <c r="Y5" s="825">
        <v>0</v>
      </c>
      <c r="Z5" s="810" t="str">
        <f>IF(ISBLANK((VLOOKUP(C5,'[5]2025'!$A:$M,11,FALSE))),"",(VLOOKUP(C5,'[5]2025'!$A:$M,11,FALSE)))</f>
        <v>PMO</v>
      </c>
      <c r="AA5" s="818" t="str">
        <f>IF(ISBLANK((VLOOKUP(C5,'[5]2025'!$A:$M,12,FALSE))),"",(VLOOKUP(C5,'[5]2025'!$A:$M,12,FALSE)))</f>
        <v xml:space="preserve">Pending </v>
      </c>
      <c r="AB5" s="818" t="str">
        <f>IF(ISBLANK((VLOOKUP(C5,'[5]2025'!$A:$M,13,FALSE))),"",(VLOOKUP(C5,'[5]2025'!$A:$M,13,FALSE)))</f>
        <v xml:space="preserve">R/ Way Probelm  Along C5  South Link </v>
      </c>
      <c r="AC5" s="826"/>
    </row>
    <row r="6" spans="1:29" ht="30" x14ac:dyDescent="0.25">
      <c r="A6" s="806" t="str">
        <v>Y</v>
      </c>
      <c r="B6" s="798" t="str">
        <v>HMB</v>
      </c>
      <c r="C6" s="812" t="str">
        <v>X22052042329</v>
      </c>
      <c r="D6" s="807" t="str">
        <v>MARIA IMELDA BUYOC SANDWEG</v>
      </c>
      <c r="E6" s="807" t="str">
        <v>JOY, DREAMLAND SUBD, PARANAQUE</v>
      </c>
      <c r="F6" s="806" t="str">
        <v>PARAÑAQUE CITY</v>
      </c>
      <c r="G6" s="806" t="str">
        <v>PARAÑAQUE</v>
      </c>
      <c r="H6" s="806" t="str">
        <v>with issue, 1/11-with cash bond</v>
      </c>
      <c r="I6" s="806" t="str">
        <v>W/ ISSUE</v>
      </c>
      <c r="J6" s="806" t="str">
        <v>VJC</v>
      </c>
      <c r="K6" s="806" t="str">
        <v>PCAN3</v>
      </c>
      <c r="L6" s="798" t="str">
        <v>Jemuel Peralta</v>
      </c>
      <c r="M6" s="808">
        <v>162.57659999999993</v>
      </c>
      <c r="N6" s="808" t="e">
        <v>#N/A</v>
      </c>
      <c r="O6" s="809">
        <v>45</v>
      </c>
      <c r="P6" s="806" t="str">
        <v>MODIFICATION</v>
      </c>
      <c r="Q6" s="806">
        <v>803861.8</v>
      </c>
      <c r="R6" s="806">
        <v>139773.07999999999</v>
      </c>
      <c r="S6" s="806">
        <v>0</v>
      </c>
      <c r="T6" s="806">
        <v>0</v>
      </c>
      <c r="U6" s="813">
        <v>44796.46875</v>
      </c>
      <c r="V6" s="813">
        <v>44804</v>
      </c>
      <c r="W6" s="813">
        <v>44804</v>
      </c>
      <c r="X6" s="813">
        <v>0</v>
      </c>
      <c r="Y6" s="813">
        <v>0</v>
      </c>
      <c r="Z6" s="810" t="str">
        <f>IF(ISBLANK((VLOOKUP(C6,'[5]2025'!$A:$M,11,FALSE))),"",(VLOOKUP(C6,'[5]2025'!$A:$M,11,FALSE)))</f>
        <v/>
      </c>
      <c r="AA6" s="818" t="str">
        <f>IF(ISBLANK((VLOOKUP(C6,'[5]2025'!$A:$M,12,FALSE))),"",(VLOOKUP(C6,'[5]2025'!$A:$M,12,FALSE)))</f>
        <v/>
      </c>
      <c r="AB6" s="818" t="str">
        <f>IF(ISBLANK((VLOOKUP(C6,'[5]2025'!$A:$M,13,FALSE))),"",(VLOOKUP(C6,'[5]2025'!$A:$M,13,FALSE)))</f>
        <v/>
      </c>
      <c r="AC6" s="273"/>
    </row>
    <row r="7" spans="1:29" s="827" customFormat="1" ht="45" x14ac:dyDescent="0.25">
      <c r="A7" s="806" t="str">
        <v>Y</v>
      </c>
      <c r="B7" s="820" t="str">
        <v>REL</v>
      </c>
      <c r="C7" s="829" t="str">
        <v>R21135764</v>
      </c>
      <c r="D7" s="822" t="str">
        <v>CAVITEX INFRASTRUCTURE CORP.</v>
      </c>
      <c r="E7" s="822" t="str">
        <v>MULTINATIONAL VILL, MULTINATIONAL VILL, PARANAQUE</v>
      </c>
      <c r="F7" s="806" t="str">
        <v>PARAÑAQUE CITY</v>
      </c>
      <c r="G7" s="806" t="str">
        <v>PARAÑAQUE</v>
      </c>
      <c r="H7" s="806" t="str">
        <v>for completion within October; on going digging, tasks 5 and 7(90 ft), 11; asking for assistance w/ MPTS</v>
      </c>
      <c r="I7" s="806" t="str">
        <v>W/ ISSUE</v>
      </c>
      <c r="J7" s="821" t="str">
        <v>ECOM</v>
      </c>
      <c r="K7" s="821" t="str">
        <v>FCOMP</v>
      </c>
      <c r="L7" s="820" t="str">
        <v>Ronilo Gange Jr.</v>
      </c>
      <c r="M7" s="823">
        <v>812.46230000000037</v>
      </c>
      <c r="N7" s="823">
        <v>1110.82</v>
      </c>
      <c r="O7" s="824">
        <v>0</v>
      </c>
      <c r="P7" s="821" t="str">
        <v>RELOC</v>
      </c>
      <c r="Q7" s="806">
        <v>2403133.25</v>
      </c>
      <c r="R7" s="806">
        <v>809631.02</v>
      </c>
      <c r="S7" s="806">
        <v>175011.86</v>
      </c>
      <c r="T7" s="806">
        <v>0.21616249337877394</v>
      </c>
      <c r="U7" s="813">
        <v>44811.328472222223</v>
      </c>
      <c r="V7" s="825">
        <v>44813</v>
      </c>
      <c r="W7" s="813">
        <v>44816</v>
      </c>
      <c r="X7" s="813">
        <v>45758</v>
      </c>
      <c r="Y7" s="825">
        <v>45769</v>
      </c>
      <c r="Z7" s="810" t="str">
        <f>IF(ISBLANK((VLOOKUP(C7,'[5]2025'!$A:$M,11,FALSE))),"",(VLOOKUP(C7,'[5]2025'!$A:$M,11,FALSE)))</f>
        <v>PMO</v>
      </c>
      <c r="AA7" s="818" t="str">
        <f>IF(ISBLANK((VLOOKUP(C7,'[5]2025'!$A:$M,12,FALSE))),"",(VLOOKUP(C7,'[5]2025'!$A:$M,12,FALSE)))</f>
        <v xml:space="preserve">Pending </v>
      </c>
      <c r="AB7" s="818" t="str">
        <f>IF(ISBLANK((VLOOKUP(C7,'[5]2025'!$A:$M,13,FALSE))),"",(VLOOKUP(C7,'[5]2025'!$A:$M,13,FALSE)))</f>
        <v/>
      </c>
      <c r="AC7" s="826"/>
    </row>
    <row r="8" spans="1:29" ht="30" x14ac:dyDescent="0.25">
      <c r="A8" s="806" t="str">
        <v>Y</v>
      </c>
      <c r="B8" s="798" t="str">
        <v>CBG</v>
      </c>
      <c r="C8" s="812" t="str">
        <v>X22031018462</v>
      </c>
      <c r="D8" s="807" t="str">
        <v>GLOBE TELECOM, INC.</v>
      </c>
      <c r="E8" s="807" t="str">
        <v>BLOCK 13, BERNABE CPD, LAS PINAS CITY</v>
      </c>
      <c r="F8" s="806" t="str">
        <v>LAS PIÑAS CITY</v>
      </c>
      <c r="G8" s="806" t="str">
        <v>PARAÑAQUE</v>
      </c>
      <c r="H8" s="806" t="str">
        <v>with digging issue; w/ ROW issue (03-16-23); for digging (03-23-23); follow up to BC
Pole location issue (with drainage) - resolved (with revised plan / new pole location and tapping point - revised last 05/16/2023)
09192023
ROW issue - MIDC and GLOBE has on-going negotiation for the neighbor's concent as per CRS TSE
11242023
ROW issue - waiting for update from Globe for the neighbor's concent as per TSE</v>
      </c>
      <c r="I8" s="806" t="str">
        <v>W/ ISSUE</v>
      </c>
      <c r="J8" s="806" t="str">
        <v>AVECO</v>
      </c>
      <c r="K8" s="806" t="str">
        <v>CAN</v>
      </c>
      <c r="L8" s="798" t="str">
        <v>Ronilo Gange Jr.</v>
      </c>
      <c r="M8" s="808">
        <v>76.258500000000026</v>
      </c>
      <c r="N8" s="808" t="e">
        <v>#N/A</v>
      </c>
      <c r="O8" s="809">
        <v>23</v>
      </c>
      <c r="P8" s="806" t="str">
        <v>MODIFICATION</v>
      </c>
      <c r="Q8" s="806">
        <v>359981.35</v>
      </c>
      <c r="R8" s="806">
        <v>63350.41</v>
      </c>
      <c r="S8" s="806">
        <v>0</v>
      </c>
      <c r="T8" s="806">
        <v>0</v>
      </c>
      <c r="U8" s="813">
        <v>44881.379895833335</v>
      </c>
      <c r="V8" s="813">
        <v>44886</v>
      </c>
      <c r="W8" s="813">
        <v>44883</v>
      </c>
      <c r="X8" s="813">
        <v>0</v>
      </c>
      <c r="Y8" s="813" t="str">
        <v>CAN</v>
      </c>
      <c r="Z8" s="810" t="str">
        <f>IF(ISBLANK((VLOOKUP(C8,'[5]2025'!$A:$M,11,FALSE))),"",(VLOOKUP(C8,'[5]2025'!$A:$M,11,FALSE)))</f>
        <v xml:space="preserve">CANCEL </v>
      </c>
      <c r="AA8" s="818" t="str">
        <f>IF(ISBLANK((VLOOKUP(C8,'[5]2025'!$A:$M,12,FALSE))),"",(VLOOKUP(C8,'[5]2025'!$A:$M,12,FALSE)))</f>
        <v xml:space="preserve">CANCEL </v>
      </c>
      <c r="AB8" s="818" t="str">
        <f>IF(ISBLANK((VLOOKUP(C8,'[5]2025'!$A:$M,13,FALSE))),"",(VLOOKUP(C8,'[5]2025'!$A:$M,13,FALSE)))</f>
        <v xml:space="preserve">CANCEL </v>
      </c>
      <c r="AC8" s="273"/>
    </row>
    <row r="9" spans="1:29" s="827" customFormat="1" ht="30" x14ac:dyDescent="0.25">
      <c r="A9" s="806" t="str">
        <v>Y</v>
      </c>
      <c r="B9" s="820" t="str">
        <v>CBG</v>
      </c>
      <c r="C9" s="829" t="str">
        <v>R21631694</v>
      </c>
      <c r="D9" s="821" t="str">
        <v>CAVITEX INFRASTRUCTURE CORP.,</v>
      </c>
      <c r="E9" s="821" t="str">
        <v>KAINGIN, STO. NIÑO, PARAÑAQUE</v>
      </c>
      <c r="F9" s="806" t="str">
        <v>PARAÑAQUE CITY</v>
      </c>
      <c r="G9" s="806" t="str">
        <v>PARAÑAQUE</v>
      </c>
      <c r="H9" s="806" t="str">
        <v>ongoing (03-16-23); c/o MPTS</v>
      </c>
      <c r="I9" s="806" t="str">
        <v>W/ ISSUE</v>
      </c>
      <c r="J9" s="821" t="str">
        <v>ECOM</v>
      </c>
      <c r="K9" s="821" t="str">
        <v>INPRG</v>
      </c>
      <c r="L9" s="820" t="str">
        <v>Ronilo Gange Jr.</v>
      </c>
      <c r="M9" s="823">
        <v>1059.1652000000006</v>
      </c>
      <c r="N9" s="823">
        <v>1865.53</v>
      </c>
      <c r="O9" s="824">
        <v>0</v>
      </c>
      <c r="P9" s="821" t="str">
        <v>RELOC</v>
      </c>
      <c r="Q9" s="806">
        <v>3525946.4</v>
      </c>
      <c r="R9" s="806">
        <v>1241706.01</v>
      </c>
      <c r="S9" s="806">
        <v>0</v>
      </c>
      <c r="T9" s="806">
        <v>0</v>
      </c>
      <c r="U9" s="813">
        <v>44992</v>
      </c>
      <c r="V9" s="825">
        <v>44993</v>
      </c>
      <c r="W9" s="813">
        <v>44999</v>
      </c>
      <c r="X9" s="813">
        <v>0</v>
      </c>
      <c r="Y9" s="828">
        <v>0</v>
      </c>
      <c r="Z9" s="810" t="str">
        <f>IF(ISBLANK((VLOOKUP(C9,'[5]2025'!$A:$M,11,FALSE))),"",(VLOOKUP(C9,'[5]2025'!$A:$M,11,FALSE)))</f>
        <v>PMO</v>
      </c>
      <c r="AA9" s="818" t="str">
        <f>IF(ISBLANK((VLOOKUP(C9,'[5]2025'!$A:$M,12,FALSE))),"",(VLOOKUP(C9,'[5]2025'!$A:$M,12,FALSE)))</f>
        <v>On -Going / Pending</v>
      </c>
      <c r="AB9" s="818" t="str">
        <f>IF(ISBLANK((VLOOKUP(C9,'[5]2025'!$A:$M,13,FALSE))),"",(VLOOKUP(C9,'[5]2025'!$A:$M,13,FALSE)))</f>
        <v xml:space="preserve">R/ Way Probelm  Along C5  South Link </v>
      </c>
      <c r="AC9" s="826"/>
    </row>
    <row r="10" spans="1:29" ht="60" x14ac:dyDescent="0.25">
      <c r="A10" s="806" t="str">
        <v>Y</v>
      </c>
      <c r="B10" s="798" t="str">
        <v>HMB</v>
      </c>
      <c r="C10" s="812" t="str">
        <v>R22633190</v>
      </c>
      <c r="D10" s="807" t="str">
        <v>CANDIE CHUA CO.</v>
      </c>
      <c r="E10" s="807" t="str">
        <v>BLK 8, PALM COAST MARINA, PARANAQUE</v>
      </c>
      <c r="F10" s="806" t="str">
        <v>PARAÑAQUE CITY</v>
      </c>
      <c r="G10" s="806" t="str">
        <v>PARAÑAQUE</v>
      </c>
      <c r="H10" s="806" t="str">
        <v xml:space="preserve">For Sched September 26, 2023 survey/digging; pole location issue
Update as of October 28. Issue on HOA  and Customer not yet conduct meeting to resolve the issue </v>
      </c>
      <c r="I10" s="806" t="str">
        <v>W/ ISSUE</v>
      </c>
      <c r="J10" s="806" t="str">
        <v>ECOM</v>
      </c>
      <c r="K10" s="806" t="str">
        <v>INPRG</v>
      </c>
      <c r="L10" s="798" t="str">
        <v>Ronilo Gange Jr.</v>
      </c>
      <c r="M10" s="808">
        <v>85.584400000000002</v>
      </c>
      <c r="N10" s="808">
        <v>185.89</v>
      </c>
      <c r="O10" s="809">
        <v>0</v>
      </c>
      <c r="P10" s="806" t="str">
        <v>RELOC</v>
      </c>
      <c r="Q10" s="806">
        <v>258760.27</v>
      </c>
      <c r="R10" s="806">
        <v>91241.75</v>
      </c>
      <c r="S10" s="806">
        <v>0</v>
      </c>
      <c r="T10" s="806">
        <v>0</v>
      </c>
      <c r="U10" s="813">
        <v>45169.518750000003</v>
      </c>
      <c r="V10" s="813">
        <v>45174</v>
      </c>
      <c r="W10" s="813">
        <v>45174</v>
      </c>
      <c r="X10" s="813">
        <v>0</v>
      </c>
      <c r="Y10" s="813">
        <v>0</v>
      </c>
      <c r="Z10" s="810" t="str">
        <f>IF(ISBLANK((VLOOKUP(C10,'[5]2025'!$A:$M,11,FALSE))),"",(VLOOKUP(C10,'[5]2025'!$A:$M,11,FALSE)))</f>
        <v xml:space="preserve">Boss Tsops </v>
      </c>
      <c r="AA10" s="818" t="str">
        <f>IF(ISBLANK((VLOOKUP(C10,'[5]2025'!$A:$M,12,FALSE))),"",(VLOOKUP(C10,'[5]2025'!$A:$M,12,FALSE)))</f>
        <v>Completed on-site</v>
      </c>
      <c r="AB10" s="818" t="str">
        <f>IF(ISBLANK((VLOOKUP(C10,'[5]2025'!$A:$M,13,FALSE))),"",(VLOOKUP(C10,'[5]2025'!$A:$M,13,FALSE)))</f>
        <v>R/ Wau Problem / Hold by Customer for 5 timer already . Issue with HOA  adn Customer Affected.</v>
      </c>
      <c r="AC10" s="273"/>
    </row>
    <row r="11" spans="1:29" ht="45" x14ac:dyDescent="0.25">
      <c r="A11" s="806" t="str">
        <v>Y</v>
      </c>
      <c r="B11" s="798" t="str">
        <v>BIZ</v>
      </c>
      <c r="C11" s="812" t="str">
        <v>X24010310203</v>
      </c>
      <c r="D11" s="806" t="str">
        <v>HSL - BRAILLE COLLEGE, INC.,</v>
      </c>
      <c r="E11" s="806" t="str">
        <v>DURIAN, ZONE 1, TAGUIG CITY</v>
      </c>
      <c r="F11" s="806" t="str">
        <v>TAGUIG CITY</v>
      </c>
      <c r="G11" s="806" t="str">
        <v>PARAÑAQUE</v>
      </c>
      <c r="H11" s="806" t="str">
        <v>7/11/24 - Joint Survey; resolved pole location but need additional phase/leg; only one phase is existing - pending release of conjunctive project</v>
      </c>
      <c r="I11" s="806" t="str">
        <v>(R) W/O ISSUE</v>
      </c>
      <c r="J11" s="806" t="str">
        <v>CHALLENGER</v>
      </c>
      <c r="K11" s="806" t="str">
        <v>FCOMP</v>
      </c>
      <c r="L11" s="798" t="str">
        <v>Isan Carlo Lazaro</v>
      </c>
      <c r="M11" s="811">
        <v>193.1311</v>
      </c>
      <c r="N11" s="811">
        <v>206.16</v>
      </c>
      <c r="O11" s="809">
        <v>136</v>
      </c>
      <c r="P11" s="806" t="str">
        <v>MODIFICATION</v>
      </c>
      <c r="Q11" s="806">
        <v>846143.09</v>
      </c>
      <c r="R11" s="806">
        <v>155556.72</v>
      </c>
      <c r="S11" s="806">
        <v>0</v>
      </c>
      <c r="T11" s="806">
        <v>0</v>
      </c>
      <c r="U11" s="813">
        <v>45446.724305555559</v>
      </c>
      <c r="V11" s="813">
        <v>45450.396527777775</v>
      </c>
      <c r="W11" s="813">
        <v>45447</v>
      </c>
      <c r="X11" s="813">
        <v>0</v>
      </c>
      <c r="Y11" s="813">
        <v>45747.418055555558</v>
      </c>
      <c r="Z11" s="810" t="str">
        <f>IF(ISBLANK((VLOOKUP(C11,'[5]2025'!$A:$M,11,FALSE))),"",(VLOOKUP(C11,'[5]2025'!$A:$M,11,FALSE)))</f>
        <v>Atty. Pamintuan thru Parañaque BC</v>
      </c>
      <c r="AA11" s="818" t="str">
        <f>IF(ISBLANK((VLOOKUP(C11,'[5]2025'!$A:$M,12,FALSE))),"",(VLOOKUP(C11,'[5]2025'!$A:$M,12,FALSE)))</f>
        <v/>
      </c>
      <c r="AB11" s="818" t="str">
        <f>IF(ISBLANK((VLOOKUP(C11,'[5]2025'!$A:$M,13,FALSE))),"",(VLOOKUP(C11,'[5]2025'!$A:$M,13,FALSE)))</f>
        <v>Created new supplemetary WO for the modification of service drop (X24114538494)</v>
      </c>
      <c r="AC11" s="273"/>
    </row>
    <row r="12" spans="1:29" ht="45" x14ac:dyDescent="0.25">
      <c r="A12" s="806" t="str">
        <v>Y</v>
      </c>
      <c r="B12" s="798" t="str">
        <v>HMB</v>
      </c>
      <c r="C12" s="812" t="str">
        <v>R23354122</v>
      </c>
      <c r="D12" s="807" t="str">
        <v>MANAHAN, MELANIE V.,</v>
      </c>
      <c r="E12" s="807" t="str">
        <v>SAPLUNGAN, MEADOWOOD EXEC. VILLAGE PHASE 3B, BACOOR</v>
      </c>
      <c r="F12" s="806" t="str">
        <v>BACOOR CITY</v>
      </c>
      <c r="G12" s="806" t="str">
        <v>DASMA</v>
      </c>
      <c r="H12" s="806" t="str">
        <v xml:space="preserve">Hold Execution as per BC Mam Grace Alarcon  due wrong polcaation as per developer </v>
      </c>
      <c r="I12" s="806" t="str">
        <v>W/ ISSUE</v>
      </c>
      <c r="J12" s="806" t="str">
        <v>AVECO</v>
      </c>
      <c r="K12" s="806" t="str">
        <v>FCOMP</v>
      </c>
      <c r="L12" s="798" t="str">
        <v>Ronilo Gange Jr.</v>
      </c>
      <c r="M12" s="811">
        <v>21.84</v>
      </c>
      <c r="N12" s="811">
        <v>85.64</v>
      </c>
      <c r="O12" s="809">
        <v>0</v>
      </c>
      <c r="P12" s="806" t="str">
        <v>RELOC</v>
      </c>
      <c r="Q12" s="806">
        <v>114511.06</v>
      </c>
      <c r="R12" s="806">
        <v>17587.5</v>
      </c>
      <c r="S12" s="806">
        <v>0</v>
      </c>
      <c r="T12" s="806">
        <v>0</v>
      </c>
      <c r="U12" s="813">
        <v>45518.397222222222</v>
      </c>
      <c r="V12" s="813">
        <v>45524.355555555558</v>
      </c>
      <c r="W12" s="813">
        <v>45524</v>
      </c>
      <c r="X12" s="813">
        <v>0</v>
      </c>
      <c r="Y12" s="813">
        <v>45799</v>
      </c>
      <c r="Z12" s="810" t="str">
        <f>IF(ISBLANK((VLOOKUP(C12,'[5]2025'!$A:$M,11,FALSE))),"",(VLOOKUP(C12,'[5]2025'!$A:$M,11,FALSE)))</f>
        <v>ERC /Terence Jay Gonzales (G3-Bacoor)</v>
      </c>
      <c r="AA12" s="818" t="str">
        <f>IF(ISBLANK((VLOOKUP(C12,'[5]2025'!$A:$M,12,FALSE))),"",(VLOOKUP(C12,'[5]2025'!$A:$M,12,FALSE)))</f>
        <v xml:space="preserve">On -going/ Completion 2nd Week o May </v>
      </c>
      <c r="AB12" s="818" t="str">
        <f>IF(ISBLANK((VLOOKUP(C12,'[5]2025'!$A:$M,13,FALSE))),"",(VLOOKUP(C12,'[5]2025'!$A:$M,13,FALSE)))</f>
        <v/>
      </c>
      <c r="AC12" s="273"/>
    </row>
    <row r="13" spans="1:29" x14ac:dyDescent="0.25">
      <c r="A13" s="806" t="str">
        <v>Y</v>
      </c>
      <c r="B13" s="798" t="str">
        <v>HMB</v>
      </c>
      <c r="C13" s="812" t="str">
        <v>R22419641</v>
      </c>
      <c r="D13" s="806" t="str">
        <v>ONOFRE, CORAZON VILLA,</v>
      </c>
      <c r="E13" s="806" t="str">
        <v>GLORIA DIAZ, BF RESORT VILL, LAS PINAS CITY</v>
      </c>
      <c r="F13" s="806" t="str">
        <v>LAS PIÑAS CITY</v>
      </c>
      <c r="G13" s="806" t="str">
        <v>PARAÑAQUE</v>
      </c>
      <c r="H13" s="806" t="str">
        <v>For Schedule PAI :sadang:done digging and pole erection</v>
      </c>
      <c r="I13" s="806" t="str">
        <v xml:space="preserve">Drainage Diversion </v>
      </c>
      <c r="J13" s="806" t="str">
        <v>ECOM</v>
      </c>
      <c r="K13" s="806" t="str">
        <v>FCOMP</v>
      </c>
      <c r="L13" s="798" t="str">
        <v>Ronilo Gange Jr.</v>
      </c>
      <c r="M13" s="811">
        <v>153.46879999999999</v>
      </c>
      <c r="N13" s="811">
        <v>236.63</v>
      </c>
      <c r="O13" s="809">
        <v>0</v>
      </c>
      <c r="P13" s="806" t="str">
        <v>RELOC</v>
      </c>
      <c r="Q13" s="806">
        <v>418004.67</v>
      </c>
      <c r="R13" s="806">
        <v>123585.18</v>
      </c>
      <c r="S13" s="806">
        <v>0</v>
      </c>
      <c r="T13" s="806">
        <v>0</v>
      </c>
      <c r="U13" s="813">
        <v>45526.617361111108</v>
      </c>
      <c r="V13" s="813">
        <v>45534.559027777781</v>
      </c>
      <c r="W13" s="813">
        <v>45532</v>
      </c>
      <c r="X13" s="813">
        <v>45869</v>
      </c>
      <c r="Y13" s="813">
        <v>45869</v>
      </c>
      <c r="Z13" s="810" t="str">
        <f>IF(ISBLANK((VLOOKUP(C13,'[5]2025'!$A:$M,11,FALSE))),"",(VLOOKUP(C13,'[5]2025'!$A:$M,11,FALSE)))</f>
        <v>Joe Zaldarriaga</v>
      </c>
      <c r="AA13" s="818" t="str">
        <f>IF(ISBLANK((VLOOKUP(C13,'[5]2025'!$A:$M,12,FALSE))),"",(VLOOKUP(C13,'[5]2025'!$A:$M,12,FALSE)))</f>
        <v xml:space="preserve">For Schedule PAI </v>
      </c>
      <c r="AB13" s="818" t="str">
        <f>IF(ISBLANK((VLOOKUP(C13,'[5]2025'!$A:$M,13,FALSE))),"",(VLOOKUP(C13,'[5]2025'!$A:$M,13,FALSE)))</f>
        <v xml:space="preserve">Drainage Diversion </v>
      </c>
      <c r="AC13" s="273"/>
    </row>
    <row r="14" spans="1:29" ht="45" x14ac:dyDescent="0.25">
      <c r="A14" s="806" t="str">
        <v>Y</v>
      </c>
      <c r="B14" s="798" t="str">
        <v>HMB</v>
      </c>
      <c r="C14" s="812" t="str">
        <v>X24052000269</v>
      </c>
      <c r="D14" s="806" t="str">
        <v>CITY GOVERNMENT OF TAGUIG</v>
      </c>
      <c r="E14" s="806" t="str">
        <v>MAULING CREEK, PUROK 6D, TAGUIG CITY</v>
      </c>
      <c r="F14" s="806" t="str">
        <v>TAGUIG CITY</v>
      </c>
      <c r="G14" s="806" t="str">
        <v>PARAÑAQUE</v>
      </c>
      <c r="H14" s="806" t="str">
        <v xml:space="preserve">On Going Execution </v>
      </c>
      <c r="I14" s="806" t="str">
        <v>W/O ISSUE</v>
      </c>
      <c r="J14" s="806" t="str">
        <v>AVECO</v>
      </c>
      <c r="K14" s="806" t="str">
        <v>FCOMP</v>
      </c>
      <c r="L14" s="798" t="str">
        <v>Ronilo Gange Jr.</v>
      </c>
      <c r="M14" s="811">
        <v>831.79750000000001</v>
      </c>
      <c r="N14" s="811">
        <v>2323.61</v>
      </c>
      <c r="O14" s="809">
        <v>45</v>
      </c>
      <c r="P14" s="806" t="str">
        <v>NEW</v>
      </c>
      <c r="Q14" s="806">
        <v>3487719.57</v>
      </c>
      <c r="R14" s="806">
        <v>668695.04000000004</v>
      </c>
      <c r="S14" s="806">
        <v>0</v>
      </c>
      <c r="T14" s="806">
        <v>0</v>
      </c>
      <c r="U14" s="813">
        <v>45534.675694444442</v>
      </c>
      <c r="V14" s="813">
        <v>45541.522916666669</v>
      </c>
      <c r="W14" s="813">
        <v>45539</v>
      </c>
      <c r="X14" s="813">
        <v>0</v>
      </c>
      <c r="Y14" s="813">
        <v>45786</v>
      </c>
      <c r="Z14" s="810" t="str">
        <f>IF(ISBLANK((VLOOKUP(C14,'[5]2025'!$A:$M,11,FALSE))),"",(VLOOKUP(C14,'[5]2025'!$A:$M,11,FALSE)))</f>
        <v>LGU Congresman Adeng / Mayor Cayetano</v>
      </c>
      <c r="AA14" s="818" t="str">
        <f>IF(ISBLANK((VLOOKUP(C14,'[5]2025'!$A:$M,12,FALSE))),"",(VLOOKUP(C14,'[5]2025'!$A:$M,12,FALSE)))</f>
        <v xml:space="preserve">On Going </v>
      </c>
      <c r="AB14" s="818" t="str">
        <f>IF(ISBLANK((VLOOKUP(C14,'[5]2025'!$A:$M,13,FALSE))),"",(VLOOKUP(C14,'[5]2025'!$A:$M,13,FALSE)))</f>
        <v/>
      </c>
      <c r="AC14" s="273"/>
    </row>
    <row r="15" spans="1:29" ht="75" x14ac:dyDescent="0.25">
      <c r="A15" s="806" t="str">
        <v>Y</v>
      </c>
      <c r="B15" s="798" t="str">
        <v>BIZ</v>
      </c>
      <c r="C15" s="812" t="str">
        <v>X24072692499</v>
      </c>
      <c r="D15" s="806" t="str">
        <v>HSL - BRAILLE COLLEGE, INC.,</v>
      </c>
      <c r="E15" s="806" t="str">
        <v>DURIAN, ZONE 1, TAGUIG CITY</v>
      </c>
      <c r="F15" s="806" t="str">
        <v>TAGUIG CITY</v>
      </c>
      <c r="G15" s="806" t="str">
        <v>PARAÑAQUE</v>
      </c>
      <c r="H15" s="806" t="str">
        <v>pole location / with existing drainage</v>
      </c>
      <c r="I15" s="806" t="str">
        <v>W/ ISSUE</v>
      </c>
      <c r="J15" s="806" t="str">
        <v>CHALLENGER</v>
      </c>
      <c r="K15" s="806" t="str">
        <v>FCOMP</v>
      </c>
      <c r="L15" s="798" t="str">
        <v>Isan Carlo Lazaro</v>
      </c>
      <c r="M15" s="811">
        <v>550.21709999999996</v>
      </c>
      <c r="N15" s="811">
        <v>550.22</v>
      </c>
      <c r="O15" s="809">
        <v>136</v>
      </c>
      <c r="P15" s="806" t="str">
        <v>MODIFICATION</v>
      </c>
      <c r="Q15" s="806">
        <v>2501537.66</v>
      </c>
      <c r="R15" s="806">
        <v>443077.47</v>
      </c>
      <c r="S15" s="806">
        <v>0</v>
      </c>
      <c r="T15" s="806">
        <v>0</v>
      </c>
      <c r="U15" s="813">
        <v>45546.451226851852</v>
      </c>
      <c r="V15" s="813">
        <v>45551.607638888891</v>
      </c>
      <c r="W15" s="813">
        <v>45548</v>
      </c>
      <c r="X15" s="813">
        <v>0</v>
      </c>
      <c r="Y15" s="813">
        <v>45747.425000000003</v>
      </c>
      <c r="Z15" s="810" t="str">
        <f>IF(ISBLANK((VLOOKUP(C15,'[5]2025'!$A:$M,11,FALSE))),"",(VLOOKUP(C15,'[5]2025'!$A:$M,11,FALSE)))</f>
        <v>Cong. Sonny Lagon</v>
      </c>
      <c r="AA15" s="818" t="str">
        <f>IF(ISBLANK((VLOOKUP(C15,'[5]2025'!$A:$M,12,FALSE))),"",(VLOOKUP(C15,'[5]2025'!$A:$M,12,FALSE)))</f>
        <v>Scheduled for pole digging 1st week of December 2024</v>
      </c>
      <c r="AB15" s="818" t="str">
        <f>IF(ISBLANK((VLOOKUP(C15,'[5]2025'!$A:$M,13,FALSE))),"",(VLOOKUP(C15,'[5]2025'!$A:$M,13,FALSE)))</f>
        <v>Conducted a rejoint survey for bunot tayo operations on tasks 18 and 19; Assigned crew diverted to NAIA Reliability Wos</v>
      </c>
      <c r="AC15" s="273"/>
    </row>
    <row r="16" spans="1:29" ht="30" x14ac:dyDescent="0.25">
      <c r="A16" s="806" t="str">
        <v>Y</v>
      </c>
      <c r="B16" s="798" t="str">
        <v>HMB</v>
      </c>
      <c r="C16" s="812" t="str">
        <v>X24020641632</v>
      </c>
      <c r="D16" s="806" t="str">
        <v>HENRY LAO LIM</v>
      </c>
      <c r="E16" s="806" t="str">
        <v>BUKIDNON, MARINA SUBD, PARANAQUE</v>
      </c>
      <c r="F16" s="806" t="str">
        <v>PARAÑAQUE CITY</v>
      </c>
      <c r="G16" s="806" t="str">
        <v>PARAÑAQUE</v>
      </c>
      <c r="H16" s="806" t="str">
        <v>FOLLOW UP FROM ATTY KIM HENARES</v>
      </c>
      <c r="I16" s="806" t="str">
        <v>W/O ISSUE</v>
      </c>
      <c r="J16" s="806" t="str">
        <v>POWERHOUSE</v>
      </c>
      <c r="K16" s="806" t="str">
        <v>FCOMP</v>
      </c>
      <c r="L16" s="798" t="str">
        <v>Jenneth Madrid</v>
      </c>
      <c r="M16" s="811">
        <v>224.01419999999999</v>
      </c>
      <c r="N16" s="811">
        <v>224.01</v>
      </c>
      <c r="O16" s="809">
        <v>169</v>
      </c>
      <c r="P16" s="806" t="str">
        <v>NEW</v>
      </c>
      <c r="Q16" s="806">
        <v>1042085.27</v>
      </c>
      <c r="R16" s="806">
        <v>180394.18</v>
      </c>
      <c r="S16" s="806">
        <v>0</v>
      </c>
      <c r="T16" s="806">
        <v>0</v>
      </c>
      <c r="U16" s="813">
        <v>45553.692731481482</v>
      </c>
      <c r="V16" s="813">
        <v>45559.599305555559</v>
      </c>
      <c r="W16" s="813">
        <v>45555</v>
      </c>
      <c r="X16" s="813">
        <v>45677</v>
      </c>
      <c r="Y16" s="813">
        <v>45677</v>
      </c>
      <c r="Z16" s="810" t="str">
        <f>IF(ISBLANK((VLOOKUP(C16,'[5]2025'!$A:$M,11,FALSE))),"",(VLOOKUP(C16,'[5]2025'!$A:$M,11,FALSE)))</f>
        <v>Boss Joey Alonzo thru boss Jojit Galan</v>
      </c>
      <c r="AA16" s="818" t="str">
        <f>IF(ISBLANK((VLOOKUP(C16,'[5]2025'!$A:$M,12,FALSE))),"",(VLOOKUP(C16,'[5]2025'!$A:$M,12,FALSE)))</f>
        <v/>
      </c>
      <c r="AB16" s="818" t="str">
        <f>IF(ISBLANK((VLOOKUP(C16,'[5]2025'!$A:$M,13,FALSE))),"",(VLOOKUP(C16,'[5]2025'!$A:$M,13,FALSE)))</f>
        <v/>
      </c>
      <c r="AC16" s="273"/>
    </row>
    <row r="17" spans="1:29" ht="30" x14ac:dyDescent="0.25">
      <c r="A17" s="806" t="str">
        <v>Y</v>
      </c>
      <c r="B17" s="798" t="str">
        <v>HMB</v>
      </c>
      <c r="C17" s="812" t="str">
        <v>X22125062389</v>
      </c>
      <c r="D17" s="806" t="str">
        <v>SONNY L LAGON</v>
      </c>
      <c r="E17" s="806" t="str">
        <v>ACACIA, MULTINATIONAL VILL, PARANAQUE</v>
      </c>
      <c r="F17" s="806" t="str">
        <v>PARAÑAQUE CITY</v>
      </c>
      <c r="G17" s="806" t="str">
        <v>PARAÑAQUE</v>
      </c>
      <c r="H17" s="806" t="str">
        <v>for completion 2nd week of Nov</v>
      </c>
      <c r="I17" s="806" t="str">
        <v>W/O ISSUE</v>
      </c>
      <c r="J17" s="806" t="str">
        <v>VJC</v>
      </c>
      <c r="K17" s="806" t="str">
        <v>FCOMP</v>
      </c>
      <c r="L17" s="798" t="str">
        <v>Jenneth Madrid</v>
      </c>
      <c r="M17" s="811">
        <v>428.8492</v>
      </c>
      <c r="N17" s="811">
        <v>49.95</v>
      </c>
      <c r="O17" s="809">
        <v>200</v>
      </c>
      <c r="P17" s="806" t="str">
        <v>NEW</v>
      </c>
      <c r="Q17" s="806">
        <v>1862458.44</v>
      </c>
      <c r="R17" s="806">
        <v>345375.27</v>
      </c>
      <c r="S17" s="806">
        <v>0</v>
      </c>
      <c r="T17" s="806">
        <v>0</v>
      </c>
      <c r="U17" s="813">
        <v>45561.476388888892</v>
      </c>
      <c r="V17" s="813">
        <v>45566.396527777775</v>
      </c>
      <c r="W17" s="813">
        <v>45563</v>
      </c>
      <c r="X17" s="813">
        <v>0</v>
      </c>
      <c r="Y17" s="813">
        <v>45667</v>
      </c>
      <c r="Z17" s="810" t="str">
        <f>IF(ISBLANK((VLOOKUP(C17,'[5]2025'!$A:$M,11,FALSE))),"",(VLOOKUP(C17,'[5]2025'!$A:$M,11,FALSE)))</f>
        <v>Paranaque BC - Ron Bernardo</v>
      </c>
      <c r="AA17" s="818" t="str">
        <f>IF(ISBLANK((VLOOKUP(C17,'[5]2025'!$A:$M,12,FALSE))),"",(VLOOKUP(C17,'[5]2025'!$A:$M,12,FALSE)))</f>
        <v/>
      </c>
      <c r="AB17" s="818" t="str">
        <f>IF(ISBLANK((VLOOKUP(C17,'[5]2025'!$A:$M,13,FALSE))),"",(VLOOKUP(C17,'[5]2025'!$A:$M,13,FALSE)))</f>
        <v/>
      </c>
      <c r="AC17" s="273"/>
    </row>
    <row r="18" spans="1:29" x14ac:dyDescent="0.25">
      <c r="A18" s="806" t="str">
        <v>Y</v>
      </c>
      <c r="B18" s="798" t="str">
        <v>HMB</v>
      </c>
      <c r="C18" s="812" t="str">
        <v>X24083444242</v>
      </c>
      <c r="D18" s="806" t="str">
        <v>JEIKA PROPERTIES CORPORATION</v>
      </c>
      <c r="E18" s="806" t="str">
        <v>BLOCK 6, KATHLEEN PLACE 5 SUBD, BACOOR</v>
      </c>
      <c r="F18" s="806" t="str">
        <v>BACOOR CITY</v>
      </c>
      <c r="G18" s="806" t="str">
        <v>DASMA</v>
      </c>
      <c r="H18" s="806" t="str">
        <v>for scheduling</v>
      </c>
      <c r="I18" s="806" t="str">
        <v>W/O ISSUE</v>
      </c>
      <c r="J18" s="806" t="str">
        <v>CHALLENGER</v>
      </c>
      <c r="K18" s="806" t="str">
        <v>FCOMP</v>
      </c>
      <c r="L18" s="798" t="str">
        <v>Isan Carlo Lazaro</v>
      </c>
      <c r="M18" s="811">
        <v>1773.3821</v>
      </c>
      <c r="N18" s="811">
        <v>1716.66</v>
      </c>
      <c r="O18" s="809">
        <v>348</v>
      </c>
      <c r="P18" s="806" t="str">
        <v>NEW</v>
      </c>
      <c r="Q18" s="806">
        <v>8506182.5099999998</v>
      </c>
      <c r="R18" s="806">
        <v>1428065.65</v>
      </c>
      <c r="S18" s="806">
        <v>0</v>
      </c>
      <c r="T18" s="806">
        <v>0</v>
      </c>
      <c r="U18" s="813">
        <v>45575.424305555556</v>
      </c>
      <c r="V18" s="813">
        <v>45582.522222222222</v>
      </c>
      <c r="W18" s="813">
        <v>45581</v>
      </c>
      <c r="X18" s="813">
        <v>0</v>
      </c>
      <c r="Y18" s="813">
        <v>45694</v>
      </c>
      <c r="Z18" s="810" t="str">
        <f>IF(ISBLANK((VLOOKUP(C18,'[5]2025'!$A:$M,11,FALSE))),"",(VLOOKUP(C18,'[5]2025'!$A:$M,11,FALSE)))</f>
        <v>Boss Joey Alonzo</v>
      </c>
      <c r="AA18" s="818" t="str">
        <f>IF(ISBLANK((VLOOKUP(C18,'[5]2025'!$A:$M,12,FALSE))),"",(VLOOKUP(C18,'[5]2025'!$A:$M,12,FALSE)))</f>
        <v/>
      </c>
      <c r="AB18" s="818" t="str">
        <f>IF(ISBLANK((VLOOKUP(C18,'[5]2025'!$A:$M,13,FALSE))),"",(VLOOKUP(C18,'[5]2025'!$A:$M,13,FALSE)))</f>
        <v/>
      </c>
      <c r="AC18" s="273"/>
    </row>
    <row r="19" spans="1:29" x14ac:dyDescent="0.25">
      <c r="A19" s="806" t="str">
        <v>Y</v>
      </c>
      <c r="B19" s="798" t="str">
        <v>HMB</v>
      </c>
      <c r="C19" s="812" t="str">
        <v>X24073033797</v>
      </c>
      <c r="D19" s="806" t="str">
        <v>CELSO T DIMARUCUT</v>
      </c>
      <c r="E19" s="806" t="str">
        <v>DOÑA CONCHA CRUZ, BF HOMES, PARANAQUE</v>
      </c>
      <c r="F19" s="806" t="str">
        <v>PARAÑAQUE CITY</v>
      </c>
      <c r="G19" s="806" t="str">
        <v>PARAÑAQUE</v>
      </c>
      <c r="H19" s="806" t="str">
        <v>VIP, PRESIDENT &amp; CEO OF ROXAS HOLDING. MVP GROUP</v>
      </c>
      <c r="I19" s="806">
        <v>0</v>
      </c>
      <c r="J19" s="806" t="str">
        <v>POWERHOUSE</v>
      </c>
      <c r="K19" s="806" t="str">
        <v>FCOMP</v>
      </c>
      <c r="L19" s="798" t="str">
        <v>Jenneth Madrid</v>
      </c>
      <c r="M19" s="811">
        <v>47.435499999999998</v>
      </c>
      <c r="N19" s="811">
        <v>47.44</v>
      </c>
      <c r="O19" s="809">
        <v>80</v>
      </c>
      <c r="P19" s="806" t="str">
        <v>MODIFICATION</v>
      </c>
      <c r="Q19" s="806">
        <v>392547.56</v>
      </c>
      <c r="R19" s="806">
        <v>38222.75</v>
      </c>
      <c r="S19" s="806">
        <v>0</v>
      </c>
      <c r="T19" s="806">
        <v>0</v>
      </c>
      <c r="U19" s="813">
        <v>45587.710416666669</v>
      </c>
      <c r="V19" s="813">
        <v>45593.629166666666</v>
      </c>
      <c r="W19" s="813">
        <v>45593</v>
      </c>
      <c r="X19" s="813">
        <v>0</v>
      </c>
      <c r="Y19" s="813">
        <v>45668</v>
      </c>
      <c r="Z19" s="810" t="str">
        <f>IF(ISBLANK((VLOOKUP(C19,'[5]2025'!$A:$M,11,FALSE))),"",(VLOOKUP(C19,'[5]2025'!$A:$M,11,FALSE)))</f>
        <v xml:space="preserve">Joe R. Zaldarriaga </v>
      </c>
      <c r="AA19" s="818" t="str">
        <f>IF(ISBLANK((VLOOKUP(C19,'[5]2025'!$A:$M,12,FALSE))),"",(VLOOKUP(C19,'[5]2025'!$A:$M,12,FALSE)))</f>
        <v/>
      </c>
      <c r="AB19" s="818" t="str">
        <f>IF(ISBLANK((VLOOKUP(C19,'[5]2025'!$A:$M,13,FALSE))),"",(VLOOKUP(C19,'[5]2025'!$A:$M,13,FALSE)))</f>
        <v/>
      </c>
      <c r="AC19" s="273"/>
    </row>
    <row r="20" spans="1:29" ht="60" x14ac:dyDescent="0.25">
      <c r="A20" s="806" t="str">
        <v>Y</v>
      </c>
      <c r="B20" s="798" t="str">
        <v>HMB</v>
      </c>
      <c r="C20" s="812" t="str">
        <v>X24083323243</v>
      </c>
      <c r="D20" s="806" t="str">
        <v>NICOLE TRINIDAD LOTILLA</v>
      </c>
      <c r="E20" s="806" t="str">
        <v>DAFFODIL, PILAR VILL, LAS PINAS CITY</v>
      </c>
      <c r="F20" s="806" t="str">
        <v>LAS PIÑAS CITY</v>
      </c>
      <c r="G20" s="806" t="str">
        <v>PARAÑAQUE</v>
      </c>
      <c r="H20" s="806" t="str">
        <v>with follow up from Raul Reyes of Corp Com</v>
      </c>
      <c r="I20" s="806">
        <v>0</v>
      </c>
      <c r="J20" s="806" t="str">
        <v>AVECO</v>
      </c>
      <c r="K20" s="806" t="str">
        <v>FCOMP</v>
      </c>
      <c r="L20" s="798" t="str">
        <v>Ronilo Gange Jr.</v>
      </c>
      <c r="M20" s="808">
        <v>196.56030000000001</v>
      </c>
      <c r="N20" s="808">
        <v>431.23</v>
      </c>
      <c r="O20" s="809">
        <v>42.36</v>
      </c>
      <c r="P20" s="806" t="str">
        <v>MODIFICATION</v>
      </c>
      <c r="Q20" s="806">
        <v>807326.91</v>
      </c>
      <c r="R20" s="806">
        <v>158286.09</v>
      </c>
      <c r="S20" s="806">
        <v>0</v>
      </c>
      <c r="T20" s="806">
        <v>0</v>
      </c>
      <c r="U20" s="813">
        <v>45600.63958333333</v>
      </c>
      <c r="V20" s="813">
        <v>45607.62222222222</v>
      </c>
      <c r="W20" s="813">
        <v>45602</v>
      </c>
      <c r="X20" s="813">
        <v>45719</v>
      </c>
      <c r="Y20" s="813">
        <v>45721</v>
      </c>
      <c r="Z20" s="810" t="str">
        <f>IF(ISBLANK((VLOOKUP(C20,'[5]2025'!$A:$M,11,FALSE))),"",(VLOOKUP(C20,'[5]2025'!$A:$M,11,FALSE)))</f>
        <v>Former staff and consultant of MVP</v>
      </c>
      <c r="AA20" s="818" t="str">
        <f>IF(ISBLANK((VLOOKUP(C20,'[5]2025'!$A:$M,12,FALSE))),"",(VLOOKUP(C20,'[5]2025'!$A:$M,12,FALSE)))</f>
        <v>Scheduled for pole digging 1st week of December 2024</v>
      </c>
      <c r="AB20" s="818" t="str">
        <f>IF(ISBLANK((VLOOKUP(C20,'[5]2025'!$A:$M,13,FALSE))),"",(VLOOKUP(C20,'[5]2025'!$A:$M,13,FALSE)))</f>
        <v/>
      </c>
      <c r="AC20" s="273"/>
    </row>
    <row r="21" spans="1:29" x14ac:dyDescent="0.25">
      <c r="A21" s="806" t="str">
        <v>Y</v>
      </c>
      <c r="B21" s="798" t="str">
        <v>HMB</v>
      </c>
      <c r="C21" s="812" t="str">
        <v>X24083277607</v>
      </c>
      <c r="D21" s="806" t="str">
        <v>JONATHAN KEE AGABIN</v>
      </c>
      <c r="E21" s="806" t="str">
        <v>SAMAR, MARINA SUBD, PARANAQUE</v>
      </c>
      <c r="F21" s="806" t="str">
        <v>PARAÑAQUE CITY</v>
      </c>
      <c r="G21" s="806" t="str">
        <v>PARAÑAQUE</v>
      </c>
      <c r="H21" s="806" t="str">
        <v>FOLLOW UP FROM ATTY KIM HENARES</v>
      </c>
      <c r="I21" s="806" t="str">
        <v>W/O ISSUE</v>
      </c>
      <c r="J21" s="806" t="str">
        <v>VJC</v>
      </c>
      <c r="K21" s="806" t="str">
        <v>FCOMP</v>
      </c>
      <c r="L21" s="798" t="str">
        <v>Jenneth Madrid</v>
      </c>
      <c r="M21" s="811">
        <v>81.7376</v>
      </c>
      <c r="N21" s="811">
        <v>160.02000000000001</v>
      </c>
      <c r="O21" s="809">
        <v>80</v>
      </c>
      <c r="P21" s="806" t="str">
        <v>NEW</v>
      </c>
      <c r="Q21" s="806">
        <v>454689.41</v>
      </c>
      <c r="R21" s="806">
        <v>65090.91</v>
      </c>
      <c r="S21" s="806">
        <v>0</v>
      </c>
      <c r="T21" s="806">
        <v>0</v>
      </c>
      <c r="U21" s="813">
        <v>45604.67597222222</v>
      </c>
      <c r="V21" s="813">
        <v>45609.621527777781</v>
      </c>
      <c r="W21" s="813">
        <v>45608</v>
      </c>
      <c r="X21" s="813">
        <v>0</v>
      </c>
      <c r="Y21" s="813">
        <v>45671</v>
      </c>
      <c r="Z21" s="810" t="str">
        <f>IF(ISBLANK((VLOOKUP(C21,'[5]2025'!$A:$M,11,FALSE))),"",(VLOOKUP(C21,'[5]2025'!$A:$M,11,FALSE)))</f>
        <v>Boss Dion Cruz</v>
      </c>
      <c r="AA21" s="818" t="str">
        <f>IF(ISBLANK((VLOOKUP(C21,'[5]2025'!$A:$M,12,FALSE))),"",(VLOOKUP(C21,'[5]2025'!$A:$M,12,FALSE)))</f>
        <v/>
      </c>
      <c r="AB21" s="818" t="str">
        <f>IF(ISBLANK((VLOOKUP(C21,'[5]2025'!$A:$M,13,FALSE))),"",(VLOOKUP(C21,'[5]2025'!$A:$M,13,FALSE)))</f>
        <v/>
      </c>
      <c r="AC21" s="273"/>
    </row>
    <row r="22" spans="1:29" ht="30" x14ac:dyDescent="0.25">
      <c r="A22" s="806" t="str">
        <v>Y</v>
      </c>
      <c r="B22" s="798" t="str">
        <v>HMB</v>
      </c>
      <c r="C22" s="812" t="str">
        <v>X24072802372</v>
      </c>
      <c r="D22" s="807" t="str">
        <v>JOSE MARTIN GRUBA NOEL</v>
      </c>
      <c r="E22" s="807" t="str">
        <v>QUINTIN PAREDES, BF HOMES, PARANAQUE</v>
      </c>
      <c r="F22" s="806" t="str">
        <v>PARAÑAQUE CITY</v>
      </c>
      <c r="G22" s="806" t="str">
        <v>PARAÑAQUE</v>
      </c>
      <c r="H22" s="806" t="str">
        <v>VIP, OWNER IS RET. GENERAL MANNY IDQUIVAL</v>
      </c>
      <c r="I22" s="806" t="str">
        <v>For Schedule of Digging  1/8/2024</v>
      </c>
      <c r="J22" s="806" t="str">
        <v>ECOM</v>
      </c>
      <c r="K22" s="806" t="str">
        <v>FCOMP</v>
      </c>
      <c r="L22" s="798" t="str">
        <v>Ronilo Gange Jr.</v>
      </c>
      <c r="M22" s="811">
        <v>119.9787</v>
      </c>
      <c r="N22" s="811">
        <v>120.71</v>
      </c>
      <c r="O22" s="809">
        <v>86</v>
      </c>
      <c r="P22" s="806" t="str">
        <v>MODIFICATION</v>
      </c>
      <c r="Q22" s="806">
        <v>588535.37</v>
      </c>
      <c r="R22" s="806">
        <v>96616.31</v>
      </c>
      <c r="S22" s="806">
        <v>26531.14</v>
      </c>
      <c r="T22" s="806">
        <v>0.27460311825198042</v>
      </c>
      <c r="U22" s="813">
        <v>45604.676342592589</v>
      </c>
      <c r="V22" s="813">
        <v>45609.620138888888</v>
      </c>
      <c r="W22" s="813">
        <v>45617</v>
      </c>
      <c r="X22" s="813">
        <v>45667</v>
      </c>
      <c r="Y22" s="813">
        <v>45668</v>
      </c>
      <c r="Z22" s="810" t="str">
        <f>IF(ISBLANK((VLOOKUP(C22,'[5]2025'!$A:$M,11,FALSE))),"",(VLOOKUP(C22,'[5]2025'!$A:$M,11,FALSE)))</f>
        <v>ROLA</v>
      </c>
      <c r="AA22" s="818" t="str">
        <f>IF(ISBLANK((VLOOKUP(C22,'[5]2025'!$A:$M,12,FALSE))),"",(VLOOKUP(C22,'[5]2025'!$A:$M,12,FALSE)))</f>
        <v xml:space="preserve">Completed </v>
      </c>
      <c r="AB22" s="818" t="str">
        <f>IF(ISBLANK((VLOOKUP(C22,'[5]2025'!$A:$M,13,FALSE))),"",(VLOOKUP(C22,'[5]2025'!$A:$M,13,FALSE)))</f>
        <v/>
      </c>
      <c r="AC22" s="273"/>
    </row>
    <row r="23" spans="1:29" ht="60" x14ac:dyDescent="0.25">
      <c r="A23" s="806" t="str">
        <v>Y</v>
      </c>
      <c r="B23" s="798" t="str">
        <v>HMB</v>
      </c>
      <c r="C23" s="812" t="str">
        <v>R23611939</v>
      </c>
      <c r="D23" s="806" t="str">
        <v>DPWH DEO LAS PINAS-MUNTI,</v>
      </c>
      <c r="E23" s="806" t="str">
        <v>MARCOS ALVAREZ, TALON V, LAS PINAS CITY</v>
      </c>
      <c r="F23" s="806" t="str">
        <v>LAS PIÑAS CITY</v>
      </c>
      <c r="G23" s="806" t="str">
        <v>PARAÑAQUE</v>
      </c>
      <c r="H23" s="806" t="str">
        <v>Done pole erection retirement nalang po ng poste hindi po maretire ang poste kasi may gumagawa po ng kalsada</v>
      </c>
      <c r="I23" s="806">
        <v>0</v>
      </c>
      <c r="J23" s="806" t="str">
        <v>POWERHOUSE</v>
      </c>
      <c r="K23" s="806" t="str">
        <v>SCHED</v>
      </c>
      <c r="L23" s="798" t="str">
        <v>Isan Carlo Lazaro</v>
      </c>
      <c r="M23" s="811">
        <v>80.494100000000003</v>
      </c>
      <c r="N23" s="811">
        <v>158.78</v>
      </c>
      <c r="O23" s="809">
        <v>0</v>
      </c>
      <c r="P23" s="806" t="str">
        <v>RELOC</v>
      </c>
      <c r="Q23" s="806">
        <v>246953.97</v>
      </c>
      <c r="R23" s="806">
        <v>64820.26</v>
      </c>
      <c r="S23" s="806">
        <v>0</v>
      </c>
      <c r="T23" s="806">
        <v>0</v>
      </c>
      <c r="U23" s="813">
        <v>45610.673437500001</v>
      </c>
      <c r="V23" s="813">
        <v>45616.418055555558</v>
      </c>
      <c r="W23" s="813">
        <v>45616</v>
      </c>
      <c r="X23" s="813">
        <v>0</v>
      </c>
      <c r="Y23" s="813">
        <v>0</v>
      </c>
      <c r="Z23" s="810" t="str">
        <f>IF(ISBLANK((VLOOKUP(C23,'[5]2025'!$A:$M,11,FALSE))),"",(VLOOKUP(C23,'[5]2025'!$A:$M,11,FALSE)))</f>
        <v>John Y. Salamero, former LP Officer</v>
      </c>
      <c r="AA23" s="818" t="str">
        <f>IF(ISBLANK((VLOOKUP(C23,'[5]2025'!$A:$M,12,FALSE))),"",(VLOOKUP(C23,'[5]2025'!$A:$M,12,FALSE)))</f>
        <v>For referral to UAM to proceed with pole retirement</v>
      </c>
      <c r="AB23" s="818" t="str">
        <f>IF(ISBLANK((VLOOKUP(C23,'[5]2025'!$A:$M,13,FALSE))),"",(VLOOKUP(C23,'[5]2025'!$A:$M,13,FALSE)))</f>
        <v>ROW issues</v>
      </c>
      <c r="AC23" s="273"/>
    </row>
    <row r="24" spans="1:29" x14ac:dyDescent="0.25">
      <c r="A24" s="806" t="str">
        <v>Y</v>
      </c>
      <c r="B24" s="798" t="str">
        <v>HMB</v>
      </c>
      <c r="C24" s="830" t="str">
        <v>X23020656225</v>
      </c>
      <c r="D24" s="806" t="str">
        <v>JENNIFER AUSTRIA BARZAGA</v>
      </c>
      <c r="E24" s="806" t="str">
        <v>LAUAN, AYALA-ALABANG VILL, MUNTINLUPA</v>
      </c>
      <c r="F24" s="806" t="str">
        <v>MUNTINLUPA CITY</v>
      </c>
      <c r="G24" s="806" t="str">
        <v>PARAÑAQUE</v>
      </c>
      <c r="H24" s="806" t="str">
        <v>SSP Dec 26</v>
      </c>
      <c r="I24" s="806" t="str">
        <v>W/O ISSUE</v>
      </c>
      <c r="J24" s="806" t="str">
        <v>CHALLENGER</v>
      </c>
      <c r="K24" s="806" t="str">
        <v>FCOMP</v>
      </c>
      <c r="L24" s="798" t="str">
        <v>Jemuel Peralta</v>
      </c>
      <c r="M24" s="811">
        <v>421.59</v>
      </c>
      <c r="N24" s="811">
        <v>813</v>
      </c>
      <c r="O24" s="809">
        <v>127.5</v>
      </c>
      <c r="P24" s="806" t="str">
        <v>NEW</v>
      </c>
      <c r="Q24" s="806">
        <v>1822047.68</v>
      </c>
      <c r="R24" s="806">
        <v>338008.24</v>
      </c>
      <c r="S24" s="806">
        <v>0</v>
      </c>
      <c r="T24" s="806">
        <v>0</v>
      </c>
      <c r="U24" s="813">
        <v>45611</v>
      </c>
      <c r="V24" s="813">
        <v>45621</v>
      </c>
      <c r="W24" s="813">
        <v>45631</v>
      </c>
      <c r="X24" s="813">
        <v>0</v>
      </c>
      <c r="Y24" s="813">
        <v>45659</v>
      </c>
      <c r="Z24" s="810" t="str">
        <f>IF(ISBLANK((VLOOKUP(C24,'[5]2025'!$A:$M,11,FALSE))),"",(VLOOKUP(C24,'[5]2025'!$A:$M,11,FALSE)))</f>
        <v>Boss Benjie Cusi</v>
      </c>
      <c r="AA24" s="818" t="str">
        <f>IF(ISBLANK((VLOOKUP(C24,'[5]2025'!$A:$M,12,FALSE))),"",(VLOOKUP(C24,'[5]2025'!$A:$M,12,FALSE)))</f>
        <v/>
      </c>
      <c r="AB24" s="818" t="str">
        <f>IF(ISBLANK((VLOOKUP(C24,'[5]2025'!$A:$M,13,FALSE))),"",(VLOOKUP(C24,'[5]2025'!$A:$M,13,FALSE)))</f>
        <v/>
      </c>
      <c r="AC24" s="273"/>
    </row>
    <row r="25" spans="1:29" x14ac:dyDescent="0.25">
      <c r="A25" s="806" t="str">
        <v>Y</v>
      </c>
      <c r="B25" s="798" t="str">
        <v>BIZ</v>
      </c>
      <c r="C25" s="812" t="str">
        <v>X24020649090</v>
      </c>
      <c r="D25" s="806" t="str">
        <v>MICHAEL CHRISTIAN R. PICHEL</v>
      </c>
      <c r="E25" s="806" t="str">
        <v>M.L. QUEZON, PUROK 3, TAGUIG CITY</v>
      </c>
      <c r="F25" s="831" t="str">
        <v>TAGUIG CITY</v>
      </c>
      <c r="G25" s="831" t="str">
        <v>PARAÑAQUE</v>
      </c>
      <c r="H25" s="831" t="str">
        <v>Completed, for re-trigger of PO and route to FCOMP</v>
      </c>
      <c r="I25" s="831">
        <v>0</v>
      </c>
      <c r="J25" s="806" t="str">
        <v>VJC</v>
      </c>
      <c r="K25" s="806" t="str">
        <v>TECO</v>
      </c>
      <c r="L25" s="798" t="str">
        <v>Jenneth Madrid</v>
      </c>
      <c r="M25" s="811">
        <v>68.040499999999994</v>
      </c>
      <c r="N25" s="811">
        <v>339.78</v>
      </c>
      <c r="O25" s="809">
        <v>49</v>
      </c>
      <c r="P25" s="806" t="str">
        <v>NEW</v>
      </c>
      <c r="Q25" s="831">
        <v>525931.28</v>
      </c>
      <c r="R25" s="831">
        <v>54791.3</v>
      </c>
      <c r="S25" s="831">
        <v>138590.65</v>
      </c>
      <c r="T25" s="831">
        <v>2.5294280296324416</v>
      </c>
      <c r="U25" s="813">
        <v>45618.640069444446</v>
      </c>
      <c r="V25" s="813">
        <v>45624.352777777778</v>
      </c>
      <c r="W25" s="832">
        <v>45623</v>
      </c>
      <c r="X25" s="832">
        <v>45669</v>
      </c>
      <c r="Y25" s="813">
        <v>45669</v>
      </c>
      <c r="Z25" s="810" t="str">
        <f>IF(ISBLANK((VLOOKUP(C25,'[5]2025'!$A:$M,11,FALSE))),"",(VLOOKUP(C25,'[5]2025'!$A:$M,11,FALSE)))</f>
        <v>Boss FJS</v>
      </c>
      <c r="AA25" s="818" t="str">
        <f>IF(ISBLANK((VLOOKUP(C25,'[5]2025'!$A:$M,12,FALSE))),"",(VLOOKUP(C25,'[5]2025'!$A:$M,12,FALSE)))</f>
        <v/>
      </c>
      <c r="AB25" s="818" t="str">
        <f>IF(ISBLANK((VLOOKUP(C25,'[5]2025'!$A:$M,13,FALSE))),"",(VLOOKUP(C25,'[5]2025'!$A:$M,13,FALSE)))</f>
        <v/>
      </c>
      <c r="AC25" s="273"/>
    </row>
    <row r="26" spans="1:29" x14ac:dyDescent="0.25">
      <c r="A26" s="806" t="str">
        <v>Y</v>
      </c>
      <c r="B26" s="798" t="str">
        <v>BIZ</v>
      </c>
      <c r="C26" s="812" t="str">
        <v>X24062171822</v>
      </c>
      <c r="D26" s="806" t="str">
        <v>M.H. BURTON REPAIR SERVICES, INC.</v>
      </c>
      <c r="E26" s="806" t="str">
        <v>BLOCK 5, MAGDIWANG SUBD, BACOOR</v>
      </c>
      <c r="F26" s="806" t="str">
        <v>BACOOR CITY</v>
      </c>
      <c r="G26" s="806" t="str">
        <v>DASMA</v>
      </c>
      <c r="H26" s="806">
        <v>0</v>
      </c>
      <c r="I26" s="806">
        <v>0</v>
      </c>
      <c r="J26" s="806" t="str">
        <v>POWERHOUSE</v>
      </c>
      <c r="K26" s="806" t="str">
        <v>FCOMP</v>
      </c>
      <c r="L26" s="798" t="str">
        <v>Jenneth Madrid</v>
      </c>
      <c r="M26" s="811">
        <v>240.51830000000001</v>
      </c>
      <c r="N26" s="811">
        <v>240.52</v>
      </c>
      <c r="O26" s="809">
        <v>120</v>
      </c>
      <c r="P26" s="806" t="str">
        <v>NEW</v>
      </c>
      <c r="Q26" s="806">
        <v>1126618.3500000001</v>
      </c>
      <c r="R26" s="806">
        <v>193724.47</v>
      </c>
      <c r="S26" s="806">
        <v>0</v>
      </c>
      <c r="T26" s="806">
        <v>0</v>
      </c>
      <c r="U26" s="813">
        <v>45618.641516203701</v>
      </c>
      <c r="V26" s="813">
        <v>45624.354861111111</v>
      </c>
      <c r="W26" s="813">
        <v>45623</v>
      </c>
      <c r="X26" s="813">
        <v>0</v>
      </c>
      <c r="Y26" s="813">
        <v>45742</v>
      </c>
      <c r="Z26" s="810" t="str">
        <f>IF(ISBLANK((VLOOKUP(C26,'[5]2025'!$A:$M,11,FALSE))),"",(VLOOKUP(C26,'[5]2025'!$A:$M,11,FALSE)))</f>
        <v>BIZ Partners</v>
      </c>
      <c r="AA26" s="818" t="str">
        <f>IF(ISBLANK((VLOOKUP(C26,'[5]2025'!$A:$M,12,FALSE))),"",(VLOOKUP(C26,'[5]2025'!$A:$M,12,FALSE)))</f>
        <v/>
      </c>
      <c r="AB26" s="818" t="str">
        <f>IF(ISBLANK((VLOOKUP(C26,'[5]2025'!$A:$M,13,FALSE))),"",(VLOOKUP(C26,'[5]2025'!$A:$M,13,FALSE)))</f>
        <v/>
      </c>
      <c r="AC26" s="273"/>
    </row>
    <row r="27" spans="1:29" ht="75" x14ac:dyDescent="0.25">
      <c r="A27" s="806" t="str">
        <v>Y</v>
      </c>
      <c r="B27" s="798" t="str">
        <v>HMB</v>
      </c>
      <c r="C27" s="812" t="str">
        <v>X24093863040</v>
      </c>
      <c r="D27" s="806" t="str">
        <v>AIRA NAVARRO JUBILADO</v>
      </c>
      <c r="E27" s="806" t="str">
        <v>A. MABINI, TUAZON SUBD, LAS PINAS CITY</v>
      </c>
      <c r="F27" s="806" t="str">
        <v>LAS PIÑAS CITY</v>
      </c>
      <c r="G27" s="806" t="str">
        <v>PARAÑAQUE</v>
      </c>
      <c r="H27" s="806" t="str">
        <v xml:space="preserve">Pending problem with R/Way </v>
      </c>
      <c r="I27" s="806">
        <v>0</v>
      </c>
      <c r="J27" s="806" t="str">
        <v>AVECO</v>
      </c>
      <c r="K27" s="806" t="str">
        <v>FCOMP</v>
      </c>
      <c r="L27" s="798" t="str">
        <v>Ronilo Gange Jr.</v>
      </c>
      <c r="M27" s="811">
        <v>113.706</v>
      </c>
      <c r="N27" s="811">
        <v>347.15</v>
      </c>
      <c r="O27" s="809">
        <v>20</v>
      </c>
      <c r="P27" s="806" t="str">
        <v>NEW</v>
      </c>
      <c r="Q27" s="806">
        <v>622295.41</v>
      </c>
      <c r="R27" s="806">
        <v>91565.09</v>
      </c>
      <c r="S27" s="806">
        <v>0</v>
      </c>
      <c r="T27" s="806">
        <v>0</v>
      </c>
      <c r="U27" s="813">
        <v>45625.40347222222</v>
      </c>
      <c r="V27" s="813">
        <v>45630.405555555553</v>
      </c>
      <c r="W27" s="813">
        <v>45629</v>
      </c>
      <c r="X27" s="813">
        <v>0</v>
      </c>
      <c r="Y27" s="813">
        <v>45832</v>
      </c>
      <c r="Z27" s="810" t="str">
        <f>IF(ISBLANK((VLOOKUP(C27,'[5]2025'!$A:$M,11,FALSE))),"",(VLOOKUP(C27,'[5]2025'!$A:$M,11,FALSE)))</f>
        <v xml:space="preserve">Noel Dizon </v>
      </c>
      <c r="AA27" s="818" t="str">
        <f>IF(ISBLANK((VLOOKUP(C27,'[5]2025'!$A:$M,12,FALSE))),"",(VLOOKUP(C27,'[5]2025'!$A:$M,12,FALSE)))</f>
        <v>Pending</v>
      </c>
      <c r="AB27" s="818" t="str">
        <f>IF(ISBLANK((VLOOKUP(C27,'[5]2025'!$A:$M,13,FALSE))),"",(VLOOKUP(C27,'[5]2025'!$A:$M,13,FALSE)))</f>
        <v>Hold by a 3rd party at Task 2 as Vendor initiate Pole erection
* Already Coordinate with LAs Pinas  Business Center -Sir Robbie 5/13/25</v>
      </c>
      <c r="AC27" s="273"/>
    </row>
    <row r="28" spans="1:29" x14ac:dyDescent="0.25">
      <c r="A28" s="806" t="str">
        <v>Y</v>
      </c>
      <c r="B28" s="798" t="str">
        <v>HMB</v>
      </c>
      <c r="C28" s="812" t="str">
        <v>X24093725089</v>
      </c>
      <c r="D28" s="806" t="str">
        <v>RUBEN LEYVA TERRADO</v>
      </c>
      <c r="E28" s="806" t="str">
        <v>PILAR, ST. JOSEPH SUBD, LAS PINAS CITY</v>
      </c>
      <c r="F28" s="806" t="str">
        <v>LAS PIÑAS CITY</v>
      </c>
      <c r="G28" s="806" t="str">
        <v>PARAÑAQUE</v>
      </c>
      <c r="H28" s="806">
        <v>0</v>
      </c>
      <c r="I28" s="806">
        <v>0</v>
      </c>
      <c r="J28" s="806" t="str">
        <v>POWERHOUSE</v>
      </c>
      <c r="K28" s="806" t="str">
        <v>FCOMP</v>
      </c>
      <c r="L28" s="798" t="str">
        <v>Jenneth Madrid</v>
      </c>
      <c r="M28" s="811">
        <v>167.39709999999999</v>
      </c>
      <c r="N28" s="811">
        <v>167.4</v>
      </c>
      <c r="O28" s="809">
        <v>131.5</v>
      </c>
      <c r="P28" s="806" t="str">
        <v>NEW</v>
      </c>
      <c r="Q28" s="806">
        <v>833252.11</v>
      </c>
      <c r="R28" s="806">
        <v>134801.60999999999</v>
      </c>
      <c r="S28" s="806">
        <v>0</v>
      </c>
      <c r="T28" s="806">
        <v>0</v>
      </c>
      <c r="U28" s="813">
        <v>45632.538888888892</v>
      </c>
      <c r="V28" s="813">
        <v>45638.45</v>
      </c>
      <c r="W28" s="813">
        <v>45643</v>
      </c>
      <c r="X28" s="813">
        <v>0</v>
      </c>
      <c r="Y28" s="813">
        <v>45668</v>
      </c>
      <c r="Z28" s="810" t="str">
        <f>IF(ISBLANK((VLOOKUP(C28,'[5]2025'!$A:$M,11,FALSE))),"",(VLOOKUP(C28,'[5]2025'!$A:$M,11,FALSE)))</f>
        <v>Boss RoLA</v>
      </c>
      <c r="AA28" s="818" t="str">
        <f>IF(ISBLANK((VLOOKUP(C28,'[5]2025'!$A:$M,12,FALSE))),"",(VLOOKUP(C28,'[5]2025'!$A:$M,12,FALSE)))</f>
        <v/>
      </c>
      <c r="AB28" s="818" t="str">
        <f>IF(ISBLANK((VLOOKUP(C28,'[5]2025'!$A:$M,13,FALSE))),"",(VLOOKUP(C28,'[5]2025'!$A:$M,13,FALSE)))</f>
        <v/>
      </c>
      <c r="AC28" s="273"/>
    </row>
    <row r="29" spans="1:29" ht="30" x14ac:dyDescent="0.25">
      <c r="A29" s="806" t="str">
        <v>Y</v>
      </c>
      <c r="B29" s="798" t="str">
        <v>BIZ</v>
      </c>
      <c r="C29" s="812" t="str">
        <v>X24103956559</v>
      </c>
      <c r="D29" s="806" t="str">
        <v>LILY REAL ESTATE DEVELOPMENT CORPORATION</v>
      </c>
      <c r="E29" s="806" t="str">
        <v>QUIRINO, TAMBO, PARANAQUE</v>
      </c>
      <c r="F29" s="831" t="str">
        <v>PARAÑAQUE CITY</v>
      </c>
      <c r="G29" s="831" t="str">
        <v>PARAÑAQUE</v>
      </c>
      <c r="H29" s="831">
        <v>0</v>
      </c>
      <c r="I29" s="831" t="str">
        <v>W/O ISSUE</v>
      </c>
      <c r="J29" s="806" t="str">
        <v>AVECO</v>
      </c>
      <c r="K29" s="806" t="str">
        <v>FCOMP</v>
      </c>
      <c r="L29" s="798" t="str">
        <v>Ronilo Gange Jr.</v>
      </c>
      <c r="M29" s="811">
        <v>187.60159999999999</v>
      </c>
      <c r="N29" s="811">
        <v>228.97</v>
      </c>
      <c r="O29" s="809">
        <v>395</v>
      </c>
      <c r="P29" s="806" t="str">
        <v>NEW</v>
      </c>
      <c r="Q29" s="831">
        <v>1391926.53</v>
      </c>
      <c r="R29" s="831">
        <v>151199.6</v>
      </c>
      <c r="S29" s="831">
        <v>0</v>
      </c>
      <c r="T29" s="831">
        <v>0</v>
      </c>
      <c r="U29" s="813">
        <v>45637.558240740742</v>
      </c>
      <c r="V29" s="813">
        <v>45642.593055555553</v>
      </c>
      <c r="W29" s="832">
        <v>45643</v>
      </c>
      <c r="X29" s="832">
        <v>45751</v>
      </c>
      <c r="Y29" s="813">
        <v>45751</v>
      </c>
      <c r="Z29" s="810" t="str">
        <f>IF(ISBLANK((VLOOKUP(C29,'[5]2025'!$A:$M,11,FALSE))),"",(VLOOKUP(C29,'[5]2025'!$A:$M,11,FALSE)))</f>
        <v>Taguig LGU thru Taguig BC</v>
      </c>
      <c r="AA29" s="818" t="str">
        <f>IF(ISBLANK((VLOOKUP(C29,'[5]2025'!$A:$M,12,FALSE))),"",(VLOOKUP(C29,'[5]2025'!$A:$M,12,FALSE)))</f>
        <v xml:space="preserve">Completed </v>
      </c>
      <c r="AB29" s="818" t="str">
        <f>IF(ISBLANK((VLOOKUP(C29,'[5]2025'!$A:$M,13,FALSE))),"",(VLOOKUP(C29,'[5]2025'!$A:$M,13,FALSE)))</f>
        <v/>
      </c>
      <c r="AC29" s="273"/>
    </row>
    <row r="30" spans="1:29" ht="30" x14ac:dyDescent="0.25">
      <c r="A30" s="806" t="str">
        <v>Y</v>
      </c>
      <c r="B30" s="798" t="str">
        <v>BIZ</v>
      </c>
      <c r="C30" s="812" t="str">
        <v>X24104044893</v>
      </c>
      <c r="D30" s="807" t="str">
        <v>SONAK HOLDINGS CORPORATION</v>
      </c>
      <c r="E30" s="807" t="str">
        <v>WEST SERVICE, CUPANG, MUNTINLUPA</v>
      </c>
      <c r="F30" s="831" t="str">
        <v>MUNTINLUPA CITY</v>
      </c>
      <c r="G30" s="831" t="str">
        <v>PARAÑAQUE</v>
      </c>
      <c r="H30" s="831">
        <v>0</v>
      </c>
      <c r="I30" s="831">
        <v>0</v>
      </c>
      <c r="J30" s="806" t="str">
        <v>ECOM</v>
      </c>
      <c r="K30" s="806" t="str">
        <v>FCOMP</v>
      </c>
      <c r="L30" s="798" t="str">
        <v>Ronilo Gange Jr.</v>
      </c>
      <c r="M30" s="811">
        <v>55.05</v>
      </c>
      <c r="N30" s="811">
        <v>55.05</v>
      </c>
      <c r="O30" s="809">
        <v>177</v>
      </c>
      <c r="P30" s="806" t="str">
        <v>NEW</v>
      </c>
      <c r="Q30" s="831">
        <v>141821.41</v>
      </c>
      <c r="R30" s="831">
        <v>44330.400000000001</v>
      </c>
      <c r="S30" s="831">
        <v>4026.35</v>
      </c>
      <c r="T30" s="831">
        <v>9.0825934347535775E-2</v>
      </c>
      <c r="U30" s="813">
        <v>45637.603865740741</v>
      </c>
      <c r="V30" s="813">
        <v>45639.407638888886</v>
      </c>
      <c r="W30" s="813">
        <v>45642</v>
      </c>
      <c r="X30" s="813">
        <v>45735</v>
      </c>
      <c r="Y30" s="813">
        <v>45735.393750000003</v>
      </c>
      <c r="Z30" s="810" t="str">
        <f>IF(ISBLANK((VLOOKUP(C30,'[5]2025'!$A:$M,11,FALSE))),"",(VLOOKUP(C30,'[5]2025'!$A:$M,11,FALSE)))</f>
        <v>COM Sison -office of Corp Comm.</v>
      </c>
      <c r="AA30" s="818" t="str">
        <f>IF(ISBLANK((VLOOKUP(C30,'[5]2025'!$A:$M,12,FALSE))),"",(VLOOKUP(C30,'[5]2025'!$A:$M,12,FALSE)))</f>
        <v xml:space="preserve">Completed </v>
      </c>
      <c r="AB30" s="818" t="str">
        <f>IF(ISBLANK((VLOOKUP(C30,'[5]2025'!$A:$M,13,FALSE))),"",(VLOOKUP(C30,'[5]2025'!$A:$M,13,FALSE)))</f>
        <v/>
      </c>
      <c r="AC30" s="273"/>
    </row>
    <row r="31" spans="1:29" x14ac:dyDescent="0.25">
      <c r="A31" s="806" t="str">
        <v>Y</v>
      </c>
      <c r="B31" s="798" t="str">
        <v>HMB</v>
      </c>
      <c r="C31" s="812" t="str">
        <v>X24124692677</v>
      </c>
      <c r="D31" s="806" t="str">
        <v>CITY GOVERNMENT OF BACOOR</v>
      </c>
      <c r="E31" s="806" t="str">
        <v>MOLINO HOMES I SUBD, BACOOR</v>
      </c>
      <c r="F31" s="831" t="str">
        <v>BACOOR CITY</v>
      </c>
      <c r="G31" s="831" t="str">
        <v>DASMA</v>
      </c>
      <c r="H31" s="831">
        <v>0</v>
      </c>
      <c r="I31" s="831">
        <v>0</v>
      </c>
      <c r="J31" s="806" t="str">
        <v>POWERHOUSE</v>
      </c>
      <c r="K31" s="806" t="str">
        <v>FCOMP</v>
      </c>
      <c r="L31" s="798" t="str">
        <v>Jenneth Madrid</v>
      </c>
      <c r="M31" s="811">
        <v>299.65669999999977</v>
      </c>
      <c r="N31" s="811">
        <v>447.14</v>
      </c>
      <c r="O31" s="809">
        <v>250</v>
      </c>
      <c r="P31" s="806" t="str">
        <v>NEW</v>
      </c>
      <c r="Q31" s="831">
        <v>1901958.33</v>
      </c>
      <c r="R31" s="831">
        <v>354962.15</v>
      </c>
      <c r="S31" s="831">
        <v>0</v>
      </c>
      <c r="T31" s="831">
        <v>0</v>
      </c>
      <c r="U31" s="813">
        <v>45652.537499999999</v>
      </c>
      <c r="V31" s="813">
        <v>45660.518055555556</v>
      </c>
      <c r="W31" s="832">
        <v>45659</v>
      </c>
      <c r="X31" s="832">
        <v>0</v>
      </c>
      <c r="Y31" s="813">
        <v>45728.61041666667</v>
      </c>
      <c r="Z31" s="810" t="str">
        <f>IF(ISBLANK((VLOOKUP(C31,'[5]2025'!$A:$M,11,FALSE))),"",(VLOOKUP(C31,'[5]2025'!$A:$M,11,FALSE)))</f>
        <v>Boss FJS</v>
      </c>
      <c r="AA31" s="818" t="str">
        <f>IF(ISBLANK((VLOOKUP(C31,'[5]2025'!$A:$M,12,FALSE))),"",(VLOOKUP(C31,'[5]2025'!$A:$M,12,FALSE)))</f>
        <v/>
      </c>
      <c r="AB31" s="818" t="str">
        <f>IF(ISBLANK((VLOOKUP(C31,'[5]2025'!$A:$M,13,FALSE))),"",(VLOOKUP(C31,'[5]2025'!$A:$M,13,FALSE)))</f>
        <v/>
      </c>
      <c r="AC31" s="273"/>
    </row>
    <row r="32" spans="1:29" x14ac:dyDescent="0.25">
      <c r="A32" s="806" t="str">
        <v>Y</v>
      </c>
      <c r="B32" s="798" t="str">
        <v>HMB</v>
      </c>
      <c r="C32" s="812" t="str">
        <v>X24093778968</v>
      </c>
      <c r="D32" s="806" t="str">
        <v>CITY GOVERNMENT OF TAGUIG</v>
      </c>
      <c r="E32" s="806" t="str">
        <v>M.L. QUEZON, LOWER BICUTAN, TAGUIG CITY</v>
      </c>
      <c r="F32" s="831" t="str">
        <v>TAGUIG CITY</v>
      </c>
      <c r="G32" s="831" t="str">
        <v>PARAÑAQUE</v>
      </c>
      <c r="H32" s="831">
        <v>0</v>
      </c>
      <c r="I32" s="831">
        <v>0</v>
      </c>
      <c r="J32" s="806" t="str">
        <v>VJC</v>
      </c>
      <c r="K32" s="806" t="str">
        <v>FCOMP</v>
      </c>
      <c r="L32" s="798" t="str">
        <v>Jenneth Madrid</v>
      </c>
      <c r="M32" s="811">
        <v>296.29910000000001</v>
      </c>
      <c r="N32" s="811">
        <v>1116.82</v>
      </c>
      <c r="O32" s="809">
        <v>73</v>
      </c>
      <c r="P32" s="806" t="str">
        <v>NEW</v>
      </c>
      <c r="Q32" s="831">
        <v>2732739.46</v>
      </c>
      <c r="R32" s="831">
        <v>648325.43999999994</v>
      </c>
      <c r="S32" s="831">
        <v>0</v>
      </c>
      <c r="T32" s="831">
        <v>0</v>
      </c>
      <c r="U32" s="813">
        <v>45665.686111111114</v>
      </c>
      <c r="V32" s="813">
        <v>45671.618055555555</v>
      </c>
      <c r="W32" s="832">
        <v>45667</v>
      </c>
      <c r="X32" s="832">
        <v>0</v>
      </c>
      <c r="Y32" s="813">
        <v>45713</v>
      </c>
      <c r="Z32" s="810" t="str">
        <f>IF(ISBLANK((VLOOKUP(C32,'[5]2025'!$A:$M,11,FALSE))),"",(VLOOKUP(C32,'[5]2025'!$A:$M,11,FALSE)))</f>
        <v>Villar Group</v>
      </c>
      <c r="AA32" s="818" t="str">
        <f>IF(ISBLANK((VLOOKUP(C32,'[5]2025'!$A:$M,12,FALSE))),"",(VLOOKUP(C32,'[5]2025'!$A:$M,12,FALSE)))</f>
        <v/>
      </c>
      <c r="AB32" s="818" t="str">
        <f>IF(ISBLANK((VLOOKUP(C32,'[5]2025'!$A:$M,13,FALSE))),"",(VLOOKUP(C32,'[5]2025'!$A:$M,13,FALSE)))</f>
        <v/>
      </c>
      <c r="AC32" s="273"/>
    </row>
    <row r="33" spans="1:29" ht="30" x14ac:dyDescent="0.25">
      <c r="A33" s="806" t="str">
        <v>Y</v>
      </c>
      <c r="B33" s="798" t="str">
        <v>HMB</v>
      </c>
      <c r="C33" s="812" t="str">
        <v>X24124906791</v>
      </c>
      <c r="D33" s="806" t="str">
        <v>VILLA LIGHT NEIGHBORHOOD ASSOCIATION INC.</v>
      </c>
      <c r="E33" s="806" t="str">
        <v>BLOCK 10, VILLA LIGHT SUBD, TAGUIG CITY</v>
      </c>
      <c r="F33" s="831" t="str">
        <v>TAGUIG CITY</v>
      </c>
      <c r="G33" s="831" t="str">
        <v>PARAÑAQUE</v>
      </c>
      <c r="H33" s="831">
        <v>0</v>
      </c>
      <c r="I33" s="831">
        <v>0</v>
      </c>
      <c r="J33" s="806" t="str">
        <v>VJC</v>
      </c>
      <c r="K33" s="806" t="str">
        <v>FCOMP</v>
      </c>
      <c r="L33" s="798" t="str">
        <v>Jenneth Madrid</v>
      </c>
      <c r="M33" s="811">
        <v>459.09679999999952</v>
      </c>
      <c r="N33" s="811">
        <v>3541.54</v>
      </c>
      <c r="O33" s="809">
        <v>225</v>
      </c>
      <c r="P33" s="806" t="str">
        <v>NEW</v>
      </c>
      <c r="Q33" s="831">
        <v>4039465.57</v>
      </c>
      <c r="R33" s="831">
        <v>439590.52999999997</v>
      </c>
      <c r="S33" s="831">
        <v>0</v>
      </c>
      <c r="T33" s="831">
        <v>0</v>
      </c>
      <c r="U33" s="813">
        <v>45674.605555555558</v>
      </c>
      <c r="V33" s="813">
        <v>45684.584722222222</v>
      </c>
      <c r="W33" s="832">
        <v>45678</v>
      </c>
      <c r="X33" s="832">
        <v>0</v>
      </c>
      <c r="Y33" s="813">
        <v>45836</v>
      </c>
      <c r="Z33" s="810" t="str">
        <f>IF(ISBLANK((VLOOKUP(C33,'[5]2025'!$A:$M,11,FALSE))),"",(VLOOKUP(C33,'[5]2025'!$A:$M,11,FALSE)))</f>
        <v>Taguig BC</v>
      </c>
      <c r="AA33" s="818" t="str">
        <f>IF(ISBLANK((VLOOKUP(C33,'[5]2025'!$A:$M,12,FALSE))),"",(VLOOKUP(C33,'[5]2025'!$A:$M,12,FALSE)))</f>
        <v>On-going construction</v>
      </c>
      <c r="AB33" s="818" t="str">
        <f>IF(ISBLANK((VLOOKUP(C33,'[5]2025'!$A:$M,13,FALSE))),"",(VLOOKUP(C33,'[5]2025'!$A:$M,13,FALSE)))</f>
        <v>Sevaral locations with diverson of water pipes</v>
      </c>
      <c r="AC33" s="273"/>
    </row>
    <row r="34" spans="1:29" ht="30" x14ac:dyDescent="0.25">
      <c r="A34" s="806" t="str">
        <v>Y</v>
      </c>
      <c r="B34" s="798" t="str">
        <v>CBG</v>
      </c>
      <c r="C34" s="812" t="str">
        <v>X25010079615</v>
      </c>
      <c r="D34" s="807" t="str">
        <v>CMSTAR MANAGEMENT INC.</v>
      </c>
      <c r="E34" s="807" t="str">
        <v>DAANG-HARI RD., MOLINO IV, BACOOR</v>
      </c>
      <c r="F34" s="831" t="str">
        <v>BACOOR CITY</v>
      </c>
      <c r="G34" s="831" t="str">
        <v>DASMA</v>
      </c>
      <c r="H34" s="831">
        <v>0</v>
      </c>
      <c r="I34" s="831">
        <v>0</v>
      </c>
      <c r="J34" s="806" t="str">
        <v>POWERHOUSE</v>
      </c>
      <c r="K34" s="806" t="str">
        <v>FCOMP</v>
      </c>
      <c r="L34" s="798" t="str">
        <v>Jenneth Madrid</v>
      </c>
      <c r="M34" s="811">
        <v>1155.0617999999999</v>
      </c>
      <c r="N34" s="811">
        <v>1160.74</v>
      </c>
      <c r="O34" s="809">
        <v>45</v>
      </c>
      <c r="P34" s="806" t="str">
        <v>NEW</v>
      </c>
      <c r="Q34" s="831">
        <v>3660384.15</v>
      </c>
      <c r="R34" s="831">
        <v>992062.56</v>
      </c>
      <c r="S34" s="831">
        <v>0</v>
      </c>
      <c r="T34" s="831">
        <v>0</v>
      </c>
      <c r="U34" s="813">
        <v>45674.63958333333</v>
      </c>
      <c r="V34" s="813">
        <v>45680.522222222222</v>
      </c>
      <c r="W34" s="813">
        <v>45678</v>
      </c>
      <c r="X34" s="813">
        <v>0</v>
      </c>
      <c r="Y34" s="813">
        <v>45726</v>
      </c>
      <c r="Z34" s="810" t="str">
        <f>IF(ISBLANK((VLOOKUP(C34,'[5]2025'!$A:$M,11,FALSE))),"",(VLOOKUP(C34,'[5]2025'!$A:$M,11,FALSE)))</f>
        <v>Boss Choi/Boss Dion</v>
      </c>
      <c r="AA34" s="818" t="str">
        <f>IF(ISBLANK((VLOOKUP(C34,'[5]2025'!$A:$M,12,FALSE))),"",(VLOOKUP(C34,'[5]2025'!$A:$M,12,FALSE)))</f>
        <v/>
      </c>
      <c r="AB34" s="818" t="str">
        <f>IF(ISBLANK((VLOOKUP(C34,'[5]2025'!$A:$M,13,FALSE))),"",(VLOOKUP(C34,'[5]2025'!$A:$M,13,FALSE)))</f>
        <v/>
      </c>
      <c r="AC34" s="273"/>
    </row>
    <row r="35" spans="1:29" x14ac:dyDescent="0.25">
      <c r="A35" s="806" t="str">
        <v>Y</v>
      </c>
      <c r="B35" s="798" t="str">
        <v>CBG</v>
      </c>
      <c r="C35" s="812" t="str">
        <v>R23797676</v>
      </c>
      <c r="D35" s="806" t="str">
        <v>CAVITEX INFRASTRUCTURE CORP.,</v>
      </c>
      <c r="E35" s="806" t="str">
        <v>KAINGIN RD., KAINGIN, PARANAQUE</v>
      </c>
      <c r="F35" s="831" t="str">
        <v>PARAÑAQUE CITY</v>
      </c>
      <c r="G35" s="831" t="str">
        <v>PARAÑAQUE</v>
      </c>
      <c r="H35" s="831">
        <v>0</v>
      </c>
      <c r="I35" s="831">
        <v>0</v>
      </c>
      <c r="J35" s="806" t="str">
        <v>ECOM</v>
      </c>
      <c r="K35" s="806" t="str">
        <v>FCOMP</v>
      </c>
      <c r="L35" s="798" t="str">
        <v>Ronilo Gange Jr.</v>
      </c>
      <c r="M35" s="811">
        <v>123.76480000000001</v>
      </c>
      <c r="N35" s="811">
        <v>196.43</v>
      </c>
      <c r="O35" s="809">
        <v>0</v>
      </c>
      <c r="P35" s="806" t="str">
        <v>RELOC</v>
      </c>
      <c r="Q35" s="831">
        <v>584843.86</v>
      </c>
      <c r="R35" s="831">
        <v>158179.16999999998</v>
      </c>
      <c r="S35" s="831">
        <v>62538.81</v>
      </c>
      <c r="T35" s="831">
        <v>0.39536691209089037</v>
      </c>
      <c r="U35" s="813">
        <v>45677.379861111112</v>
      </c>
      <c r="V35" s="813">
        <v>45678.512499999997</v>
      </c>
      <c r="W35" s="832">
        <v>45678</v>
      </c>
      <c r="X35" s="832">
        <v>45729</v>
      </c>
      <c r="Y35" s="813">
        <v>45733.363194444442</v>
      </c>
      <c r="Z35" s="810" t="str">
        <f>IF(ISBLANK((VLOOKUP(C35,'[5]2025'!$A:$M,11,FALSE))),"",(VLOOKUP(C35,'[5]2025'!$A:$M,11,FALSE)))</f>
        <v>Obet Galang</v>
      </c>
      <c r="AA35" s="818" t="str">
        <f>IF(ISBLANK((VLOOKUP(C35,'[5]2025'!$A:$M,12,FALSE))),"",(VLOOKUP(C35,'[5]2025'!$A:$M,12,FALSE)))</f>
        <v xml:space="preserve">Completed </v>
      </c>
      <c r="AB35" s="818" t="str">
        <f>IF(ISBLANK((VLOOKUP(C35,'[5]2025'!$A:$M,13,FALSE))),"",(VLOOKUP(C35,'[5]2025'!$A:$M,13,FALSE)))</f>
        <v/>
      </c>
      <c r="AC35" s="273"/>
    </row>
    <row r="36" spans="1:29" x14ac:dyDescent="0.25">
      <c r="A36" s="806" t="str">
        <v>Y</v>
      </c>
      <c r="B36" s="798" t="str">
        <v>BIZ</v>
      </c>
      <c r="C36" s="812" t="str">
        <v>X25010119305</v>
      </c>
      <c r="D36" s="806" t="str">
        <v>VICENTE P PEREZ</v>
      </c>
      <c r="E36" s="806" t="str">
        <v>EL GRANDE, BF HOMES, PARANAQUE</v>
      </c>
      <c r="F36" s="831" t="str">
        <v>PARAÑAQUE CITY</v>
      </c>
      <c r="G36" s="831" t="str">
        <v>PARAÑAQUE</v>
      </c>
      <c r="H36" s="831">
        <v>0</v>
      </c>
      <c r="I36" s="831">
        <v>0</v>
      </c>
      <c r="J36" s="806" t="str">
        <v>CHALLENGER</v>
      </c>
      <c r="K36" s="806" t="str">
        <v>FCOMP</v>
      </c>
      <c r="L36" s="798" t="str">
        <v>Isan Carlo Lazaro</v>
      </c>
      <c r="M36" s="811">
        <v>33.4983</v>
      </c>
      <c r="N36" s="811">
        <v>33.5</v>
      </c>
      <c r="O36" s="809">
        <v>35</v>
      </c>
      <c r="P36" s="806" t="str">
        <v>NEW</v>
      </c>
      <c r="Q36" s="831">
        <v>241637.84</v>
      </c>
      <c r="R36" s="831">
        <v>26975.31</v>
      </c>
      <c r="S36" s="831">
        <v>6007.35</v>
      </c>
      <c r="T36" s="831">
        <v>0.2226980894751534</v>
      </c>
      <c r="U36" s="813">
        <v>45679.708333333336</v>
      </c>
      <c r="V36" s="813">
        <v>45685.351388888892</v>
      </c>
      <c r="W36" s="832">
        <v>45681</v>
      </c>
      <c r="X36" s="832">
        <v>45720.181250000001</v>
      </c>
      <c r="Y36" s="813">
        <v>45720</v>
      </c>
      <c r="Z36" s="810" t="str">
        <f>IF(ISBLANK((VLOOKUP(C36,'[5]2025'!$A:$M,11,FALSE))),"",(VLOOKUP(C36,'[5]2025'!$A:$M,11,FALSE)))</f>
        <v>Boss Erwin</v>
      </c>
      <c r="AA36" s="818" t="str">
        <f>IF(ISBLANK((VLOOKUP(C36,'[5]2025'!$A:$M,12,FALSE))),"",(VLOOKUP(C36,'[5]2025'!$A:$M,12,FALSE)))</f>
        <v/>
      </c>
      <c r="AB36" s="818" t="str">
        <f>IF(ISBLANK((VLOOKUP(C36,'[5]2025'!$A:$M,13,FALSE))),"",(VLOOKUP(C36,'[5]2025'!$A:$M,13,FALSE)))</f>
        <v/>
      </c>
      <c r="AC36" s="273"/>
    </row>
    <row r="37" spans="1:29" x14ac:dyDescent="0.25">
      <c r="A37" s="806" t="str">
        <v>Y</v>
      </c>
      <c r="B37" s="798" t="str">
        <v>BIZ</v>
      </c>
      <c r="C37" s="812" t="str">
        <v>X24093766158</v>
      </c>
      <c r="D37" s="806" t="str">
        <v>ALFAMART TRADING PHILIPPINES, INC.</v>
      </c>
      <c r="E37" s="806" t="str">
        <v>QUEEN'S MAIN, QUEEN'S ROW AREA A SUBD, BACOOR</v>
      </c>
      <c r="F37" s="831" t="str">
        <v>BACOOR CITY</v>
      </c>
      <c r="G37" s="831" t="str">
        <v>DASMA</v>
      </c>
      <c r="H37" s="831">
        <v>0</v>
      </c>
      <c r="I37" s="831">
        <v>0</v>
      </c>
      <c r="J37" s="806" t="str">
        <v>POWERHOUSE</v>
      </c>
      <c r="K37" s="806" t="str">
        <v>FCOMP</v>
      </c>
      <c r="L37" s="798" t="str">
        <v>Jenneth Madrid</v>
      </c>
      <c r="M37" s="811">
        <v>36.519499999999994</v>
      </c>
      <c r="N37" s="811">
        <v>39.53</v>
      </c>
      <c r="O37" s="809">
        <v>28</v>
      </c>
      <c r="P37" s="806" t="str">
        <v>NEW</v>
      </c>
      <c r="Q37" s="831">
        <v>281351.55</v>
      </c>
      <c r="R37" s="831">
        <v>33962.659999999996</v>
      </c>
      <c r="S37" s="831">
        <v>0</v>
      </c>
      <c r="T37" s="831">
        <v>0</v>
      </c>
      <c r="U37" s="813">
        <v>45681.588888888888</v>
      </c>
      <c r="V37" s="813">
        <v>45688.630555555559</v>
      </c>
      <c r="W37" s="832">
        <v>45687</v>
      </c>
      <c r="X37" s="832">
        <v>0</v>
      </c>
      <c r="Y37" s="813">
        <v>45747</v>
      </c>
      <c r="Z37" s="810" t="str">
        <f>IF(ISBLANK((VLOOKUP(C37,'[5]2025'!$A:$M,11,FALSE))),"",(VLOOKUP(C37,'[5]2025'!$A:$M,11,FALSE)))</f>
        <v>Boss Erwin</v>
      </c>
      <c r="AA37" s="818" t="str">
        <f>IF(ISBLANK((VLOOKUP(C37,'[5]2025'!$A:$M,12,FALSE))),"",(VLOOKUP(C37,'[5]2025'!$A:$M,12,FALSE)))</f>
        <v/>
      </c>
      <c r="AB37" s="818" t="str">
        <f>IF(ISBLANK((VLOOKUP(C37,'[5]2025'!$A:$M,13,FALSE))),"",(VLOOKUP(C37,'[5]2025'!$A:$M,13,FALSE)))</f>
        <v/>
      </c>
      <c r="AC37" s="273"/>
    </row>
    <row r="38" spans="1:29" x14ac:dyDescent="0.25">
      <c r="A38" s="806" t="str">
        <v>Y</v>
      </c>
      <c r="B38" s="798" t="str">
        <v>BIZ</v>
      </c>
      <c r="C38" s="812" t="str">
        <v>X24072540238</v>
      </c>
      <c r="D38" s="806" t="str">
        <v>HARD DISCOUNT PHILIPPINES, INC.</v>
      </c>
      <c r="E38" s="806" t="str">
        <v>GOV. P.F. ESPIRITU, PANAPAAN II, BACOOR</v>
      </c>
      <c r="F38" s="831" t="str">
        <v>BACOOR CITY</v>
      </c>
      <c r="G38" s="831" t="str">
        <v>DASMA</v>
      </c>
      <c r="H38" s="831">
        <v>0</v>
      </c>
      <c r="I38" s="831">
        <v>0</v>
      </c>
      <c r="J38" s="806" t="str">
        <v>AVECO</v>
      </c>
      <c r="K38" s="806" t="str">
        <v>FCOMP</v>
      </c>
      <c r="L38" s="798" t="str">
        <v>Ronilo Gange Jr.</v>
      </c>
      <c r="M38" s="811">
        <v>9.9328000000000003</v>
      </c>
      <c r="N38" s="811">
        <v>13.29</v>
      </c>
      <c r="O38" s="809">
        <v>20</v>
      </c>
      <c r="P38" s="806" t="str">
        <v>NEW</v>
      </c>
      <c r="Q38" s="831">
        <v>145240.66</v>
      </c>
      <c r="R38" s="831">
        <v>11416.91</v>
      </c>
      <c r="S38" s="831">
        <v>0</v>
      </c>
      <c r="T38" s="831">
        <v>0</v>
      </c>
      <c r="U38" s="813">
        <v>45684.511111111111</v>
      </c>
      <c r="V38" s="813">
        <v>45691</v>
      </c>
      <c r="W38" s="832">
        <v>45687</v>
      </c>
      <c r="X38" s="832">
        <v>45776</v>
      </c>
      <c r="Y38" s="813">
        <v>45777</v>
      </c>
      <c r="Z38" s="810" t="str">
        <f>IF(ISBLANK((VLOOKUP(C38,'[5]2025'!$A:$M,11,FALSE))),"",(VLOOKUP(C38,'[5]2025'!$A:$M,11,FALSE)))</f>
        <v>EOC/BIZ</v>
      </c>
      <c r="AA38" s="818" t="str">
        <f>IF(ISBLANK((VLOOKUP(C38,'[5]2025'!$A:$M,12,FALSE))),"",(VLOOKUP(C38,'[5]2025'!$A:$M,12,FALSE)))</f>
        <v xml:space="preserve">Completed </v>
      </c>
      <c r="AB38" s="818" t="str">
        <f>IF(ISBLANK((VLOOKUP(C38,'[5]2025'!$A:$M,13,FALSE))),"",(VLOOKUP(C38,'[5]2025'!$A:$M,13,FALSE)))</f>
        <v/>
      </c>
    </row>
    <row r="39" spans="1:29" ht="45" x14ac:dyDescent="0.25">
      <c r="A39" s="806" t="str">
        <v>Y</v>
      </c>
      <c r="B39" s="798" t="str">
        <v>BIZ</v>
      </c>
      <c r="C39" s="812" t="str">
        <v>X25010059547</v>
      </c>
      <c r="D39" s="806" t="str">
        <v>ALFAMETRO MARKETING INC. (CORCUERRA - BANNER 4TH ESTATE)</v>
      </c>
      <c r="E39" s="806" t="str">
        <v>BANNER, 4TH ESTATE SUBD, PARANAQUE</v>
      </c>
      <c r="F39" s="806" t="str">
        <v>PARAÑAQUE CITY</v>
      </c>
      <c r="G39" s="806" t="str">
        <v>PARAÑAQUE</v>
      </c>
      <c r="H39" s="806">
        <v>0</v>
      </c>
      <c r="I39" s="806">
        <v>0</v>
      </c>
      <c r="J39" s="806" t="str">
        <v>CHALLENGER</v>
      </c>
      <c r="K39" s="806" t="str">
        <v>TECO</v>
      </c>
      <c r="L39" s="798" t="str">
        <v>Isan Carlo Lazaro</v>
      </c>
      <c r="M39" s="808">
        <v>10.8028</v>
      </c>
      <c r="N39" s="808">
        <v>19.97</v>
      </c>
      <c r="O39" s="809">
        <v>31</v>
      </c>
      <c r="P39" s="806" t="str">
        <v>NEW</v>
      </c>
      <c r="Q39" s="806">
        <v>202246.77</v>
      </c>
      <c r="R39" s="806">
        <v>17159.97</v>
      </c>
      <c r="S39" s="806">
        <v>0</v>
      </c>
      <c r="T39" s="806">
        <v>0</v>
      </c>
      <c r="U39" s="813">
        <v>45685.643055555556</v>
      </c>
      <c r="V39" s="813">
        <v>45691.568055555559</v>
      </c>
      <c r="W39" s="813">
        <v>45688</v>
      </c>
      <c r="X39" s="813">
        <v>45720.181250000001</v>
      </c>
      <c r="Y39" s="813">
        <v>45720</v>
      </c>
      <c r="Z39" s="810" t="str">
        <f>IF(ISBLANK((VLOOKUP(C39,'[5]2025'!$A:$M,11,FALSE))),"",(VLOOKUP(C39,'[5]2025'!$A:$M,11,FALSE)))</f>
        <v>Ma'am Cecilia Domingo thru Boss RRA and Boss EOC</v>
      </c>
      <c r="AA39" s="818" t="str">
        <f>IF(ISBLANK((VLOOKUP(C39,'[5]2025'!$A:$M,12,FALSE))),"",(VLOOKUP(C39,'[5]2025'!$A:$M,12,FALSE)))</f>
        <v/>
      </c>
      <c r="AB39" s="818" t="str">
        <f>IF(ISBLANK((VLOOKUP(C39,'[5]2025'!$A:$M,13,FALSE))),"",(VLOOKUP(C39,'[5]2025'!$A:$M,13,FALSE)))</f>
        <v/>
      </c>
    </row>
    <row r="40" spans="1:29" ht="30" x14ac:dyDescent="0.25">
      <c r="A40" s="806" t="str">
        <v>Y</v>
      </c>
      <c r="B40" s="798" t="str">
        <v>BIZ</v>
      </c>
      <c r="C40" s="812" t="str">
        <v>X24093683073</v>
      </c>
      <c r="D40" s="807" t="str">
        <v>ELECTRO-SYSTEMS INDUSTRIES CORPORATION</v>
      </c>
      <c r="E40" s="807" t="str">
        <v>BAES, PERPETUAL VILLAGE, TAGUIG CITY</v>
      </c>
      <c r="F40" s="806" t="str">
        <v>TAGUIG CITY</v>
      </c>
      <c r="G40" s="806" t="str">
        <v>PARAÑAQUE</v>
      </c>
      <c r="H40" s="806">
        <v>0</v>
      </c>
      <c r="I40" s="806">
        <v>0</v>
      </c>
      <c r="J40" s="806" t="str">
        <v>VJC</v>
      </c>
      <c r="K40" s="806" t="str">
        <v>FCOMP</v>
      </c>
      <c r="L40" s="798" t="str">
        <v>Jenneth Madrid</v>
      </c>
      <c r="M40" s="808">
        <v>214.8948</v>
      </c>
      <c r="N40" s="808">
        <v>257.27999999999997</v>
      </c>
      <c r="O40" s="809">
        <v>42</v>
      </c>
      <c r="P40" s="806" t="str">
        <v>MODIFICATION</v>
      </c>
      <c r="Q40" s="806">
        <v>589728.55000000005</v>
      </c>
      <c r="R40" s="806">
        <v>173057.12</v>
      </c>
      <c r="S40" s="806">
        <v>96239.21</v>
      </c>
      <c r="T40" s="806">
        <v>0.55611239803366663</v>
      </c>
      <c r="U40" s="813">
        <v>45688</v>
      </c>
      <c r="V40" s="813">
        <v>45693.342361111114</v>
      </c>
      <c r="W40" s="813">
        <v>45692</v>
      </c>
      <c r="X40" s="813">
        <v>0</v>
      </c>
      <c r="Y40" s="813">
        <v>45715</v>
      </c>
      <c r="Z40" s="810" t="str">
        <f>IF(ISBLANK((VLOOKUP(C40,'[5]2025'!$A:$M,11,FALSE))),"",(VLOOKUP(C40,'[5]2025'!$A:$M,11,FALSE)))</f>
        <v>ROLA</v>
      </c>
      <c r="AA40" s="818" t="str">
        <f>IF(ISBLANK((VLOOKUP(C40,'[5]2025'!$A:$M,12,FALSE))),"",(VLOOKUP(C40,'[5]2025'!$A:$M,12,FALSE)))</f>
        <v/>
      </c>
      <c r="AB40" s="818" t="str">
        <f>IF(ISBLANK((VLOOKUP(C40,'[5]2025'!$A:$M,13,FALSE))),"",(VLOOKUP(C40,'[5]2025'!$A:$M,13,FALSE)))</f>
        <v/>
      </c>
    </row>
    <row r="41" spans="1:29" x14ac:dyDescent="0.25">
      <c r="A41" s="806" t="str">
        <v>Y</v>
      </c>
      <c r="B41" s="798" t="str">
        <v>BIZ</v>
      </c>
      <c r="C41" s="812" t="str">
        <v>X25010120302</v>
      </c>
      <c r="D41" s="806" t="str">
        <v>CDC REALTY INC.</v>
      </c>
      <c r="E41" s="806" t="str">
        <v>DOVE LOFTS, LION'S PARK RESIDENCES, PARANAQUE</v>
      </c>
      <c r="F41" s="806" t="str">
        <v>PARAÑAQUE CITY</v>
      </c>
      <c r="G41" s="806" t="str">
        <v>PARAÑAQUE</v>
      </c>
      <c r="H41" s="806">
        <v>0</v>
      </c>
      <c r="I41" s="806" t="str">
        <v>with follow up from Ma'am Cecille, Head Enterprise &amp; National Government</v>
      </c>
      <c r="J41" s="806" t="str">
        <v>VJC</v>
      </c>
      <c r="K41" s="806" t="str">
        <v>FCOMP</v>
      </c>
      <c r="L41" s="798" t="str">
        <v>Jenneth Madrid</v>
      </c>
      <c r="M41" s="808">
        <v>70.673099999999991</v>
      </c>
      <c r="N41" s="808">
        <v>120.1</v>
      </c>
      <c r="O41" s="809">
        <v>193</v>
      </c>
      <c r="P41" s="806" t="str">
        <v>NEW</v>
      </c>
      <c r="Q41" s="806">
        <v>813015.11</v>
      </c>
      <c r="R41" s="806">
        <v>97030.12999999999</v>
      </c>
      <c r="S41" s="806">
        <v>47759.31</v>
      </c>
      <c r="T41" s="806">
        <v>0.49221113070754419</v>
      </c>
      <c r="U41" s="813">
        <v>45694.551388888889</v>
      </c>
      <c r="V41" s="813">
        <v>45700.438888888886</v>
      </c>
      <c r="W41" s="813">
        <v>45698</v>
      </c>
      <c r="X41" s="813">
        <v>45719</v>
      </c>
      <c r="Y41" s="813">
        <v>45719</v>
      </c>
      <c r="Z41" s="810" t="str">
        <f>IF(ISBLANK((VLOOKUP(C41,'[5]2025'!$A:$M,11,FALSE))),"",(VLOOKUP(C41,'[5]2025'!$A:$M,11,FALSE)))</f>
        <v>Boss Dion Cruz</v>
      </c>
      <c r="AA41" s="818" t="str">
        <f>IF(ISBLANK((VLOOKUP(C41,'[5]2025'!$A:$M,12,FALSE))),"",(VLOOKUP(C41,'[5]2025'!$A:$M,12,FALSE)))</f>
        <v/>
      </c>
      <c r="AB41" s="818" t="str">
        <f>IF(ISBLANK((VLOOKUP(C41,'[5]2025'!$A:$M,13,FALSE))),"",(VLOOKUP(C41,'[5]2025'!$A:$M,13,FALSE)))</f>
        <v/>
      </c>
    </row>
    <row r="42" spans="1:29" x14ac:dyDescent="0.25">
      <c r="A42" s="806" t="str">
        <v>Y</v>
      </c>
      <c r="B42" s="798" t="str">
        <v>BIZ</v>
      </c>
      <c r="C42" s="812" t="str">
        <v>X24030689569</v>
      </c>
      <c r="D42" s="806" t="str">
        <v>PILIPINAS SHELL PETROLEUM CORPORATION</v>
      </c>
      <c r="E42" s="806" t="str">
        <v>SAMPAGUITA, CAMP SAMPAGUITA, MUNTINLUPA</v>
      </c>
      <c r="F42" s="806" t="str">
        <v>MUNTINLUPA CITY</v>
      </c>
      <c r="G42" s="806" t="str">
        <v>PARAÑAQUE</v>
      </c>
      <c r="H42" s="806">
        <v>0</v>
      </c>
      <c r="I42" s="806">
        <v>0</v>
      </c>
      <c r="J42" s="806" t="str">
        <v>AVECO</v>
      </c>
      <c r="K42" s="806" t="str">
        <v>TECO</v>
      </c>
      <c r="L42" s="798" t="str">
        <v>Ronilo Gange Jr.</v>
      </c>
      <c r="M42" s="808">
        <v>666.33040000000028</v>
      </c>
      <c r="N42" s="808">
        <v>2874.93</v>
      </c>
      <c r="O42" s="809">
        <v>78</v>
      </c>
      <c r="P42" s="806" t="str">
        <v>NEW</v>
      </c>
      <c r="Q42" s="806">
        <v>3575972.05</v>
      </c>
      <c r="R42" s="806">
        <v>828522.97999999835</v>
      </c>
      <c r="S42" s="806">
        <v>1303521.46</v>
      </c>
      <c r="T42" s="806">
        <v>1.5733075502625196</v>
      </c>
      <c r="U42" s="813">
        <v>45696.840277777781</v>
      </c>
      <c r="V42" s="813">
        <v>45699.538194444445</v>
      </c>
      <c r="W42" s="813">
        <v>45709</v>
      </c>
      <c r="X42" s="813">
        <v>45714</v>
      </c>
      <c r="Y42" s="813">
        <v>45714</v>
      </c>
      <c r="Z42" s="810" t="str">
        <f>IF(ISBLANK((VLOOKUP(C42,'[5]2025'!$A:$M,11,FALSE))),"",(VLOOKUP(C42,'[5]2025'!$A:$M,11,FALSE)))</f>
        <v>PMO</v>
      </c>
      <c r="AA42" s="818" t="str">
        <f>IF(ISBLANK((VLOOKUP(C42,'[5]2025'!$A:$M,12,FALSE))),"",(VLOOKUP(C42,'[5]2025'!$A:$M,12,FALSE)))</f>
        <v xml:space="preserve">Completed </v>
      </c>
      <c r="AB42" s="818" t="str">
        <f>IF(ISBLANK((VLOOKUP(C42,'[5]2025'!$A:$M,13,FALSE))),"",(VLOOKUP(C42,'[5]2025'!$A:$M,13,FALSE)))</f>
        <v/>
      </c>
    </row>
    <row r="43" spans="1:29" x14ac:dyDescent="0.25">
      <c r="A43" s="806" t="str">
        <v>Y</v>
      </c>
      <c r="B43" s="798" t="str">
        <v>CBG</v>
      </c>
      <c r="C43" s="812" t="str">
        <v>X24124769477</v>
      </c>
      <c r="D43" s="806" t="str">
        <v>CMSTAR MANAGEMENT INC.</v>
      </c>
      <c r="E43" s="806" t="str">
        <v>DAANG-HARI RD., MOLINO IV, BACOOR</v>
      </c>
      <c r="F43" s="806" t="str">
        <v>BACOOR CITY</v>
      </c>
      <c r="G43" s="806" t="str">
        <v>DASMA</v>
      </c>
      <c r="H43" s="806">
        <v>0</v>
      </c>
      <c r="I43" s="806">
        <v>0</v>
      </c>
      <c r="J43" s="806" t="str">
        <v>POWERHOUSE</v>
      </c>
      <c r="K43" s="806" t="str">
        <v>FCOMP</v>
      </c>
      <c r="L43" s="798" t="str">
        <v>Jenneth Madrid</v>
      </c>
      <c r="M43" s="808">
        <v>18.542799999999996</v>
      </c>
      <c r="N43" s="808">
        <v>24.46</v>
      </c>
      <c r="O43" s="809">
        <v>45</v>
      </c>
      <c r="P43" s="806" t="str">
        <v>NEW</v>
      </c>
      <c r="Q43" s="806">
        <v>364258.38</v>
      </c>
      <c r="R43" s="806">
        <v>21017.78</v>
      </c>
      <c r="S43" s="806">
        <v>0</v>
      </c>
      <c r="T43" s="806">
        <v>0</v>
      </c>
      <c r="U43" s="813">
        <v>45699.568749999999</v>
      </c>
      <c r="V43" s="813">
        <v>45706.614583333336</v>
      </c>
      <c r="W43" s="813">
        <v>45705</v>
      </c>
      <c r="X43" s="813">
        <v>0</v>
      </c>
      <c r="Y43" s="813">
        <v>45727.306250000001</v>
      </c>
      <c r="Z43" s="810" t="str">
        <f>IF(ISBLANK((VLOOKUP(C43,'[5]2025'!$A:$M,11,FALSE))),"",(VLOOKUP(C43,'[5]2025'!$A:$M,11,FALSE)))</f>
        <v>Boss Choi/Boss Dion</v>
      </c>
      <c r="AA43" s="273" t="str">
        <f>IF(ISBLANK((VLOOKUP(C43,'[5]2025'!$A:$M,12,FALSE))),"",(VLOOKUP(C43,'[5]2025'!$A:$M,12,FALSE)))</f>
        <v/>
      </c>
      <c r="AB43" s="818" t="str">
        <f>IF(ISBLANK((VLOOKUP(C43,'[5]2025'!$A:$M,13,FALSE))),"",(VLOOKUP(C43,'[5]2025'!$A:$M,13,FALSE)))</f>
        <v/>
      </c>
    </row>
    <row r="44" spans="1:29" x14ac:dyDescent="0.25">
      <c r="A44" s="806" t="str">
        <v>Y</v>
      </c>
      <c r="B44" s="798" t="str">
        <v>BIZ</v>
      </c>
      <c r="C44" s="812" t="str">
        <v>X24093492216</v>
      </c>
      <c r="D44" s="806" t="str">
        <v>ALFAMART TRADING PHILIPPINES, INC.</v>
      </c>
      <c r="E44" s="806" t="str">
        <v>SUMMIT CIRCLE SUBD, SUMMIT CIRCLE SUBD, MUNTINLUPA</v>
      </c>
      <c r="F44" s="806" t="str">
        <v>MUNTINLUPA CITY</v>
      </c>
      <c r="G44" s="806" t="str">
        <v>PARAÑAQUE</v>
      </c>
      <c r="H44" s="806">
        <v>0</v>
      </c>
      <c r="I44" s="806">
        <v>0</v>
      </c>
      <c r="J44" s="806" t="str">
        <v>CHALLENGER</v>
      </c>
      <c r="K44" s="806" t="str">
        <v>FCOMP</v>
      </c>
      <c r="L44" s="798" t="str">
        <v>Isan Carlo Lazaro</v>
      </c>
      <c r="M44" s="808">
        <v>9.9328000000000003</v>
      </c>
      <c r="N44" s="808">
        <v>13.04</v>
      </c>
      <c r="O44" s="809">
        <v>28</v>
      </c>
      <c r="P44" s="806" t="str">
        <v>NEW</v>
      </c>
      <c r="Q44" s="806">
        <v>186146.6</v>
      </c>
      <c r="R44" s="806">
        <v>11202.050000000001</v>
      </c>
      <c r="S44" s="806">
        <v>0</v>
      </c>
      <c r="T44" s="806">
        <v>0</v>
      </c>
      <c r="U44" s="813">
        <v>45706.67291666667</v>
      </c>
      <c r="V44" s="813">
        <v>45712.390972222223</v>
      </c>
      <c r="W44" s="813">
        <v>45709</v>
      </c>
      <c r="X44" s="813">
        <v>45720.181250000001</v>
      </c>
      <c r="Y44" s="813">
        <v>45720</v>
      </c>
      <c r="Z44" s="810" t="str">
        <f>IF(ISBLANK((VLOOKUP(C44,'[5]2025'!$A:$M,11,FALSE))),"",(VLOOKUP(C44,'[5]2025'!$A:$M,11,FALSE)))</f>
        <v>Boss Erwin</v>
      </c>
      <c r="AA44" s="818" t="str">
        <f>IF(ISBLANK((VLOOKUP(C44,'[5]2025'!$A:$M,12,FALSE))),"",(VLOOKUP(C44,'[5]2025'!$A:$M,12,FALSE)))</f>
        <v/>
      </c>
      <c r="AB44" s="818" t="str">
        <f>IF(ISBLANK((VLOOKUP(C44,'[5]2025'!$A:$M,13,FALSE))),"",(VLOOKUP(C44,'[5]2025'!$A:$M,13,FALSE)))</f>
        <v/>
      </c>
    </row>
    <row r="45" spans="1:29" x14ac:dyDescent="0.25">
      <c r="A45" s="806" t="str">
        <v>Y</v>
      </c>
      <c r="B45" s="798" t="str">
        <v>HMB</v>
      </c>
      <c r="C45" s="812" t="str">
        <v>X24010064473</v>
      </c>
      <c r="D45" s="806" t="str">
        <v>ALEXANDER SANTOS ISIP</v>
      </c>
      <c r="E45" s="806" t="str">
        <v>LANCASTER, HILLSBOROUGH SUBD, MUNTINLUPA</v>
      </c>
      <c r="F45" s="806" t="str">
        <v>MUNTINLUPA CITY</v>
      </c>
      <c r="G45" s="806" t="str">
        <v>PARAÑAQUE</v>
      </c>
      <c r="H45" s="806">
        <v>0</v>
      </c>
      <c r="I45" s="806">
        <v>0</v>
      </c>
      <c r="J45" s="806" t="str">
        <v>CHALLENGER</v>
      </c>
      <c r="K45" s="806" t="str">
        <v>FCOMP</v>
      </c>
      <c r="L45" s="798" t="str">
        <v>Isan Carlo Lazaro</v>
      </c>
      <c r="M45" s="808">
        <v>38.058499999999995</v>
      </c>
      <c r="N45" s="808">
        <v>48.2</v>
      </c>
      <c r="O45" s="809">
        <v>110</v>
      </c>
      <c r="P45" s="806" t="str">
        <v>MODIFICATION</v>
      </c>
      <c r="Q45" s="806">
        <v>391390.73</v>
      </c>
      <c r="R45" s="806">
        <v>41443.200000000004</v>
      </c>
      <c r="S45" s="806">
        <v>0</v>
      </c>
      <c r="T45" s="806">
        <v>0</v>
      </c>
      <c r="U45" s="813">
        <v>45706.685416666667</v>
      </c>
      <c r="V45" s="813">
        <v>45712.295138888891</v>
      </c>
      <c r="W45" s="813">
        <v>45709</v>
      </c>
      <c r="X45" s="813">
        <v>0</v>
      </c>
      <c r="Y45" s="813">
        <v>45741.340277777781</v>
      </c>
      <c r="Z45" s="810" t="str">
        <f>IF(ISBLANK((VLOOKUP(C45,'[5]2025'!$A:$M,11,FALSE))),"",(VLOOKUP(C45,'[5]2025'!$A:$M,11,FALSE)))</f>
        <v>Rocky D. Bacani</v>
      </c>
      <c r="AA45" s="818" t="str">
        <f>IF(ISBLANK((VLOOKUP(C45,'[5]2025'!$A:$M,12,FALSE))),"",(VLOOKUP(C45,'[5]2025'!$A:$M,12,FALSE)))</f>
        <v/>
      </c>
      <c r="AB45" s="818" t="str">
        <f>IF(ISBLANK((VLOOKUP(C45,'[5]2025'!$A:$M,13,FALSE))),"",(VLOOKUP(C45,'[5]2025'!$A:$M,13,FALSE)))</f>
        <v/>
      </c>
    </row>
    <row r="46" spans="1:29" ht="30" x14ac:dyDescent="0.25">
      <c r="A46" s="806" t="str">
        <v>Y</v>
      </c>
      <c r="B46" s="798" t="str">
        <v>HMB</v>
      </c>
      <c r="C46" s="812" t="str">
        <v>X25010176215</v>
      </c>
      <c r="D46" s="807" t="str">
        <v>MARY GRACE MESINA MANDAP</v>
      </c>
      <c r="E46" s="807" t="str">
        <v>BASILIO ESTANISLAO, BF RESORT VILL, LAS PINAS CITY</v>
      </c>
      <c r="F46" s="806" t="str">
        <v>LAS PIÑAS CITY</v>
      </c>
      <c r="G46" s="806" t="str">
        <v>PARAÑAQUE</v>
      </c>
      <c r="H46" s="806">
        <v>0</v>
      </c>
      <c r="I46" s="806">
        <v>0</v>
      </c>
      <c r="J46" s="806" t="str">
        <v>AVECO</v>
      </c>
      <c r="K46" s="806" t="str">
        <v>FCOMP</v>
      </c>
      <c r="L46" s="798" t="str">
        <v>Ronilo Gange Jr.</v>
      </c>
      <c r="M46" s="808">
        <v>119.76289999999999</v>
      </c>
      <c r="N46" s="808">
        <v>308.41000000000003</v>
      </c>
      <c r="O46" s="809">
        <v>33</v>
      </c>
      <c r="P46" s="806" t="str">
        <v>NEW</v>
      </c>
      <c r="Q46" s="806">
        <v>601808.84</v>
      </c>
      <c r="R46" s="806">
        <v>130472.59</v>
      </c>
      <c r="S46" s="806">
        <v>0</v>
      </c>
      <c r="T46" s="806">
        <v>0</v>
      </c>
      <c r="U46" s="813">
        <v>45706.738194444442</v>
      </c>
      <c r="V46" s="813">
        <v>45712.443749999999</v>
      </c>
      <c r="W46" s="813">
        <v>45709</v>
      </c>
      <c r="X46" s="813">
        <v>0</v>
      </c>
      <c r="Y46" s="813">
        <v>45864</v>
      </c>
      <c r="Z46" s="810" t="str">
        <f>IF(ISBLANK((VLOOKUP(C46,'[5]2025'!$A:$M,11,FALSE))),"",(VLOOKUP(C46,'[5]2025'!$A:$M,11,FALSE)))</f>
        <v>Carlo Topacio</v>
      </c>
      <c r="AA46" s="818" t="str">
        <f>IF(ISBLANK((VLOOKUP(C46,'[5]2025'!$A:$M,12,FALSE))),"",(VLOOKUP(C46,'[5]2025'!$A:$M,12,FALSE)))</f>
        <v>Pending</v>
      </c>
      <c r="AB46" s="818" t="str">
        <f>IF(ISBLANK((VLOOKUP(C46,'[5]2025'!$A:$M,13,FALSE))),"",(VLOOKUP(C46,'[5]2025'!$A:$M,13,FALSE)))</f>
        <v>Work load</v>
      </c>
    </row>
    <row r="47" spans="1:29" ht="30" x14ac:dyDescent="0.25">
      <c r="A47" s="806" t="str">
        <v>Y</v>
      </c>
      <c r="B47" s="798" t="str">
        <v>CBG</v>
      </c>
      <c r="C47" s="812" t="str">
        <v>R23926303</v>
      </c>
      <c r="D47" s="806" t="str">
        <v>CAVITEX INFRASTRUCTURE CORP., CBG</v>
      </c>
      <c r="E47" s="806" t="str">
        <v>KAINGIN RD., KAINGIN, PARANAQUE</v>
      </c>
      <c r="F47" s="806" t="str">
        <v>PARAÑAQUE CITY</v>
      </c>
      <c r="G47" s="806" t="str">
        <v>PARAÑAQUE</v>
      </c>
      <c r="H47" s="806">
        <v>0</v>
      </c>
      <c r="I47" s="806">
        <v>0</v>
      </c>
      <c r="J47" s="806" t="str">
        <v>AVECO</v>
      </c>
      <c r="K47" s="806" t="str">
        <v>FCOMP</v>
      </c>
      <c r="L47" s="798" t="str">
        <v>Ronilo Gange Jr.</v>
      </c>
      <c r="M47" s="808">
        <v>365.07799999999963</v>
      </c>
      <c r="N47" s="808">
        <v>633.77</v>
      </c>
      <c r="O47" s="809">
        <v>0</v>
      </c>
      <c r="P47" s="806" t="str">
        <v>RELOC</v>
      </c>
      <c r="Q47" s="806">
        <v>1683427.63</v>
      </c>
      <c r="R47" s="806">
        <v>498912.29000000004</v>
      </c>
      <c r="S47" s="806">
        <v>0</v>
      </c>
      <c r="T47" s="806">
        <v>0</v>
      </c>
      <c r="U47" s="813">
        <v>45707.34652777778</v>
      </c>
      <c r="V47" s="813">
        <v>45713.529861111114</v>
      </c>
      <c r="W47" s="813">
        <v>45709</v>
      </c>
      <c r="X47" s="813">
        <v>0</v>
      </c>
      <c r="Y47" s="813">
        <v>45736</v>
      </c>
      <c r="Z47" s="810" t="str">
        <f>IF(ISBLANK((VLOOKUP(C47,'[5]2025'!$A:$M,11,FALSE))),"",(VLOOKUP(C47,'[5]2025'!$A:$M,11,FALSE)))</f>
        <v>Boss Choi</v>
      </c>
      <c r="AA47" s="818" t="s">
        <v>4296</v>
      </c>
      <c r="AB47" s="818" t="str">
        <f>IF(ISBLANK((VLOOKUP(C47,'[5]2025'!$A:$M,13,FALSE))),"",(VLOOKUP(C47,'[5]2025'!$A:$M,13,FALSE)))</f>
        <v/>
      </c>
    </row>
    <row r="48" spans="1:29" x14ac:dyDescent="0.25">
      <c r="A48" s="806" t="str">
        <v>Y</v>
      </c>
      <c r="B48" s="798" t="str">
        <v>CBG</v>
      </c>
      <c r="C48" s="812" t="str">
        <v>R23926307</v>
      </c>
      <c r="D48" s="806" t="str">
        <v>CAVITEX INFRASTRUCTURE CORP., CBG</v>
      </c>
      <c r="E48" s="806" t="str">
        <v>KAINGIN RD., KAINGIN, PARANAQUE</v>
      </c>
      <c r="F48" s="806" t="str">
        <v>PARAÑAQUE CITY</v>
      </c>
      <c r="G48" s="806" t="str">
        <v>PARAÑAQUE</v>
      </c>
      <c r="H48" s="806">
        <v>0</v>
      </c>
      <c r="I48" s="806">
        <v>0</v>
      </c>
      <c r="J48" s="806" t="str">
        <v>AVECO</v>
      </c>
      <c r="K48" s="806" t="str">
        <v>FCOMP</v>
      </c>
      <c r="L48" s="798" t="str">
        <v>Ronilo Gange Jr.</v>
      </c>
      <c r="M48" s="808">
        <v>79.535699999999963</v>
      </c>
      <c r="N48" s="808">
        <v>202.88</v>
      </c>
      <c r="O48" s="809">
        <v>0</v>
      </c>
      <c r="P48" s="806" t="str">
        <v>RELOC</v>
      </c>
      <c r="Q48" s="806">
        <v>216676.78</v>
      </c>
      <c r="R48" s="806">
        <v>173073.30999999997</v>
      </c>
      <c r="S48" s="806">
        <v>0</v>
      </c>
      <c r="T48" s="806">
        <v>0</v>
      </c>
      <c r="U48" s="813">
        <v>45707.350694444445</v>
      </c>
      <c r="V48" s="813">
        <v>45713.530555555553</v>
      </c>
      <c r="W48" s="813">
        <v>45709</v>
      </c>
      <c r="X48" s="813">
        <v>0</v>
      </c>
      <c r="Y48" s="813">
        <v>45751</v>
      </c>
      <c r="Z48" s="810" t="str">
        <f>IF(ISBLANK((VLOOKUP(C48,'[5]2025'!$A:$M,11,FALSE))),"",(VLOOKUP(C48,'[5]2025'!$A:$M,11,FALSE)))</f>
        <v>Boss Choi</v>
      </c>
      <c r="AA48" s="818" t="str">
        <f>IF(ISBLANK((VLOOKUP(C48,'[5]2025'!$A:$M,12,FALSE))),"",(VLOOKUP(C48,'[5]2025'!$A:$M,12,FALSE)))</f>
        <v xml:space="preserve">Completed </v>
      </c>
      <c r="AB48" s="818" t="str">
        <f>IF(ISBLANK((VLOOKUP(C48,'[5]2025'!$A:$M,13,FALSE))),"",(VLOOKUP(C48,'[5]2025'!$A:$M,13,FALSE)))</f>
        <v/>
      </c>
    </row>
    <row r="49" spans="1:28" x14ac:dyDescent="0.25">
      <c r="A49" s="806" t="str">
        <v>Y</v>
      </c>
      <c r="B49" s="798" t="str">
        <v>BIZ</v>
      </c>
      <c r="C49" s="812" t="str">
        <v>X25010136657</v>
      </c>
      <c r="D49" s="806" t="str">
        <v>COFFEE MASTERS, INC.</v>
      </c>
      <c r="E49" s="806" t="str">
        <v>MOLINO BLVD, MOLINO III, BACOOR</v>
      </c>
      <c r="F49" s="806" t="str">
        <v>BACOOR CITY</v>
      </c>
      <c r="G49" s="806" t="str">
        <v>DASMA</v>
      </c>
      <c r="H49" s="806">
        <v>0</v>
      </c>
      <c r="I49" s="806">
        <v>0</v>
      </c>
      <c r="J49" s="806" t="str">
        <v>CHALLENGER</v>
      </c>
      <c r="K49" s="806" t="str">
        <v>FCOMP</v>
      </c>
      <c r="L49" s="798" t="str">
        <v>Isan Carlo Lazaro</v>
      </c>
      <c r="M49" s="808">
        <v>15.642799999999998</v>
      </c>
      <c r="N49" s="808">
        <v>48.36</v>
      </c>
      <c r="O49" s="809">
        <v>142</v>
      </c>
      <c r="P49" s="806" t="str">
        <v>NEW</v>
      </c>
      <c r="Q49" s="806">
        <v>472661.66</v>
      </c>
      <c r="R49" s="806">
        <v>41560.119999999995</v>
      </c>
      <c r="S49" s="806">
        <v>0</v>
      </c>
      <c r="T49" s="806">
        <v>0</v>
      </c>
      <c r="U49" s="813">
        <v>45712.701388888891</v>
      </c>
      <c r="V49" s="813">
        <v>45717.181250000001</v>
      </c>
      <c r="W49" s="813">
        <v>45716</v>
      </c>
      <c r="X49" s="813">
        <v>45720.181250000001</v>
      </c>
      <c r="Y49" s="813">
        <v>45720</v>
      </c>
      <c r="Z49" s="810" t="str">
        <f>IF(ISBLANK((VLOOKUP(C49,'[5]2025'!$A:$M,11,FALSE))),"",(VLOOKUP(C49,'[5]2025'!$A:$M,11,FALSE)))</f>
        <v>Boss Erwin</v>
      </c>
      <c r="AA49" s="818" t="str">
        <f>IF(ISBLANK((VLOOKUP(C49,'[5]2025'!$A:$M,12,FALSE))),"",(VLOOKUP(C49,'[5]2025'!$A:$M,12,FALSE)))</f>
        <v/>
      </c>
      <c r="AB49" s="818" t="str">
        <f>IF(ISBLANK((VLOOKUP(C49,'[5]2025'!$A:$M,13,FALSE))),"",(VLOOKUP(C49,'[5]2025'!$A:$M,13,FALSE)))</f>
        <v/>
      </c>
    </row>
    <row r="50" spans="1:28" x14ac:dyDescent="0.25">
      <c r="A50" s="806" t="str">
        <v>Y</v>
      </c>
      <c r="B50" s="798" t="str">
        <v>HMB</v>
      </c>
      <c r="C50" s="812" t="str">
        <v>X25010341636</v>
      </c>
      <c r="D50" s="806" t="str">
        <v>TERESITA G MANAHAN</v>
      </c>
      <c r="E50" s="806" t="str">
        <v>BOEING, CONCORDE SUBD, PARANAQUE</v>
      </c>
      <c r="F50" s="806" t="str">
        <v>PARAÑAQUE CITY</v>
      </c>
      <c r="G50" s="806" t="str">
        <v>PARAÑAQUE</v>
      </c>
      <c r="H50" s="806" t="str">
        <v>sadang:Pag uusapan padaw sa clubhouse mam Jen, puro usap na Sila haha! Extension of facilities na to sa Dami ng hukay ,Good am Po, hndi pa Po nahuhukay yong gustong location ni customer, approval pa Po sa HOA…Hndi pa boss, hndi ko pa Po alam kung nag ka sundo na sa club house pra sa final relocation ng transformer pole.. pahuhukayan ko sana</v>
      </c>
      <c r="I50" s="806">
        <v>0</v>
      </c>
      <c r="J50" s="806" t="str">
        <v>ECOM</v>
      </c>
      <c r="K50" s="806" t="str">
        <v>FCOMP</v>
      </c>
      <c r="L50" s="798" t="str">
        <v>Ronilo Gange Jr.</v>
      </c>
      <c r="M50" s="808">
        <v>51.019499999999994</v>
      </c>
      <c r="N50" s="808">
        <v>75.67</v>
      </c>
      <c r="O50" s="809">
        <v>80</v>
      </c>
      <c r="P50" s="806" t="str">
        <v>NEW</v>
      </c>
      <c r="Q50" s="806">
        <v>439221.4</v>
      </c>
      <c r="R50" s="806">
        <v>65045.180000000008</v>
      </c>
      <c r="S50" s="806">
        <v>0</v>
      </c>
      <c r="T50" s="806">
        <v>0</v>
      </c>
      <c r="U50" s="813">
        <v>45713.711805555555</v>
      </c>
      <c r="V50" s="813">
        <v>45727.336805555555</v>
      </c>
      <c r="W50" s="813">
        <v>45716</v>
      </c>
      <c r="X50" s="813">
        <v>0</v>
      </c>
      <c r="Y50" s="813">
        <v>45771</v>
      </c>
      <c r="Z50" s="810" t="str">
        <f>IF(ISBLANK((VLOOKUP(C50,'[5]2025'!$A:$M,11,FALSE))),"",(VLOOKUP(C50,'[5]2025'!$A:$M,11,FALSE)))</f>
        <v>Boss Pao Cruz</v>
      </c>
      <c r="AA50" s="818" t="str">
        <f>IF(ISBLANK((VLOOKUP(C50,'[5]2025'!$A:$M,12,FALSE))),"",(VLOOKUP(C50,'[5]2025'!$A:$M,12,FALSE)))</f>
        <v xml:space="preserve">Completed </v>
      </c>
      <c r="AB50" s="818" t="str">
        <f>IF(ISBLANK((VLOOKUP(C50,'[5]2025'!$A:$M,13,FALSE))),"",(VLOOKUP(C50,'[5]2025'!$A:$M,13,FALSE)))</f>
        <v/>
      </c>
    </row>
    <row r="51" spans="1:28" ht="30" x14ac:dyDescent="0.25">
      <c r="A51" s="806" t="str">
        <v>Y</v>
      </c>
      <c r="B51" s="798" t="str">
        <v>CBG</v>
      </c>
      <c r="C51" s="812" t="str">
        <v>X24093485695</v>
      </c>
      <c r="D51" s="807" t="str">
        <v>POSH PROPERTIES DEVELOPMENT CORPORATION</v>
      </c>
      <c r="E51" s="807" t="str">
        <v>BELLE, ASEANA BUSINESS PARK, PARANAQUE</v>
      </c>
      <c r="F51" s="806" t="str">
        <v>PARAÑAQUE CITY</v>
      </c>
      <c r="G51" s="806" t="str">
        <v>PARAÑAQUE</v>
      </c>
      <c r="H51" s="806">
        <v>0</v>
      </c>
      <c r="I51" s="806">
        <v>0</v>
      </c>
      <c r="J51" s="806" t="str">
        <v>VJC</v>
      </c>
      <c r="K51" s="806" t="str">
        <v>TECO</v>
      </c>
      <c r="L51" s="798" t="str">
        <v>Jenneth Madrid</v>
      </c>
      <c r="M51" s="808">
        <v>35.618499999999997</v>
      </c>
      <c r="N51" s="808">
        <v>72</v>
      </c>
      <c r="O51" s="809">
        <v>1062</v>
      </c>
      <c r="P51" s="806" t="str">
        <v>NEW</v>
      </c>
      <c r="Q51" s="806">
        <v>149903.73000000001</v>
      </c>
      <c r="R51" s="806">
        <v>41002.370000000003</v>
      </c>
      <c r="S51" s="806">
        <v>0</v>
      </c>
      <c r="T51" s="806">
        <v>0</v>
      </c>
      <c r="U51" s="813">
        <v>45726.707638888889</v>
      </c>
      <c r="V51" s="813">
        <v>45733.35</v>
      </c>
      <c r="W51" s="813">
        <v>45728</v>
      </c>
      <c r="X51" s="813">
        <v>45759</v>
      </c>
      <c r="Y51" s="813">
        <v>45759</v>
      </c>
      <c r="Z51" s="810" t="str">
        <f>IF(ISBLANK((VLOOKUP(C51,'[5]2025'!$A:$M,11,FALSE))),"",(VLOOKUP(C51,'[5]2025'!$A:$M,11,FALSE)))</f>
        <v>Ma'am Bernice Rama</v>
      </c>
      <c r="AA51" s="818" t="str">
        <f>IF(ISBLANK((VLOOKUP(C51,'[5]2025'!$A:$M,12,FALSE))),"",(VLOOKUP(C51,'[5]2025'!$A:$M,12,FALSE)))</f>
        <v/>
      </c>
      <c r="AB51" s="818" t="str">
        <f>IF(ISBLANK((VLOOKUP(C51,'[5]2025'!$A:$M,13,FALSE))),"",(VLOOKUP(C51,'[5]2025'!$A:$M,13,FALSE)))</f>
        <v>Pending work permit from ABPEA</v>
      </c>
    </row>
    <row r="52" spans="1:28" ht="30" x14ac:dyDescent="0.25">
      <c r="A52" s="806" t="str">
        <v>Y</v>
      </c>
      <c r="B52" s="798" t="str">
        <v>BIZ</v>
      </c>
      <c r="C52" s="812" t="str">
        <v>X24114614743</v>
      </c>
      <c r="D52" s="807" t="str">
        <v>PTR PREMIER HOLDINGS INC.</v>
      </c>
      <c r="E52" s="807" t="str">
        <v>ST. JOSEPH, ST. JOSEPH SUBD, LAS PINAS CITY</v>
      </c>
      <c r="F52" s="806" t="str">
        <v>LAS PIÑAS CITY</v>
      </c>
      <c r="G52" s="806" t="str">
        <v>PARAÑAQUE</v>
      </c>
      <c r="H52" s="806">
        <v>0</v>
      </c>
      <c r="I52" s="806">
        <v>0</v>
      </c>
      <c r="J52" s="806" t="str">
        <v>CHALLENGER</v>
      </c>
      <c r="K52" s="806" t="str">
        <v>FCOMP</v>
      </c>
      <c r="L52" s="798" t="str">
        <v>Isan Carlo Lazaro</v>
      </c>
      <c r="M52" s="808">
        <v>42.445499999999996</v>
      </c>
      <c r="N52" s="808">
        <v>134.28</v>
      </c>
      <c r="O52" s="809">
        <v>77</v>
      </c>
      <c r="P52" s="806" t="str">
        <v>NEW</v>
      </c>
      <c r="Q52" s="806">
        <v>395516.39</v>
      </c>
      <c r="R52" s="806">
        <v>48111.19</v>
      </c>
      <c r="S52" s="806">
        <v>0</v>
      </c>
      <c r="T52" s="806">
        <v>0</v>
      </c>
      <c r="U52" s="813">
        <v>45736.634722222225</v>
      </c>
      <c r="V52" s="813">
        <v>45744.44027777778</v>
      </c>
      <c r="W52" s="813">
        <v>45742</v>
      </c>
      <c r="X52" s="813">
        <v>45819</v>
      </c>
      <c r="Y52" s="813">
        <v>45819</v>
      </c>
      <c r="Z52" s="810" t="str">
        <f>IF(ISBLANK((VLOOKUP(C52,'[5]2025'!$A:$M,11,FALSE))),"",(VLOOKUP(C52,'[5]2025'!$A:$M,11,FALSE)))</f>
        <v>Kim Verlie/Mike Agbay</v>
      </c>
      <c r="AA52" s="818" t="str">
        <f>IF(ISBLANK((VLOOKUP(C52,'[5]2025'!$A:$M,12,FALSE))),"",(VLOOKUP(C52,'[5]2025'!$A:$M,12,FALSE)))</f>
        <v>Completed</v>
      </c>
      <c r="AB52" s="818" t="str">
        <f>IF(ISBLANK((VLOOKUP(C52,'[5]2025'!$A:$M,13,FALSE))),"",(VLOOKUP(C52,'[5]2025'!$A:$M,13,FALSE)))</f>
        <v/>
      </c>
    </row>
    <row r="53" spans="1:28" ht="30" x14ac:dyDescent="0.25">
      <c r="A53" s="806" t="str">
        <v>Y</v>
      </c>
      <c r="B53" s="798" t="str">
        <v>HMB</v>
      </c>
      <c r="C53" s="812" t="str">
        <v>X25020466847</v>
      </c>
      <c r="D53" s="807" t="str">
        <v>NADINE G ABELA</v>
      </c>
      <c r="E53" s="807" t="str">
        <v xml:space="preserve"> LUZON, AYALA-ALABANG VILL, MUNTINLUPA</v>
      </c>
      <c r="F53" s="806" t="str">
        <v>MUNTINLUPA CITY</v>
      </c>
      <c r="G53" s="806" t="str">
        <v>PARAÑAQUE</v>
      </c>
      <c r="H53" s="806" t="str">
        <v>For execution 3/26/25</v>
      </c>
      <c r="I53" s="806">
        <v>0</v>
      </c>
      <c r="J53" s="806" t="str">
        <v>CHALLENGER</v>
      </c>
      <c r="K53" s="806" t="str">
        <v>FCOMP</v>
      </c>
      <c r="L53" s="798" t="str">
        <v>Isan Carlo Lazaro</v>
      </c>
      <c r="M53" s="808">
        <v>13.1828</v>
      </c>
      <c r="N53" s="808">
        <v>29.57</v>
      </c>
      <c r="O53" s="809">
        <v>46</v>
      </c>
      <c r="P53" s="806" t="str">
        <v>MODIFICATION</v>
      </c>
      <c r="Q53" s="806">
        <v>222665.25</v>
      </c>
      <c r="R53" s="806">
        <v>25003.23</v>
      </c>
      <c r="S53" s="806">
        <v>0</v>
      </c>
      <c r="T53" s="806">
        <v>0</v>
      </c>
      <c r="U53" s="813">
        <v>45741.462500000001</v>
      </c>
      <c r="V53" s="813">
        <v>45741.522222222222</v>
      </c>
      <c r="W53" s="813">
        <v>45742</v>
      </c>
      <c r="X53" s="813">
        <v>0</v>
      </c>
      <c r="Y53" s="813">
        <v>45751</v>
      </c>
      <c r="Z53" s="810" t="str">
        <f>IF(ISBLANK((VLOOKUP(C53,'[5]2025'!$A:$M,11,FALSE))),"",(VLOOKUP(C53,'[5]2025'!$A:$M,11,FALSE)))</f>
        <v>Boss Erwin</v>
      </c>
      <c r="AA53" s="818" t="str">
        <f>IF(ISBLANK((VLOOKUP(C53,'[5]2025'!$A:$M,12,FALSE))),"",(VLOOKUP(C53,'[5]2025'!$A:$M,12,FALSE)))</f>
        <v/>
      </c>
      <c r="AB53" s="818" t="str">
        <f>IF(ISBLANK((VLOOKUP(C53,'[5]2025'!$A:$M,13,FALSE))),"",(VLOOKUP(C53,'[5]2025'!$A:$M,13,FALSE)))</f>
        <v/>
      </c>
    </row>
    <row r="54" spans="1:28" x14ac:dyDescent="0.25">
      <c r="A54" s="806" t="str">
        <v>Y</v>
      </c>
      <c r="B54" s="798" t="str">
        <v>HMB</v>
      </c>
      <c r="C54" s="812" t="str">
        <v>X25010329960</v>
      </c>
      <c r="D54" s="806" t="str">
        <v>RODRIGO SANGALANG LA TORRE</v>
      </c>
      <c r="E54" s="806" t="str">
        <v>TOPAZ, SEVERINA DIAMOND SUBD, PARANAQUE</v>
      </c>
      <c r="F54" s="806" t="str">
        <v>PARAÑAQUE CITY</v>
      </c>
      <c r="G54" s="806" t="str">
        <v>PARAÑAQUE</v>
      </c>
      <c r="H54" s="806">
        <v>0</v>
      </c>
      <c r="I54" s="806">
        <v>0</v>
      </c>
      <c r="J54" s="806" t="str">
        <v>ECOM</v>
      </c>
      <c r="K54" s="806" t="str">
        <v>FCOMP</v>
      </c>
      <c r="L54" s="798" t="str">
        <v>Ronilo Gange Jr.</v>
      </c>
      <c r="M54" s="808">
        <v>36.029999999999987</v>
      </c>
      <c r="N54" s="808">
        <v>63.43</v>
      </c>
      <c r="O54" s="809">
        <v>66</v>
      </c>
      <c r="P54" s="806" t="str">
        <v>NEW</v>
      </c>
      <c r="Q54" s="806">
        <v>359972.84</v>
      </c>
      <c r="R54" s="806">
        <v>54526.820000000007</v>
      </c>
      <c r="S54" s="806">
        <v>0</v>
      </c>
      <c r="T54" s="806">
        <v>0</v>
      </c>
      <c r="U54" s="813">
        <v>45741.959722222222</v>
      </c>
      <c r="V54" s="813">
        <v>45744.45208333333</v>
      </c>
      <c r="W54" s="813">
        <v>45744</v>
      </c>
      <c r="X54" s="813">
        <v>0</v>
      </c>
      <c r="Y54" s="813">
        <v>45769</v>
      </c>
      <c r="Z54" s="810" t="str">
        <f>IF(ISBLANK((VLOOKUP(C54,'[5]2025'!$A:$M,11,FALSE))),"",(VLOOKUP(C54,'[5]2025'!$A:$M,11,FALSE)))</f>
        <v>Boss Jerry Lao</v>
      </c>
      <c r="AA54" s="818" t="str">
        <f>IF(ISBLANK((VLOOKUP(C54,'[5]2025'!$A:$M,12,FALSE))),"",(VLOOKUP(C54,'[5]2025'!$A:$M,12,FALSE)))</f>
        <v xml:space="preserve">Completed </v>
      </c>
      <c r="AB54" s="818" t="str">
        <f>IF(ISBLANK((VLOOKUP(C54,'[5]2025'!$A:$M,13,FALSE))),"",(VLOOKUP(C54,'[5]2025'!$A:$M,13,FALSE)))</f>
        <v/>
      </c>
    </row>
    <row r="55" spans="1:28" ht="30" x14ac:dyDescent="0.25">
      <c r="A55" s="806" t="str">
        <v>Y</v>
      </c>
      <c r="B55" s="798" t="str">
        <v>HMB</v>
      </c>
      <c r="C55" s="812" t="str">
        <v>X25010249951</v>
      </c>
      <c r="D55" s="806" t="str">
        <v>ALEX JUSTINIANO CLAVERIA</v>
      </c>
      <c r="E55" s="806" t="str">
        <v>SANTIAGO LOOP, AYALA-ALABANG VILL, MUNTINLUPA</v>
      </c>
      <c r="F55" s="806" t="str">
        <v>MUNTINLUPA CITY</v>
      </c>
      <c r="G55" s="806" t="str">
        <v>PARAÑAQUE</v>
      </c>
      <c r="H55" s="806">
        <v>0</v>
      </c>
      <c r="I55" s="806">
        <v>0</v>
      </c>
      <c r="J55" s="806" t="str">
        <v>CHALLENGER</v>
      </c>
      <c r="K55" s="806" t="str">
        <v>FCOMP</v>
      </c>
      <c r="L55" s="798" t="str">
        <v>Isan Carlo Lazaro</v>
      </c>
      <c r="M55" s="808">
        <v>56.1126</v>
      </c>
      <c r="N55" s="808">
        <v>69.62</v>
      </c>
      <c r="O55" s="809">
        <v>110</v>
      </c>
      <c r="P55" s="806" t="str">
        <v>NEW</v>
      </c>
      <c r="Q55" s="806">
        <v>417348.14</v>
      </c>
      <c r="R55" s="806">
        <v>59036.1</v>
      </c>
      <c r="S55" s="806">
        <v>0</v>
      </c>
      <c r="T55" s="806">
        <v>0</v>
      </c>
      <c r="U55" s="813">
        <v>45742.416666666664</v>
      </c>
      <c r="V55" s="813">
        <v>45744.448611111111</v>
      </c>
      <c r="W55" s="813">
        <v>45743</v>
      </c>
      <c r="X55" s="813">
        <v>0</v>
      </c>
      <c r="Y55" s="813">
        <v>45762.591666666667</v>
      </c>
      <c r="Z55" s="810" t="str">
        <f>IF(ISBLANK((VLOOKUP(C55,'[5]2025'!$A:$M,11,FALSE))),"",(VLOOKUP(C55,'[5]2025'!$A:$M,11,FALSE)))</f>
        <v>Anthony Almeda, NGCP President</v>
      </c>
      <c r="AA55" s="818" t="str">
        <f>IF(ISBLANK((VLOOKUP(C55,'[5]2025'!$A:$M,12,FALSE))),"",(VLOOKUP(C55,'[5]2025'!$A:$M,12,FALSE)))</f>
        <v/>
      </c>
      <c r="AB55" s="818" t="str">
        <f>IF(ISBLANK((VLOOKUP(C55,'[5]2025'!$A:$M,13,FALSE))),"",(VLOOKUP(C55,'[5]2025'!$A:$M,13,FALSE)))</f>
        <v/>
      </c>
    </row>
    <row r="56" spans="1:28" ht="30" x14ac:dyDescent="0.25">
      <c r="A56" s="806" t="str">
        <v>Y</v>
      </c>
      <c r="B56" s="798" t="str">
        <v>HMB</v>
      </c>
      <c r="C56" s="812" t="str">
        <v>X24083316199</v>
      </c>
      <c r="D56" s="806" t="str">
        <v>ADEL MUNDAN BALOGO</v>
      </c>
      <c r="E56" s="807" t="str">
        <v>SAUDI ARABIA, BETTER LIVING SUBD, PARANAQUE</v>
      </c>
      <c r="F56" s="806" t="str">
        <v>PARAÑAQUE CITY</v>
      </c>
      <c r="G56" s="806" t="str">
        <v>PARAÑAQUE</v>
      </c>
      <c r="H56" s="806">
        <v>0</v>
      </c>
      <c r="I56" s="806">
        <v>0</v>
      </c>
      <c r="J56" s="806" t="str">
        <v>VJC</v>
      </c>
      <c r="K56" s="806" t="str">
        <v>COMP</v>
      </c>
      <c r="L56" s="798" t="str">
        <v>Jenneth Madrid</v>
      </c>
      <c r="M56" s="808">
        <v>37.968499999999999</v>
      </c>
      <c r="N56" s="808">
        <v>138.31</v>
      </c>
      <c r="O56" s="809">
        <v>60</v>
      </c>
      <c r="P56" s="806" t="str">
        <v>NEW</v>
      </c>
      <c r="Q56" s="806">
        <v>391146.94</v>
      </c>
      <c r="R56" s="806">
        <v>43717.180000000008</v>
      </c>
      <c r="S56" s="806">
        <v>0</v>
      </c>
      <c r="T56" s="806">
        <v>0</v>
      </c>
      <c r="U56" s="813">
        <v>45742.682638888888</v>
      </c>
      <c r="V56" s="813">
        <v>45747.522222222222</v>
      </c>
      <c r="W56" s="813">
        <v>45744</v>
      </c>
      <c r="X56" s="813">
        <v>0</v>
      </c>
      <c r="Y56" s="813">
        <v>45776</v>
      </c>
      <c r="Z56" s="810" t="str">
        <f>IF(ISBLANK((VLOOKUP(C56,'[5]2025'!$A:$M,11,FALSE))),"",(VLOOKUP(C56,'[5]2025'!$A:$M,11,FALSE)))</f>
        <v>George Salinas</v>
      </c>
      <c r="AA56" s="818" t="str">
        <f>IF(ISBLANK((VLOOKUP(C56,'[5]2025'!$A:$M,12,FALSE))),"",(VLOOKUP(C56,'[5]2025'!$A:$M,12,FALSE)))</f>
        <v/>
      </c>
      <c r="AB56" s="818" t="str">
        <f>IF(ISBLANK((VLOOKUP(C56,'[5]2025'!$A:$M,13,FALSE))),"",(VLOOKUP(C56,'[5]2025'!$A:$M,13,FALSE)))</f>
        <v/>
      </c>
    </row>
    <row r="57" spans="1:28" ht="30" x14ac:dyDescent="0.25">
      <c r="A57" s="806" t="str">
        <v>Y</v>
      </c>
      <c r="B57" s="798" t="str">
        <v>BIZ</v>
      </c>
      <c r="C57" s="812" t="str">
        <v>X24062169287</v>
      </c>
      <c r="D57" s="807" t="str">
        <v>ALFAMART TRADING PHILIPPINES, INC.</v>
      </c>
      <c r="E57" s="807" t="str">
        <v>MADRID, TOWN AND COUNTRY WEST SUBD, BACOOR</v>
      </c>
      <c r="F57" s="806" t="str">
        <v>BACOOR CITY</v>
      </c>
      <c r="G57" s="806" t="str">
        <v>DASMA</v>
      </c>
      <c r="H57" s="806">
        <v>0</v>
      </c>
      <c r="I57" s="806">
        <v>0</v>
      </c>
      <c r="J57" s="806" t="str">
        <v>AVECO</v>
      </c>
      <c r="K57" s="806" t="str">
        <v>FCOMP</v>
      </c>
      <c r="L57" s="798" t="str">
        <v>Ronilo Gange Jr.</v>
      </c>
      <c r="M57" s="808">
        <v>10.9328</v>
      </c>
      <c r="N57" s="808">
        <v>34.700000000000003</v>
      </c>
      <c r="O57" s="809">
        <v>28</v>
      </c>
      <c r="P57" s="806" t="str">
        <v>NEW</v>
      </c>
      <c r="Q57" s="806">
        <v>229386.46</v>
      </c>
      <c r="R57" s="806">
        <v>29815.7</v>
      </c>
      <c r="S57" s="806">
        <v>0</v>
      </c>
      <c r="T57" s="806">
        <v>0</v>
      </c>
      <c r="U57" s="813">
        <v>45743.529166666667</v>
      </c>
      <c r="V57" s="813">
        <v>45750.619444444441</v>
      </c>
      <c r="W57" s="813">
        <v>45744</v>
      </c>
      <c r="X57" s="813">
        <v>45776</v>
      </c>
      <c r="Y57" s="813">
        <v>45777</v>
      </c>
      <c r="Z57" s="810" t="str">
        <f>IF(ISBLANK((VLOOKUP(C57,'[5]2025'!$A:$M,11,FALSE))),"",(VLOOKUP(C57,'[5]2025'!$A:$M,11,FALSE)))</f>
        <v>Boss Obet Galang</v>
      </c>
      <c r="AA57" s="818" t="str">
        <f>IF(ISBLANK((VLOOKUP(C57,'[5]2025'!$A:$M,12,FALSE))),"",(VLOOKUP(C57,'[5]2025'!$A:$M,12,FALSE)))</f>
        <v xml:space="preserve">Completed </v>
      </c>
      <c r="AB57" s="818" t="str">
        <f>IF(ISBLANK((VLOOKUP(C57,'[5]2025'!$A:$M,13,FALSE))),"",(VLOOKUP(C57,'[5]2025'!$A:$M,13,FALSE)))</f>
        <v/>
      </c>
    </row>
    <row r="58" spans="1:28" ht="30" x14ac:dyDescent="0.25">
      <c r="A58" s="806" t="str">
        <v>Y</v>
      </c>
      <c r="B58" s="798" t="str">
        <v>BIZ</v>
      </c>
      <c r="C58" s="812" t="str">
        <v>X25010350650</v>
      </c>
      <c r="D58" s="807" t="str">
        <v>ICE &amp; WATER STOP, INC.</v>
      </c>
      <c r="E58" s="807" t="str">
        <v>SAN ANTONIO VALLEY 1, SAN ANTONIO VALLEY 1, PARANAQUE</v>
      </c>
      <c r="F58" s="806" t="str">
        <v>PARAÑAQUE CITY</v>
      </c>
      <c r="G58" s="806" t="str">
        <v>PARAÑAQUE</v>
      </c>
      <c r="H58" s="806">
        <v>0</v>
      </c>
      <c r="I58" s="806">
        <v>0</v>
      </c>
      <c r="J58" s="806" t="str">
        <v>CHALLENGER</v>
      </c>
      <c r="K58" s="806" t="str">
        <v>FCOMP</v>
      </c>
      <c r="L58" s="798" t="str">
        <v>Isan Carlo Lazaro</v>
      </c>
      <c r="M58" s="808">
        <v>120.88</v>
      </c>
      <c r="N58" s="808">
        <v>225.66</v>
      </c>
      <c r="O58" s="809">
        <v>456</v>
      </c>
      <c r="P58" s="806" t="str">
        <v>MODIFICATION</v>
      </c>
      <c r="Q58" s="806">
        <v>1392661.74</v>
      </c>
      <c r="R58" s="806">
        <v>194181.44</v>
      </c>
      <c r="S58" s="806">
        <v>0</v>
      </c>
      <c r="T58" s="806">
        <v>0</v>
      </c>
      <c r="U58" s="813">
        <v>45744</v>
      </c>
      <c r="V58" s="813">
        <v>45749.431250000001</v>
      </c>
      <c r="W58" s="813">
        <v>45748</v>
      </c>
      <c r="X58" s="813">
        <v>0</v>
      </c>
      <c r="Y58" s="813">
        <v>45763.40625</v>
      </c>
      <c r="Z58" s="810" t="str">
        <f>IF(ISBLANK((VLOOKUP(C58,'[5]2025'!$A:$M,11,FALSE))),"",(VLOOKUP(C58,'[5]2025'!$A:$M,11,FALSE)))</f>
        <v>Boss Obet Galang</v>
      </c>
      <c r="AA58" s="818" t="str">
        <f>IF(ISBLANK((VLOOKUP(C58,'[5]2025'!$A:$M,12,FALSE))),"",(VLOOKUP(C58,'[5]2025'!$A:$M,12,FALSE)))</f>
        <v/>
      </c>
      <c r="AB58" s="818" t="str">
        <f>IF(ISBLANK((VLOOKUP(C58,'[5]2025'!$A:$M,13,FALSE))),"",(VLOOKUP(C58,'[5]2025'!$A:$M,13,FALSE)))</f>
        <v/>
      </c>
    </row>
    <row r="59" spans="1:28" ht="30" x14ac:dyDescent="0.25">
      <c r="A59" s="806" t="str">
        <v>Y</v>
      </c>
      <c r="B59" s="798" t="str">
        <v>BIZ</v>
      </c>
      <c r="C59" s="812" t="str">
        <v>X25010222514</v>
      </c>
      <c r="D59" s="807" t="str">
        <v>PHILIPPINE SEVEN CORPORATION</v>
      </c>
      <c r="E59" s="807" t="str">
        <v>MAHOGANY, VICTORIA HOMES-PEARL HTS SUBD, MUNTINLUPA</v>
      </c>
      <c r="F59" s="806" t="str">
        <v>MUNTINLUPA CITY</v>
      </c>
      <c r="G59" s="806" t="str">
        <v>PARAÑAQUE</v>
      </c>
      <c r="H59" s="806">
        <v>0</v>
      </c>
      <c r="I59" s="806">
        <v>0</v>
      </c>
      <c r="J59" s="806" t="str">
        <v>CHALLENGER</v>
      </c>
      <c r="K59" s="806" t="str">
        <v>FCOMP</v>
      </c>
      <c r="L59" s="798" t="str">
        <v>Isan Carlo Lazaro</v>
      </c>
      <c r="M59" s="808">
        <v>11.642799999999999</v>
      </c>
      <c r="N59" s="808">
        <v>24.54</v>
      </c>
      <c r="O59" s="809">
        <v>38</v>
      </c>
      <c r="P59" s="806" t="str">
        <v>NEW</v>
      </c>
      <c r="Q59" s="806">
        <v>216246.34</v>
      </c>
      <c r="R59" s="806">
        <v>21087.550000000003</v>
      </c>
      <c r="S59" s="806">
        <v>0</v>
      </c>
      <c r="T59" s="806">
        <v>0</v>
      </c>
      <c r="U59" s="813">
        <v>45747.614583333336</v>
      </c>
      <c r="V59" s="813">
        <v>45757.27847222222</v>
      </c>
      <c r="W59" s="813">
        <v>45751</v>
      </c>
      <c r="X59" s="813">
        <v>0</v>
      </c>
      <c r="Y59" s="813">
        <v>45761</v>
      </c>
      <c r="Z59" s="810" t="str">
        <f>IF(ISBLANK((VLOOKUP(C59,'[5]2025'!$A:$M,11,FALSE))),"",(VLOOKUP(C59,'[5]2025'!$A:$M,11,FALSE)))</f>
        <v>Boss Jonald Sampol</v>
      </c>
      <c r="AA59" s="818" t="str">
        <f>IF(ISBLANK((VLOOKUP(C59,'[5]2025'!$A:$M,12,FALSE))),"",(VLOOKUP(C59,'[5]2025'!$A:$M,12,FALSE)))</f>
        <v/>
      </c>
      <c r="AB59" s="818" t="str">
        <f>IF(ISBLANK((VLOOKUP(C59,'[5]2025'!$A:$M,13,FALSE))),"",(VLOOKUP(C59,'[5]2025'!$A:$M,13,FALSE)))</f>
        <v/>
      </c>
    </row>
    <row r="60" spans="1:28" ht="45" x14ac:dyDescent="0.25">
      <c r="A60" s="806" t="str">
        <v>Y</v>
      </c>
      <c r="B60" s="798" t="str">
        <v>BIZ</v>
      </c>
      <c r="C60" s="812" t="str">
        <v>X25020551884</v>
      </c>
      <c r="D60" s="807" t="str">
        <v>VAS SOLUTIONS INC.</v>
      </c>
      <c r="E60" s="807" t="str">
        <v>PHASE 2 ACCESS ROAD, AMVEL COMMERCIAL COMPLEX, PARANAQUE</v>
      </c>
      <c r="F60" s="806" t="str">
        <v>PARAÑAQUE CITY</v>
      </c>
      <c r="G60" s="806" t="str">
        <v>PARAÑAQUE</v>
      </c>
      <c r="H60" s="806">
        <v>0</v>
      </c>
      <c r="I60" s="806">
        <v>0</v>
      </c>
      <c r="J60" s="806" t="str">
        <v>POWERHOUSE</v>
      </c>
      <c r="K60" s="806" t="str">
        <v>FCOMP</v>
      </c>
      <c r="L60" s="798" t="str">
        <v>Jenneth Madrid</v>
      </c>
      <c r="M60" s="808">
        <v>14.322799999999999</v>
      </c>
      <c r="N60" s="808">
        <v>32.799999999999997</v>
      </c>
      <c r="O60" s="809">
        <v>42</v>
      </c>
      <c r="P60" s="806" t="str">
        <v>NEW</v>
      </c>
      <c r="Q60" s="806">
        <v>364286.5</v>
      </c>
      <c r="R60" s="806">
        <v>28180.259999999995</v>
      </c>
      <c r="S60" s="806">
        <v>0</v>
      </c>
      <c r="T60" s="806">
        <v>0</v>
      </c>
      <c r="U60" s="813">
        <v>45749.540972222225</v>
      </c>
      <c r="V60" s="813">
        <v>45755.659722222219</v>
      </c>
      <c r="W60" s="813">
        <v>45751</v>
      </c>
      <c r="X60" s="813">
        <v>0</v>
      </c>
      <c r="Y60" s="813">
        <v>45789.377083333333</v>
      </c>
      <c r="Z60" s="810" t="str">
        <f>IF(ISBLANK((VLOOKUP(C60,'[5]2025'!$A:$M,11,FALSE))),"",(VLOOKUP(C60,'[5]2025'!$A:$M,11,FALSE)))</f>
        <v>Roberto Galang</v>
      </c>
      <c r="AA60" s="818" t="str">
        <f>IF(ISBLANK((VLOOKUP(C60,'[5]2025'!$A:$M,12,FALSE))),"",(VLOOKUP(C60,'[5]2025'!$A:$M,12,FALSE)))</f>
        <v>Pending approval of schedule</v>
      </c>
      <c r="AB60" s="818" t="str">
        <f>IF(ISBLANK((VLOOKUP(C60,'[5]2025'!$A:$M,13,FALSE))),"",(VLOOKUP(C60,'[5]2025'!$A:$M,13,FALSE)))</f>
        <v>Road access problem</v>
      </c>
    </row>
    <row r="61" spans="1:28" ht="45" x14ac:dyDescent="0.25">
      <c r="A61" s="806" t="str">
        <v>Y</v>
      </c>
      <c r="B61" s="798" t="str">
        <v>HMB</v>
      </c>
      <c r="C61" s="812" t="str">
        <v>X25030992057</v>
      </c>
      <c r="D61" s="807" t="str">
        <v>ANTONITA MOYNIHAN DAYRIT</v>
      </c>
      <c r="E61" s="807" t="str">
        <v>YELLOW STONE, SOUTH GREEN PARK SUBD, PARANAQUE</v>
      </c>
      <c r="F61" s="806" t="str">
        <v>PARAÑAQUE CITY</v>
      </c>
      <c r="G61" s="806" t="str">
        <v>PARAÑAQUE</v>
      </c>
      <c r="H61" s="806">
        <v>0</v>
      </c>
      <c r="I61" s="806">
        <v>0</v>
      </c>
      <c r="J61" s="806" t="str">
        <v>VJC</v>
      </c>
      <c r="K61" s="806" t="str">
        <v>FCOMP</v>
      </c>
      <c r="L61" s="798" t="str">
        <v>Jenneth Madrid</v>
      </c>
      <c r="M61" s="808">
        <v>160.57790000000003</v>
      </c>
      <c r="N61" s="808">
        <v>440.47</v>
      </c>
      <c r="O61" s="809">
        <v>85</v>
      </c>
      <c r="P61" s="806" t="str">
        <v>NEW</v>
      </c>
      <c r="Q61" s="806">
        <v>873159.92</v>
      </c>
      <c r="R61" s="806">
        <v>175896.21</v>
      </c>
      <c r="S61" s="806">
        <v>0</v>
      </c>
      <c r="T61" s="806">
        <v>0</v>
      </c>
      <c r="U61" s="813">
        <v>45750.978472222225</v>
      </c>
      <c r="V61" s="813">
        <v>45755.73333333333</v>
      </c>
      <c r="W61" s="813">
        <v>45757</v>
      </c>
      <c r="X61" s="813">
        <v>0</v>
      </c>
      <c r="Y61" s="813">
        <v>45777</v>
      </c>
      <c r="Z61" s="810" t="str">
        <f>IF(ISBLANK((VLOOKUP(C61,'[5]2025'!$A:$M,11,FALSE))),"",(VLOOKUP(C61,'[5]2025'!$A:$M,11,FALSE)))</f>
        <v>Paranaque BC - Ron Bernardo; from Maritoni Fernandez</v>
      </c>
      <c r="AA61" s="818" t="str">
        <f>IF(ISBLANK((VLOOKUP(C61,'[5]2025'!$A:$M,12,FALSE))),"",(VLOOKUP(C61,'[5]2025'!$A:$M,12,FALSE)))</f>
        <v/>
      </c>
      <c r="AB61" s="818" t="str">
        <f>IF(ISBLANK((VLOOKUP(C61,'[5]2025'!$A:$M,13,FALSE))),"",(VLOOKUP(C61,'[5]2025'!$A:$M,13,FALSE)))</f>
        <v/>
      </c>
    </row>
    <row r="62" spans="1:28" ht="30" x14ac:dyDescent="0.25">
      <c r="A62" s="806" t="str">
        <v>Y</v>
      </c>
      <c r="B62" s="798" t="str">
        <v>CBG</v>
      </c>
      <c r="C62" s="812" t="str">
        <v>X24104075973</v>
      </c>
      <c r="D62" s="807" t="str">
        <v>TOTAL GAMEZONE XTREME INCORPORATED</v>
      </c>
      <c r="E62" s="807" t="str">
        <v>WEST SERVICE, MERVILLE SUBD, PARANAQUE</v>
      </c>
      <c r="F62" s="806" t="str">
        <v>PARAÑAQUE CITY</v>
      </c>
      <c r="G62" s="806" t="str">
        <v>PARAÑAQUE</v>
      </c>
      <c r="H62" s="806">
        <v>0</v>
      </c>
      <c r="I62" s="806">
        <v>0</v>
      </c>
      <c r="J62" s="806" t="str">
        <v>CHALLENGER</v>
      </c>
      <c r="K62" s="806" t="str">
        <v>FCOMP</v>
      </c>
      <c r="L62" s="798" t="str">
        <v>Isan Carlo Lazaro</v>
      </c>
      <c r="M62" s="808">
        <v>83.763300000000001</v>
      </c>
      <c r="N62" s="808">
        <v>133.31</v>
      </c>
      <c r="O62" s="809">
        <v>2530</v>
      </c>
      <c r="P62" s="806" t="str">
        <v>MODIFICATION</v>
      </c>
      <c r="Q62" s="806">
        <v>1070121.1599999999</v>
      </c>
      <c r="R62" s="806">
        <v>112876.91</v>
      </c>
      <c r="S62" s="806">
        <v>0</v>
      </c>
      <c r="T62" s="806">
        <v>0</v>
      </c>
      <c r="U62" s="813">
        <v>45751.634027777778</v>
      </c>
      <c r="V62" s="813">
        <v>45751.634027777778</v>
      </c>
      <c r="W62" s="813">
        <v>45755</v>
      </c>
      <c r="X62" s="813">
        <v>0</v>
      </c>
      <c r="Y62" s="813">
        <v>45758</v>
      </c>
      <c r="Z62" s="810" t="str">
        <f>IF(ISBLANK((VLOOKUP(C62,'[5]2025'!$A:$M,11,FALSE))),"",(VLOOKUP(C62,'[5]2025'!$A:$M,11,FALSE)))</f>
        <v>Ma'am Bernice Rama</v>
      </c>
      <c r="AA62" s="818" t="str">
        <f>IF(ISBLANK((VLOOKUP(C62,'[5]2025'!$A:$M,12,FALSE))),"",(VLOOKUP(C62,'[5]2025'!$A:$M,12,FALSE)))</f>
        <v/>
      </c>
      <c r="AB62" s="818" t="str">
        <f>IF(ISBLANK((VLOOKUP(C62,'[5]2025'!$A:$M,13,FALSE))),"",(VLOOKUP(C62,'[5]2025'!$A:$M,13,FALSE)))</f>
        <v/>
      </c>
    </row>
    <row r="63" spans="1:28" ht="30" x14ac:dyDescent="0.25">
      <c r="A63" s="806" t="str">
        <v>Y</v>
      </c>
      <c r="B63" s="798" t="str">
        <v>HMB</v>
      </c>
      <c r="C63" s="812" t="str">
        <v>X25030863021</v>
      </c>
      <c r="D63" s="807" t="str">
        <v>S3A UNITED INC.</v>
      </c>
      <c r="E63" s="807" t="str">
        <v>PACIFIC AVE, MARINA SUBD, PARANAQUE</v>
      </c>
      <c r="F63" s="806" t="str">
        <v>PARAÑAQUE CITY</v>
      </c>
      <c r="G63" s="806" t="str">
        <v>PARAÑAQUE</v>
      </c>
      <c r="H63" s="806">
        <v>0</v>
      </c>
      <c r="I63" s="806">
        <v>0</v>
      </c>
      <c r="J63" s="806" t="str">
        <v>AVECO</v>
      </c>
      <c r="K63" s="806" t="str">
        <v>FCOMP</v>
      </c>
      <c r="L63" s="798" t="str">
        <v>Ronilo Gange Jr.</v>
      </c>
      <c r="M63" s="808">
        <v>14.372799999999998</v>
      </c>
      <c r="N63" s="808">
        <v>50.27</v>
      </c>
      <c r="O63" s="809">
        <v>133.5</v>
      </c>
      <c r="P63" s="806" t="str">
        <v>NEW</v>
      </c>
      <c r="Q63" s="806">
        <v>395842.01</v>
      </c>
      <c r="R63" s="806">
        <v>43192.67</v>
      </c>
      <c r="S63" s="806">
        <v>0</v>
      </c>
      <c r="T63" s="806">
        <v>0</v>
      </c>
      <c r="U63" s="813">
        <v>45751.745833333334</v>
      </c>
      <c r="V63" s="813">
        <v>45761</v>
      </c>
      <c r="W63" s="813">
        <v>45757</v>
      </c>
      <c r="X63" s="813">
        <v>45782</v>
      </c>
      <c r="Y63" s="813">
        <v>45782</v>
      </c>
      <c r="Z63" s="810" t="str">
        <f>IF(ISBLANK((VLOOKUP(C63,'[5]2025'!$A:$M,11,FALSE))),"",(VLOOKUP(C63,'[5]2025'!$A:$M,11,FALSE)))</f>
        <v>Doy Yang of EGIP</v>
      </c>
      <c r="AA63" s="818" t="str">
        <f>IF(ISBLANK((VLOOKUP(C63,'[5]2025'!$A:$M,12,FALSE))),"",(VLOOKUP(C63,'[5]2025'!$A:$M,12,FALSE)))</f>
        <v xml:space="preserve">Completed </v>
      </c>
      <c r="AB63" s="818" t="str">
        <f>IF(ISBLANK((VLOOKUP(C63,'[5]2025'!$A:$M,13,FALSE))),"",(VLOOKUP(C63,'[5]2025'!$A:$M,13,FALSE)))</f>
        <v/>
      </c>
    </row>
    <row r="64" spans="1:28" ht="30" x14ac:dyDescent="0.25">
      <c r="A64" s="806" t="str">
        <v>Y</v>
      </c>
      <c r="B64" s="798" t="str">
        <v>HMB</v>
      </c>
      <c r="C64" s="812" t="str">
        <v>X25030881259</v>
      </c>
      <c r="D64" s="807" t="str">
        <v>HEIDELBERG BORJA CRUZ</v>
      </c>
      <c r="E64" s="807" t="str">
        <v>HERRERA ST., TOWN AND COUNTRY WEST SUBD, BACOOR</v>
      </c>
      <c r="F64" s="806" t="str">
        <v>BACOOR CITY</v>
      </c>
      <c r="G64" s="806" t="str">
        <v>DASMA</v>
      </c>
      <c r="H64" s="806">
        <v>0</v>
      </c>
      <c r="I64" s="806">
        <v>0</v>
      </c>
      <c r="J64" s="806" t="str">
        <v>AVECO</v>
      </c>
      <c r="K64" s="806" t="str">
        <v>FCOMP</v>
      </c>
      <c r="L64" s="798" t="str">
        <v>Ronilo Gange Jr.</v>
      </c>
      <c r="M64" s="808">
        <v>77.123100000000022</v>
      </c>
      <c r="N64" s="808">
        <v>169.2</v>
      </c>
      <c r="O64" s="809">
        <v>15</v>
      </c>
      <c r="P64" s="806" t="str">
        <v>NEW</v>
      </c>
      <c r="Q64" s="806">
        <v>375527.67</v>
      </c>
      <c r="R64" s="806">
        <v>77719.679999999993</v>
      </c>
      <c r="S64" s="806">
        <v>0</v>
      </c>
      <c r="T64" s="806">
        <v>0</v>
      </c>
      <c r="U64" s="813">
        <v>45754.387499999997</v>
      </c>
      <c r="V64" s="813">
        <v>45762.541666666664</v>
      </c>
      <c r="W64" s="813">
        <v>45757</v>
      </c>
      <c r="X64" s="813">
        <v>0</v>
      </c>
      <c r="Y64" s="813">
        <v>45836</v>
      </c>
      <c r="Z64" s="810" t="str">
        <f>IF(ISBLANK((VLOOKUP(C64,'[5]2025'!$A:$M,11,FALSE))),"",(VLOOKUP(C64,'[5]2025'!$A:$M,11,FALSE)))</f>
        <v>Bacoor BC Head, TJ Gonzales</v>
      </c>
      <c r="AA64" s="818" t="str">
        <f>IF(ISBLANK((VLOOKUP(C64,'[5]2025'!$A:$M,12,FALSE))),"",(VLOOKUP(C64,'[5]2025'!$A:$M,12,FALSE)))</f>
        <v>Pending</v>
      </c>
      <c r="AB64" s="818" t="str">
        <f>IF(ISBLANK((VLOOKUP(C64,'[5]2025'!$A:$M,13,FALSE))),"",(VLOOKUP(C64,'[5]2025'!$A:$M,13,FALSE)))</f>
        <v>Work load</v>
      </c>
    </row>
    <row r="65" spans="1:28" ht="45" x14ac:dyDescent="0.25">
      <c r="A65" s="806" t="str">
        <v>Y</v>
      </c>
      <c r="B65" s="798" t="str">
        <v>HMB</v>
      </c>
      <c r="C65" s="812" t="str">
        <v>X25030992093</v>
      </c>
      <c r="D65" s="807" t="str">
        <v>MARCO ANGELO FELIX LIM LOPEZ</v>
      </c>
      <c r="E65" s="807" t="str">
        <v>YELLOW STONE, SOUTH GREEN PARK SUBD, PARANAQUE</v>
      </c>
      <c r="F65" s="806" t="str">
        <v>PARAÑAQUE CITY</v>
      </c>
      <c r="G65" s="806" t="str">
        <v>PARAÑAQUE</v>
      </c>
      <c r="H65" s="806">
        <v>0</v>
      </c>
      <c r="I65" s="806">
        <v>0</v>
      </c>
      <c r="J65" s="806" t="str">
        <v>VJC</v>
      </c>
      <c r="K65" s="806" t="str">
        <v>FCOMP</v>
      </c>
      <c r="L65" s="798" t="str">
        <v>Jenneth Madrid</v>
      </c>
      <c r="M65" s="808">
        <v>1.73</v>
      </c>
      <c r="N65" s="808">
        <v>4.3099999999999996</v>
      </c>
      <c r="O65" s="809">
        <v>31</v>
      </c>
      <c r="P65" s="806" t="str">
        <v>MODIFICATION</v>
      </c>
      <c r="Q65" s="806">
        <v>20761.28</v>
      </c>
      <c r="R65" s="806">
        <v>3703.32</v>
      </c>
      <c r="S65" s="806">
        <v>0</v>
      </c>
      <c r="T65" s="806">
        <v>0</v>
      </c>
      <c r="U65" s="813">
        <v>45754.571527777778</v>
      </c>
      <c r="V65" s="813">
        <v>45755.734722222223</v>
      </c>
      <c r="W65" s="813">
        <v>45757</v>
      </c>
      <c r="X65" s="813">
        <v>0</v>
      </c>
      <c r="Y65" s="813">
        <v>45777</v>
      </c>
      <c r="Z65" s="810" t="str">
        <f>IF(ISBLANK((VLOOKUP(C65,'[5]2025'!$A:$M,11,FALSE))),"",(VLOOKUP(C65,'[5]2025'!$A:$M,11,FALSE)))</f>
        <v>Paranaque BC - Ron Bernardo; from Chief Justice Mario Lopez</v>
      </c>
      <c r="AA65" s="818" t="str">
        <f>IF(ISBLANK((VLOOKUP(C65,'[5]2025'!$A:$M,12,FALSE))),"",(VLOOKUP(C65,'[5]2025'!$A:$M,12,FALSE)))</f>
        <v/>
      </c>
      <c r="AB65" s="818" t="str">
        <f>IF(ISBLANK((VLOOKUP(C65,'[5]2025'!$A:$M,13,FALSE))),"",(VLOOKUP(C65,'[5]2025'!$A:$M,13,FALSE)))</f>
        <v/>
      </c>
    </row>
    <row r="66" spans="1:28" ht="30" x14ac:dyDescent="0.25">
      <c r="A66" s="806" t="str">
        <v>Y</v>
      </c>
      <c r="B66" s="798" t="str">
        <v>HMB</v>
      </c>
      <c r="C66" s="812" t="str">
        <v>X25030752071</v>
      </c>
      <c r="D66" s="807" t="str">
        <v>MICHAEL G. DAVID</v>
      </c>
      <c r="E66" s="807" t="str">
        <v>BLOCK 7, DOÑA ROSARIO HEIGHTS SUBD, MUNTINLUPA</v>
      </c>
      <c r="F66" s="806" t="str">
        <v>MUNTINLUPA CITY</v>
      </c>
      <c r="G66" s="806" t="str">
        <v>PARAÑAQUE</v>
      </c>
      <c r="H66" s="806">
        <v>0</v>
      </c>
      <c r="I66" s="806">
        <v>0</v>
      </c>
      <c r="J66" s="806" t="str">
        <v>CHALLENGER</v>
      </c>
      <c r="K66" s="806" t="str">
        <v>FCOMP</v>
      </c>
      <c r="L66" s="798" t="str">
        <v>Isan Carlo Lazaro</v>
      </c>
      <c r="M66" s="808">
        <v>100.01430000000002</v>
      </c>
      <c r="N66" s="808">
        <v>141.59</v>
      </c>
      <c r="O66" s="809">
        <v>60</v>
      </c>
      <c r="P66" s="806" t="str">
        <v>MODIFICATION</v>
      </c>
      <c r="Q66" s="806">
        <v>555158.87</v>
      </c>
      <c r="R66" s="806">
        <v>129417.11000000004</v>
      </c>
      <c r="S66" s="806">
        <v>0</v>
      </c>
      <c r="T66" s="806">
        <v>0</v>
      </c>
      <c r="U66" s="813">
        <v>45757.7</v>
      </c>
      <c r="V66" s="813">
        <v>45762.552083333336</v>
      </c>
      <c r="W66" s="813">
        <v>45762</v>
      </c>
      <c r="X66" s="813">
        <v>45821</v>
      </c>
      <c r="Y66" s="813">
        <v>45821</v>
      </c>
      <c r="Z66" s="810" t="str">
        <f>IF(ISBLANK((VLOOKUP(C66,'[5]2025'!$A:$M,11,FALSE))),"",(VLOOKUP(C66,'[5]2025'!$A:$M,11,FALSE)))</f>
        <v>Boss Rensy Robles</v>
      </c>
      <c r="AA66" s="818" t="str">
        <f>IF(ISBLANK((VLOOKUP(C66,'[5]2025'!$A:$M,12,FALSE))),"",(VLOOKUP(C66,'[5]2025'!$A:$M,12,FALSE)))</f>
        <v>Energization 6/10/2025</v>
      </c>
      <c r="AB66" s="818" t="str">
        <f>IF(ISBLANK((VLOOKUP(C66,'[5]2025'!$A:$M,13,FALSE))),"",(VLOOKUP(C66,'[5]2025'!$A:$M,13,FALSE)))</f>
        <v/>
      </c>
    </row>
    <row r="67" spans="1:28" ht="30" x14ac:dyDescent="0.25">
      <c r="A67" s="806" t="str">
        <v>Y</v>
      </c>
      <c r="B67" s="798" t="str">
        <v>HMB</v>
      </c>
      <c r="C67" s="812" t="str">
        <v>X25030872408</v>
      </c>
      <c r="D67" s="807" t="str">
        <v>CITY GOVERNMENT OF TAGUIG</v>
      </c>
      <c r="E67" s="807" t="str">
        <v>BLOCK 27, PINAGSAMA PH 2 VILL, TAGUIG CITY</v>
      </c>
      <c r="F67" s="806" t="str">
        <v>TAGUIG CITY</v>
      </c>
      <c r="G67" s="806" t="str">
        <v>PARAÑAQUE</v>
      </c>
      <c r="H67" s="806">
        <v>0</v>
      </c>
      <c r="I67" s="806">
        <v>0</v>
      </c>
      <c r="J67" s="806" t="str">
        <v>VJC</v>
      </c>
      <c r="K67" s="806" t="str">
        <v>FCOMP</v>
      </c>
      <c r="L67" s="798" t="str">
        <v>Jenneth Madrid</v>
      </c>
      <c r="M67" s="808">
        <v>53.539500000000004</v>
      </c>
      <c r="N67" s="808">
        <v>164.6</v>
      </c>
      <c r="O67" s="809">
        <v>173</v>
      </c>
      <c r="P67" s="806" t="str">
        <v>NEW</v>
      </c>
      <c r="Q67" s="806">
        <v>840107.52000000002</v>
      </c>
      <c r="R67" s="806">
        <v>73792.22</v>
      </c>
      <c r="S67" s="806">
        <v>48164.88</v>
      </c>
      <c r="T67" s="806">
        <v>0.65270945907305666</v>
      </c>
      <c r="U67" s="813">
        <v>45758.321527777778</v>
      </c>
      <c r="V67" s="813">
        <v>45765.458333333336</v>
      </c>
      <c r="W67" s="813">
        <v>45766</v>
      </c>
      <c r="X67" s="813">
        <v>45775</v>
      </c>
      <c r="Y67" s="813">
        <v>45775.448611111111</v>
      </c>
      <c r="Z67" s="810" t="str">
        <f>IF(ISBLANK((VLOOKUP(C67,'[5]2025'!$A:$M,11,FALSE))),"",(VLOOKUP(C67,'[5]2025'!$A:$M,11,FALSE)))</f>
        <v>Boss FOG</v>
      </c>
      <c r="AA67" s="818" t="str">
        <f>IF(ISBLANK((VLOOKUP(C67,'[5]2025'!$A:$M,12,FALSE))),"",(VLOOKUP(C67,'[5]2025'!$A:$M,12,FALSE)))</f>
        <v/>
      </c>
      <c r="AB67" s="818" t="str">
        <f>IF(ISBLANK((VLOOKUP(C67,'[5]2025'!$A:$M,13,FALSE))),"",(VLOOKUP(C67,'[5]2025'!$A:$M,13,FALSE)))</f>
        <v/>
      </c>
    </row>
    <row r="68" spans="1:28" ht="30" x14ac:dyDescent="0.25">
      <c r="A68" s="806" t="str">
        <v>Y</v>
      </c>
      <c r="B68" s="798" t="str">
        <v>HMB</v>
      </c>
      <c r="C68" s="812" t="str">
        <v>X25030884434</v>
      </c>
      <c r="D68" s="807" t="str">
        <v>RONALD CARANAY CALINGAY</v>
      </c>
      <c r="E68" s="807" t="str">
        <v>GREEN GRASS, GREEN VALLEY SUBD SECT A, BACOOR</v>
      </c>
      <c r="F68" s="806" t="str">
        <v>BACOOR CITY</v>
      </c>
      <c r="G68" s="806" t="str">
        <v>DASMA</v>
      </c>
      <c r="H68" s="806">
        <v>0</v>
      </c>
      <c r="I68" s="806">
        <v>0</v>
      </c>
      <c r="J68" s="806" t="str">
        <v>AVECO</v>
      </c>
      <c r="K68" s="806" t="str">
        <v>FCOMP</v>
      </c>
      <c r="L68" s="798" t="str">
        <v>Ronilo Gange Jr.</v>
      </c>
      <c r="M68" s="808">
        <v>18.392799999999998</v>
      </c>
      <c r="N68" s="808">
        <v>20.28</v>
      </c>
      <c r="O68" s="809">
        <v>2</v>
      </c>
      <c r="P68" s="806" t="str">
        <v>NEW</v>
      </c>
      <c r="Q68" s="806">
        <v>197328.6</v>
      </c>
      <c r="R68" s="806">
        <v>60293.500000000007</v>
      </c>
      <c r="S68" s="806">
        <v>0</v>
      </c>
      <c r="T68" s="806">
        <v>0</v>
      </c>
      <c r="U68" s="813">
        <v>45761.443055555559</v>
      </c>
      <c r="V68" s="813">
        <v>45770.612500000003</v>
      </c>
      <c r="W68" s="813">
        <v>45771</v>
      </c>
      <c r="X68" s="813">
        <v>0</v>
      </c>
      <c r="Y68" s="813">
        <v>45799</v>
      </c>
      <c r="Z68" s="810" t="str">
        <f>IF(ISBLANK((VLOOKUP(C68,'[5]2025'!$A:$M,11,FALSE))),"",(VLOOKUP(C68,'[5]2025'!$A:$M,11,FALSE)))</f>
        <v>Joe Zaldarriaga</v>
      </c>
      <c r="AA68" s="818" t="str">
        <f>IF(ISBLANK((VLOOKUP(C68,'[5]2025'!$A:$M,12,FALSE))),"",(VLOOKUP(C68,'[5]2025'!$A:$M,12,FALSE)))</f>
        <v/>
      </c>
      <c r="AB68" s="818" t="str">
        <f>IF(ISBLANK((VLOOKUP(C68,'[5]2025'!$A:$M,13,FALSE))),"",(VLOOKUP(C68,'[5]2025'!$A:$M,13,FALSE)))</f>
        <v/>
      </c>
    </row>
    <row r="69" spans="1:28" ht="60" x14ac:dyDescent="0.25">
      <c r="A69" s="806" t="str">
        <v>Y</v>
      </c>
      <c r="B69" s="798" t="str">
        <v>BIZ</v>
      </c>
      <c r="C69" s="812" t="str">
        <v>X25010118641</v>
      </c>
      <c r="D69" s="807" t="str">
        <v>HIJO GREENS, INC.</v>
      </c>
      <c r="E69" s="807" t="str">
        <v>EDISON, EDISON INDUSTRIAL COMPLEX, PARANAQUE</v>
      </c>
      <c r="F69" s="806" t="str">
        <v>PARAÑAQUE CITY</v>
      </c>
      <c r="G69" s="806" t="str">
        <v>PARAÑAQUE</v>
      </c>
      <c r="H69" s="806">
        <v>0</v>
      </c>
      <c r="I69" s="806">
        <v>0</v>
      </c>
      <c r="J69" s="806" t="str">
        <v>ECOM</v>
      </c>
      <c r="K69" s="806" t="str">
        <v>FCOMP</v>
      </c>
      <c r="L69" s="798" t="str">
        <v>Ronilo Gange Jr.</v>
      </c>
      <c r="M69" s="808">
        <v>80.917399999999986</v>
      </c>
      <c r="N69" s="808">
        <v>216.64</v>
      </c>
      <c r="O69" s="809">
        <v>183</v>
      </c>
      <c r="P69" s="806" t="str">
        <v>NEW</v>
      </c>
      <c r="Q69" s="806">
        <v>911302.13</v>
      </c>
      <c r="R69" s="806">
        <v>118917.61000000002</v>
      </c>
      <c r="S69" s="806">
        <v>0</v>
      </c>
      <c r="T69" s="806">
        <v>0</v>
      </c>
      <c r="U69" s="813">
        <v>45762.45208333333</v>
      </c>
      <c r="V69" s="813">
        <v>45770.614583333336</v>
      </c>
      <c r="W69" s="813">
        <v>45771</v>
      </c>
      <c r="X69" s="813">
        <v>0</v>
      </c>
      <c r="Y69" s="813">
        <v>45793</v>
      </c>
      <c r="Z69" s="810" t="str">
        <f>IF(ISBLANK((VLOOKUP(C69,'[5]2025'!$A:$M,11,FALSE))),"",(VLOOKUP(C69,'[5]2025'!$A:$M,11,FALSE)))</f>
        <v>Boss RoLA and Boss FJS</v>
      </c>
      <c r="AA69" s="818" t="str">
        <f>IF(ISBLANK((VLOOKUP(C69,'[5]2025'!$A:$M,12,FALSE))),"",(VLOOKUP(C69,'[5]2025'!$A:$M,12,FALSE)))</f>
        <v>On Going / Schedule on May  10-11</v>
      </c>
      <c r="AB69" s="818" t="str">
        <f>IF(ISBLANK((VLOOKUP(C69,'[5]2025'!$A:$M,13,FALSE))),"",(VLOOKUP(C69,'[5]2025'!$A:$M,13,FALSE)))</f>
        <v xml:space="preserve">Approval of  Permit of  Brgy  mobilzation the will for possible of road obtruction /road Closure </v>
      </c>
    </row>
    <row r="70" spans="1:28" ht="30" x14ac:dyDescent="0.25">
      <c r="A70" s="806" t="str">
        <v>Y</v>
      </c>
      <c r="B70" s="798" t="str">
        <v>HMB</v>
      </c>
      <c r="C70" s="812" t="str">
        <v>X25031019727</v>
      </c>
      <c r="D70" s="807" t="str">
        <v>CITY GOVERNMENT OF TAGUIG</v>
      </c>
      <c r="E70" s="807" t="str">
        <v>CHAMPACA, STO. NINO, TAGUIG CITY</v>
      </c>
      <c r="F70" s="806" t="str">
        <v>TAGUIG CITY</v>
      </c>
      <c r="G70" s="806" t="str">
        <v>PARAÑAQUE</v>
      </c>
      <c r="H70" s="806">
        <v>0</v>
      </c>
      <c r="I70" s="806">
        <v>0</v>
      </c>
      <c r="J70" s="806" t="str">
        <v>VJC</v>
      </c>
      <c r="K70" s="806" t="str">
        <v>FCOMP</v>
      </c>
      <c r="L70" s="798" t="str">
        <v>Jenneth Madrid</v>
      </c>
      <c r="M70" s="808">
        <v>171.3066</v>
      </c>
      <c r="N70" s="808">
        <v>415.57</v>
      </c>
      <c r="O70" s="809">
        <v>896</v>
      </c>
      <c r="P70" s="806" t="str">
        <v>NEW</v>
      </c>
      <c r="Q70" s="806">
        <v>2903581.15</v>
      </c>
      <c r="R70" s="806">
        <v>323053.55999999994</v>
      </c>
      <c r="S70" s="806">
        <v>0</v>
      </c>
      <c r="T70" s="806">
        <v>0</v>
      </c>
      <c r="U70" s="813">
        <v>45768.665277777778</v>
      </c>
      <c r="V70" s="813">
        <v>45769.288194444445</v>
      </c>
      <c r="W70" s="813">
        <v>45770</v>
      </c>
      <c r="X70" s="813">
        <v>45775</v>
      </c>
      <c r="Y70" s="813">
        <v>45775.443749999999</v>
      </c>
      <c r="Z70" s="810" t="str">
        <f>IF(ISBLANK((VLOOKUP(C70,'[5]2025'!$A:$M,11,FALSE))),"",(VLOOKUP(C70,'[5]2025'!$A:$M,11,FALSE)))</f>
        <v>Boss FOG</v>
      </c>
      <c r="AA70" s="818" t="str">
        <f>IF(ISBLANK((VLOOKUP(C70,'[5]2025'!$A:$M,12,FALSE))),"",(VLOOKUP(C70,'[5]2025'!$A:$M,12,FALSE)))</f>
        <v/>
      </c>
      <c r="AB70" s="818" t="str">
        <f>IF(ISBLANK((VLOOKUP(C70,'[5]2025'!$A:$M,13,FALSE))),"",(VLOOKUP(C70,'[5]2025'!$A:$M,13,FALSE)))</f>
        <v/>
      </c>
    </row>
    <row r="71" spans="1:28" ht="30" x14ac:dyDescent="0.25">
      <c r="A71" s="806" t="str">
        <v>Y</v>
      </c>
      <c r="B71" s="798" t="str">
        <v>HMB</v>
      </c>
      <c r="C71" s="812" t="str">
        <v>X25010318160</v>
      </c>
      <c r="D71" s="807" t="str">
        <v>METRO SOUTH PROPERTIES CORPORATION</v>
      </c>
      <c r="E71" s="807" t="str">
        <v>RAVENGA, TOWN AND COUNTRY WEST SUBD, BACOOR</v>
      </c>
      <c r="F71" s="806" t="str">
        <v>BACOOR CITY</v>
      </c>
      <c r="G71" s="806" t="str">
        <v>DASMA</v>
      </c>
      <c r="H71" s="806">
        <v>0</v>
      </c>
      <c r="I71" s="806">
        <v>0</v>
      </c>
      <c r="J71" s="806" t="str">
        <v>AVECO</v>
      </c>
      <c r="K71" s="806" t="str">
        <v>FCOMP</v>
      </c>
      <c r="L71" s="798" t="str">
        <v>Ronilo Gange Jr.</v>
      </c>
      <c r="M71" s="808">
        <v>236.46709999999985</v>
      </c>
      <c r="N71" s="808">
        <v>712.49</v>
      </c>
      <c r="O71" s="809">
        <v>100</v>
      </c>
      <c r="P71" s="806" t="str">
        <v>NEW</v>
      </c>
      <c r="Q71" s="806">
        <v>1276315.3700000001</v>
      </c>
      <c r="R71" s="806">
        <v>275877.52999999997</v>
      </c>
      <c r="S71" s="806">
        <v>0</v>
      </c>
      <c r="T71" s="806">
        <v>0</v>
      </c>
      <c r="U71" s="813">
        <v>45769.554166666669</v>
      </c>
      <c r="V71" s="813">
        <v>45775.617361111108</v>
      </c>
      <c r="W71" s="813">
        <v>45775.613888888889</v>
      </c>
      <c r="X71" s="813">
        <v>0</v>
      </c>
      <c r="Y71" s="813">
        <v>45848</v>
      </c>
      <c r="Z71" s="810" t="str">
        <f>IF(ISBLANK((VLOOKUP(C71,'[5]2025'!$A:$M,11,FALSE))),"",(VLOOKUP(C71,'[5]2025'!$A:$M,11,FALSE)))</f>
        <v>Bacoor BC Head, TJ Gonzales</v>
      </c>
      <c r="AA71" s="818" t="str">
        <f>IF(ISBLANK((VLOOKUP(C71,'[5]2025'!$A:$M,12,FALSE))),"",(VLOOKUP(C71,'[5]2025'!$A:$M,12,FALSE)))</f>
        <v>Pending</v>
      </c>
      <c r="AB71" s="818" t="str">
        <f>IF(ISBLANK((VLOOKUP(C71,'[5]2025'!$A:$M,13,FALSE))),"",(VLOOKUP(C71,'[5]2025'!$A:$M,13,FALSE)))</f>
        <v>Work load</v>
      </c>
    </row>
    <row r="72" spans="1:28" ht="30" x14ac:dyDescent="0.25">
      <c r="A72" s="806" t="str">
        <v>Y</v>
      </c>
      <c r="B72" s="798" t="str">
        <v>BIZ</v>
      </c>
      <c r="C72" s="812" t="str">
        <v>X23031056287</v>
      </c>
      <c r="D72" s="807" t="str">
        <v>ALFAMART TRADING PHILIPPINES, INC</v>
      </c>
      <c r="E72" s="807" t="str">
        <v>GEN. TIRONA, MABOLO I, BACOOR</v>
      </c>
      <c r="F72" s="806" t="str">
        <v>BACOOR CITY</v>
      </c>
      <c r="G72" s="806" t="str">
        <v>DASMA</v>
      </c>
      <c r="H72" s="806">
        <v>0</v>
      </c>
      <c r="I72" s="806">
        <v>0</v>
      </c>
      <c r="J72" s="806" t="str">
        <v>AVECO</v>
      </c>
      <c r="K72" s="806" t="str">
        <v>FCOMP</v>
      </c>
      <c r="L72" s="798" t="str">
        <v>Ronilo Gange Jr.</v>
      </c>
      <c r="M72" s="808">
        <v>48.593499999999999</v>
      </c>
      <c r="N72" s="808">
        <v>131.88999999999999</v>
      </c>
      <c r="O72" s="809">
        <v>28</v>
      </c>
      <c r="P72" s="806" t="str">
        <v>NEW</v>
      </c>
      <c r="Q72" s="806">
        <v>293996.61</v>
      </c>
      <c r="R72" s="806">
        <v>46063.97</v>
      </c>
      <c r="S72" s="806">
        <v>0</v>
      </c>
      <c r="T72" s="806">
        <v>0</v>
      </c>
      <c r="U72" s="813">
        <v>45769.697222222225</v>
      </c>
      <c r="V72" s="813">
        <v>45777.543055555558</v>
      </c>
      <c r="W72" s="813">
        <v>45779</v>
      </c>
      <c r="X72" s="813">
        <v>0</v>
      </c>
      <c r="Y72" s="813">
        <v>45801</v>
      </c>
      <c r="Z72" s="810" t="str">
        <f>IF(ISBLANK((VLOOKUP(C72,'[5]2025'!$A:$M,11,FALSE))),"",(VLOOKUP(C72,'[5]2025'!$A:$M,11,FALSE)))</f>
        <v>Roberto Galang</v>
      </c>
      <c r="AA72" s="818" t="s">
        <v>4297</v>
      </c>
      <c r="AB72" s="818" t="str">
        <f>IF(ISBLANK((VLOOKUP(C72,'[5]2025'!$A:$M,13,FALSE))),"",(VLOOKUP(C72,'[5]2025'!$A:$M,13,FALSE)))</f>
        <v/>
      </c>
    </row>
    <row r="73" spans="1:28" ht="30" x14ac:dyDescent="0.25">
      <c r="A73" s="806" t="str">
        <v>Y</v>
      </c>
      <c r="B73" s="798" t="str">
        <v>BIZ</v>
      </c>
      <c r="C73" s="812" t="str">
        <v>X25030864022</v>
      </c>
      <c r="D73" s="807" t="str">
        <v>RAHUL DAVE DARYANI</v>
      </c>
      <c r="E73" s="807" t="str">
        <v>E. RODRIGUEZ JR., STO. NINO, PARANAQUE</v>
      </c>
      <c r="F73" s="806" t="str">
        <v>PARAÑAQUE CITY</v>
      </c>
      <c r="G73" s="806" t="str">
        <v>PARAÑAQUE</v>
      </c>
      <c r="H73" s="806">
        <v>0</v>
      </c>
      <c r="I73" s="806">
        <v>0</v>
      </c>
      <c r="J73" s="806" t="str">
        <v>VJC</v>
      </c>
      <c r="K73" s="806" t="str">
        <v>COMP</v>
      </c>
      <c r="L73" s="798" t="str">
        <v>Jenneth Madrid</v>
      </c>
      <c r="M73" s="808">
        <v>33.927999999999997</v>
      </c>
      <c r="N73" s="808">
        <v>70.209999999999994</v>
      </c>
      <c r="O73" s="809">
        <v>135</v>
      </c>
      <c r="P73" s="806" t="str">
        <v>NEW</v>
      </c>
      <c r="Q73" s="806">
        <v>736986.61</v>
      </c>
      <c r="R73" s="806">
        <v>60355.240000000005</v>
      </c>
      <c r="S73" s="806">
        <v>31342.959999999999</v>
      </c>
      <c r="T73" s="806">
        <v>0.51930801700067797</v>
      </c>
      <c r="U73" s="813">
        <v>45771.67291666667</v>
      </c>
      <c r="V73" s="813">
        <v>45777.56527777778</v>
      </c>
      <c r="W73" s="813">
        <v>45779</v>
      </c>
      <c r="X73" s="813">
        <v>45827</v>
      </c>
      <c r="Y73" s="813">
        <v>45827</v>
      </c>
      <c r="Z73" s="810" t="str">
        <f>IF(ISBLANK((VLOOKUP(C73,'[5]2025'!$A:$M,11,FALSE))),"",(VLOOKUP(C73,'[5]2025'!$A:$M,11,FALSE)))</f>
        <v>Boss Jason Calsas</v>
      </c>
      <c r="AA73" s="818" t="str">
        <f>IF(ISBLANK((VLOOKUP(C73,'[5]2025'!$A:$M,12,FALSE))),"",(VLOOKUP(C73,'[5]2025'!$A:$M,12,FALSE)))</f>
        <v>SSP schedule on June 18</v>
      </c>
      <c r="AB73" s="818" t="str">
        <f>IF(ISBLANK((VLOOKUP(C73,'[5]2025'!$A:$M,13,FALSE))),"",(VLOOKUP(C73,'[5]2025'!$A:$M,13,FALSE)))</f>
        <v>with scheduled PAI</v>
      </c>
    </row>
    <row r="74" spans="1:28" ht="30" x14ac:dyDescent="0.25">
      <c r="A74" s="806" t="str">
        <v>Y</v>
      </c>
      <c r="B74" s="798" t="str">
        <v>HMB</v>
      </c>
      <c r="C74" s="812" t="str">
        <v>X25010021411</v>
      </c>
      <c r="D74" s="807" t="str">
        <v>FRANCES CHRISTINE RAMIREZ AGUIRRE</v>
      </c>
      <c r="E74" s="807" t="str">
        <v>DAO, MAYWOOD VILL, PARANAQUE</v>
      </c>
      <c r="F74" s="806" t="str">
        <v>PARAÑAQUE CITY</v>
      </c>
      <c r="G74" s="806" t="str">
        <v>PARAÑAQUE</v>
      </c>
      <c r="H74" s="806">
        <v>0</v>
      </c>
      <c r="I74" s="806">
        <v>0</v>
      </c>
      <c r="J74" s="806" t="str">
        <v>CHALLENGER</v>
      </c>
      <c r="K74" s="806" t="str">
        <v>FCOMP</v>
      </c>
      <c r="L74" s="798" t="str">
        <v>Isan Carlo Lazaro</v>
      </c>
      <c r="M74" s="808">
        <v>135.69099999999995</v>
      </c>
      <c r="N74" s="808">
        <v>159.18</v>
      </c>
      <c r="O74" s="809">
        <v>64</v>
      </c>
      <c r="P74" s="806" t="str">
        <v>MODIFICATION</v>
      </c>
      <c r="Q74" s="806">
        <v>813670.22</v>
      </c>
      <c r="R74" s="806">
        <v>136773.92000000001</v>
      </c>
      <c r="S74" s="806">
        <v>0</v>
      </c>
      <c r="T74" s="806">
        <v>0</v>
      </c>
      <c r="U74" s="813">
        <v>45775.665972222225</v>
      </c>
      <c r="V74" s="813">
        <v>45783.547222222223</v>
      </c>
      <c r="W74" s="813">
        <v>45783</v>
      </c>
      <c r="X74" s="813">
        <v>45811</v>
      </c>
      <c r="Y74" s="813">
        <v>45811</v>
      </c>
      <c r="Z74" s="810" t="str">
        <f>IF(ISBLANK((VLOOKUP(C74,'[5]2025'!$A:$M,11,FALSE))),"",(VLOOKUP(C74,'[5]2025'!$A:$M,11,FALSE)))</f>
        <v>Boss Erville</v>
      </c>
      <c r="AA74" s="818" t="str">
        <f>IF(ISBLANK((VLOOKUP(C74,'[5]2025'!$A:$M,12,FALSE))),"",(VLOOKUP(C74,'[5]2025'!$A:$M,12,FALSE)))</f>
        <v/>
      </c>
      <c r="AB74" s="818" t="str">
        <f>IF(ISBLANK((VLOOKUP(C74,'[5]2025'!$A:$M,13,FALSE))),"",(VLOOKUP(C74,'[5]2025'!$A:$M,13,FALSE)))</f>
        <v/>
      </c>
    </row>
    <row r="75" spans="1:28" ht="30" x14ac:dyDescent="0.25">
      <c r="A75" s="806" t="str">
        <v>Y</v>
      </c>
      <c r="B75" s="798" t="str">
        <v>BIZ</v>
      </c>
      <c r="C75" s="812" t="str">
        <v>X25020687798</v>
      </c>
      <c r="D75" s="807" t="str">
        <v>TWIN KARAT REALTY CORPORATION</v>
      </c>
      <c r="E75" s="807" t="str">
        <v>QUIRINO, SAN DIONISIO, PARANAQUE</v>
      </c>
      <c r="F75" s="806" t="str">
        <v>PARAÑAQUE CITY</v>
      </c>
      <c r="G75" s="806" t="str">
        <v>PARAÑAQUE</v>
      </c>
      <c r="H75" s="806" t="str">
        <v>POLE DRESSING</v>
      </c>
      <c r="I75" s="806">
        <v>0</v>
      </c>
      <c r="J75" s="806" t="str">
        <v>AVECO</v>
      </c>
      <c r="K75" s="806" t="str">
        <v>SCHED</v>
      </c>
      <c r="L75" s="798" t="str">
        <v>Ronilo Gange Jr.</v>
      </c>
      <c r="M75" s="808">
        <v>117.53489999999999</v>
      </c>
      <c r="N75" s="808">
        <v>275.3</v>
      </c>
      <c r="O75" s="809">
        <v>526</v>
      </c>
      <c r="P75" s="806" t="str">
        <v>NEW</v>
      </c>
      <c r="Q75" s="806">
        <v>1305014.67</v>
      </c>
      <c r="R75" s="806">
        <v>219118.06</v>
      </c>
      <c r="S75" s="806">
        <v>0</v>
      </c>
      <c r="T75" s="806">
        <v>0</v>
      </c>
      <c r="U75" s="813">
        <v>45775.667361111111</v>
      </c>
      <c r="V75" s="813">
        <v>45783.548611111109</v>
      </c>
      <c r="W75" s="813">
        <v>45783</v>
      </c>
      <c r="X75" s="813">
        <v>0</v>
      </c>
      <c r="Y75" s="813">
        <v>0</v>
      </c>
      <c r="Z75" s="810" t="str">
        <f>IF(ISBLANK((VLOOKUP(C75,'[5]2025'!$A:$M,11,FALSE))),"",(VLOOKUP(C75,'[5]2025'!$A:$M,11,FALSE)))</f>
        <v>Betty Sy</v>
      </c>
      <c r="AA75" s="818" t="str">
        <f>IF(ISBLANK((VLOOKUP(C75,'[5]2025'!$A:$M,12,FALSE))),"",(VLOOKUP(C75,'[5]2025'!$A:$M,12,FALSE)))</f>
        <v/>
      </c>
      <c r="AB75" s="818" t="str">
        <f>IF(ISBLANK((VLOOKUP(C75,'[5]2025'!$A:$M,13,FALSE))),"",(VLOOKUP(C75,'[5]2025'!$A:$M,13,FALSE)))</f>
        <v/>
      </c>
    </row>
    <row r="76" spans="1:28" ht="60" x14ac:dyDescent="0.25">
      <c r="A76" s="806" t="str">
        <v>Y</v>
      </c>
      <c r="B76" s="798" t="str">
        <v>HMB</v>
      </c>
      <c r="C76" s="812" t="str">
        <v>X25041129915</v>
      </c>
      <c r="D76" s="807" t="str">
        <v>ROSE ANNE A. AGUIRRE</v>
      </c>
      <c r="E76" s="807" t="str">
        <v>C. PALANCA SR., BF HOMES, PARANAQUE</v>
      </c>
      <c r="F76" s="806" t="str">
        <v>PARAÑAQUE CITY</v>
      </c>
      <c r="G76" s="806" t="str">
        <v>PARAÑAQUE</v>
      </c>
      <c r="H76" s="806">
        <v>0</v>
      </c>
      <c r="I76" s="806">
        <v>0</v>
      </c>
      <c r="J76" s="806" t="str">
        <v>POWERHOUSE</v>
      </c>
      <c r="K76" s="806" t="str">
        <v>FCOMP</v>
      </c>
      <c r="L76" s="798" t="str">
        <v>Isan Carlo Lazaro</v>
      </c>
      <c r="M76" s="808">
        <v>115.23949999999999</v>
      </c>
      <c r="N76" s="808">
        <v>387.15</v>
      </c>
      <c r="O76" s="809">
        <v>42</v>
      </c>
      <c r="P76" s="806" t="str">
        <v>MODIFICATION</v>
      </c>
      <c r="Q76" s="806">
        <v>733089.1</v>
      </c>
      <c r="R76" s="806">
        <v>131663.28000000003</v>
      </c>
      <c r="S76" s="806">
        <v>0</v>
      </c>
      <c r="T76" s="806">
        <v>0</v>
      </c>
      <c r="U76" s="813">
        <v>45776.675000000003</v>
      </c>
      <c r="V76" s="813">
        <v>45783.550694444442</v>
      </c>
      <c r="W76" s="813">
        <v>45783</v>
      </c>
      <c r="X76" s="813">
        <v>0</v>
      </c>
      <c r="Y76" s="813">
        <v>45842</v>
      </c>
      <c r="Z76" s="810" t="str">
        <f>IF(ISBLANK((VLOOKUP(C76,'[5]2025'!$A:$M,11,FALSE))),"",(VLOOKUP(C76,'[5]2025'!$A:$M,11,FALSE)))</f>
        <v>Wife of Mulanay Quezon Mayor Aris Aguirre, Son of DOJ Sec. Aguirre III</v>
      </c>
      <c r="AA76" s="818" t="str">
        <f>IF(ISBLANK((VLOOKUP(C76,'[5]2025'!$A:$M,12,FALSE))),"",(VLOOKUP(C76,'[5]2025'!$A:$M,12,FALSE)))</f>
        <v>For execution on June 12</v>
      </c>
      <c r="AB76" s="818" t="str">
        <f>IF(ISBLANK((VLOOKUP(C76,'[5]2025'!$A:$M,13,FALSE))),"",(VLOOKUP(C76,'[5]2025'!$A:$M,13,FALSE)))</f>
        <v>Work load concern</v>
      </c>
    </row>
    <row r="77" spans="1:28" ht="30.75" customHeight="1" x14ac:dyDescent="0.25">
      <c r="A77" s="806" t="str">
        <v>Y</v>
      </c>
      <c r="B77" s="798" t="str">
        <v>HMB</v>
      </c>
      <c r="C77" s="812" t="str">
        <v>X25041129547</v>
      </c>
      <c r="D77" s="807" t="str">
        <v>S3A UNTIED INC.</v>
      </c>
      <c r="E77" s="807" t="str">
        <v>PACIFIC AVE, MARINA SUBD, PARANAQUE</v>
      </c>
      <c r="F77" s="806" t="str">
        <v>PARAÑAQUE CITY</v>
      </c>
      <c r="G77" s="806" t="str">
        <v>PARAÑAQUE</v>
      </c>
      <c r="H77" s="806">
        <v>0</v>
      </c>
      <c r="I77" s="806">
        <v>0</v>
      </c>
      <c r="J77" s="806" t="str">
        <v>AVECO</v>
      </c>
      <c r="K77" s="806" t="str">
        <v>FCOMP</v>
      </c>
      <c r="L77" s="798" t="str">
        <v>Ronilo Gange Jr.</v>
      </c>
      <c r="M77" s="808">
        <v>7.61</v>
      </c>
      <c r="N77" s="808">
        <v>15.61</v>
      </c>
      <c r="O77" s="809" t="str">
        <v xml:space="preserve"> -   </v>
      </c>
      <c r="P77" s="806" t="str">
        <v>TERMINATION</v>
      </c>
      <c r="Q77" s="806">
        <v>23102.58</v>
      </c>
      <c r="R77" s="806">
        <v>13412.51</v>
      </c>
      <c r="S77" s="806">
        <v>0</v>
      </c>
      <c r="T77" s="806">
        <v>0</v>
      </c>
      <c r="U77" s="813">
        <v>45777.347222222219</v>
      </c>
      <c r="V77" s="813">
        <v>45761</v>
      </c>
      <c r="W77" s="813">
        <v>45783</v>
      </c>
      <c r="X77" s="813">
        <v>45782</v>
      </c>
      <c r="Y77" s="813">
        <v>45782</v>
      </c>
      <c r="Z77" s="810" t="str">
        <f>IF(ISBLANK((VLOOKUP(C77,'[5]2025'!$A:$M,11,FALSE))),"",(VLOOKUP(C77,'[5]2025'!$A:$M,11,FALSE)))</f>
        <v>Doy Yang of EGIP</v>
      </c>
      <c r="AA77" s="818" t="str">
        <f>IF(ISBLANK((VLOOKUP(C77,'[5]2025'!$A:$M,12,FALSE))),"",(VLOOKUP(C77,'[5]2025'!$A:$M,12,FALSE)))</f>
        <v/>
      </c>
      <c r="AB77" s="818" t="str">
        <f>IF(ISBLANK((VLOOKUP(C77,'[5]2025'!$A:$M,13,FALSE))),"",(VLOOKUP(C77,'[5]2025'!$A:$M,13,FALSE)))</f>
        <v/>
      </c>
    </row>
    <row r="78" spans="1:28" ht="45" x14ac:dyDescent="0.25">
      <c r="A78" s="806" t="str">
        <v>Y</v>
      </c>
      <c r="B78" s="798" t="str">
        <v>BIZ</v>
      </c>
      <c r="C78" s="812" t="str">
        <v>X25041173300</v>
      </c>
      <c r="D78" s="807" t="str">
        <v>ALBERT TIONGSON LORENZO</v>
      </c>
      <c r="E78" s="807" t="str">
        <v>BACOOR, MAMBOG IV, BACOOR</v>
      </c>
      <c r="F78" s="806" t="str">
        <v>BACOOR CITY</v>
      </c>
      <c r="G78" s="806" t="str">
        <v>DASMA</v>
      </c>
      <c r="H78" s="806">
        <v>0</v>
      </c>
      <c r="I78" s="806">
        <v>0</v>
      </c>
      <c r="J78" s="806" t="str">
        <v>AVECO</v>
      </c>
      <c r="K78" s="806" t="str">
        <v>FCOMP</v>
      </c>
      <c r="L78" s="798" t="str">
        <v>Ronilo Gange Jr.</v>
      </c>
      <c r="M78" s="808">
        <v>43.404699999999998</v>
      </c>
      <c r="N78" s="808">
        <v>85.69</v>
      </c>
      <c r="O78" s="809">
        <v>25</v>
      </c>
      <c r="P78" s="806" t="str">
        <v>NEW</v>
      </c>
      <c r="Q78" s="806">
        <v>479294.17</v>
      </c>
      <c r="R78" s="806">
        <v>73631.56</v>
      </c>
      <c r="S78" s="806">
        <v>0</v>
      </c>
      <c r="T78" s="806">
        <v>0</v>
      </c>
      <c r="U78" s="813">
        <v>45777.365972222222</v>
      </c>
      <c r="V78" s="813">
        <v>45783.553472222222</v>
      </c>
      <c r="W78" s="813">
        <v>45783</v>
      </c>
      <c r="X78" s="813">
        <v>0</v>
      </c>
      <c r="Y78" s="813">
        <v>45804</v>
      </c>
      <c r="Z78" s="810" t="str">
        <f>IF(ISBLANK((VLOOKUP(C78,'[5]2025'!$A:$M,11,FALSE))),"",(VLOOKUP(C78,'[5]2025'!$A:$M,11,FALSE)))</f>
        <v>Mr. Mark Richmund De Leon, Executive from MPTC</v>
      </c>
      <c r="AA78" s="818" t="str">
        <f>IF(ISBLANK((VLOOKUP(C78,'[5]2025'!$A:$M,12,FALSE))),"",(VLOOKUP(C78,'[5]2025'!$A:$M,12,FALSE)))</f>
        <v/>
      </c>
      <c r="AB78" s="818" t="str">
        <f>IF(ISBLANK((VLOOKUP(C78,'[5]2025'!$A:$M,13,FALSE))),"",(VLOOKUP(C78,'[5]2025'!$A:$M,13,FALSE)))</f>
        <v/>
      </c>
    </row>
    <row r="79" spans="1:28" ht="60" x14ac:dyDescent="0.25">
      <c r="A79" s="806" t="str">
        <v>y</v>
      </c>
      <c r="B79" s="798" t="str">
        <v>BIZ</v>
      </c>
      <c r="C79" s="812" t="str">
        <v>X24104298635</v>
      </c>
      <c r="D79" s="807" t="str">
        <v>ANKONG HOLDINGS, INC.</v>
      </c>
      <c r="E79" s="807" t="str">
        <v>JAIME, AIRPORT VILL, PARANAQUE</v>
      </c>
      <c r="F79" s="806" t="str">
        <v>PARAÑAQUE CITY</v>
      </c>
      <c r="G79" s="806" t="str">
        <v>PARAÑAQUE</v>
      </c>
      <c r="H79" s="806" t="str">
        <v>POLE ERECTION &amp; DRESSING 8-6-25</v>
      </c>
      <c r="I79" s="806">
        <v>0</v>
      </c>
      <c r="J79" s="806" t="str">
        <v>AVECO</v>
      </c>
      <c r="K79" s="806" t="str">
        <v>SCHED</v>
      </c>
      <c r="L79" s="798" t="str">
        <v>Ronilo Gange Jr.</v>
      </c>
      <c r="M79" s="808">
        <v>717.29960000000051</v>
      </c>
      <c r="N79" s="808">
        <v>883.64</v>
      </c>
      <c r="O79" s="809">
        <v>358</v>
      </c>
      <c r="P79" s="806" t="str">
        <v>NEW</v>
      </c>
      <c r="Q79" s="806">
        <v>2507240.06</v>
      </c>
      <c r="R79" s="806">
        <v>774008.20999999926</v>
      </c>
      <c r="S79" s="806">
        <v>0</v>
      </c>
      <c r="T79" s="806">
        <v>0</v>
      </c>
      <c r="U79" s="813">
        <v>45777.761805555558</v>
      </c>
      <c r="V79" s="813">
        <v>45783.556944444441</v>
      </c>
      <c r="W79" s="813">
        <v>45783</v>
      </c>
      <c r="X79" s="813">
        <v>0</v>
      </c>
      <c r="Y79" s="813">
        <v>0</v>
      </c>
      <c r="Z79" s="810" t="str">
        <f>IF(ISBLANK((VLOOKUP(C79,'[5]2025'!$A:$M,11,FALSE))),"",(VLOOKUP(C79,'[5]2025'!$A:$M,11,FALSE)))</f>
        <v>Boss Ferdie Geluz</v>
      </c>
      <c r="AA79" s="818" t="str">
        <f>IF(ISBLANK((VLOOKUP(C79,'[5]2025'!$A:$M,12,FALSE))),"",(VLOOKUP(C79,'[5]2025'!$A:$M,12,FALSE)))</f>
        <v>On -Going / Pending</v>
      </c>
      <c r="AB79" s="818" t="str">
        <f>IF(ISBLANK((VLOOKUP(C79,'[5]2025'!$A:$M,13,FALSE))),"",(VLOOKUP(C79,'[5]2025'!$A:$M,13,FALSE)))</f>
        <v xml:space="preserve">Problem with Task 20 with Underground Facilites fro Customer Side  (Resolve as of  7-18-25) </v>
      </c>
    </row>
    <row r="80" spans="1:28" ht="30" x14ac:dyDescent="0.25">
      <c r="A80" s="806" t="str">
        <v>Y</v>
      </c>
      <c r="B80" s="798" t="str">
        <v>BIZ</v>
      </c>
      <c r="C80" s="812" t="str">
        <v>X25030757040</v>
      </c>
      <c r="D80" s="807" t="str">
        <v>AMBICA INTERNATIONAL CORPORATION</v>
      </c>
      <c r="E80" s="807" t="str">
        <v>MERVILLE ACCESS, KALAYAAN VILL/BALAGBAG, PASAY CITY</v>
      </c>
      <c r="F80" s="806" t="str">
        <v>PASAY CITY</v>
      </c>
      <c r="G80" s="806" t="str">
        <v>PARAÑAQUE</v>
      </c>
      <c r="H80" s="806">
        <v>0</v>
      </c>
      <c r="I80" s="806">
        <v>0</v>
      </c>
      <c r="J80" s="806" t="str">
        <v>VJC</v>
      </c>
      <c r="K80" s="806" t="str">
        <v>FCOMP</v>
      </c>
      <c r="L80" s="798" t="str">
        <v>Jenneth Madrid</v>
      </c>
      <c r="M80" s="808">
        <v>153.19200000000006</v>
      </c>
      <c r="N80" s="808">
        <v>402.96</v>
      </c>
      <c r="O80" s="809">
        <v>378.94</v>
      </c>
      <c r="P80" s="806" t="str">
        <v>MODIFICATION</v>
      </c>
      <c r="Q80" s="806">
        <v>1682589.76</v>
      </c>
      <c r="R80" s="806">
        <v>212028.41000000003</v>
      </c>
      <c r="S80" s="806">
        <v>0</v>
      </c>
      <c r="T80" s="806">
        <v>0</v>
      </c>
      <c r="U80" s="813">
        <v>45779.697222222225</v>
      </c>
      <c r="V80" s="813">
        <v>45786.612500000003</v>
      </c>
      <c r="W80" s="813">
        <v>45786</v>
      </c>
      <c r="X80" s="813">
        <v>0</v>
      </c>
      <c r="Y80" s="813">
        <v>45805.425694444442</v>
      </c>
      <c r="Z80" s="810" t="str">
        <f>IF(ISBLANK((VLOOKUP(C80,'[5]2025'!$A:$M,11,FALSE))),"",(VLOOKUP(C80,'[5]2025'!$A:$M,11,FALSE)))</f>
        <v>Roberto Galang</v>
      </c>
      <c r="AA80" s="810" t="s">
        <v>4298</v>
      </c>
    </row>
    <row r="81" spans="1:27" ht="30" x14ac:dyDescent="0.25">
      <c r="A81" s="806" t="str">
        <v>Y</v>
      </c>
      <c r="B81" s="798" t="str">
        <v>HMB</v>
      </c>
      <c r="C81" s="812" t="str">
        <v>X25010252654</v>
      </c>
      <c r="D81" s="807" t="str">
        <v>ENRIQUE JOSE NUGUID LIM</v>
      </c>
      <c r="E81" s="807" t="str">
        <v>BURGOS, TOWN AND COUNTRY WEST SUBD, BACOOR</v>
      </c>
      <c r="F81" s="806" t="str">
        <v>BACOOR CITY</v>
      </c>
      <c r="G81" s="806" t="str">
        <v>DASMA</v>
      </c>
      <c r="H81" s="806">
        <v>0</v>
      </c>
      <c r="I81" s="806">
        <v>0</v>
      </c>
      <c r="J81" s="806" t="str">
        <v>AVECO</v>
      </c>
      <c r="K81" s="806" t="str">
        <v>FCOMP</v>
      </c>
      <c r="L81" s="798" t="str">
        <v>Ronilo Gange Jr.</v>
      </c>
      <c r="M81" s="808">
        <v>160.30519999999993</v>
      </c>
      <c r="N81" s="808">
        <v>451.25</v>
      </c>
      <c r="O81" s="809">
        <v>25</v>
      </c>
      <c r="P81" s="806" t="str">
        <v>NEW</v>
      </c>
      <c r="Q81" s="806">
        <v>802915.53</v>
      </c>
      <c r="R81" s="806">
        <v>185129.56000000003</v>
      </c>
      <c r="S81" s="806">
        <v>0</v>
      </c>
      <c r="T81" s="806">
        <v>0</v>
      </c>
      <c r="U81" s="813">
        <v>45782.617361111108</v>
      </c>
      <c r="V81" s="813">
        <v>45791.519444444442</v>
      </c>
      <c r="W81" s="813">
        <v>45791</v>
      </c>
      <c r="X81" s="813">
        <v>0</v>
      </c>
      <c r="Y81" s="813">
        <v>45842</v>
      </c>
      <c r="Z81" s="810" t="str">
        <f>IF(ISBLANK((VLOOKUP(C81,'[5]2025'!$A:$M,11,FALSE))),"",(VLOOKUP(C81,'[5]2025'!$A:$M,11,FALSE)))</f>
        <v>Bacoor BC Head, TJ Gonzales</v>
      </c>
    </row>
    <row r="82" spans="1:27" ht="30" x14ac:dyDescent="0.25">
      <c r="A82" s="806" t="str">
        <v>Y</v>
      </c>
      <c r="B82" s="798" t="str">
        <v>BIZ</v>
      </c>
      <c r="C82" s="812" t="str">
        <v>X25020524644</v>
      </c>
      <c r="D82" s="807" t="str">
        <v>TIERRA BELLA PROPERTIES INC.</v>
      </c>
      <c r="E82" s="807" t="str">
        <v>PRES. M. ROXAS, TAMBO, PARANAQUE</v>
      </c>
      <c r="F82" s="806" t="str">
        <v>PARAÑAQUE CITY</v>
      </c>
      <c r="G82" s="806" t="str">
        <v>PARAÑAQUE</v>
      </c>
      <c r="H82" s="806">
        <v>0</v>
      </c>
      <c r="I82" s="806">
        <v>0</v>
      </c>
      <c r="J82" s="806" t="str">
        <v>CHALLENGER</v>
      </c>
      <c r="K82" s="806" t="str">
        <v>FCOMP</v>
      </c>
      <c r="L82" s="798" t="str">
        <v>Isan Carlo Lazaro</v>
      </c>
      <c r="M82" s="808">
        <v>27.502800000000001</v>
      </c>
      <c r="N82" s="808">
        <v>53.43</v>
      </c>
      <c r="O82" s="809">
        <v>131</v>
      </c>
      <c r="P82" s="806" t="str">
        <v>NEW</v>
      </c>
      <c r="Q82" s="806">
        <v>676674.86</v>
      </c>
      <c r="R82" s="806">
        <v>45931.94000000001</v>
      </c>
      <c r="S82" s="806">
        <v>0</v>
      </c>
      <c r="T82" s="806">
        <v>0</v>
      </c>
      <c r="U82" s="813">
        <v>45782.619444444441</v>
      </c>
      <c r="V82" s="813">
        <v>45784.555555555555</v>
      </c>
      <c r="W82" s="813">
        <v>45785</v>
      </c>
      <c r="X82" s="813">
        <v>45792</v>
      </c>
      <c r="Y82" s="813">
        <v>45792</v>
      </c>
      <c r="Z82" s="810" t="str">
        <f>IF(ISBLANK((VLOOKUP(C82,'[5]2025'!$A:$M,11,FALSE))),"",(VLOOKUP(C82,'[5]2025'!$A:$M,11,FALSE)))</f>
        <v>Bernard Castro</v>
      </c>
    </row>
    <row r="83" spans="1:27" ht="30" x14ac:dyDescent="0.25">
      <c r="A83" s="806" t="str">
        <v>Y</v>
      </c>
      <c r="B83" s="798" t="str">
        <v>BIZ</v>
      </c>
      <c r="C83" s="812" t="str">
        <v>X25020630582</v>
      </c>
      <c r="D83" s="807" t="str">
        <v>TIERRA BELLA PROPERTIES INC.</v>
      </c>
      <c r="E83" s="807" t="str">
        <v>PRES. M. ROXAS, TAMBO, PARANAQUE</v>
      </c>
      <c r="F83" s="806" t="str">
        <v>PARAÑAQUE CITY</v>
      </c>
      <c r="G83" s="806" t="str">
        <v>PARAÑAQUE</v>
      </c>
      <c r="H83" s="806">
        <v>0</v>
      </c>
      <c r="I83" s="806">
        <v>0</v>
      </c>
      <c r="J83" s="806" t="str">
        <v>CHALLENGER</v>
      </c>
      <c r="K83" s="806" t="str">
        <v>FCOMP</v>
      </c>
      <c r="L83" s="798" t="str">
        <v>Isan Carlo Lazaro</v>
      </c>
      <c r="M83" s="808">
        <v>79.048499999999976</v>
      </c>
      <c r="N83" s="808">
        <v>172.85</v>
      </c>
      <c r="O83" s="809">
        <v>131</v>
      </c>
      <c r="P83" s="806" t="str">
        <v>NEW</v>
      </c>
      <c r="Q83" s="806">
        <v>482774.42</v>
      </c>
      <c r="R83" s="806">
        <v>148527.47999999998</v>
      </c>
      <c r="S83" s="806">
        <v>0</v>
      </c>
      <c r="T83" s="806">
        <v>0</v>
      </c>
      <c r="U83" s="813">
        <v>45782.620833333334</v>
      </c>
      <c r="V83" s="813">
        <v>45784.556250000001</v>
      </c>
      <c r="W83" s="813">
        <v>45785</v>
      </c>
      <c r="X83" s="813">
        <v>45792</v>
      </c>
      <c r="Y83" s="813">
        <v>45792</v>
      </c>
      <c r="Z83" s="810" t="str">
        <f>IF(ISBLANK((VLOOKUP(C83,'[5]2025'!$A:$M,11,FALSE))),"",(VLOOKUP(C83,'[5]2025'!$A:$M,11,FALSE)))</f>
        <v>Bernard Castro</v>
      </c>
    </row>
    <row r="84" spans="1:27" ht="30" x14ac:dyDescent="0.25">
      <c r="A84" s="806" t="str">
        <v>Y</v>
      </c>
      <c r="B84" s="798" t="str">
        <v>CBG</v>
      </c>
      <c r="C84" s="812" t="str">
        <v>X25020582768</v>
      </c>
      <c r="D84" s="807" t="str">
        <v>MIESCOR INFRASTRUCTURE DEVELOPMENT CORPORATION</v>
      </c>
      <c r="E84" s="807" t="str">
        <v>BAGONG SILANG INTERIOR, QUEEN'S ROW EAST , BACOOR</v>
      </c>
      <c r="F84" s="806" t="str">
        <v>BACOOR CITY</v>
      </c>
      <c r="G84" s="806" t="str">
        <v>DASMA</v>
      </c>
      <c r="H84" s="806">
        <v>0</v>
      </c>
      <c r="I84" s="806">
        <v>0</v>
      </c>
      <c r="J84" s="806" t="str">
        <v>AVECO</v>
      </c>
      <c r="K84" s="806" t="str">
        <v>FCOMP</v>
      </c>
      <c r="L84" s="798" t="str">
        <v>Ronilo Gange Jr.</v>
      </c>
      <c r="M84" s="808">
        <v>18.652799999999996</v>
      </c>
      <c r="N84" s="808">
        <v>31.3</v>
      </c>
      <c r="O84" s="809">
        <v>31</v>
      </c>
      <c r="P84" s="806" t="str">
        <v>NEW</v>
      </c>
      <c r="Q84" s="806">
        <v>263217.11</v>
      </c>
      <c r="R84" s="806">
        <v>26892.84</v>
      </c>
      <c r="S84" s="806">
        <v>0</v>
      </c>
      <c r="T84" s="806">
        <v>0</v>
      </c>
      <c r="U84" s="813">
        <v>45783.396527777775</v>
      </c>
      <c r="V84" s="813">
        <v>45784.556944444441</v>
      </c>
      <c r="W84" s="813">
        <v>45785</v>
      </c>
      <c r="X84" s="813">
        <v>0</v>
      </c>
      <c r="Y84" s="813">
        <v>45799</v>
      </c>
      <c r="Z84" s="810" t="str">
        <f>IF(ISBLANK((VLOOKUP(C84,'[5]2025'!$A:$M,11,FALSE))),"",(VLOOKUP(C84,'[5]2025'!$A:$M,11,FALSE)))</f>
        <v>Boss Choi</v>
      </c>
    </row>
    <row r="85" spans="1:27" ht="45" x14ac:dyDescent="0.25">
      <c r="A85" s="806" t="str">
        <v>Y</v>
      </c>
      <c r="B85" s="798" t="str">
        <v>BIZ</v>
      </c>
      <c r="C85" s="812" t="str">
        <v>X25020415616</v>
      </c>
      <c r="D85" s="807" t="str">
        <v>SOUTH METRO ICE PLANT CORP.</v>
      </c>
      <c r="E85" s="807" t="str">
        <v>NATIONAL, TUNASAN, MUNTINLUPA</v>
      </c>
      <c r="F85" s="806" t="str">
        <v>MUNTINLUPA CITY</v>
      </c>
      <c r="G85" s="806" t="str">
        <v>PARAÑAQUE</v>
      </c>
      <c r="H85" s="806">
        <v>0</v>
      </c>
      <c r="I85" s="806">
        <v>0</v>
      </c>
      <c r="J85" s="806" t="str">
        <v>VJC</v>
      </c>
      <c r="K85" s="806" t="str">
        <v>FCOMP</v>
      </c>
      <c r="L85" s="798" t="str">
        <v>Jenneth Madrid</v>
      </c>
      <c r="M85" s="808">
        <v>64.236800000000017</v>
      </c>
      <c r="N85" s="808">
        <v>141.79</v>
      </c>
      <c r="O85" s="809">
        <v>280</v>
      </c>
      <c r="P85" s="806" t="str">
        <v>NEW</v>
      </c>
      <c r="Q85" s="806">
        <v>955389.18</v>
      </c>
      <c r="R85" s="806">
        <v>104026.11999999998</v>
      </c>
      <c r="S85" s="806">
        <v>0</v>
      </c>
      <c r="T85" s="806">
        <v>0</v>
      </c>
      <c r="U85" s="813">
        <v>45783.589583333334</v>
      </c>
      <c r="V85" s="813">
        <v>45786.6</v>
      </c>
      <c r="W85" s="813">
        <v>45786</v>
      </c>
      <c r="X85" s="813">
        <v>0</v>
      </c>
      <c r="Y85" s="813">
        <v>45829</v>
      </c>
      <c r="Z85" s="810" t="str">
        <f>IF(ISBLANK((VLOOKUP(C85,'[5]2025'!$A:$M,11,FALSE))),"",(VLOOKUP(C85,'[5]2025'!$A:$M,11,FALSE)))</f>
        <v>Boss FOG and Administrator of Muntinlupa LGU</v>
      </c>
    </row>
    <row r="86" spans="1:27" ht="30" x14ac:dyDescent="0.25">
      <c r="A86" s="806" t="str">
        <v>Y</v>
      </c>
      <c r="B86" s="798" t="str">
        <v>BIZ</v>
      </c>
      <c r="C86" s="812" t="str">
        <v>X25030926983</v>
      </c>
      <c r="D86" s="807" t="str">
        <v>PANCITERIA LIDO CHINESE CUISINE CORP.</v>
      </c>
      <c r="E86" s="807" t="str">
        <v>MOLINO BLVD., MAMBOG IV, BACOOR</v>
      </c>
      <c r="F86" s="806" t="str">
        <v>BACOOR CITY</v>
      </c>
      <c r="G86" s="806" t="str">
        <v>DASMA</v>
      </c>
      <c r="H86" s="806">
        <v>0</v>
      </c>
      <c r="I86" s="806">
        <v>0</v>
      </c>
      <c r="J86" s="806" t="str">
        <v>AVECO</v>
      </c>
      <c r="K86" s="806" t="str">
        <v>FCOMP</v>
      </c>
      <c r="L86" s="798" t="str">
        <v>Ronilo Gange Jr.</v>
      </c>
      <c r="M86" s="808">
        <v>111.5933</v>
      </c>
      <c r="N86" s="808">
        <v>340.66</v>
      </c>
      <c r="O86" s="809">
        <v>106</v>
      </c>
      <c r="P86" s="806" t="str">
        <v>NEW</v>
      </c>
      <c r="Q86" s="806">
        <v>961200.12</v>
      </c>
      <c r="R86" s="806">
        <v>158218.30000000002</v>
      </c>
      <c r="S86" s="806">
        <v>0</v>
      </c>
      <c r="T86" s="806">
        <v>0</v>
      </c>
      <c r="U86" s="813">
        <v>45786.724305555559</v>
      </c>
      <c r="V86" s="813">
        <v>45789.561111111114</v>
      </c>
      <c r="W86" s="813">
        <v>45790</v>
      </c>
      <c r="X86" s="813">
        <v>0</v>
      </c>
      <c r="Y86" s="813">
        <v>45799</v>
      </c>
      <c r="Z86" s="810" t="str">
        <f>IF(ISBLANK((VLOOKUP(C86,'[5]2025'!$A:$M,11,FALSE))),"",(VLOOKUP(C86,'[5]2025'!$A:$M,11,FALSE)))</f>
        <v>Chi Padua</v>
      </c>
    </row>
    <row r="87" spans="1:27" ht="30" x14ac:dyDescent="0.25">
      <c r="A87" s="806" t="str">
        <v>Y</v>
      </c>
      <c r="B87" s="798" t="str">
        <v>HMB</v>
      </c>
      <c r="C87" s="812" t="str">
        <v>X25010310869</v>
      </c>
      <c r="D87" s="807" t="str">
        <v>CAT COMICS LAND INC.</v>
      </c>
      <c r="E87" s="807" t="str">
        <v>ROSE OF HEAVEN, TALON VILL, LAS PINAS CITY</v>
      </c>
      <c r="F87" s="806" t="str">
        <v>LAS PIÑAS CITY</v>
      </c>
      <c r="G87" s="806" t="str">
        <v>PARAÑAQUE</v>
      </c>
      <c r="H87" s="806">
        <v>0</v>
      </c>
      <c r="I87" s="806">
        <v>0</v>
      </c>
      <c r="J87" s="806" t="str">
        <v>CHALLENGER</v>
      </c>
      <c r="K87" s="806" t="str">
        <v>FCOMP</v>
      </c>
      <c r="L87" s="798" t="str">
        <v>Isan Carlo Lazaro</v>
      </c>
      <c r="M87" s="808">
        <v>93.228700000000003</v>
      </c>
      <c r="N87" s="808">
        <v>122.65</v>
      </c>
      <c r="O87" s="809">
        <v>78</v>
      </c>
      <c r="P87" s="806" t="str">
        <v>NEW</v>
      </c>
      <c r="Q87" s="806">
        <v>585320.95999999996</v>
      </c>
      <c r="R87" s="806">
        <v>105380.41000000002</v>
      </c>
      <c r="S87" s="806">
        <v>0</v>
      </c>
      <c r="T87" s="806">
        <v>0</v>
      </c>
      <c r="U87" s="813">
        <v>45790.543055555558</v>
      </c>
      <c r="V87" s="813">
        <v>45798.551388888889</v>
      </c>
      <c r="W87" s="813">
        <v>45800</v>
      </c>
      <c r="X87" s="813">
        <v>45821</v>
      </c>
      <c r="Y87" s="813">
        <v>45821</v>
      </c>
      <c r="Z87" s="810" t="str">
        <f>IF(ISBLANK((VLOOKUP(C87,'[5]2025'!$A:$M,11,FALSE))),"",(VLOOKUP(C87,'[5]2025'!$A:$M,11,FALSE)))</f>
        <v>Gerald San Pedro</v>
      </c>
    </row>
    <row r="88" spans="1:27" ht="30" x14ac:dyDescent="0.25">
      <c r="A88" s="806" t="str">
        <v>Y</v>
      </c>
      <c r="B88" s="798" t="str">
        <v>BIZ</v>
      </c>
      <c r="C88" s="812" t="str">
        <v>X25030779048</v>
      </c>
      <c r="D88" s="807" t="str">
        <v>A R B CONSTRUCTION COMPANY, INC.</v>
      </c>
      <c r="E88" s="807" t="str">
        <v>BLOCK 3, SOLDIERS HILLS SUBD, MUNTINLUPA</v>
      </c>
      <c r="F88" s="806" t="str">
        <v>MUNTINLUPA CITY</v>
      </c>
      <c r="G88" s="806" t="str">
        <v>PARAÑAQUE</v>
      </c>
      <c r="H88" s="806">
        <v>0</v>
      </c>
      <c r="I88" s="806">
        <v>0</v>
      </c>
      <c r="J88" s="806" t="str">
        <v>CHALLENGER</v>
      </c>
      <c r="K88" s="806" t="str">
        <v>FCOMP</v>
      </c>
      <c r="L88" s="798" t="str">
        <v>Isan Carlo Lazaro</v>
      </c>
      <c r="M88" s="808">
        <v>86.989500000000007</v>
      </c>
      <c r="N88" s="808">
        <v>138.91999999999999</v>
      </c>
      <c r="O88" s="809">
        <v>150</v>
      </c>
      <c r="P88" s="806" t="str">
        <v>NEW</v>
      </c>
      <c r="Q88" s="806">
        <v>962706.76</v>
      </c>
      <c r="R88" s="806">
        <v>118986.45000000001</v>
      </c>
      <c r="S88" s="806">
        <v>0</v>
      </c>
      <c r="T88" s="806">
        <v>0</v>
      </c>
      <c r="U88" s="813">
        <v>45792.430555555555</v>
      </c>
      <c r="V88" s="813">
        <v>45793.640972222223</v>
      </c>
      <c r="W88" s="813">
        <v>45796</v>
      </c>
      <c r="X88" s="813">
        <v>0</v>
      </c>
      <c r="Y88" s="813">
        <v>45808</v>
      </c>
      <c r="Z88" s="810" t="str">
        <f>IF(ISBLANK((VLOOKUP(C88,'[5]2025'!$A:$M,11,FALSE))),"",(VLOOKUP(C88,'[5]2025'!$A:$M,11,FALSE)))</f>
        <v>Robinsons and Ms. Robina Gokongwei-Pe</v>
      </c>
    </row>
    <row r="89" spans="1:27" ht="30" x14ac:dyDescent="0.25">
      <c r="A89" s="806" t="str">
        <v>Y</v>
      </c>
      <c r="B89" s="798" t="str">
        <v>HMB</v>
      </c>
      <c r="C89" s="812" t="str">
        <v>X25030814571</v>
      </c>
      <c r="D89" s="807" t="str">
        <v>JOSE MARIA IBANEZ LANZA</v>
      </c>
      <c r="E89" s="807" t="str">
        <v>NORTH 5TH, ANGELA VILL, LAS PINAS CITY</v>
      </c>
      <c r="F89" s="806" t="str">
        <v>LAS PIÑAS CITY</v>
      </c>
      <c r="G89" s="806" t="str">
        <v>PARAÑAQUE</v>
      </c>
      <c r="H89" s="806">
        <v>0</v>
      </c>
      <c r="I89" s="806">
        <v>0</v>
      </c>
      <c r="J89" s="806" t="str">
        <v>POWERHOUSE</v>
      </c>
      <c r="K89" s="806" t="str">
        <v>FCOMP</v>
      </c>
      <c r="L89" s="798" t="str">
        <v>Isan Carlo Lazaro</v>
      </c>
      <c r="M89" s="808">
        <v>99.41449999999999</v>
      </c>
      <c r="N89" s="808">
        <v>273.55</v>
      </c>
      <c r="O89" s="809">
        <v>0</v>
      </c>
      <c r="P89" s="806" t="str">
        <v>MODIFICATION</v>
      </c>
      <c r="Q89" s="806">
        <v>499907.06</v>
      </c>
      <c r="R89" s="806">
        <v>100520.98</v>
      </c>
      <c r="S89" s="806">
        <v>0</v>
      </c>
      <c r="T89" s="806">
        <v>0</v>
      </c>
      <c r="U89" s="813">
        <v>45803.713194444441</v>
      </c>
      <c r="V89" s="813">
        <v>45805.430555555555</v>
      </c>
      <c r="W89" s="813">
        <v>45806</v>
      </c>
      <c r="X89" s="813">
        <v>45847</v>
      </c>
      <c r="Y89" s="813">
        <v>45847</v>
      </c>
      <c r="Z89" s="810" t="str">
        <f>IF(ISBLANK((VLOOKUP(C89,'[5]2025'!$A:$M,11,FALSE))),"",(VLOOKUP(C89,'[5]2025'!$A:$M,11,FALSE)))</f>
        <v>Ma'am Lani Anastacio and Rocky Bacani</v>
      </c>
    </row>
    <row r="90" spans="1:27" ht="45" x14ac:dyDescent="0.25">
      <c r="A90" s="806" t="str">
        <v>Y</v>
      </c>
      <c r="B90" s="798" t="str">
        <v>HMB</v>
      </c>
      <c r="C90" s="812" t="str">
        <v>X25041423325</v>
      </c>
      <c r="D90" s="807" t="str">
        <v>MARIFE PIMENTEL PASCUAL</v>
      </c>
      <c r="E90" s="807" t="str">
        <v>PANAMUCAN, AYALA-ALABANG VILL, MUNTINLUPA</v>
      </c>
      <c r="F90" s="806" t="str">
        <v>MUNTINLUPA CITY</v>
      </c>
      <c r="G90" s="806" t="str">
        <v>PARAÑAQUE</v>
      </c>
      <c r="H90" s="806">
        <v>0</v>
      </c>
      <c r="I90" s="806">
        <v>0</v>
      </c>
      <c r="J90" s="806" t="str">
        <v>MAINTENANCE</v>
      </c>
      <c r="K90" s="806" t="str">
        <v>FCOMP</v>
      </c>
      <c r="L90" s="798" t="str">
        <v>Junilo Michael Flores</v>
      </c>
      <c r="M90" s="808">
        <v>45.60799999999999</v>
      </c>
      <c r="N90" s="808">
        <v>135.13</v>
      </c>
      <c r="O90" s="809">
        <v>80</v>
      </c>
      <c r="P90" s="806" t="str">
        <v>MODIFICATION</v>
      </c>
      <c r="Q90" s="806">
        <v>402109.55</v>
      </c>
      <c r="R90" s="806">
        <v>48869.9</v>
      </c>
      <c r="S90" s="806">
        <v>0</v>
      </c>
      <c r="T90" s="806">
        <v>0</v>
      </c>
      <c r="U90" s="813">
        <v>45805.443055555559</v>
      </c>
      <c r="V90" s="813">
        <v>45819.645833333336</v>
      </c>
      <c r="W90" s="813">
        <v>45820</v>
      </c>
      <c r="X90" s="813">
        <v>0</v>
      </c>
      <c r="Y90" s="813">
        <v>45834</v>
      </c>
      <c r="Z90" s="810" t="str">
        <f>IF(ISBLANK((VLOOKUP(C90,'[5]2025'!$A:$M,11,FALSE))),"",(VLOOKUP(C90,'[5]2025'!$A:$M,11,FALSE)))</f>
        <v>Paolo Cruz</v>
      </c>
      <c r="AA90" s="810" t="s">
        <v>4299</v>
      </c>
    </row>
    <row r="91" spans="1:27" ht="30" x14ac:dyDescent="0.25">
      <c r="A91" s="806" t="str">
        <v>Y</v>
      </c>
      <c r="B91" s="798" t="str">
        <v>BIZ</v>
      </c>
      <c r="C91" s="812" t="str">
        <v>X25041379488</v>
      </c>
      <c r="D91" s="807" t="str">
        <v>PACIFIC RESOURCES CORPORATION</v>
      </c>
      <c r="E91" s="807" t="str">
        <v>MARCOS ALVAREZ, TALON I, LAS PINAS CITY</v>
      </c>
      <c r="F91" s="806" t="str">
        <v>LAS PIÑAS CITY</v>
      </c>
      <c r="G91" s="806" t="str">
        <v>PARAÑAQUE</v>
      </c>
      <c r="H91" s="806">
        <v>0</v>
      </c>
      <c r="I91" s="806">
        <v>0</v>
      </c>
      <c r="J91" s="806" t="str">
        <v>ECOM</v>
      </c>
      <c r="K91" s="806" t="str">
        <v>FCOMP</v>
      </c>
      <c r="L91" s="798" t="str">
        <v>Ronilo Gange Jr.</v>
      </c>
      <c r="M91" s="808">
        <v>11.530000000000001</v>
      </c>
      <c r="N91" s="808">
        <v>114.42</v>
      </c>
      <c r="O91" s="809">
        <v>224</v>
      </c>
      <c r="P91" s="806" t="str">
        <v>MODIFICATION</v>
      </c>
      <c r="Q91" s="806">
        <v>269699.65000000002</v>
      </c>
      <c r="R91" s="806">
        <v>98338.36</v>
      </c>
      <c r="S91" s="806">
        <v>0</v>
      </c>
      <c r="T91" s="806">
        <v>0</v>
      </c>
      <c r="U91" s="813">
        <v>45812.381944444445</v>
      </c>
      <c r="V91" s="813">
        <v>45825.563888888886</v>
      </c>
      <c r="W91" s="813">
        <v>45826</v>
      </c>
      <c r="X91" s="813">
        <v>0</v>
      </c>
      <c r="Y91" s="813">
        <v>45845</v>
      </c>
      <c r="Z91" s="810" t="str">
        <f>IF(ISBLANK((VLOOKUP(C91,'[5]2025'!$A:$M,11,FALSE))),"",(VLOOKUP(C91,'[5]2025'!$A:$M,11,FALSE)))</f>
        <v>Boss Jerry Lao</v>
      </c>
    </row>
    <row r="92" spans="1:27" ht="30" x14ac:dyDescent="0.25">
      <c r="A92" s="806" t="str">
        <v>Y</v>
      </c>
      <c r="B92" s="798" t="str">
        <v>HMB</v>
      </c>
      <c r="C92" s="812" t="str">
        <v>X25041438549</v>
      </c>
      <c r="D92" s="807" t="str">
        <v>ROSELLER SYGENCO PIERAZ</v>
      </c>
      <c r="E92" s="807" t="str">
        <v>MAHARLIKA, MARCELO GREEN VILL 5, PARANAQUE</v>
      </c>
      <c r="F92" s="806" t="str">
        <v>PARAÑAQUE CITY</v>
      </c>
      <c r="G92" s="806" t="str">
        <v>PARAÑAQUE</v>
      </c>
      <c r="H92" s="806">
        <v>0</v>
      </c>
      <c r="I92" s="806">
        <v>0</v>
      </c>
      <c r="J92" s="806" t="str">
        <v>C2</v>
      </c>
      <c r="K92" s="806" t="str">
        <v>TECO</v>
      </c>
      <c r="L92" s="798" t="str">
        <v>Ian Patrick Perez</v>
      </c>
      <c r="M92" s="808">
        <v>31.58</v>
      </c>
      <c r="N92" s="808">
        <v>31.58</v>
      </c>
      <c r="O92" s="809">
        <v>76</v>
      </c>
      <c r="P92" s="806" t="str">
        <v>NEW</v>
      </c>
      <c r="Q92" s="806">
        <v>228445.28</v>
      </c>
      <c r="R92" s="806">
        <v>0</v>
      </c>
      <c r="S92" s="806">
        <v>0</v>
      </c>
      <c r="T92" s="806" t="e">
        <v>#DIV/0!</v>
      </c>
      <c r="U92" s="813">
        <v>45813.454861111109</v>
      </c>
      <c r="V92" s="813">
        <v>45819.65347222222</v>
      </c>
      <c r="W92" s="813" t="str">
        <v>N/A</v>
      </c>
      <c r="X92" s="813">
        <v>0</v>
      </c>
      <c r="Y92" s="813">
        <v>45830</v>
      </c>
      <c r="Z92" s="810" t="str">
        <f>IF(ISBLANK((VLOOKUP(C92,'[5]2025'!$A:$M,11,FALSE))),"",(VLOOKUP(C92,'[5]2025'!$A:$M,11,FALSE)))</f>
        <v>Carlo Topacio</v>
      </c>
    </row>
    <row r="93" spans="1:27" ht="60" x14ac:dyDescent="0.25">
      <c r="A93" s="806" t="str">
        <v>Y</v>
      </c>
      <c r="B93" s="798" t="str">
        <v>CBG</v>
      </c>
      <c r="C93" s="812" t="str">
        <v>X24020419527</v>
      </c>
      <c r="D93" s="807" t="str">
        <v>D.M. WENCESLAO &amp; ASSOCIATES, INC.,</v>
      </c>
      <c r="E93" s="807" t="str">
        <v>BRADCO, ASEANA BUSINESS PARK, PARANAQUE</v>
      </c>
      <c r="F93" s="806" t="str">
        <v>PARAÑAQUE CITY</v>
      </c>
      <c r="G93" s="806" t="str">
        <v>PARAÑAQUE</v>
      </c>
      <c r="H93" s="806">
        <v>0</v>
      </c>
      <c r="I93" s="806">
        <v>0</v>
      </c>
      <c r="J93" s="806" t="str">
        <v>VJC</v>
      </c>
      <c r="K93" s="806" t="str">
        <v>FCOMP</v>
      </c>
      <c r="L93" s="798" t="str">
        <v>Jenneth Madrid</v>
      </c>
      <c r="M93" s="934">
        <v>793.14370000000019</v>
      </c>
      <c r="N93" s="808">
        <v>1598.32</v>
      </c>
      <c r="O93" s="809">
        <v>182</v>
      </c>
      <c r="P93" s="806" t="str">
        <v>NEW</v>
      </c>
      <c r="Q93" s="806">
        <v>3728690.42</v>
      </c>
      <c r="R93" s="806">
        <v>1032941.6999999991</v>
      </c>
      <c r="S93" s="806">
        <v>0</v>
      </c>
      <c r="T93" s="806">
        <v>0</v>
      </c>
      <c r="U93" s="813">
        <v>45817.70416666667</v>
      </c>
      <c r="V93" s="813">
        <v>45825.452777777777</v>
      </c>
      <c r="W93" s="813">
        <v>45826</v>
      </c>
      <c r="X93" s="813">
        <v>0</v>
      </c>
      <c r="Y93" s="813">
        <v>45855</v>
      </c>
      <c r="Z93" s="810" t="str">
        <f>IF(ISBLANK((VLOOKUP(C93,'[5]2025'!$A:$M,11,FALSE))),"",(VLOOKUP(C93,'[5]2025'!$A:$M,11,FALSE)))</f>
        <v>Related to ASEANA Substation permit approval; Ma'am Bernice</v>
      </c>
    </row>
    <row r="94" spans="1:27" ht="60" x14ac:dyDescent="0.25">
      <c r="A94" s="806" t="str">
        <v>Y</v>
      </c>
      <c r="B94" s="798" t="str">
        <v>BIZ</v>
      </c>
      <c r="C94" s="812" t="str">
        <v>X25061977034</v>
      </c>
      <c r="D94" s="807" t="str">
        <v>ROVIE BUGAYONG GABIOLA</v>
      </c>
      <c r="E94" s="807" t="str">
        <v>BF CARNIBAL PARK, BF RESORT VILL, LAS PINAS CITY</v>
      </c>
      <c r="F94" s="806" t="str">
        <v>LAS PIÑAS CITY</v>
      </c>
      <c r="G94" s="806" t="str">
        <v>PARAÑAQUE</v>
      </c>
      <c r="H94" s="806">
        <v>0</v>
      </c>
      <c r="I94" s="806">
        <v>0</v>
      </c>
      <c r="J94" s="806" t="str">
        <v>CHALLENGER</v>
      </c>
      <c r="K94" s="806" t="str">
        <v>FCOMP</v>
      </c>
      <c r="L94" s="798" t="str">
        <v>Isan Carlo Lazaro</v>
      </c>
      <c r="M94" s="808">
        <v>59.72</v>
      </c>
      <c r="N94" s="808">
        <v>138</v>
      </c>
      <c r="O94" s="809">
        <v>18</v>
      </c>
      <c r="P94" s="806" t="str">
        <v>NEW</v>
      </c>
      <c r="Q94" s="806">
        <v>326798.64</v>
      </c>
      <c r="R94" s="806">
        <v>0</v>
      </c>
      <c r="S94" s="806">
        <v>0</v>
      </c>
      <c r="T94" s="806" t="e">
        <v>#DIV/0!</v>
      </c>
      <c r="U94" s="813">
        <v>45827.546527777777</v>
      </c>
      <c r="V94" s="813">
        <v>45833.421527777777</v>
      </c>
      <c r="W94" s="813">
        <v>45840</v>
      </c>
      <c r="X94" s="813">
        <v>0</v>
      </c>
      <c r="Y94" s="813">
        <v>45845</v>
      </c>
      <c r="Z94" s="810" t="str">
        <f>IF(ISBLANK((VLOOKUP(C94,'[5]2025'!$A:$M,11,FALSE))),"",(VLOOKUP(C94,'[5]2025'!$A:$M,11,FALSE)))</f>
        <v>BIZ Partners: with escalation from the Office of the President and ERC</v>
      </c>
    </row>
    <row r="95" spans="1:27" ht="30" x14ac:dyDescent="0.25">
      <c r="A95" s="806" t="str">
        <v>Y</v>
      </c>
      <c r="B95" s="798" t="str">
        <v>HMB</v>
      </c>
      <c r="C95" s="812" t="str">
        <v>X25041097966</v>
      </c>
      <c r="D95" s="807" t="str">
        <v>ROMAN CATHOLIC BISHOP OF PARANAQUE</v>
      </c>
      <c r="E95" s="807" t="str">
        <v>BARCELONA, MERVILLE SUBD, PARANAQUE</v>
      </c>
      <c r="F95" s="806" t="str">
        <v>PARAÑAQUE CITY</v>
      </c>
      <c r="G95" s="806" t="str">
        <v>PARAÑAQUE</v>
      </c>
      <c r="H95" s="806" t="str">
        <v xml:space="preserve">done digging, for pole erection :Scope of Work:Reorient Cut out Transformer /Energize 2-75KVA </v>
      </c>
      <c r="I95" s="806">
        <v>0</v>
      </c>
      <c r="J95" s="806" t="str">
        <v>ECOM</v>
      </c>
      <c r="K95" s="806" t="str">
        <v>FCOMP</v>
      </c>
      <c r="L95" s="798" t="str">
        <v>Ronilo Gange Jr.</v>
      </c>
      <c r="M95" s="808">
        <v>118.40899999999999</v>
      </c>
      <c r="N95" s="808">
        <v>337.98</v>
      </c>
      <c r="O95" s="809">
        <v>97</v>
      </c>
      <c r="P95" s="806" t="str">
        <v>MODIFICATION</v>
      </c>
      <c r="Q95" s="806">
        <v>886605.55</v>
      </c>
      <c r="R95" s="806">
        <v>155081.69999999998</v>
      </c>
      <c r="S95" s="806">
        <v>0</v>
      </c>
      <c r="T95" s="806">
        <v>0</v>
      </c>
      <c r="U95" s="813">
        <v>45827.683333333334</v>
      </c>
      <c r="V95" s="813">
        <v>45828.548611111109</v>
      </c>
      <c r="W95" s="813">
        <v>45833</v>
      </c>
      <c r="X95" s="813">
        <v>0</v>
      </c>
      <c r="Y95" s="813">
        <v>45834</v>
      </c>
      <c r="Z95" s="810" t="str">
        <f>IF(ISBLANK((VLOOKUP(C95,'[5]2025'!$A:$M,11,FALSE))),"",(VLOOKUP(C95,'[5]2025'!$A:$M,11,FALSE)))</f>
        <v>Boss RoLA</v>
      </c>
    </row>
    <row r="96" spans="1:27" ht="45" x14ac:dyDescent="0.25">
      <c r="A96" s="806" t="str">
        <v>Y</v>
      </c>
      <c r="B96" s="798" t="str">
        <v>BIZ</v>
      </c>
      <c r="C96" s="812" t="str">
        <v>X25020684097</v>
      </c>
      <c r="D96" s="807" t="str">
        <v>MANILA PRIME LAND HOLDINGS, INC.</v>
      </c>
      <c r="E96" s="807" t="str">
        <v>GEN EMILIO AGUINALDO, CAMELLA HOMES PH II-A, BACOOR</v>
      </c>
      <c r="F96" s="806" t="str">
        <v>BACOOR CITY</v>
      </c>
      <c r="G96" s="806" t="str">
        <v>DASMA</v>
      </c>
      <c r="H96" s="806" t="str">
        <v>aug 7 nag start ng digging</v>
      </c>
      <c r="I96" s="806">
        <v>0</v>
      </c>
      <c r="J96" s="806" t="str">
        <v>ECOM</v>
      </c>
      <c r="K96" s="806" t="str">
        <v>SCHED</v>
      </c>
      <c r="L96" s="798" t="str">
        <v>Ronilo Gange Jr.</v>
      </c>
      <c r="M96" s="808">
        <v>99.71</v>
      </c>
      <c r="N96" s="808">
        <v>177.99</v>
      </c>
      <c r="O96" s="809">
        <v>236</v>
      </c>
      <c r="P96" s="806" t="str">
        <v>NEW</v>
      </c>
      <c r="Q96" s="806">
        <v>878759.98</v>
      </c>
      <c r="R96" s="806">
        <v>85697.14</v>
      </c>
      <c r="S96" s="806">
        <v>0</v>
      </c>
      <c r="T96" s="806">
        <v>0</v>
      </c>
      <c r="U96" s="813">
        <v>45840.542361111111</v>
      </c>
      <c r="V96" s="813">
        <v>45846.580555555556</v>
      </c>
      <c r="W96" s="813">
        <v>45847</v>
      </c>
      <c r="X96" s="813">
        <v>0</v>
      </c>
      <c r="Y96" s="813">
        <v>0</v>
      </c>
      <c r="Z96" s="810" t="str">
        <f>IF(ISBLANK((VLOOKUP(C96,'[5]2025'!$A:$M,11,FALSE))),"",(VLOOKUP(C96,'[5]2025'!$A:$M,11,FALSE)))</f>
        <v>Mam Chi</v>
      </c>
    </row>
    <row r="97" spans="1:25" ht="45" x14ac:dyDescent="0.25">
      <c r="A97" s="806" t="str">
        <v>Y</v>
      </c>
      <c r="B97" s="798" t="str">
        <v>BIZ</v>
      </c>
      <c r="C97" s="812" t="str">
        <v>X25051795984</v>
      </c>
      <c r="D97" s="807" t="str">
        <v>CAFEFRANCE CORP.</v>
      </c>
      <c r="E97" s="807" t="str">
        <v>GEN. EMILIO AGUINALDO, CAMELLA HOMES PH II-A, BACOOR</v>
      </c>
      <c r="F97" s="806" t="str">
        <v>BACOOR CITY</v>
      </c>
      <c r="G97" s="806" t="str">
        <v>DASMA</v>
      </c>
      <c r="H97" s="806" t="str">
        <v>aug 7 nag start ng digging</v>
      </c>
      <c r="I97" s="806">
        <v>0</v>
      </c>
      <c r="J97" s="806" t="str">
        <v>ECOM</v>
      </c>
      <c r="K97" s="806" t="str">
        <v>SCHED</v>
      </c>
      <c r="L97" s="798" t="str">
        <v>Ronilo Gange Jr.</v>
      </c>
      <c r="M97" s="808">
        <v>3.32</v>
      </c>
      <c r="N97" s="808">
        <v>3.32</v>
      </c>
      <c r="O97" s="809">
        <v>86</v>
      </c>
      <c r="P97" s="806" t="str">
        <v>NEW</v>
      </c>
      <c r="Q97" s="806">
        <v>14987.51</v>
      </c>
      <c r="R97" s="806">
        <v>0</v>
      </c>
      <c r="S97" s="806">
        <v>0</v>
      </c>
      <c r="T97" s="806" t="e">
        <v>#DIV/0!</v>
      </c>
      <c r="U97" s="813">
        <v>45840.681944444441</v>
      </c>
      <c r="V97" s="813">
        <v>45846.581250000003</v>
      </c>
      <c r="W97" s="813">
        <v>45847</v>
      </c>
      <c r="X97" s="813">
        <v>0</v>
      </c>
      <c r="Y97" s="813">
        <v>0</v>
      </c>
    </row>
    <row r="98" spans="1:25" ht="30" x14ac:dyDescent="0.25">
      <c r="A98" s="806" t="str">
        <v>Y</v>
      </c>
      <c r="B98" s="798" t="str">
        <v>BIZ</v>
      </c>
      <c r="C98" s="812" t="str">
        <v>X25062023744</v>
      </c>
      <c r="D98" s="807" t="str">
        <v>YDLAZAVON PANCIT HABHAB, INC.</v>
      </c>
      <c r="E98" s="807" t="str">
        <v>SAN ANTONIO, SAN ANTONIO VALLEY 1, PARANAQUE</v>
      </c>
      <c r="F98" s="806" t="str">
        <v>PARAÑAQUE CITY</v>
      </c>
      <c r="G98" s="806" t="str">
        <v>PARAÑAQUE</v>
      </c>
      <c r="H98" s="806">
        <v>0</v>
      </c>
      <c r="I98" s="806">
        <v>0</v>
      </c>
      <c r="J98" s="806" t="str">
        <v>C2</v>
      </c>
      <c r="K98" s="806" t="str">
        <v>FCOMP</v>
      </c>
      <c r="L98" s="798" t="str">
        <v>Ian Patrick Perez</v>
      </c>
      <c r="M98" s="808">
        <v>68.72</v>
      </c>
      <c r="N98" s="808">
        <v>68.72</v>
      </c>
      <c r="O98" s="809">
        <v>81</v>
      </c>
      <c r="P98" s="806" t="str">
        <v>NEW</v>
      </c>
      <c r="Q98" s="806">
        <v>500165.57</v>
      </c>
      <c r="R98" s="806">
        <v>0</v>
      </c>
      <c r="S98" s="806">
        <v>0</v>
      </c>
      <c r="T98" s="806" t="e">
        <v>#DIV/0!</v>
      </c>
      <c r="U98" s="813">
        <v>45841.672222222223</v>
      </c>
      <c r="V98" s="813">
        <v>45846.592361111114</v>
      </c>
      <c r="W98" s="813" t="str">
        <v>N/A</v>
      </c>
      <c r="X98" s="813">
        <v>0</v>
      </c>
      <c r="Y98" s="813">
        <v>45852.336805555555</v>
      </c>
    </row>
    <row r="99" spans="1:25" ht="30" x14ac:dyDescent="0.25">
      <c r="A99" s="806" t="str">
        <v>Y</v>
      </c>
      <c r="B99" s="798" t="str">
        <v>BIZ</v>
      </c>
      <c r="C99" s="812" t="str">
        <v>X25062122012</v>
      </c>
      <c r="D99" s="807" t="str">
        <v>DISEGNO DI MILANO INC.</v>
      </c>
      <c r="E99" s="807" t="str">
        <v>WEST SERVICE, CUPANG, MUNTINLUPA</v>
      </c>
      <c r="F99" s="806" t="str">
        <v>MUNTINLUPA CITY</v>
      </c>
      <c r="G99" s="806" t="str">
        <v>PARAÑAQUE</v>
      </c>
      <c r="H99" s="806">
        <v>0</v>
      </c>
      <c r="I99" s="806">
        <v>0</v>
      </c>
      <c r="J99" s="806" t="str">
        <v>VJC</v>
      </c>
      <c r="K99" s="806" t="str">
        <v>FCOMP</v>
      </c>
      <c r="L99" s="798" t="str">
        <v>Jenneth Madrid</v>
      </c>
      <c r="M99" s="808">
        <v>68.36</v>
      </c>
      <c r="N99" s="808">
        <v>68.36</v>
      </c>
      <c r="O99" s="809">
        <v>298</v>
      </c>
      <c r="P99" s="806" t="str">
        <v>NEW</v>
      </c>
      <c r="Q99" s="806">
        <v>855093.42</v>
      </c>
      <c r="R99" s="806">
        <v>0</v>
      </c>
      <c r="S99" s="806">
        <v>0</v>
      </c>
      <c r="T99" s="806" t="e">
        <v>#DIV/0!</v>
      </c>
      <c r="U99" s="813">
        <v>45855</v>
      </c>
      <c r="V99" s="813">
        <v>45859.628472222219</v>
      </c>
      <c r="W99" s="813">
        <v>45874</v>
      </c>
      <c r="X99" s="813">
        <v>45869</v>
      </c>
      <c r="Y99" s="813">
        <v>45869</v>
      </c>
    </row>
    <row r="100" spans="1:25" ht="45" x14ac:dyDescent="0.25">
      <c r="A100" s="806" t="str">
        <v>Y</v>
      </c>
      <c r="B100" s="798" t="str">
        <v>BIZ</v>
      </c>
      <c r="C100" s="812" t="str">
        <v>X25072495380</v>
      </c>
      <c r="D100" s="807" t="str">
        <v>DISEGNO DI MILANO INC. DOING BUSINESS UNDER THE NA</v>
      </c>
      <c r="E100" s="807" t="str">
        <v>WEST SERVICE, CUPANG, MUNTINLUPA</v>
      </c>
      <c r="F100" s="806" t="str">
        <v>MUNTINLUPA CITY</v>
      </c>
      <c r="G100" s="806" t="str">
        <v>PARAÑAQUE</v>
      </c>
      <c r="H100" s="806">
        <v>0</v>
      </c>
      <c r="I100" s="806">
        <v>0</v>
      </c>
      <c r="J100" s="806" t="str">
        <v>VJC</v>
      </c>
      <c r="K100" s="806" t="str">
        <v>FCOMP</v>
      </c>
      <c r="L100" s="798" t="str">
        <v>Jenneth Madrid</v>
      </c>
      <c r="M100" s="808">
        <v>33.799999999999997</v>
      </c>
      <c r="N100" s="808">
        <v>33.799999999999997</v>
      </c>
      <c r="O100" s="809">
        <v>0</v>
      </c>
      <c r="P100" s="806" t="str">
        <v>TERMINATION</v>
      </c>
      <c r="Q100" s="806">
        <v>35402.550000000003</v>
      </c>
      <c r="R100" s="806">
        <v>0</v>
      </c>
      <c r="S100" s="806">
        <v>0</v>
      </c>
      <c r="T100" s="806" t="e">
        <v>#DIV/0!</v>
      </c>
      <c r="U100" s="813">
        <v>45856.461111111108</v>
      </c>
      <c r="V100" s="813">
        <v>45859.632638888892</v>
      </c>
      <c r="W100" s="813">
        <v>45874</v>
      </c>
      <c r="X100" s="813">
        <v>45869</v>
      </c>
      <c r="Y100" s="813">
        <v>45869</v>
      </c>
    </row>
    <row r="101" spans="1:25" x14ac:dyDescent="0.25">
      <c r="A101" s="806" t="str">
        <v>Y</v>
      </c>
      <c r="B101" s="798" t="str">
        <v>BIZ</v>
      </c>
      <c r="C101" s="812" t="str">
        <v>X25072562347</v>
      </c>
      <c r="D101" s="807" t="str">
        <v>TRISTAN ENRIQUEZ TRINIDAD</v>
      </c>
      <c r="E101" s="807" t="str">
        <v>LIGAS III, LIGAS III, BACOOR</v>
      </c>
      <c r="F101" s="806" t="str">
        <v>BACOOR CITY</v>
      </c>
      <c r="G101" s="806" t="str">
        <v>DASMA</v>
      </c>
      <c r="H101" s="806" t="str">
        <v>on process</v>
      </c>
      <c r="I101" s="806">
        <v>0</v>
      </c>
      <c r="J101" s="806" t="str">
        <v>C2</v>
      </c>
      <c r="K101" s="806" t="str">
        <v>FCOMP</v>
      </c>
      <c r="L101" s="798" t="str">
        <v>Ian Patrick Perez</v>
      </c>
      <c r="M101" s="808">
        <v>11.8</v>
      </c>
      <c r="N101" s="808">
        <v>11.8</v>
      </c>
      <c r="O101" s="809">
        <v>33</v>
      </c>
      <c r="P101" s="806" t="str">
        <v>NEW</v>
      </c>
      <c r="Q101" s="806">
        <v>184304.08</v>
      </c>
      <c r="R101" s="806">
        <v>0</v>
      </c>
      <c r="S101" s="806">
        <v>0</v>
      </c>
      <c r="T101" s="806" t="e">
        <v>#DIV/0!</v>
      </c>
      <c r="U101" s="813">
        <v>45861.646527777775</v>
      </c>
      <c r="V101" s="813">
        <v>45863.286805555559</v>
      </c>
      <c r="W101" s="813" t="str">
        <v>N/A</v>
      </c>
      <c r="X101" s="813">
        <v>0</v>
      </c>
      <c r="Y101" s="813">
        <v>45872</v>
      </c>
    </row>
    <row r="102" spans="1:25" ht="30" x14ac:dyDescent="0.25">
      <c r="A102" s="806" t="str">
        <v>Y</v>
      </c>
      <c r="B102" s="798" t="str">
        <v>CBG</v>
      </c>
      <c r="C102" s="812" t="str">
        <v>X23031050954</v>
      </c>
      <c r="D102" s="807" t="str">
        <v>DEPARTMENT OF SCIENCE AND TECHNOLOGY</v>
      </c>
      <c r="E102" s="807" t="str">
        <v>GEN. SANTOS, UPPER BICUTAN, TAGUIG CITY</v>
      </c>
      <c r="F102" s="806" t="str">
        <v>TAGUIG CITY</v>
      </c>
      <c r="G102" s="806" t="str">
        <v>PARAÑAQUE</v>
      </c>
      <c r="H102" s="806" t="str">
        <v>on process</v>
      </c>
      <c r="I102" s="806">
        <v>0</v>
      </c>
      <c r="J102" s="806" t="str">
        <v>CHALLENGER</v>
      </c>
      <c r="K102" s="806" t="str">
        <v>FCOMP</v>
      </c>
      <c r="L102" s="798" t="str">
        <v>Isan Carlo Lazaro</v>
      </c>
      <c r="M102" s="808">
        <v>348.26</v>
      </c>
      <c r="N102" s="808">
        <v>504.02</v>
      </c>
      <c r="O102" s="809">
        <v>668</v>
      </c>
      <c r="P102" s="806" t="str">
        <v>MODIFICATION</v>
      </c>
      <c r="Q102" s="806">
        <v>2295683.71</v>
      </c>
      <c r="R102" s="806">
        <v>299388.10000000003</v>
      </c>
      <c r="S102" s="806">
        <v>0</v>
      </c>
      <c r="T102" s="806">
        <v>0</v>
      </c>
      <c r="U102" s="813">
        <v>45863.345833333333</v>
      </c>
      <c r="V102" s="813">
        <v>45863.581250000003</v>
      </c>
      <c r="W102" s="813">
        <v>45868</v>
      </c>
      <c r="X102" s="813">
        <v>0</v>
      </c>
      <c r="Y102" s="813">
        <v>45878.369444444441</v>
      </c>
    </row>
    <row r="103" spans="1:25" ht="30" x14ac:dyDescent="0.25">
      <c r="A103" s="806" t="str">
        <v>Y</v>
      </c>
      <c r="B103" s="798" t="str">
        <v>BIZ</v>
      </c>
      <c r="C103" s="812" t="str">
        <v>X25041430567</v>
      </c>
      <c r="D103" s="807" t="str">
        <v>MEGA TRIUM FOODS CORPORATION</v>
      </c>
      <c r="E103" s="807" t="str">
        <v>CELESTINO, CELESTINO SUBD, BACOOR</v>
      </c>
      <c r="F103" s="806" t="str">
        <v>BACOOR CITY</v>
      </c>
      <c r="G103" s="806" t="str">
        <v>DASMA</v>
      </c>
      <c r="H103" s="806" t="str">
        <v>on process</v>
      </c>
      <c r="I103" s="806">
        <v>0</v>
      </c>
      <c r="J103" s="806" t="str">
        <v>CHALLENGER</v>
      </c>
      <c r="K103" s="806" t="str">
        <v>FCOMP</v>
      </c>
      <c r="L103" s="798" t="str">
        <v>Isan Carlo Lazaro</v>
      </c>
      <c r="M103" s="808">
        <v>165.83</v>
      </c>
      <c r="N103" s="808">
        <v>186.11</v>
      </c>
      <c r="O103" s="809">
        <v>276</v>
      </c>
      <c r="P103" s="806" t="str">
        <v>NEW</v>
      </c>
      <c r="Q103" s="806">
        <v>1109918.06</v>
      </c>
      <c r="R103" s="806">
        <v>142509.27000000008</v>
      </c>
      <c r="S103" s="806">
        <v>0</v>
      </c>
      <c r="T103" s="806">
        <v>0</v>
      </c>
      <c r="U103" s="813">
        <v>45862.621527777781</v>
      </c>
      <c r="V103" s="813">
        <v>45868.321527777778</v>
      </c>
      <c r="W103" s="813">
        <v>45874</v>
      </c>
      <c r="X103" s="813">
        <v>0</v>
      </c>
      <c r="Y103" s="813">
        <v>45878.37222222222</v>
      </c>
    </row>
  </sheetData>
  <protectedRanges>
    <protectedRange algorithmName="SHA-512" hashValue="yPDjDmuwCGW9Q570oqqBW5Vz3JDWvT5GPI/PoUn5cSMsN/vFdo9j7SQ9tYPY8SbL9HrDBzs5CpUDPG2l60uKKQ==" saltValue="XTMGoOyczUOBtRv3Kz8isQ==" spinCount="100000" sqref="A1:Y1048576" name="Range1"/>
  </protectedRanges>
  <autoFilter ref="A1:AB95" xr:uid="{C1FC0463-5F72-47B8-B694-369ACBDCB284}"/>
  <conditionalFormatting sqref="B24 D24:Y24 B1:Y23 B25:Y1048576">
    <cfRule type="expression" dxfId="0" priority="1">
      <formula>$K1="FCOMP"</formula>
    </cfRule>
  </conditionalFormatting>
  <dataValidations count="2">
    <dataValidation type="custom" allowBlank="1" showInputMessage="1" showErrorMessage="1" error="DO NOT EDIT" sqref="A2:A1048576" xr:uid="{EC707F45-20E1-478E-9078-3F85EFD907CF}">
      <formula1>"DO NOT EDIT"</formula1>
    </dataValidation>
    <dataValidation type="custom" allowBlank="1" showInputMessage="1" showErrorMessage="1" errorTitle="FOR VIEWING ONLY (DO NOT EDIT!)" error="Tag &quot;Y&quot; in VIP Column C to include WO in the list_x000a_" sqref="B2:B1048576 D2:Y1048576 C2:C23 C25:C1048576" xr:uid="{357D3F0F-D650-4FAA-9D39-90AD739DF708}">
      <formula1>"DO NOT EDIT"</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7D294-73C5-492A-A67D-493AB447D902}">
  <sheetPr>
    <tabColor theme="5"/>
  </sheetPr>
  <dimension ref="A1:Y95"/>
  <sheetViews>
    <sheetView topLeftCell="C1" zoomScale="85" zoomScaleNormal="85" workbookViewId="0">
      <selection activeCell="I24" sqref="I24"/>
    </sheetView>
  </sheetViews>
  <sheetFormatPr defaultColWidth="8.5703125" defaultRowHeight="15" x14ac:dyDescent="0.25"/>
  <cols>
    <col min="1" max="1" width="29.140625" customWidth="1"/>
    <col min="2" max="2" width="15.85546875" customWidth="1"/>
    <col min="3" max="3" width="13.5703125" style="23" customWidth="1"/>
    <col min="4" max="4" width="10.42578125" style="145" bestFit="1" customWidth="1"/>
    <col min="5" max="5" width="8.85546875" style="560" customWidth="1"/>
    <col min="6" max="6" width="10.140625" customWidth="1"/>
    <col min="7" max="7" width="13.140625" customWidth="1"/>
    <col min="8" max="8" width="15.42578125" customWidth="1"/>
    <col min="9" max="9" width="15.85546875" style="145" customWidth="1"/>
    <col min="10" max="10" width="14.85546875" customWidth="1"/>
    <col min="11" max="11" width="10.42578125" style="145" customWidth="1"/>
    <col min="12" max="12" width="15.140625" customWidth="1"/>
    <col min="13" max="13" width="10.140625" style="145" customWidth="1"/>
    <col min="14" max="14" width="12.85546875" customWidth="1"/>
    <col min="15" max="15" width="11.5703125" style="145" customWidth="1"/>
    <col min="16" max="16" width="15.42578125" customWidth="1"/>
    <col min="17" max="17" width="16.140625" style="145" customWidth="1"/>
    <col min="18" max="18" width="16.140625" customWidth="1"/>
    <col min="19" max="19" width="15.42578125" customWidth="1"/>
    <col min="20" max="20" width="12.140625" customWidth="1"/>
    <col min="21" max="21" width="8.85546875" bestFit="1" customWidth="1"/>
    <col min="22" max="22" width="10.5703125" bestFit="1" customWidth="1"/>
    <col min="23" max="23" width="10.85546875" bestFit="1" customWidth="1"/>
    <col min="24" max="24" width="11.42578125" customWidth="1"/>
    <col min="25" max="25" width="14" customWidth="1"/>
  </cols>
  <sheetData>
    <row r="1" spans="1:25" ht="15.75" thickBot="1" x14ac:dyDescent="0.3">
      <c r="A1" s="358" t="s">
        <v>4300</v>
      </c>
      <c r="B1" s="573">
        <f>'C1'!CK1</f>
        <v>45856</v>
      </c>
      <c r="C1" t="s">
        <v>4301</v>
      </c>
      <c r="F1" s="352" t="s">
        <v>4302</v>
      </c>
      <c r="H1" s="1225" t="s">
        <v>313</v>
      </c>
      <c r="I1" s="1226"/>
      <c r="J1" s="1226"/>
      <c r="K1" s="1227"/>
      <c r="L1" s="1225" t="s">
        <v>1</v>
      </c>
      <c r="M1" s="1226"/>
      <c r="N1" s="1226"/>
      <c r="O1" s="1227"/>
      <c r="P1" s="1230" t="s">
        <v>4303</v>
      </c>
      <c r="Q1" s="1231"/>
    </row>
    <row r="2" spans="1:25" x14ac:dyDescent="0.25">
      <c r="A2" s="352" t="s">
        <v>4304</v>
      </c>
      <c r="F2" s="352" t="s">
        <v>4305</v>
      </c>
      <c r="H2" s="1228" t="s">
        <v>263</v>
      </c>
      <c r="I2" s="1229"/>
      <c r="J2" s="1228" t="s">
        <v>242</v>
      </c>
      <c r="K2" s="1229"/>
      <c r="L2" s="1228" t="s">
        <v>5</v>
      </c>
      <c r="M2" s="1229"/>
      <c r="N2" s="1228" t="s">
        <v>255</v>
      </c>
      <c r="O2" s="1229"/>
      <c r="P2" s="1228" t="s">
        <v>288</v>
      </c>
      <c r="Q2" s="1229"/>
      <c r="R2" s="1233" t="s">
        <v>1945</v>
      </c>
      <c r="S2" s="1233"/>
      <c r="T2" s="1233" t="s">
        <v>1957</v>
      </c>
      <c r="U2" s="1233"/>
      <c r="V2" s="1233" t="s">
        <v>312</v>
      </c>
      <c r="W2" s="1233"/>
      <c r="X2" s="1232" t="s">
        <v>4109</v>
      </c>
      <c r="Y2" s="1232"/>
    </row>
    <row r="3" spans="1:25" x14ac:dyDescent="0.25">
      <c r="A3" s="521" t="s">
        <v>4164</v>
      </c>
      <c r="B3" s="522"/>
      <c r="C3" s="523" t="s">
        <v>4157</v>
      </c>
      <c r="D3" s="524" t="s">
        <v>4160</v>
      </c>
      <c r="E3" s="561"/>
      <c r="F3" s="521" t="s">
        <v>4164</v>
      </c>
      <c r="G3" s="522"/>
      <c r="H3" s="540" t="s">
        <v>4157</v>
      </c>
      <c r="I3" s="541" t="s">
        <v>4160</v>
      </c>
      <c r="J3" s="540" t="s">
        <v>4157</v>
      </c>
      <c r="K3" s="541" t="s">
        <v>4160</v>
      </c>
      <c r="L3" s="540" t="s">
        <v>4157</v>
      </c>
      <c r="M3" s="541" t="s">
        <v>4160</v>
      </c>
      <c r="N3" s="540" t="s">
        <v>4157</v>
      </c>
      <c r="O3" s="541" t="s">
        <v>4160</v>
      </c>
      <c r="P3" s="540" t="s">
        <v>4157</v>
      </c>
      <c r="Q3" s="541" t="s">
        <v>4160</v>
      </c>
      <c r="R3" s="523" t="s">
        <v>4157</v>
      </c>
      <c r="S3" s="524" t="s">
        <v>4160</v>
      </c>
      <c r="T3" s="523" t="s">
        <v>4157</v>
      </c>
      <c r="U3" s="524" t="s">
        <v>4160</v>
      </c>
      <c r="V3" s="523" t="s">
        <v>4157</v>
      </c>
      <c r="W3" s="524" t="s">
        <v>4160</v>
      </c>
      <c r="X3" s="523" t="s">
        <v>4157</v>
      </c>
      <c r="Y3" s="524" t="s">
        <v>4160</v>
      </c>
    </row>
    <row r="4" spans="1:25" x14ac:dyDescent="0.25">
      <c r="A4" s="528"/>
      <c r="B4" s="528" t="s">
        <v>4306</v>
      </c>
      <c r="C4" s="531">
        <f>COUNTIFS('C1'!$D:$D,"&lt;&gt;MN",'C1'!$CL:$CL,$A$3,'C1'!$CM:$CM,B4)</f>
        <v>71</v>
      </c>
      <c r="D4" s="532">
        <f>SUMIFS('C1'!$O:$O,'C1'!$D:$D,"&lt;&gt;MN",'C1'!$CL:$CL,$A$3,'C1'!$CM:$CM,B4)</f>
        <v>9415.5776799999949</v>
      </c>
      <c r="F4" s="528"/>
      <c r="G4" s="528" t="s">
        <v>4306</v>
      </c>
      <c r="H4" s="542">
        <f>COUNTIFS('C1'!$D:$D,"&lt;&gt;MN",'C1'!$CL:$CL,$A$3,'C1'!$CM:$CM,G4,'C1'!$L:$L,AGEING!$H$2)</f>
        <v>18</v>
      </c>
      <c r="I4" s="543">
        <f>SUMIFS('C1'!$O:$O,'C1'!$D:$D,"&lt;&gt;MN",'C1'!$CL:$CL,$F$3,'C1'!$CM:$CM,G4,'C1'!$L:$L,AGEING!$H$2)</f>
        <v>3497.1396000000009</v>
      </c>
      <c r="J4" s="542">
        <f>COUNTIFS('C1'!$D:$D,"&lt;&gt;MN",'C1'!$CL:$CL,$F$3,'C1'!$CM:$CM,G4,'C1'!$L:$L,AGEING!$J$2)</f>
        <v>12</v>
      </c>
      <c r="K4" s="543">
        <f>SUMIFS('C1'!$O:$O,'C1'!$D:$D,"&lt;&gt;MN",'C1'!$CL:$CL,$F$3,'C1'!$CM:$CM,G4,'C1'!$L:$L,AGEING!$J$2)</f>
        <v>1399.2365999999997</v>
      </c>
      <c r="L4" s="542">
        <f>COUNTIFS('C1'!$D:$D,"&lt;&gt;MN",'C1'!$CL:$CL,$F$3,'C1'!$CM:$CM,G4,'C1'!$L:$L,AGEING!$L$2)</f>
        <v>6</v>
      </c>
      <c r="M4" s="543">
        <f>SUMIFS('C1'!$O:$O,'C1'!$D:$D,"&lt;&gt;MN",'C1'!$CL:$CL,$F$3,'C1'!$CM:$CM,G4,'C1'!$L:$L,AGEING!$L$2)</f>
        <v>789.06430000000012</v>
      </c>
      <c r="N4" s="674">
        <f>COUNTIFS('C1'!$D:$D,"&lt;&gt;MN",'C1'!$CL:$CL,$F$3,'C1'!$CM:$CM,G4,'C1'!$L:$L,AGEING!$N$2)</f>
        <v>18</v>
      </c>
      <c r="O4" s="685">
        <f>SUMIFS('C1'!$O:$O,'C1'!$D:$D,"&lt;&gt;MN",'C1'!$CL:$CL,$F$3,'C1'!$CM:$CM,G4,'C1'!$L:$L,AGEING!$N$2)</f>
        <v>1453.5541000000001</v>
      </c>
      <c r="P4" s="674">
        <f>COUNTIFS('C1'!$D:$D,"&lt;&gt;MN",'C1'!$CL:$CL,$F$3,'C1'!$CM:$CM,G4,'C1'!$L:$L,AGEING!$P$2)</f>
        <v>14</v>
      </c>
      <c r="Q4" s="685">
        <f>SUMIFS('C1'!$O:$O,'C1'!$D:$D,"&lt;&gt;MN",'C1'!$CL:$CL,$F$3,'C1'!$CM:$CM,G4,'C1'!$L:$L,AGEING!$P$2)</f>
        <v>2224.2430799999997</v>
      </c>
      <c r="R4" s="675">
        <f>COUNTIFS('C1'!$D:$D,"&lt;&gt;MN",'C1'!$CL:$CL,$F$3,'C1'!$CM:$CM,G4,'C1'!$L:$L,AGEING!$R$2)</f>
        <v>0</v>
      </c>
      <c r="S4" s="684">
        <f>SUMIFS('C1'!$O:$O,'C1'!$D:$D,"&lt;&gt;MN",'C1'!$CL:$CL,$F$3,'C1'!$CM:$CM,G4,'C1'!$L:$L,AGEING!$R$2)</f>
        <v>0</v>
      </c>
      <c r="T4" s="675">
        <f>COUNTIFS('C1'!$D:$D,"&lt;&gt;MN",'C1'!$CL:$CL,$F$3,'C1'!$CM:$CM,G4,'C1'!$L:$L,AGEING!$T$2)</f>
        <v>2</v>
      </c>
      <c r="U4" s="684">
        <f>SUMIFS('C1'!$O:$O,'C1'!$D:$D,"&lt;&gt;MN",'C1'!$CL:$CL,$F$3,'C1'!$CM:$CM,G4,'C1'!$L:$L,AGEING!$T$2)</f>
        <v>39.07</v>
      </c>
      <c r="V4" s="675">
        <f>COUNTIFS('C1'!$D:$D,"&lt;&gt;MN",'C1'!$CL:$CL,$F$3,'C1'!$CM:$CM,G4,'C1'!$L:$L,AGEING!V$2)</f>
        <v>0</v>
      </c>
      <c r="W4" s="684">
        <f>SUMIFS('C1'!$O:$O,'C1'!$D:$D,"&lt;&gt;MN",'C1'!$CL:$CL,$F$3,'C1'!$CM:$CM,G4,'C1'!$L:$L,AGEING!$V$2)</f>
        <v>0</v>
      </c>
      <c r="X4" s="535">
        <f>H4+J4+L4+N4+P4+R4+T4+V4</f>
        <v>70</v>
      </c>
      <c r="Y4" s="536">
        <f>I4+K4+M4+O4+Q4+S4+U4+W4</f>
        <v>9402.3076799999999</v>
      </c>
    </row>
    <row r="5" spans="1:25" x14ac:dyDescent="0.25">
      <c r="A5" s="537"/>
      <c r="B5" s="537" t="s">
        <v>4307</v>
      </c>
      <c r="C5" s="538">
        <f>COUNTIFS('C1'!$D:$D,"&lt;&gt;MN",'C1'!$CL:$CL,$A$3,'C1'!$CM:$CM,B5)</f>
        <v>22</v>
      </c>
      <c r="D5" s="539">
        <f>SUMIFS('C1'!$O:$O,'C1'!$D:$D,"&lt;&gt;MN",'C1'!$CL:$CL,$A$3,'C1'!$CM:$CM,B5)</f>
        <v>3469.8941999999988</v>
      </c>
      <c r="F5" s="537"/>
      <c r="G5" s="537" t="s">
        <v>4307</v>
      </c>
      <c r="H5" s="544">
        <f>COUNTIFS('C1'!$D:$D,"&lt;&gt;MN",'C1'!$CL:$CL,$A$3,'C1'!$CM:$CM,G5,'C1'!$L:$L,AGEING!$H$2)</f>
        <v>7</v>
      </c>
      <c r="I5" s="545">
        <f>SUMIFS('C1'!$O:$O,'C1'!$D:$D,"&lt;&gt;MN",'C1'!$CL:$CL,$F$3,'C1'!$CM:$CM,G5,'C1'!$L:$L,AGEING!$H$2)</f>
        <v>905.38159999999959</v>
      </c>
      <c r="J5" s="544">
        <f>COUNTIFS('C1'!$D:$D,"&lt;&gt;MN",'C1'!$CL:$CL,$F$3,'C1'!$CM:$CM,G5,'C1'!$L:$L,AGEING!$J$2)</f>
        <v>5</v>
      </c>
      <c r="K5" s="545">
        <f>SUMIFS('C1'!$O:$O,'C1'!$D:$D,"&lt;&gt;MN",'C1'!$CL:$CL,$F$3,'C1'!$CM:$CM,G5,'C1'!$L:$L,AGEING!$J$2)</f>
        <v>1324.2760999999998</v>
      </c>
      <c r="L5" s="544">
        <f>COUNTIFS('C1'!$D:$D,"&lt;&gt;MN",'C1'!$CL:$CL,$F$3,'C1'!$CM:$CM,G5,'C1'!$L:$L,AGEING!$L$2)</f>
        <v>2</v>
      </c>
      <c r="M5" s="545">
        <f>SUMIFS('C1'!$O:$O,'C1'!$D:$D,"&lt;&gt;MN",'C1'!$CL:$CL,$F$3,'C1'!$CM:$CM,G5,'C1'!$L:$L,AGEING!$L$2)</f>
        <v>51.163199999999996</v>
      </c>
      <c r="N5" s="676">
        <f>COUNTIFS('C1'!$D:$D,"&lt;&gt;MN",'C1'!$CL:$CL,$F$3,'C1'!$CM:$CM,G5,'C1'!$L:$L,AGEING!$N$2)</f>
        <v>4</v>
      </c>
      <c r="O5" s="687">
        <f>SUMIFS('C1'!$O:$O,'C1'!$D:$D,"&lt;&gt;MN",'C1'!$CL:$CL,$F$3,'C1'!$CM:$CM,G5,'C1'!$L:$L,AGEING!$N$2)</f>
        <v>763.03769999999986</v>
      </c>
      <c r="P5" s="676">
        <f>COUNTIFS('C1'!$D:$D,"&lt;&gt;MN",'C1'!$CL:$CL,$F$3,'C1'!$CM:$CM,G5,'C1'!$L:$L,AGEING!$P$2)</f>
        <v>3</v>
      </c>
      <c r="Q5" s="687">
        <f>SUMIFS('C1'!$O:$O,'C1'!$D:$D,"&lt;&gt;MN",'C1'!$CL:$CL,$F$3,'C1'!$CM:$CM,G5,'C1'!$L:$L,AGEING!$P$2)</f>
        <v>349.67559999999992</v>
      </c>
      <c r="R5" s="677">
        <f>COUNTIFS('C1'!$D:$D,"&lt;&gt;MN",'C1'!$CL:$CL,$F$3,'C1'!$CM:$CM,G5,'C1'!$L:$L,AGEING!$R$2)</f>
        <v>1</v>
      </c>
      <c r="S5" s="686">
        <f>SUMIFS('C1'!$O:$O,'C1'!$D:$D,"&lt;&gt;MN",'C1'!$CL:$CL,$F$3,'C1'!$CM:$CM,G5,'C1'!$L:$L,AGEING!$R$2)</f>
        <v>76.36</v>
      </c>
      <c r="T5" s="677">
        <f>COUNTIFS('C1'!$D:$D,"&lt;&gt;MN",'C1'!$CL:$CL,$F$3,'C1'!$CM:$CM,G5,'C1'!$L:$L,AGEING!$T$2)</f>
        <v>0</v>
      </c>
      <c r="U5" s="686">
        <f>SUMIFS('C1'!$O:$O,'C1'!$D:$D,"&lt;&gt;MN",'C1'!$CL:$CL,$F$3,'C1'!$CM:$CM,G5,'C1'!$L:$L,AGEING!$T$2)</f>
        <v>0</v>
      </c>
      <c r="V5" s="675">
        <f>COUNTIFS('C1'!$D:$D,"&lt;&gt;MN",'C1'!$CL:$CL,$F$3,'C1'!$CM:$CM,G5,'C1'!$L:$L,AGEING!V$2)</f>
        <v>0</v>
      </c>
      <c r="W5" s="684">
        <f>SUMIFS('C1'!$O:$O,'C1'!$D:$D,"&lt;&gt;MN",'C1'!$CL:$CL,$F$3,'C1'!$CM:$CM,G5,'C1'!$L:$L,AGEING!$V$2)</f>
        <v>0</v>
      </c>
      <c r="X5" s="535">
        <f t="shared" ref="X5:X7" si="0">H5+J5+L5+N5+P5+R5+T5+V5</f>
        <v>22</v>
      </c>
      <c r="Y5" s="536">
        <f t="shared" ref="Y5:Y7" si="1">I5+K5+M5+O5+Q5+S5+U5+W5</f>
        <v>3469.8941999999993</v>
      </c>
    </row>
    <row r="6" spans="1:25" x14ac:dyDescent="0.25">
      <c r="A6" s="537"/>
      <c r="B6" s="537" t="s">
        <v>4308</v>
      </c>
      <c r="C6" s="538">
        <f>COUNTIFS('C1'!$D:$D,"&lt;&gt;MN",'C1'!$CL:$CL,$A$3,'C1'!$CM:$CM,B6)</f>
        <v>11</v>
      </c>
      <c r="D6" s="539">
        <f>SUMIFS('C1'!$O:$O,'C1'!$D:$D,"&lt;&gt;MN",'C1'!$CL:$CL,$A$3,'C1'!$CM:$CM,B6)</f>
        <v>2665.8152</v>
      </c>
      <c r="F6" s="537"/>
      <c r="G6" s="537" t="s">
        <v>4308</v>
      </c>
      <c r="H6" s="544">
        <f>COUNTIFS('C1'!$D:$D,"&lt;&gt;MN",'C1'!$CL:$CL,$A$3,'C1'!$CM:$CM,G6,'C1'!$L:$L,AGEING!$H$2)</f>
        <v>0</v>
      </c>
      <c r="I6" s="545">
        <f>SUMIFS('C1'!$O:$O,'C1'!$D:$D,"&lt;&gt;MN",'C1'!$CL:$CL,$F$3,'C1'!$CM:$CM,G6,'C1'!$L:$L,AGEING!$H$2)</f>
        <v>0</v>
      </c>
      <c r="J6" s="544">
        <f>COUNTIFS('C1'!$D:$D,"&lt;&gt;MN",'C1'!$CL:$CL,$F$3,'C1'!$CM:$CM,G6,'C1'!$L:$L,AGEING!$J$2)</f>
        <v>3</v>
      </c>
      <c r="K6" s="545">
        <f>SUMIFS('C1'!$O:$O,'C1'!$D:$D,"&lt;&gt;MN",'C1'!$CL:$CL,$F$3,'C1'!$CM:$CM,G6,'C1'!$L:$L,AGEING!$J$2)</f>
        <v>929.07929999999988</v>
      </c>
      <c r="L6" s="544">
        <f>COUNTIFS('C1'!$D:$D,"&lt;&gt;MN",'C1'!$CL:$CL,$F$3,'C1'!$CM:$CM,G6,'C1'!$L:$L,AGEING!$L$2)</f>
        <v>2</v>
      </c>
      <c r="M6" s="545">
        <f>SUMIFS('C1'!$O:$O,'C1'!$D:$D,"&lt;&gt;MN",'C1'!$CL:$CL,$F$3,'C1'!$CM:$CM,G6,'C1'!$L:$L,AGEING!$L$2)</f>
        <v>378.67529999999999</v>
      </c>
      <c r="N6" s="676">
        <f>COUNTIFS('C1'!$D:$D,"&lt;&gt;MN",'C1'!$CL:$CL,$F$3,'C1'!$CM:$CM,G6,'C1'!$L:$L,AGEING!$N$2)</f>
        <v>1</v>
      </c>
      <c r="O6" s="687">
        <f>SUMIFS('C1'!$O:$O,'C1'!$D:$D,"&lt;&gt;MN",'C1'!$CL:$CL,$F$3,'C1'!$CM:$CM,G6,'C1'!$L:$L,AGEING!$N$2)</f>
        <v>134.78100000000001</v>
      </c>
      <c r="P6" s="676">
        <f>COUNTIFS('C1'!$D:$D,"&lt;&gt;MN",'C1'!$CL:$CL,$F$3,'C1'!$CM:$CM,G6,'C1'!$L:$L,AGEING!$P$2)</f>
        <v>2</v>
      </c>
      <c r="Q6" s="687">
        <f>SUMIFS('C1'!$O:$O,'C1'!$D:$D,"&lt;&gt;MN",'C1'!$CL:$CL,$F$3,'C1'!$CM:$CM,G6,'C1'!$L:$L,AGEING!$P$2)</f>
        <v>273.71389999999997</v>
      </c>
      <c r="R6" s="677">
        <f>COUNTIFS('C1'!$D:$D,"&lt;&gt;MN",'C1'!$CL:$CL,$F$3,'C1'!$CM:$CM,G6,'C1'!$L:$L,AGEING!$R$2)</f>
        <v>0</v>
      </c>
      <c r="S6" s="686">
        <f>SUMIFS('C1'!$O:$O,'C1'!$D:$D,"&lt;&gt;MN",'C1'!$CL:$CL,$F$3,'C1'!$CM:$CM,G6,'C1'!$L:$L,AGEING!$R$2)</f>
        <v>0</v>
      </c>
      <c r="T6" s="677">
        <f>COUNTIFS('C1'!$D:$D,"&lt;&gt;MN",'C1'!$CL:$CL,$F$3,'C1'!$CM:$CM,G6,'C1'!$L:$L,AGEING!$T$2)</f>
        <v>0</v>
      </c>
      <c r="U6" s="686">
        <f>SUMIFS('C1'!$O:$O,'C1'!$D:$D,"&lt;&gt;MN",'C1'!$CL:$CL,$F$3,'C1'!$CM:$CM,G6,'C1'!$L:$L,AGEING!$T$2)</f>
        <v>0</v>
      </c>
      <c r="V6" s="675">
        <f>COUNTIFS('C1'!$D:$D,"&lt;&gt;MN",'C1'!$CL:$CL,$F$3,'C1'!$CM:$CM,G6,'C1'!$L:$L,AGEING!V$2)</f>
        <v>3</v>
      </c>
      <c r="W6" s="684">
        <f>SUMIFS('C1'!$O:$O,'C1'!$D:$D,"&lt;&gt;MN",'C1'!$CL:$CL,$F$3,'C1'!$CM:$CM,G6,'C1'!$L:$L,AGEING!$V$2)</f>
        <v>949.56570000000011</v>
      </c>
      <c r="X6" s="535">
        <f t="shared" si="0"/>
        <v>11</v>
      </c>
      <c r="Y6" s="536">
        <f t="shared" si="1"/>
        <v>2665.8152</v>
      </c>
    </row>
    <row r="7" spans="1:25" x14ac:dyDescent="0.25">
      <c r="A7" s="537"/>
      <c r="B7" s="537" t="s">
        <v>4309</v>
      </c>
      <c r="C7" s="538">
        <f>COUNTIFS('C1'!$D:$D,"&lt;&gt;MN",'C1'!$CL:$CL,$A$3,'C1'!$CM:$CM,B7)</f>
        <v>10</v>
      </c>
      <c r="D7" s="539">
        <f>SUMIFS('C1'!$O:$O,'C1'!$D:$D,"&lt;&gt;MN",'C1'!$CL:$CL,$A$3,'C1'!$CM:$CM,B7)</f>
        <v>1424.9956599999996</v>
      </c>
      <c r="F7" s="537"/>
      <c r="G7" s="537" t="s">
        <v>4309</v>
      </c>
      <c r="H7" s="544">
        <f>COUNTIFS('C1'!$D:$D,"&lt;&gt;MN",'C1'!$CL:$CL,$A$3,'C1'!$CM:$CM,G7,'C1'!$L:$L,AGEING!$H$2)</f>
        <v>4</v>
      </c>
      <c r="I7" s="545">
        <f>SUMIFS('C1'!$O:$O,'C1'!$D:$D,"&lt;&gt;MN",'C1'!$CL:$CL,$F$3,'C1'!$CM:$CM,G7,'C1'!$L:$L,AGEING!$H$2)</f>
        <v>617.76335999999969</v>
      </c>
      <c r="J7" s="544">
        <f>COUNTIFS('C1'!$D:$D,"&lt;&gt;MN",'C1'!$CL:$CL,$F$3,'C1'!$CM:$CM,G7,'C1'!$L:$L,AGEING!$J$2)</f>
        <v>3</v>
      </c>
      <c r="K7" s="545">
        <f>SUMIFS('C1'!$O:$O,'C1'!$D:$D,"&lt;&gt;MN",'C1'!$CL:$CL,$F$3,'C1'!$CM:$CM,G7,'C1'!$L:$L,AGEING!$J$2)</f>
        <v>488.32149999999984</v>
      </c>
      <c r="L7" s="544">
        <f>COUNTIFS('C1'!$D:$D,"&lt;&gt;MN",'C1'!$CL:$CL,$F$3,'C1'!$CM:$CM,G7,'C1'!$L:$L,AGEING!$L$2)</f>
        <v>1</v>
      </c>
      <c r="M7" s="545">
        <f>SUMIFS('C1'!$O:$O,'C1'!$D:$D,"&lt;&gt;MN",'C1'!$CL:$CL,$F$3,'C1'!$CM:$CM,G7,'C1'!$L:$L,AGEING!$L$2)</f>
        <v>58.3675</v>
      </c>
      <c r="N7" s="676">
        <f>COUNTIFS('C1'!$D:$D,"&lt;&gt;MN",'C1'!$CL:$CL,$F$3,'C1'!$CM:$CM,G7,'C1'!$L:$L,AGEING!$N$2)</f>
        <v>0</v>
      </c>
      <c r="O7" s="687">
        <f>SUMIFS('C1'!$O:$O,'C1'!$D:$D,"&lt;&gt;MN",'C1'!$CL:$CL,$F$3,'C1'!$CM:$CM,G7,'C1'!$L:$L,AGEING!$N$2)</f>
        <v>0</v>
      </c>
      <c r="P7" s="676">
        <f>COUNTIFS('C1'!$D:$D,"&lt;&gt;MN",'C1'!$CL:$CL,$F$3,'C1'!$CM:$CM,G7,'C1'!$L:$L,AGEING!$P$2)</f>
        <v>0</v>
      </c>
      <c r="Q7" s="687">
        <f>SUMIFS('C1'!$O:$O,'C1'!$D:$D,"&lt;&gt;MN",'C1'!$CL:$CL,$F$3,'C1'!$CM:$CM,G7,'C1'!$L:$L,AGEING!$P$2)</f>
        <v>0</v>
      </c>
      <c r="R7" s="677">
        <f>COUNTIFS('C1'!$D:$D,"&lt;&gt;MN",'C1'!$CL:$CL,$F$3,'C1'!$CM:$CM,G7,'C1'!$L:$L,AGEING!$R$2)</f>
        <v>0</v>
      </c>
      <c r="S7" s="686">
        <f>SUMIFS('C1'!$O:$O,'C1'!$D:$D,"&lt;&gt;MN",'C1'!$CL:$CL,$F$3,'C1'!$CM:$CM,G7,'C1'!$L:$L,AGEING!$R$2)</f>
        <v>0</v>
      </c>
      <c r="T7" s="677">
        <f>COUNTIFS('C1'!$D:$D,"&lt;&gt;MN",'C1'!$CL:$CL,$F$3,'C1'!$CM:$CM,G7,'C1'!$L:$L,AGEING!$T$2)</f>
        <v>0</v>
      </c>
      <c r="U7" s="686">
        <f>SUMIFS('C1'!$O:$O,'C1'!$D:$D,"&lt;&gt;MN",'C1'!$CL:$CL,$F$3,'C1'!$CM:$CM,G7,'C1'!$L:$L,AGEING!$T$2)</f>
        <v>0</v>
      </c>
      <c r="V7" s="675">
        <f>COUNTIFS('C1'!$D:$D,"&lt;&gt;MN",'C1'!$CL:$CL,$F$3,'C1'!$CM:$CM,G7,'C1'!$L:$L,AGEING!V$2)</f>
        <v>2</v>
      </c>
      <c r="W7" s="684">
        <f>SUMIFS('C1'!$O:$O,'C1'!$D:$D,"&lt;&gt;MN",'C1'!$CL:$CL,$F$3,'C1'!$CM:$CM,G7,'C1'!$L:$L,AGEING!$V$2)</f>
        <v>260.54329999999999</v>
      </c>
      <c r="X7" s="535">
        <f t="shared" si="0"/>
        <v>10</v>
      </c>
      <c r="Y7" s="536">
        <f t="shared" si="1"/>
        <v>1424.9956599999996</v>
      </c>
    </row>
    <row r="8" spans="1:25" x14ac:dyDescent="0.25">
      <c r="C8" s="433">
        <f>SUM(C4:C7)</f>
        <v>114</v>
      </c>
      <c r="D8" s="525">
        <f>SUM(D4:D7)</f>
        <v>16976.282739999995</v>
      </c>
      <c r="E8" s="562"/>
      <c r="H8" s="548">
        <f t="shared" ref="H8:U8" si="2">SUM(H4:H7)</f>
        <v>29</v>
      </c>
      <c r="I8" s="549">
        <f t="shared" si="2"/>
        <v>5020.2845600000001</v>
      </c>
      <c r="J8" s="548">
        <f t="shared" si="2"/>
        <v>23</v>
      </c>
      <c r="K8" s="549">
        <f t="shared" si="2"/>
        <v>4140.9134999999987</v>
      </c>
      <c r="L8" s="548">
        <f t="shared" si="2"/>
        <v>11</v>
      </c>
      <c r="M8" s="549">
        <f t="shared" si="2"/>
        <v>1277.2703000000001</v>
      </c>
      <c r="N8" s="678">
        <f t="shared" si="2"/>
        <v>23</v>
      </c>
      <c r="O8" s="679">
        <f t="shared" si="2"/>
        <v>2351.3728000000001</v>
      </c>
      <c r="P8" s="678">
        <f t="shared" si="2"/>
        <v>19</v>
      </c>
      <c r="Q8" s="679">
        <f t="shared" si="2"/>
        <v>2847.6325799999995</v>
      </c>
      <c r="R8" s="262">
        <f t="shared" si="2"/>
        <v>1</v>
      </c>
      <c r="S8" s="527">
        <f t="shared" si="2"/>
        <v>76.36</v>
      </c>
      <c r="T8" s="262">
        <f t="shared" si="2"/>
        <v>2</v>
      </c>
      <c r="U8" s="527">
        <f t="shared" si="2"/>
        <v>39.07</v>
      </c>
      <c r="V8" s="262">
        <f t="shared" ref="V8:W8" si="3">SUM(V4:V7)</f>
        <v>5</v>
      </c>
      <c r="W8" s="527">
        <f t="shared" si="3"/>
        <v>1210.1090000000002</v>
      </c>
      <c r="X8" s="526">
        <f>H8+J8+L8+N8+P8+R8+T8+V8</f>
        <v>113</v>
      </c>
      <c r="Y8" s="527">
        <f>I8+K8+M8+O8+Q8+S8+U8+W8</f>
        <v>16963.012739999998</v>
      </c>
    </row>
    <row r="9" spans="1:25" x14ac:dyDescent="0.25">
      <c r="A9" s="521" t="s">
        <v>4165</v>
      </c>
      <c r="B9" s="522"/>
      <c r="C9" s="523" t="s">
        <v>4157</v>
      </c>
      <c r="D9" s="524" t="s">
        <v>4160</v>
      </c>
      <c r="E9" s="561"/>
      <c r="F9" s="521" t="s">
        <v>4165</v>
      </c>
      <c r="G9" s="522"/>
      <c r="H9" s="540" t="s">
        <v>4157</v>
      </c>
      <c r="I9" s="541" t="s">
        <v>4160</v>
      </c>
      <c r="J9" s="540" t="s">
        <v>4157</v>
      </c>
      <c r="K9" s="541" t="s">
        <v>4160</v>
      </c>
      <c r="L9" s="540" t="s">
        <v>4157</v>
      </c>
      <c r="M9" s="541" t="s">
        <v>4160</v>
      </c>
      <c r="N9" s="540" t="s">
        <v>4157</v>
      </c>
      <c r="O9" s="541" t="s">
        <v>4160</v>
      </c>
      <c r="P9" s="540" t="s">
        <v>4157</v>
      </c>
      <c r="Q9" s="541" t="s">
        <v>4160</v>
      </c>
      <c r="R9" s="523" t="s">
        <v>4157</v>
      </c>
      <c r="S9" s="524" t="s">
        <v>4160</v>
      </c>
      <c r="T9" s="523" t="s">
        <v>4157</v>
      </c>
      <c r="U9" s="524" t="s">
        <v>4160</v>
      </c>
      <c r="V9" s="523" t="s">
        <v>4157</v>
      </c>
      <c r="W9" s="524" t="s">
        <v>4160</v>
      </c>
      <c r="X9" s="523" t="s">
        <v>4157</v>
      </c>
      <c r="Y9" s="524" t="s">
        <v>4160</v>
      </c>
    </row>
    <row r="10" spans="1:25" x14ac:dyDescent="0.25">
      <c r="A10" s="528"/>
      <c r="B10" s="528" t="s">
        <v>4306</v>
      </c>
      <c r="C10" s="531">
        <f>COUNTIFS('C1'!$D:$D,"&lt;&gt;MN",'C1'!$CL:$CL,$A$9,'C1'!$CM:$CM,B10)</f>
        <v>40</v>
      </c>
      <c r="D10" s="532">
        <f>SUMIFS('C1'!$O:$O,'C1'!$D:$D,"&lt;&gt;MN",'C1'!$CL:$CL,$A$9,'C1'!$CM:$CM,B10)</f>
        <v>3635.5242999999996</v>
      </c>
      <c r="F10" s="528"/>
      <c r="G10" s="528" t="s">
        <v>4306</v>
      </c>
      <c r="H10" s="542">
        <f>COUNTIFS('C1'!$D:$D,"&lt;&gt;MN",'C1'!$CL:$CL,$A$9,'C1'!$CM:$CM,G10,'C1'!$L:$L,AGEING!$H$2)</f>
        <v>6</v>
      </c>
      <c r="I10" s="543">
        <f>SUMIFS('C1'!$O:$O,'C1'!$D:$D,"&lt;&gt;MN",'C1'!$CL:$CL,$A$9,'C1'!$CM:$CM,G10,'C1'!$L:$L,AGEING!$H$2)</f>
        <v>331.71</v>
      </c>
      <c r="J10" s="542">
        <f>COUNTIFS('C1'!$D:$D,"&lt;&gt;MN",'C1'!$CL:$CL,$F$9,'C1'!$CM:$CM,G10,'C1'!$L:$L,AGEING!$J$2)</f>
        <v>14</v>
      </c>
      <c r="K10" s="543">
        <f>SUMIFS('C1'!$O:$O,'C1'!$D:$D,"&lt;&gt;MN",'C1'!$CL:$CL,$F$9,'C1'!$CM:$CM,G10,'C1'!$L:$L,AGEING!$J$2)</f>
        <v>1299.2793999999999</v>
      </c>
      <c r="L10" s="542">
        <f>COUNTIFS('C1'!$D:$D,"&lt;&gt;MN",'C1'!$CL:$CL,$F$9,'C1'!$CM:$CM,G10,'C1'!$L:$L,AGEING!$L$2)</f>
        <v>8</v>
      </c>
      <c r="M10" s="543">
        <f>SUMIFS('C1'!$O:$O,'C1'!$D:$D,"&lt;&gt;MN",'C1'!$CL:$CL,$F$9,'C1'!$CM:$CM,G10,'C1'!$L:$L,AGEING!$L$2)</f>
        <v>743.63999999999987</v>
      </c>
      <c r="N10" s="674">
        <f>COUNTIFS('C1'!$D:$D,"&lt;&gt;MN",'C1'!$CL:$CL,$F$9,'C1'!$CM:$CM,G10,'C1'!$L:$L,AGEING!$N$2)</f>
        <v>7</v>
      </c>
      <c r="O10" s="685">
        <f>SUMIFS('C1'!$O:$O,'C1'!$D:$D,"&lt;&gt;MN",'C1'!$CL:$CL,$F$9,'C1'!$CM:$CM,G10,'C1'!$L:$L,AGEING!$P$2)</f>
        <v>835.05050000000006</v>
      </c>
      <c r="P10" s="674">
        <f>COUNTIFS('C1'!$D:$D,"&lt;&gt;MN",'C1'!$CL:$CL,$F$9,'C1'!$CM:$CM,G10,'C1'!$L:$L,AGEING!$P$2)</f>
        <v>5</v>
      </c>
      <c r="Q10" s="685">
        <f>SUMIFS('C1'!$O:$O,'C1'!$D:$D,"&lt;&gt;MN",'C1'!$CL:$CL,$F$9,'C1'!$CM:$CM,G10,'C1'!$L:$L,AGEING!$P$2)</f>
        <v>835.05050000000006</v>
      </c>
      <c r="R10" s="675">
        <f>COUNTIFS('C1'!$D:$D,"&lt;&gt;MN",'C1'!$CL:$CL,$F$9,'C1'!$CM:$CM,G10,'C1'!$L:$L,AGEING!$R$2)</f>
        <v>0</v>
      </c>
      <c r="S10" s="684">
        <f>SUMIFS('C1'!$O:$O,'C1'!$D:$D,"&lt;&gt;MN",'C1'!$CL:$CL,$F$9,'C1'!$CM:$CM,G10,'C1'!$L:$L,AGEING!$R$2)</f>
        <v>0</v>
      </c>
      <c r="T10" s="675">
        <f>COUNTIFS('C1'!$D:$D,"&lt;&gt;MN",'C1'!$CL:$CL,$F$9,'C1'!$CM:$CM,G10,'C1'!$L:$L,AGEING!$T$2)</f>
        <v>0</v>
      </c>
      <c r="U10" s="684">
        <f>SUMIFS('C1'!$O:$O,'C1'!$D:$D,"&lt;&gt;MN",'C1'!$CL:$CL,$F$9,'C1'!$CM:$CM,G10,'C1'!$L:$L,AGEING!$T$2)</f>
        <v>0</v>
      </c>
      <c r="V10" s="675">
        <f>COUNTIFS('C1'!$D:$D,"&lt;&gt;MN",'C1'!$CL:$CL,$F$9,'C1'!$CM:$CM,G10,'C1'!$L:$L,AGEING!$V$2)</f>
        <v>0</v>
      </c>
      <c r="W10" s="684">
        <f>SUMIFS('C1'!$O:$O,'C1'!$D:$D,"&lt;&gt;MN",'C1'!$CL:$CL,$F$9,'C1'!$CM:$CM,G10,'C1'!$L:$L,AGEING!$V$2)</f>
        <v>0</v>
      </c>
      <c r="X10" s="535">
        <f>H10+J10+L10+N10+P10+R10+T10+V10</f>
        <v>40</v>
      </c>
      <c r="Y10" s="536">
        <f>I10+K10+M10+O10+Q10+S10+U10+W10</f>
        <v>4044.7304000000004</v>
      </c>
    </row>
    <row r="11" spans="1:25" x14ac:dyDescent="0.25">
      <c r="A11" s="537"/>
      <c r="B11" s="537" t="s">
        <v>4307</v>
      </c>
      <c r="C11" s="538">
        <f>COUNTIFS('C1'!$D:$D,"&lt;&gt;MN",'C1'!$CL:$CL,$A$9,'C1'!$CM:$CM,B11)</f>
        <v>25</v>
      </c>
      <c r="D11" s="539">
        <f>SUMIFS('C1'!O:O,'C1'!$D:$D,"&lt;&gt;MN",'C1'!$CL:$CL,$A$9,'C1'!$CM:$CM,B11)</f>
        <v>2473.1154999999994</v>
      </c>
      <c r="F11" s="537"/>
      <c r="G11" s="537" t="s">
        <v>4307</v>
      </c>
      <c r="H11" s="544">
        <f>COUNTIFS('C1'!$D:$D,"&lt;&gt;MN",'C1'!$CL:$CL,$A$9,'C1'!$CM:$CM,G11,'C1'!$L:$L,AGEING!$H$2)</f>
        <v>11</v>
      </c>
      <c r="I11" s="545">
        <f>SUMIFS('C1'!$O:$O,'C1'!$D:$D,"&lt;&gt;MN",'C1'!$CL:$CL,$A$9,'C1'!$CM:$CM,G11,'C1'!$L:$L,AGEING!$H$2)</f>
        <v>690.64720000000011</v>
      </c>
      <c r="J11" s="544">
        <f>COUNTIFS('C1'!$D:$D,"&lt;&gt;MN",'C1'!$CL:$CL,$A$9,'C1'!$CM:$CM,G11,'C1'!$L:$L,AGEING!$J$2)</f>
        <v>4</v>
      </c>
      <c r="K11" s="545">
        <f>SUMIFS('C1'!$O:$O,'C1'!$D:$D,"&lt;&gt;MN",'C1'!$CL:$CL,$F$9,'C1'!$CM:$CM,G11,'C1'!$L:$L,AGEING!$J$2)</f>
        <v>296.92610000000002</v>
      </c>
      <c r="L11" s="544">
        <f>COUNTIFS('C1'!$D:$D,"&lt;&gt;MN",'C1'!$CL:$CL,$F$9,'C1'!$CM:$CM,G11,'C1'!$L:$L,AGEING!$L$2)</f>
        <v>0</v>
      </c>
      <c r="M11" s="545">
        <f>SUMIFS('C1'!$O:$O,'C1'!$D:$D,"&lt;&gt;MN",'C1'!$CL:$CL,$F$9,'C1'!$CM:$CM,G11,'C1'!$L:$L,AGEING!$L$2)</f>
        <v>0</v>
      </c>
      <c r="N11" s="676">
        <f>COUNTIFS('C1'!$D:$D,"&lt;&gt;MN",'C1'!$CL:$CL,$F$9,'C1'!$CM:$CM,G11,'C1'!$L:$L,AGEING!$N$2)</f>
        <v>8</v>
      </c>
      <c r="O11" s="687">
        <f>SUMIFS('C1'!$O:$O,'C1'!$D:$D,"&lt;&gt;MN",'C1'!$CL:$CL,$F$9,'C1'!$CM:$CM,G11,'C1'!$L:$L,AGEING!$P$2)</f>
        <v>35.189500000000002</v>
      </c>
      <c r="P11" s="676">
        <f>COUNTIFS('C1'!$D:$D,"&lt;&gt;MN",'C1'!$CL:$CL,$F$9,'C1'!$CM:$CM,G11,'C1'!$L:$L,AGEING!$P$2)</f>
        <v>1</v>
      </c>
      <c r="Q11" s="687">
        <f>SUMIFS('C1'!$O:$O,'C1'!$D:$D,"&lt;&gt;MN",'C1'!$CL:$CL,$F$9,'C1'!$CM:$CM,G11,'C1'!$L:$L,AGEING!$P$2)</f>
        <v>35.189500000000002</v>
      </c>
      <c r="R11" s="677">
        <f>COUNTIFS('C1'!$D:$D,"&lt;&gt;MN",'C1'!$CL:$CL,$F$9,'C1'!$CM:$CM,G11,'C1'!$L:$L,AGEING!$R$2)</f>
        <v>0</v>
      </c>
      <c r="S11" s="686">
        <f>SUMIFS('C1'!$O:$O,'C1'!$D:$D,"&lt;&gt;MN",'C1'!$CL:$CL,$F$9,'C1'!$CM:$CM,G11,'C1'!$L:$L,AGEING!$R$2)</f>
        <v>0</v>
      </c>
      <c r="T11" s="677">
        <f>COUNTIFS('C1'!$D:$D,"&lt;&gt;MN",'C1'!$CL:$CL,$F$9,'C1'!$CM:$CM,G11,'C1'!$L:$L,AGEING!$T$2)</f>
        <v>1</v>
      </c>
      <c r="U11" s="686">
        <f>SUMIFS('C1'!$O:$O,'C1'!$D:$D,"&lt;&gt;MN",'C1'!$CL:$CL,$F$9,'C1'!$CM:$CM,G11,'C1'!$L:$L,AGEING!$T$2)</f>
        <v>30.6</v>
      </c>
      <c r="V11" s="675">
        <f>COUNTIFS('C1'!$D:$D,"&lt;&gt;MN",'C1'!$CL:$CL,$F$9,'C1'!$CM:$CM,G11,'C1'!$L:$L,AGEING!$V$2)</f>
        <v>0</v>
      </c>
      <c r="W11" s="684">
        <f>SUMIFS('C1'!$O:$O,'C1'!$D:$D,"&lt;&gt;MN",'C1'!$CL:$CL,$F$9,'C1'!$CM:$CM,G11,'C1'!$L:$L,AGEING!$V$2)</f>
        <v>0</v>
      </c>
      <c r="X11" s="535">
        <f t="shared" ref="X11:X13" si="4">H11+J11+L11+N11+P11+R11+T11+V11</f>
        <v>25</v>
      </c>
      <c r="Y11" s="536">
        <f t="shared" ref="Y11:Y13" si="5">I11+K11+M11+O11+Q11+S11+U11+W11</f>
        <v>1088.5523000000001</v>
      </c>
    </row>
    <row r="12" spans="1:25" x14ac:dyDescent="0.25">
      <c r="A12" s="537"/>
      <c r="B12" s="537" t="s">
        <v>4308</v>
      </c>
      <c r="C12" s="538">
        <f>COUNTIFS('C1'!$D:$D,"&lt;&gt;MN",'C1'!$CL:$CL,$A$9,'C1'!$CM:$CM,B12)</f>
        <v>17</v>
      </c>
      <c r="D12" s="539">
        <f>SUMIFS('C1'!O:O,'C1'!$D:$D,"&lt;&gt;MN",'C1'!$CL:$CL,$A$9,'C1'!$CM:$CM,B12)</f>
        <v>1257.9633800000001</v>
      </c>
      <c r="F12" s="537"/>
      <c r="G12" s="537" t="s">
        <v>4308</v>
      </c>
      <c r="H12" s="544">
        <f>COUNTIFS('C1'!$D:$D,"&lt;&gt;MN",'C1'!$CL:$CL,$A$9,'C1'!$CM:$CM,G12,'C1'!$L:$L,AGEING!$H$2)</f>
        <v>7</v>
      </c>
      <c r="I12" s="545">
        <f>SUMIFS('C1'!$O:$O,'C1'!$D:$D,"&lt;&gt;MN",'C1'!$CL:$CL,$A$9,'C1'!$CM:$CM,G12,'C1'!$L:$L,AGEING!$H$2)</f>
        <v>685.86837999999989</v>
      </c>
      <c r="J12" s="544">
        <f>COUNTIFS('C1'!$D:$D,"&lt;&gt;MN",'C1'!$CL:$CL,$A$9,'C1'!$CM:$CM,G12,'C1'!$L:$L,AGEING!$J$2)</f>
        <v>5</v>
      </c>
      <c r="K12" s="545">
        <f>SUMIFS('C1'!$O:$O,'C1'!$D:$D,"&lt;&gt;MN",'C1'!$CL:$CL,$F$9,'C1'!$CM:$CM,G12,'C1'!$L:$L,AGEING!$J$2)</f>
        <v>307.83580000000001</v>
      </c>
      <c r="L12" s="544">
        <f>COUNTIFS('C1'!$D:$D,"&lt;&gt;MN",'C1'!$CL:$CL,$F$9,'C1'!$CM:$CM,G12,'C1'!$L:$L,AGEING!$L$2)</f>
        <v>0</v>
      </c>
      <c r="M12" s="545">
        <f>SUMIFS('C1'!$O:$O,'C1'!$D:$D,"&lt;&gt;MN",'C1'!$CL:$CL,$F$9,'C1'!$CM:$CM,G12,'C1'!$L:$L,AGEING!$L$2)</f>
        <v>0</v>
      </c>
      <c r="N12" s="676">
        <f>COUNTIFS('C1'!$D:$D,"&lt;&gt;MN",'C1'!$CL:$CL,$F$9,'C1'!$CM:$CM,G12,'C1'!$L:$L,AGEING!$N$2)</f>
        <v>3</v>
      </c>
      <c r="O12" s="687">
        <f>SUMIFS('C1'!$O:$O,'C1'!$D:$D,"&lt;&gt;MN",'C1'!$CL:$CL,$F$9,'C1'!$CM:$CM,G12,'C1'!$L:$L,AGEING!$P$2)</f>
        <v>32.880299999999998</v>
      </c>
      <c r="P12" s="676">
        <f>COUNTIFS('C1'!$D:$D,"&lt;&gt;MN",'C1'!$CL:$CL,$F$9,'C1'!$CM:$CM,G12,'C1'!$L:$L,AGEING!$P$2)</f>
        <v>1</v>
      </c>
      <c r="Q12" s="687">
        <f>SUMIFS('C1'!$O:$O,'C1'!$D:$D,"&lt;&gt;MN",'C1'!$CL:$CL,$F$9,'C1'!$CM:$CM,G12,'C1'!$L:$L,AGEING!$P$2)</f>
        <v>32.880299999999998</v>
      </c>
      <c r="R12" s="677">
        <f>COUNTIFS('C1'!$D:$D,"&lt;&gt;MN",'C1'!$CL:$CL,$F$9,'C1'!$CM:$CM,G12,'C1'!$L:$L,AGEING!$R$2)</f>
        <v>1</v>
      </c>
      <c r="S12" s="686">
        <f>SUMIFS('C1'!$O:$O,'C1'!$D:$D,"&lt;&gt;MN",'C1'!$CL:$CL,$F$9,'C1'!$CM:$CM,G12,'C1'!$L:$L,AGEING!$R$2)</f>
        <v>6.77</v>
      </c>
      <c r="T12" s="677">
        <f>COUNTIFS('C1'!$D:$D,"&lt;&gt;MN",'C1'!$CL:$CL,$F$9,'C1'!$CM:$CM,G12,'C1'!$L:$L,AGEING!$T$2)</f>
        <v>0</v>
      </c>
      <c r="U12" s="686">
        <f>SUMIFS('C1'!$O:$O,'C1'!$D:$D,"&lt;&gt;MN",'C1'!$CL:$CL,$F$9,'C1'!$CM:$CM,G12,'C1'!$L:$L,AGEING!$T$2)</f>
        <v>0</v>
      </c>
      <c r="V12" s="675">
        <f>COUNTIFS('C1'!$D:$D,"&lt;&gt;MN",'C1'!$CL:$CL,$F$9,'C1'!$CM:$CM,G12,'C1'!$L:$L,AGEING!$V$2)</f>
        <v>0</v>
      </c>
      <c r="W12" s="684">
        <f>SUMIFS('C1'!$O:$O,'C1'!$D:$D,"&lt;&gt;MN",'C1'!$CL:$CL,$F$9,'C1'!$CM:$CM,G12,'C1'!$L:$L,AGEING!$V$2)</f>
        <v>0</v>
      </c>
      <c r="X12" s="535">
        <f t="shared" si="4"/>
        <v>17</v>
      </c>
      <c r="Y12" s="536">
        <f t="shared" si="5"/>
        <v>1066.23478</v>
      </c>
    </row>
    <row r="13" spans="1:25" x14ac:dyDescent="0.25">
      <c r="A13" s="537"/>
      <c r="B13" s="537" t="s">
        <v>4309</v>
      </c>
      <c r="C13" s="538">
        <f>COUNTIFS('C1'!$D:$D,"&lt;&gt;MN",'C1'!$CL:$CL,$A$9,'C1'!$CM:$CM,B13)</f>
        <v>37</v>
      </c>
      <c r="D13" s="539">
        <f>SUMIFS('C1'!O:O,'C1'!$D:$D,"&lt;&gt;MN",'C1'!$CL:$CL,$A$9,'C1'!$CM:$CM,B13)</f>
        <v>5584.9624499999991</v>
      </c>
      <c r="F13" s="537"/>
      <c r="G13" s="537" t="s">
        <v>4309</v>
      </c>
      <c r="H13" s="544">
        <f>COUNTIFS('C1'!$D:$D,"&lt;&gt;MN",'C1'!$CL:$CL,$A$9,'C1'!$CM:$CM,G13,'C1'!$L:$L,AGEING!$H$2)</f>
        <v>8</v>
      </c>
      <c r="I13" s="545">
        <f>SUMIFS('C1'!$O:$O,'C1'!$D:$D,"&lt;&gt;MN",'C1'!$CL:$CL,$A$9,'C1'!$CM:$CM,G13,'C1'!$L:$L,AGEING!$H$2)</f>
        <v>1570.0638999999992</v>
      </c>
      <c r="J13" s="544">
        <f>COUNTIFS('C1'!$D:$D,"&lt;&gt;MN",'C1'!$CL:$CL,$A$9,'C1'!$CM:$CM,G13,'C1'!$L:$L,AGEING!$J$2)</f>
        <v>14</v>
      </c>
      <c r="K13" s="545">
        <f>SUMIFS('C1'!$O:$O,'C1'!$D:$D,"&lt;&gt;MN",'C1'!$CL:$CL,$F$9,'C1'!$CM:$CM,G13,'C1'!$L:$L,AGEING!$J$2)</f>
        <v>2755.689249999999</v>
      </c>
      <c r="L13" s="544">
        <f>COUNTIFS('C1'!$D:$D,"&lt;&gt;MN",'C1'!$CL:$CL,$F$9,'C1'!$CM:$CM,G13,'C1'!$L:$L,AGEING!$L$2)</f>
        <v>5</v>
      </c>
      <c r="M13" s="545">
        <f>SUMIFS('C1'!$O:$O,'C1'!$D:$D,"&lt;&gt;MN",'C1'!$CL:$CL,$F$9,'C1'!$CM:$CM,G13,'C1'!$L:$L,AGEING!$L$2)</f>
        <v>470.39859999999999</v>
      </c>
      <c r="N13" s="676">
        <f>COUNTIFS('C1'!$D:$D,"&lt;&gt;MN",'C1'!$CL:$CL,$F$9,'C1'!$CM:$CM,G13,'C1'!$L:$L,AGEING!$N$2)</f>
        <v>4</v>
      </c>
      <c r="O13" s="687">
        <f>SUMIFS('C1'!$O:$O,'C1'!$D:$D,"&lt;&gt;MN",'C1'!$CL:$CL,$F$9,'C1'!$CM:$CM,G13,'C1'!$L:$L,AGEING!$P$2)</f>
        <v>340.81459999999993</v>
      </c>
      <c r="P13" s="676">
        <f>COUNTIFS('C1'!$D:$D,"&lt;&gt;MN",'C1'!$CL:$CL,$F$9,'C1'!$CM:$CM,G13,'C1'!$L:$L,AGEING!$P$2)</f>
        <v>5</v>
      </c>
      <c r="Q13" s="687">
        <f>SUMIFS('C1'!$O:$O,'C1'!$D:$D,"&lt;&gt;MN",'C1'!$CL:$CL,$F$9,'C1'!$CM:$CM,G13,'C1'!$L:$L,AGEING!$P$2)</f>
        <v>340.81459999999993</v>
      </c>
      <c r="R13" s="677">
        <f>COUNTIFS('C1'!$D:$D,"&lt;&gt;MN",'C1'!$CL:$CL,$F$9,'C1'!$CM:$CM,G13,'C1'!$L:$L,AGEING!$R$2)</f>
        <v>0</v>
      </c>
      <c r="S13" s="686">
        <f>SUMIFS('C1'!$O:$O,'C1'!$D:$D,"&lt;&gt;MN",'C1'!$CL:$CL,$F$9,'C1'!$CM:$CM,G13,'C1'!$L:$L,AGEING!$R$2)</f>
        <v>0</v>
      </c>
      <c r="T13" s="677">
        <f>COUNTIFS('C1'!$D:$D,"&lt;&gt;MN",'C1'!$CL:$CL,$F$9,'C1'!$CM:$CM,G13,'C1'!$L:$L,AGEING!$T$2)</f>
        <v>0</v>
      </c>
      <c r="U13" s="686">
        <f>SUMIFS('C1'!$O:$O,'C1'!$D:$D,"&lt;&gt;MN",'C1'!$CL:$CL,$F$9,'C1'!$CM:$CM,G13,'C1'!$L:$L,AGEING!$T$2)</f>
        <v>0</v>
      </c>
      <c r="V13" s="675">
        <f>COUNTIFS('C1'!$D:$D,"&lt;&gt;MN",'C1'!$CL:$CL,$F$9,'C1'!$CM:$CM,G13,'C1'!$L:$L,AGEING!$V$2)</f>
        <v>0</v>
      </c>
      <c r="W13" s="684">
        <f>SUMIFS('C1'!$O:$O,'C1'!$D:$D,"&lt;&gt;MN",'C1'!$CL:$CL,$F$9,'C1'!$CM:$CM,G13,'C1'!$L:$L,AGEING!$V$2)</f>
        <v>0</v>
      </c>
      <c r="X13" s="535">
        <f t="shared" si="4"/>
        <v>36</v>
      </c>
      <c r="Y13" s="536">
        <f t="shared" si="5"/>
        <v>5477.7809499999985</v>
      </c>
    </row>
    <row r="14" spans="1:25" x14ac:dyDescent="0.25">
      <c r="A14" s="528"/>
      <c r="B14" s="528"/>
      <c r="C14" s="529">
        <f>SUM(C10:C13)</f>
        <v>119</v>
      </c>
      <c r="D14" s="530">
        <f>SUM(D10:D13)</f>
        <v>12951.565629999997</v>
      </c>
      <c r="E14" s="562"/>
      <c r="F14" s="528"/>
      <c r="G14" s="528"/>
      <c r="H14" s="550">
        <f t="shared" ref="H14:Q14" si="6">SUM(H10:H13)</f>
        <v>32</v>
      </c>
      <c r="I14" s="551">
        <f t="shared" si="6"/>
        <v>3278.2894799999995</v>
      </c>
      <c r="J14" s="550">
        <f t="shared" si="6"/>
        <v>37</v>
      </c>
      <c r="K14" s="551">
        <f t="shared" si="6"/>
        <v>4659.7305499999993</v>
      </c>
      <c r="L14" s="550">
        <f t="shared" si="6"/>
        <v>13</v>
      </c>
      <c r="M14" s="551">
        <f t="shared" si="6"/>
        <v>1214.0385999999999</v>
      </c>
      <c r="N14" s="680">
        <f t="shared" si="6"/>
        <v>22</v>
      </c>
      <c r="O14" s="682">
        <f t="shared" si="6"/>
        <v>1243.9349</v>
      </c>
      <c r="P14" s="680">
        <f t="shared" si="6"/>
        <v>12</v>
      </c>
      <c r="Q14" s="682">
        <f t="shared" si="6"/>
        <v>1243.9349</v>
      </c>
      <c r="R14" s="683">
        <f>COUNTIFS('C1'!$D:$D,"&lt;&gt;MN",'C1'!$CL:$CL,$F$9,'C1'!$CM:$CM,G14,'C1'!$L:$L,AGEING!$R$2)</f>
        <v>0</v>
      </c>
      <c r="S14" s="688">
        <f>SUMIFS('C1'!$O:$O,'C1'!$D:$D,"&lt;&gt;MN",'C1'!$CL:$CL,$F$9,'C1'!$CM:$CM,G14,'C1'!$L:$L,AGEING!$R$2)</f>
        <v>0</v>
      </c>
      <c r="T14" s="681">
        <f>SUM(T10:T13)</f>
        <v>1</v>
      </c>
      <c r="U14" s="534">
        <f>SUM(U10:U13)</f>
        <v>30.6</v>
      </c>
      <c r="V14" s="683">
        <f>COUNTIFS('C1'!$D:$D,"&lt;&gt;MN",'C1'!$CL:$CL,$F$9,'C1'!$CM:$CM,K14,'C1'!$L:$L,AGEING!$R$2)</f>
        <v>0</v>
      </c>
      <c r="W14" s="688">
        <f>SUMIFS('C1'!$O:$O,'C1'!$D:$D,"&lt;&gt;MN",'C1'!$CL:$CL,$F$9,'C1'!$CM:$CM,K14,'C1'!$L:$L,AGEING!$R$2)</f>
        <v>0</v>
      </c>
      <c r="X14" s="533">
        <f>H14+J14+L14+N14+P14+R14+T14</f>
        <v>117</v>
      </c>
      <c r="Y14" s="534">
        <f>I14+K14+M14+O14+Q14+S14+U14</f>
        <v>11670.52843</v>
      </c>
    </row>
    <row r="15" spans="1:25" ht="15.75" thickBot="1" x14ac:dyDescent="0.3">
      <c r="A15" s="1220" t="s">
        <v>4109</v>
      </c>
      <c r="B15" s="1221"/>
      <c r="C15" s="519">
        <f>SUM(C4:C7,C10:C13)</f>
        <v>233</v>
      </c>
      <c r="D15" s="520">
        <f>SUM(D4:D7,D10:D13)</f>
        <v>29927.848369999996</v>
      </c>
      <c r="E15" s="563"/>
      <c r="H15" s="546">
        <f t="shared" ref="H15:U15" si="7">SUM(H4:H7,H10:H13)</f>
        <v>61</v>
      </c>
      <c r="I15" s="547">
        <f t="shared" si="7"/>
        <v>8298.5740399999995</v>
      </c>
      <c r="J15" s="546">
        <f t="shared" si="7"/>
        <v>60</v>
      </c>
      <c r="K15" s="547">
        <f t="shared" si="7"/>
        <v>8800.6440499999972</v>
      </c>
      <c r="L15" s="546">
        <f t="shared" si="7"/>
        <v>24</v>
      </c>
      <c r="M15" s="547">
        <f t="shared" si="7"/>
        <v>2491.3089</v>
      </c>
      <c r="N15" s="546">
        <f t="shared" si="7"/>
        <v>45</v>
      </c>
      <c r="O15" s="547">
        <f t="shared" si="7"/>
        <v>3595.3077000000003</v>
      </c>
      <c r="P15" s="546">
        <f t="shared" si="7"/>
        <v>31</v>
      </c>
      <c r="Q15" s="547">
        <f t="shared" si="7"/>
        <v>4091.5674799999997</v>
      </c>
      <c r="R15" s="519">
        <f t="shared" si="7"/>
        <v>2</v>
      </c>
      <c r="S15" s="520">
        <f t="shared" si="7"/>
        <v>83.13</v>
      </c>
      <c r="T15" s="519">
        <f t="shared" si="7"/>
        <v>3</v>
      </c>
      <c r="U15" s="520">
        <f t="shared" si="7"/>
        <v>69.67</v>
      </c>
      <c r="V15" s="519">
        <f t="shared" ref="V15:W15" si="8">SUM(V4:V7,V10:V13)</f>
        <v>5</v>
      </c>
      <c r="W15" s="520">
        <f t="shared" si="8"/>
        <v>1210.1090000000002</v>
      </c>
      <c r="X15" s="519">
        <f>H15+J15+L15+N15+P15+R15+T15+V15</f>
        <v>231</v>
      </c>
      <c r="Y15" s="520">
        <f>I15+K15+M15+O15+Q15+S15+U15+W15</f>
        <v>28640.311169999994</v>
      </c>
    </row>
    <row r="17" spans="1:20" s="612" customFormat="1" x14ac:dyDescent="0.25">
      <c r="C17" s="613"/>
      <c r="D17" s="614"/>
      <c r="E17" s="615"/>
      <c r="I17" s="616">
        <v>45658</v>
      </c>
      <c r="K17" s="614"/>
      <c r="M17" s="614"/>
      <c r="O17" s="614"/>
      <c r="Q17" s="614"/>
    </row>
    <row r="18" spans="1:20" x14ac:dyDescent="0.25">
      <c r="A18" s="352" t="s">
        <v>4310</v>
      </c>
      <c r="I18" s="363" t="s">
        <v>4311</v>
      </c>
    </row>
    <row r="19" spans="1:20" ht="18.75" x14ac:dyDescent="0.3">
      <c r="A19" s="556" t="s">
        <v>4164</v>
      </c>
      <c r="B19" s="556"/>
      <c r="C19" s="556"/>
      <c r="D19" s="556"/>
      <c r="E19" s="564"/>
      <c r="G19" s="666" t="s">
        <v>4312</v>
      </c>
      <c r="H19" s="628"/>
      <c r="I19" s="663" t="s">
        <v>4313</v>
      </c>
      <c r="J19" s="628"/>
      <c r="K19" s="663"/>
      <c r="L19" s="628"/>
      <c r="M19" s="663"/>
      <c r="N19" s="628"/>
      <c r="O19" s="663"/>
      <c r="P19" s="628"/>
      <c r="Q19" s="663"/>
      <c r="R19" s="628"/>
      <c r="S19" s="628"/>
      <c r="T19" s="628"/>
    </row>
    <row r="20" spans="1:20" x14ac:dyDescent="0.25">
      <c r="A20" s="568"/>
      <c r="B20" s="553" t="s">
        <v>234</v>
      </c>
      <c r="C20" s="554" t="s">
        <v>284</v>
      </c>
      <c r="D20" s="555" t="s">
        <v>320</v>
      </c>
      <c r="E20" s="565"/>
      <c r="G20" s="664" t="s">
        <v>4314</v>
      </c>
      <c r="H20" s="628"/>
      <c r="I20" s="663"/>
      <c r="J20" s="628"/>
      <c r="K20" s="663"/>
      <c r="L20" s="628"/>
      <c r="M20" s="663"/>
      <c r="N20" s="628"/>
      <c r="O20" s="663"/>
      <c r="P20" s="628"/>
      <c r="Q20" s="663"/>
      <c r="R20" s="628"/>
      <c r="S20" s="628"/>
      <c r="T20" s="628"/>
    </row>
    <row r="21" spans="1:20" ht="15.75" thickBot="1" x14ac:dyDescent="0.3">
      <c r="A21" s="271" t="s">
        <v>4306</v>
      </c>
      <c r="B21" s="280">
        <f>COUNTIFS('C1'!$D:$D,"&lt;&gt;MN",'C1'!$CL:$CL,$A$3,'C1'!$CM:$CM,A21,'C1'!$D:$D,$B$20)</f>
        <v>10</v>
      </c>
      <c r="C21" s="275">
        <f>COUNTIFS('C1'!$D:$D,"&lt;&gt;MN",'C1'!$CL:$CL,$A$3,'C1'!$CM:$CM,A21,'C1'!$D:$D,$C$20)</f>
        <v>24</v>
      </c>
      <c r="D21" s="557">
        <f>COUNTIFS('C1'!$D:$D,"&lt;&gt;MN",'C1'!$CL:$CL,$A$3,'C1'!$CM:$CM,A21,'C1'!$D:$D,$D$20)</f>
        <v>37</v>
      </c>
      <c r="E21" s="566"/>
      <c r="G21" s="628"/>
      <c r="H21" s="628"/>
      <c r="I21" s="663"/>
      <c r="J21" s="628"/>
      <c r="K21" s="663"/>
      <c r="L21" s="628"/>
      <c r="M21" s="663"/>
      <c r="N21" s="628"/>
      <c r="O21" s="663"/>
      <c r="P21" s="628"/>
      <c r="Q21" s="663"/>
      <c r="R21" s="628"/>
      <c r="S21" s="628"/>
      <c r="T21" s="628"/>
    </row>
    <row r="22" spans="1:20" ht="15.75" thickBot="1" x14ac:dyDescent="0.3">
      <c r="A22" s="271" t="s">
        <v>4307</v>
      </c>
      <c r="B22" s="280">
        <f>COUNTIFS('C1'!$D:$D,"&lt;&gt;MN",'C1'!$CL:$CL,$A$3,'C1'!$CM:$CM,A22,'C1'!$D:$D,$B$20)</f>
        <v>5</v>
      </c>
      <c r="C22" s="275">
        <f>COUNTIFS('C1'!$D:$D,"&lt;&gt;MN",'C1'!$CL:$CL,$A$3,'C1'!$CM:$CM,A22,'C1'!$D:$D,$C$20)</f>
        <v>2</v>
      </c>
      <c r="D22" s="557">
        <f>COUNTIFS('C1'!$D:$D,"&lt;&gt;MN",'C1'!$CL:$CL,$A$3,'C1'!$CM:$CM,A22,'C1'!$D:$D,$D$20)</f>
        <v>15</v>
      </c>
      <c r="E22" s="566"/>
      <c r="G22" s="628"/>
      <c r="H22" s="667" t="s">
        <v>4090</v>
      </c>
      <c r="I22" s="1223" t="s">
        <v>4315</v>
      </c>
      <c r="J22" s="1222" t="s">
        <v>4316</v>
      </c>
      <c r="K22" s="1222"/>
      <c r="L22" s="1222"/>
      <c r="M22" s="1222"/>
      <c r="N22" s="1223" t="s">
        <v>4109</v>
      </c>
      <c r="O22" s="663"/>
      <c r="P22" s="667" t="s">
        <v>4090</v>
      </c>
      <c r="Q22" s="1216" t="s">
        <v>4315</v>
      </c>
      <c r="R22" s="1218" t="s">
        <v>4316</v>
      </c>
      <c r="S22" s="1219"/>
      <c r="T22" s="1216" t="s">
        <v>4109</v>
      </c>
    </row>
    <row r="23" spans="1:20" ht="15.75" thickBot="1" x14ac:dyDescent="0.3">
      <c r="A23" s="271" t="s">
        <v>4308</v>
      </c>
      <c r="B23" s="280">
        <f>COUNTIFS('C1'!$D:$D,"&lt;&gt;MN",'C1'!$CL:$CL,$A$3,'C1'!$CM:$CM,A23,'C1'!$D:$D,$B$20)</f>
        <v>4</v>
      </c>
      <c r="C23" s="275">
        <f>COUNTIFS('C1'!$D:$D,"&lt;&gt;MN",'C1'!$CL:$CL,$A$3,'C1'!$CM:$CM,A23,'C1'!$D:$D,$C$20)</f>
        <v>0</v>
      </c>
      <c r="D23" s="557">
        <f>COUNTIFS('C1'!$D:$D,"&lt;&gt;MN",'C1'!$CL:$CL,$A$3,'C1'!$CM:$CM,A23,'C1'!$D:$D,$D$20)</f>
        <v>7</v>
      </c>
      <c r="E23" s="566"/>
      <c r="G23" s="628"/>
      <c r="H23" s="628"/>
      <c r="I23" s="1224"/>
      <c r="J23" s="668" t="s">
        <v>4309</v>
      </c>
      <c r="K23" s="668" t="s">
        <v>4308</v>
      </c>
      <c r="L23" s="668" t="s">
        <v>4307</v>
      </c>
      <c r="M23" s="668" t="s">
        <v>4306</v>
      </c>
      <c r="N23" s="1224"/>
      <c r="O23" s="663"/>
      <c r="P23" s="628"/>
      <c r="Q23" s="1217"/>
      <c r="R23" s="721" t="s">
        <v>4317</v>
      </c>
      <c r="S23" s="722" t="s">
        <v>4318</v>
      </c>
      <c r="T23" s="1217"/>
    </row>
    <row r="24" spans="1:20" ht="14.85" customHeight="1" x14ac:dyDescent="0.25">
      <c r="A24" s="271" t="s">
        <v>4309</v>
      </c>
      <c r="B24" s="280">
        <f>COUNTIFS('C1'!$D:$D,"&lt;&gt;MN",'C1'!$CL:$CL,$A$3,'C1'!$CM:$CM,A24,'C1'!$D:$D,$B$20)</f>
        <v>2</v>
      </c>
      <c r="C24" s="275">
        <f>COUNTIFS('C1'!$D:$D,"&lt;&gt;MN",'C1'!$CL:$CL,$A$3,'C1'!$CM:$CM,A24,'C1'!$D:$D,$C$20)</f>
        <v>2</v>
      </c>
      <c r="D24" s="557">
        <f>COUNTIFS('C1'!$D:$D,"&lt;&gt;MN",'C1'!$CL:$CL,$A$3,'C1'!$CM:$CM,A24,'C1'!$D:$D,$D$20)</f>
        <v>6</v>
      </c>
      <c r="E24" s="566"/>
      <c r="G24" s="628"/>
      <c r="H24" s="664" t="s">
        <v>4154</v>
      </c>
      <c r="I24" s="669">
        <f>COUNTIFS('C1'!$AA:$AA,"",'C1'!$CL:$CL,"REV",'C1'!$W:$W,"&lt;"&amp;I17,'C1'!$D:$D,"&lt;&gt;MN",'C1'!$L:$L,"&lt;&gt;OPS")</f>
        <v>20</v>
      </c>
      <c r="J24" s="670">
        <f>COUNTIFS('C1'!$AA:$AA,"",'C1'!$CL:$CL,"REV",'C1'!$W:$W,"&gt;="&amp;$I$17,'C1'!$D:$D,"&lt;&gt;MN",'C1'!$CM:$CM,J23)</f>
        <v>0</v>
      </c>
      <c r="K24" s="670">
        <f>COUNTIFS('C1'!$AA:$AA,"",'C1'!$CL:$CL,"REV",'C1'!$W:$W,"&gt;="&amp;$I$17,'C1'!$D:$D,"&lt;&gt;MN",'C1'!$CM:$CM,K23)</f>
        <v>1</v>
      </c>
      <c r="L24" s="670">
        <f>COUNTIFS('C1'!$AA:$AA,"",'C1'!$CL:$CL,"REV",'C1'!$W:$W,"&gt;="&amp;$I$17,'C1'!$D:$D,"&lt;&gt;MN",'C1'!$CM:$CM,L23)</f>
        <v>22</v>
      </c>
      <c r="M24" s="670">
        <f>COUNTIFS('C1'!$AA:$AA,"",'C1'!$CL:$CL,"REV",'C1'!$W:$W,"&gt;="&amp;$I$17,'C1'!$D:$D,"&lt;&gt;MN",'C1'!$CM:$CM,M23)</f>
        <v>71</v>
      </c>
      <c r="N24" s="668">
        <f>SUM(I24:M24)</f>
        <v>114</v>
      </c>
      <c r="O24" s="663"/>
      <c r="P24" s="664" t="s">
        <v>4154</v>
      </c>
      <c r="Q24" s="723">
        <f>COUNTIFS('C1'!$AA:$AA,"",'C1'!$CL:$CL,"REV",'C1'!$W:$W,"&lt;"&amp;I17,'C1'!$D:$D,"&lt;&gt;MN")</f>
        <v>20</v>
      </c>
      <c r="R24" s="724">
        <f>J24+K24+L24</f>
        <v>23</v>
      </c>
      <c r="S24" s="725">
        <f>M24</f>
        <v>71</v>
      </c>
      <c r="T24" s="726">
        <f>SUM(Q24:S24)</f>
        <v>114</v>
      </c>
    </row>
    <row r="25" spans="1:20" ht="15" customHeight="1" thickBot="1" x14ac:dyDescent="0.3">
      <c r="A25" s="569"/>
      <c r="B25" s="570">
        <f>SUM(B21:B24)</f>
        <v>21</v>
      </c>
      <c r="C25" s="552">
        <f t="shared" ref="C25:D25" si="9">SUM(C21:C24)</f>
        <v>28</v>
      </c>
      <c r="D25" s="552">
        <f t="shared" si="9"/>
        <v>65</v>
      </c>
      <c r="E25" s="567"/>
      <c r="G25" s="628"/>
      <c r="H25" s="664" t="s">
        <v>4155</v>
      </c>
      <c r="I25" s="669">
        <f>COUNTIFS('C1'!$AA:$AA,"",'C1'!$CL:$CL,"NON-REV",'C1'!$W:$W,"&lt;"&amp;I17,'C1'!$D:$D,"&lt;&gt;MN")</f>
        <v>49</v>
      </c>
      <c r="J25" s="670">
        <f>COUNTIFS('C1'!$AA:$AA,"",'C1'!$CL:$CL,"NON-REV",'C1'!$W:$W,"&gt;="&amp;$I$17,'C1'!$D:$D,"&lt;&gt;MN",'C1'!$CM:$CM,J23)</f>
        <v>0</v>
      </c>
      <c r="K25" s="670">
        <f>COUNTIFS('C1'!$AA:$AA,"",'C1'!$CL:$CL,"NON-REV",'C1'!$W:$W,"&gt;="&amp;$I$17,'C1'!$D:$D,"&lt;&gt;MN",'C1'!$CM:$CM,K23)</f>
        <v>5</v>
      </c>
      <c r="L25" s="670">
        <f>COUNTIFS('C1'!$AA:$AA,"",'C1'!$CL:$CL,"NON-REV",'C1'!$W:$W,"&gt;="&amp;$I$17,'C1'!$D:$D,"&lt;&gt;MN",'C1'!$CM:$CM,L23)</f>
        <v>25</v>
      </c>
      <c r="M25" s="670">
        <f>COUNTIFS('C1'!$AA:$AA,"",'C1'!$CL:$CL,"NON-REV",'C1'!$W:$W,"&gt;="&amp;$I$17,'C1'!$D:$D,"&lt;&gt;MN",'C1'!$CM:$CM,M23)</f>
        <v>40</v>
      </c>
      <c r="N25" s="668">
        <f>SUM(I25:M25)</f>
        <v>119</v>
      </c>
      <c r="O25" s="663"/>
      <c r="P25" s="664" t="s">
        <v>4155</v>
      </c>
      <c r="Q25" s="727">
        <f>COUNTIFS('C1'!$AA:$AA,"",'C1'!$CL:$CL,"NON-REV",'C1'!$W:$W,"&lt;"&amp;I17,'C1'!$D:$D,"&lt;&gt;MN")</f>
        <v>49</v>
      </c>
      <c r="R25" s="728">
        <f>J25+K25+L25</f>
        <v>30</v>
      </c>
      <c r="S25" s="729">
        <f>M25</f>
        <v>40</v>
      </c>
      <c r="T25" s="730">
        <f>SUM(Q25:S25)</f>
        <v>119</v>
      </c>
    </row>
    <row r="26" spans="1:20" ht="15.75" thickBot="1" x14ac:dyDescent="0.3">
      <c r="A26" s="556" t="s">
        <v>4165</v>
      </c>
      <c r="B26" s="556"/>
      <c r="C26" s="556"/>
      <c r="D26" s="556"/>
      <c r="E26" s="564"/>
      <c r="G26" s="628"/>
      <c r="H26" s="664" t="s">
        <v>4109</v>
      </c>
      <c r="I26" s="671">
        <f t="shared" ref="I26:N26" si="10">SUM(I24:I25)</f>
        <v>69</v>
      </c>
      <c r="J26" s="670">
        <f t="shared" si="10"/>
        <v>0</v>
      </c>
      <c r="K26" s="670">
        <f t="shared" si="10"/>
        <v>6</v>
      </c>
      <c r="L26" s="670">
        <f t="shared" si="10"/>
        <v>47</v>
      </c>
      <c r="M26" s="670">
        <f t="shared" si="10"/>
        <v>111</v>
      </c>
      <c r="N26" s="670">
        <f t="shared" si="10"/>
        <v>233</v>
      </c>
      <c r="O26" s="663"/>
      <c r="P26" s="664" t="s">
        <v>4109</v>
      </c>
      <c r="Q26" s="731">
        <f>SUM(Q24:Q25)</f>
        <v>69</v>
      </c>
      <c r="R26" s="731">
        <f>SUM(R24:R25)</f>
        <v>53</v>
      </c>
      <c r="S26" s="731">
        <f>SUM(S24:S25)</f>
        <v>111</v>
      </c>
      <c r="T26" s="732">
        <f>SUM(T24:T25)</f>
        <v>233</v>
      </c>
    </row>
    <row r="27" spans="1:20" ht="15.75" thickBot="1" x14ac:dyDescent="0.3">
      <c r="A27" s="568"/>
      <c r="B27" s="553" t="s">
        <v>234</v>
      </c>
      <c r="C27" s="554" t="s">
        <v>284</v>
      </c>
      <c r="D27" s="555" t="s">
        <v>320</v>
      </c>
      <c r="E27" s="565"/>
      <c r="G27" s="628"/>
      <c r="H27" s="628"/>
      <c r="I27" s="663"/>
      <c r="J27" s="628"/>
      <c r="K27" s="663"/>
      <c r="L27" s="628"/>
      <c r="M27" s="663"/>
      <c r="N27" s="628"/>
      <c r="O27" s="663"/>
      <c r="P27" s="628"/>
      <c r="Q27" s="663"/>
      <c r="R27" s="628"/>
      <c r="S27" s="663"/>
      <c r="T27" s="628"/>
    </row>
    <row r="28" spans="1:20" ht="15.75" thickBot="1" x14ac:dyDescent="0.3">
      <c r="A28" s="271" t="s">
        <v>4306</v>
      </c>
      <c r="B28" s="275">
        <f>COUNTIFS('C1'!$D:$D,"&lt;&gt;MN",'C1'!$CL:$CL,$A$9,'C1'!$CM:$CM,A28,'C1'!$D:$D,$B$27)</f>
        <v>2</v>
      </c>
      <c r="C28" s="275">
        <f>COUNTIFS('C1'!$D:$D,"&lt;&gt;MN",'C1'!$CL:$CL,$A$9,'C1'!$CM:$CM,A28,'C1'!$D:$D,$C$27)</f>
        <v>10</v>
      </c>
      <c r="D28" s="557">
        <f>COUNTIFS('C1'!$D:$D,"&lt;&gt;MN",'C1'!$CL:$CL,$A$9,'C1'!$CM:$CM,A28,'C1'!$D:$D,$D$27)</f>
        <v>28</v>
      </c>
      <c r="E28" s="566"/>
      <c r="G28" s="628"/>
      <c r="H28" s="667" t="s">
        <v>4159</v>
      </c>
      <c r="I28" s="1223" t="s">
        <v>4315</v>
      </c>
      <c r="J28" s="1222" t="s">
        <v>4316</v>
      </c>
      <c r="K28" s="1222"/>
      <c r="L28" s="1222"/>
      <c r="M28" s="1222"/>
      <c r="N28" s="690" t="s">
        <v>4109</v>
      </c>
      <c r="O28" s="663"/>
      <c r="P28" s="667" t="s">
        <v>4159</v>
      </c>
      <c r="Q28" s="1216" t="s">
        <v>4315</v>
      </c>
      <c r="R28" s="1218" t="s">
        <v>4316</v>
      </c>
      <c r="S28" s="1219"/>
      <c r="T28" s="733" t="s">
        <v>4109</v>
      </c>
    </row>
    <row r="29" spans="1:20" ht="15.75" thickBot="1" x14ac:dyDescent="0.3">
      <c r="A29" s="271" t="s">
        <v>4307</v>
      </c>
      <c r="B29" s="275">
        <f>COUNTIFS('C1'!$D:$D,"&lt;&gt;MN",'C1'!$CL:$CL,$A$9,'C1'!$CM:$CM,A29,'C1'!$D:$D,$B$27)</f>
        <v>3</v>
      </c>
      <c r="C29" s="275">
        <f>COUNTIFS('C1'!$D:$D,"&lt;&gt;MN",'C1'!$CL:$CL,$A$9,'C1'!$CM:$CM,A29,'C1'!$D:$D,$C$27)</f>
        <v>5</v>
      </c>
      <c r="D29" s="557">
        <f>COUNTIFS('C1'!$D:$D,"&lt;&gt;MN",'C1'!$CL:$CL,$A$9,'C1'!$CM:$CM,A29,'C1'!$D:$D,$D$27)</f>
        <v>17</v>
      </c>
      <c r="E29" s="566"/>
      <c r="G29" s="628"/>
      <c r="H29" s="628"/>
      <c r="I29" s="1223"/>
      <c r="J29" s="668" t="s">
        <v>4309</v>
      </c>
      <c r="K29" s="668" t="s">
        <v>4308</v>
      </c>
      <c r="L29" s="668" t="s">
        <v>4307</v>
      </c>
      <c r="M29" s="668" t="s">
        <v>4306</v>
      </c>
      <c r="N29" s="690"/>
      <c r="O29" s="663"/>
      <c r="P29" s="628"/>
      <c r="Q29" s="1238"/>
      <c r="R29" s="721" t="s">
        <v>4317</v>
      </c>
      <c r="S29" s="734" t="s">
        <v>4318</v>
      </c>
      <c r="T29" s="735"/>
    </row>
    <row r="30" spans="1:20" x14ac:dyDescent="0.25">
      <c r="A30" s="271" t="s">
        <v>4308</v>
      </c>
      <c r="B30" s="275">
        <f>COUNTIFS('C1'!$D:$D,"&lt;&gt;MN",'C1'!$CL:$CL,$A$9,'C1'!$CM:$CM,A30,'C1'!$D:$D,$B$27)</f>
        <v>3</v>
      </c>
      <c r="C30" s="275">
        <f>COUNTIFS('C1'!$D:$D,"&lt;&gt;MN",'C1'!$CL:$CL,$A$9,'C1'!$CM:$CM,A30,'C1'!$D:$D,$C$27)</f>
        <v>3</v>
      </c>
      <c r="D30" s="557">
        <f>COUNTIFS('C1'!$D:$D,"&lt;&gt;MN",'C1'!$CL:$CL,$A$9,'C1'!$CM:$CM,A30,'C1'!$D:$D,$D$27)</f>
        <v>11</v>
      </c>
      <c r="E30" s="566"/>
      <c r="G30" s="628"/>
      <c r="H30" s="664" t="s">
        <v>4154</v>
      </c>
      <c r="I30" s="672">
        <f>SUMIFS('C1'!$O:$O,'C1'!$AA:$AA,"",'C1'!$CL:$CL,"REV",'C1'!$W:$W,"&lt;"&amp;I17,'C1'!$D:$D,"&lt;&gt;MN")</f>
        <v>3943.052259999999</v>
      </c>
      <c r="J30" s="673">
        <f>SUMIFS('C1'!$O:$O,'C1'!$AA:$AA,"",'C1'!$CL:$CL,"REV",'C1'!$W:$W,"&gt;="&amp;$I$17,'C1'!$D:$D,"&lt;&gt;MN",'C1'!$CM:$CM,J29)</f>
        <v>0</v>
      </c>
      <c r="K30" s="673">
        <f>SUMIFS('C1'!$O:$O,'C1'!$AA:$AA,"",'C1'!$CL:$CL,"REV",'C1'!$W:$W,"&gt;="&amp;$I$17,'C1'!$D:$D,"&lt;&gt;MN",'C1'!$CM:$CM,K29)</f>
        <v>147.75859999999994</v>
      </c>
      <c r="L30" s="673">
        <f>SUMIFS('C1'!$O:$O,'C1'!$AA:$AA,"",'C1'!$CL:$CL,"REV",'C1'!$W:$W,"&gt;="&amp;$I$17,'C1'!$D:$D,"&lt;&gt;MN",'C1'!$CM:$CM,L29)</f>
        <v>3469.8941999999988</v>
      </c>
      <c r="M30" s="673">
        <f>SUMIFS('C1'!$O:$O,'C1'!$AA:$AA,"",'C1'!$CL:$CL,"REV",'C1'!$W:$W,"&gt;="&amp;$I$17,'C1'!$D:$D,"&lt;&gt;MN",'C1'!$CM:$CM,M29)</f>
        <v>9415.5776799999949</v>
      </c>
      <c r="N30" s="673">
        <f>SUM(I30:M30)</f>
        <v>16976.282739999995</v>
      </c>
      <c r="O30" s="663"/>
      <c r="P30" s="664" t="s">
        <v>4154</v>
      </c>
      <c r="Q30" s="736">
        <f>SUMIFS('C1'!$O:$O,'C1'!$AA:$AA,"",'C1'!$CL:$CL,"REV",'C1'!$W:$W,"&lt;"&amp;I17,'C1'!$D:$D,"&lt;&gt;MN")</f>
        <v>3943.052259999999</v>
      </c>
      <c r="R30" s="737">
        <f>J30+K30+L30</f>
        <v>3617.6527999999989</v>
      </c>
      <c r="S30" s="737">
        <f>M30</f>
        <v>9415.5776799999949</v>
      </c>
      <c r="T30" s="736">
        <f>SUM(Q30:S30)</f>
        <v>16976.282739999995</v>
      </c>
    </row>
    <row r="31" spans="1:20" ht="15.75" thickBot="1" x14ac:dyDescent="0.3">
      <c r="A31" s="271" t="s">
        <v>4309</v>
      </c>
      <c r="B31" s="275">
        <f>COUNTIFS('C1'!$D:$D,"&lt;&gt;MN",'C1'!$CL:$CL,$A$9,'C1'!$CM:$CM,A31,'C1'!$D:$D,$B$27)</f>
        <v>4</v>
      </c>
      <c r="C31" s="275">
        <f>COUNTIFS('C1'!$D:$D,"&lt;&gt;MN",'C1'!$CL:$CL,$A$9,'C1'!$CM:$CM,A31,'C1'!$D:$D,$C$27)</f>
        <v>2</v>
      </c>
      <c r="D31" s="557">
        <f>COUNTIFS('C1'!$D:$D,"&lt;&gt;MN",'C1'!$CL:$CL,$A$9,'C1'!$CM:$CM,A31,'C1'!$D:$D,$D$27)</f>
        <v>29</v>
      </c>
      <c r="E31" s="566"/>
      <c r="G31" s="628"/>
      <c r="H31" s="664" t="s">
        <v>4155</v>
      </c>
      <c r="I31" s="672">
        <f>SUMIFS('C1'!$O:$O,'C1'!$AA:$AA,"",'C1'!$CL:$CL,"NON-REV",'C1'!$W:$W,"&lt;"&amp;I17,'C1'!$D:$D,"&lt;&gt;MN")</f>
        <v>6620.9111499999981</v>
      </c>
      <c r="J31" s="673">
        <f>SUMIFS('C1'!$O:$O,'C1'!$AA:$AA,"",'C1'!$CL:$CL,"NON-REV",'C1'!$W:$W,"&gt;="&amp;$I$17,'C1'!$D:$D,"&lt;&gt;MN",'C1'!$CM:$CM,J29)</f>
        <v>0</v>
      </c>
      <c r="K31" s="673">
        <f>SUMIFS('C1'!$O:$O,'C1'!$AA:$AA,"",'C1'!$CL:$CL,"NON-REV",'C1'!$W:$W,"&gt;="&amp;$I$17,'C1'!$D:$D,"&lt;&gt;MN",'C1'!$CM:$CM,K29)</f>
        <v>222.01468</v>
      </c>
      <c r="L31" s="673">
        <f>SUMIFS('C1'!$O:$O,'C1'!$AA:$AA,"",'C1'!$CL:$CL,"NON-REV",'C1'!$W:$W,"&gt;="&amp;$I$17,'C1'!$D:$D,"&lt;&gt;MN",'C1'!$CM:$CM,L29)</f>
        <v>2473.1154999999994</v>
      </c>
      <c r="M31" s="673">
        <f>SUMIFS('C1'!$O:$O,'C1'!$AA:$AA,"",'C1'!$CL:$CL,"NON-REV",'C1'!$W:$W,"&gt;="&amp;$I$17,'C1'!$D:$D,"&lt;&gt;MN",'C1'!$CM:$CM,M29)</f>
        <v>3635.5242999999996</v>
      </c>
      <c r="N31" s="673">
        <f>SUM(I31:M31)</f>
        <v>12951.565629999997</v>
      </c>
      <c r="O31" s="663"/>
      <c r="P31" s="664" t="s">
        <v>4155</v>
      </c>
      <c r="Q31" s="738">
        <f>SUMIFS('C1'!$O:$O,'C1'!$AA:$AA,"",'C1'!$CL:$CL,"NON-REV",'C1'!$W:$W,"&lt;"&amp;I17,'C1'!$D:$D,"&lt;&gt;MN")</f>
        <v>6620.9111499999981</v>
      </c>
      <c r="R31" s="737">
        <f>J31+K31+L31</f>
        <v>2695.1301799999992</v>
      </c>
      <c r="S31" s="737">
        <f>M31</f>
        <v>3635.5242999999996</v>
      </c>
      <c r="T31" s="738">
        <f>SUM(Q31:S31)</f>
        <v>12951.565629999996</v>
      </c>
    </row>
    <row r="32" spans="1:20" ht="15.75" thickBot="1" x14ac:dyDescent="0.3">
      <c r="A32" s="569"/>
      <c r="B32" s="552">
        <f>SUM(B28:B31)</f>
        <v>12</v>
      </c>
      <c r="C32" s="552">
        <f>SUM(C28:C31)</f>
        <v>20</v>
      </c>
      <c r="D32" s="552">
        <f t="shared" ref="D32" si="11">SUM(D28:D31)</f>
        <v>85</v>
      </c>
      <c r="E32" s="567"/>
      <c r="G32" s="628"/>
      <c r="H32" s="664" t="s">
        <v>4109</v>
      </c>
      <c r="I32" s="672">
        <f t="shared" ref="I32:N32" si="12">SUM(I30:I31)</f>
        <v>10563.963409999997</v>
      </c>
      <c r="J32" s="673">
        <f t="shared" si="12"/>
        <v>0</v>
      </c>
      <c r="K32" s="673">
        <f t="shared" si="12"/>
        <v>369.77327999999994</v>
      </c>
      <c r="L32" s="673">
        <f t="shared" si="12"/>
        <v>5943.0096999999987</v>
      </c>
      <c r="M32" s="673">
        <f t="shared" si="12"/>
        <v>13051.101979999994</v>
      </c>
      <c r="N32" s="673">
        <f t="shared" si="12"/>
        <v>29927.848369999992</v>
      </c>
      <c r="O32" s="663"/>
      <c r="P32" s="664" t="s">
        <v>4109</v>
      </c>
      <c r="Q32" s="739">
        <f>SUM(Q30:Q31)</f>
        <v>10563.963409999997</v>
      </c>
      <c r="R32" s="740">
        <f>SUM(R30:R31)</f>
        <v>6312.7829799999981</v>
      </c>
      <c r="S32" s="740">
        <f>SUM(S30:S31)</f>
        <v>13051.101979999994</v>
      </c>
      <c r="T32" s="741">
        <f>SUM(T30:T31)</f>
        <v>29927.848369999992</v>
      </c>
    </row>
    <row r="33" spans="1:17" x14ac:dyDescent="0.25">
      <c r="A33" s="572" t="s">
        <v>4109</v>
      </c>
      <c r="B33" s="571">
        <f>B25+B32</f>
        <v>33</v>
      </c>
      <c r="C33" s="571">
        <f>C25+C32</f>
        <v>48</v>
      </c>
      <c r="D33" s="571">
        <f>D25+D32</f>
        <v>150</v>
      </c>
    </row>
    <row r="35" spans="1:17" s="612" customFormat="1" x14ac:dyDescent="0.25">
      <c r="C35" s="613"/>
      <c r="D35" s="614"/>
      <c r="E35" s="615"/>
      <c r="I35" s="614"/>
      <c r="K35" s="614"/>
      <c r="M35" s="614"/>
      <c r="O35" s="614"/>
      <c r="Q35" s="614"/>
    </row>
    <row r="36" spans="1:17" x14ac:dyDescent="0.25">
      <c r="A36" s="352" t="s">
        <v>4319</v>
      </c>
    </row>
    <row r="37" spans="1:17" ht="18.75" x14ac:dyDescent="0.3">
      <c r="A37" s="556" t="s">
        <v>4164</v>
      </c>
      <c r="B37" s="556"/>
      <c r="C37" s="556"/>
      <c r="D37" s="556"/>
      <c r="G37" s="666" t="s">
        <v>4320</v>
      </c>
    </row>
    <row r="38" spans="1:17" x14ac:dyDescent="0.25">
      <c r="A38" s="568"/>
      <c r="B38" s="553" t="s">
        <v>234</v>
      </c>
      <c r="C38" s="554" t="s">
        <v>284</v>
      </c>
      <c r="D38" s="555" t="s">
        <v>320</v>
      </c>
      <c r="H38" s="667" t="s">
        <v>4090</v>
      </c>
      <c r="I38" s="1223" t="s">
        <v>4315</v>
      </c>
      <c r="J38" s="1222" t="s">
        <v>4316</v>
      </c>
      <c r="K38" s="1222"/>
      <c r="L38" s="1222"/>
      <c r="M38" s="1222"/>
      <c r="N38" s="1223" t="s">
        <v>4109</v>
      </c>
    </row>
    <row r="39" spans="1:17" x14ac:dyDescent="0.25">
      <c r="A39" s="271" t="s">
        <v>4306</v>
      </c>
      <c r="B39" s="559">
        <f>SUMIFS('C1'!$O:$O,'C1'!$D:$D,"&lt;&gt;MN",'C1'!$CL:$CL,$A$37,'C1'!$CM:$CM,A39,'C1'!$D:$D,$B$38)</f>
        <v>895.18989999999997</v>
      </c>
      <c r="C39" s="559">
        <f>SUMIFS('C1'!$O:$O,'C1'!$D:$D,"&lt;&gt;MN",'C1'!$CL:$CL,$A$37,'C1'!$CM:$CM,A39,'C1'!$D:$D,$C$38)</f>
        <v>3190.8675999999991</v>
      </c>
      <c r="D39" s="559">
        <f>SUMIFS('C1'!$O:$O,'C1'!$D:$D,"&lt;&gt;MN",'C1'!$CL:$CL,$A$37,'C1'!$CM:$CM,A39,'C1'!$D:$D,$D$38)</f>
        <v>5329.5201799999986</v>
      </c>
      <c r="H39" s="628"/>
      <c r="I39" s="1224"/>
      <c r="J39" s="668" t="s">
        <v>4309</v>
      </c>
      <c r="K39" s="668" t="s">
        <v>4308</v>
      </c>
      <c r="L39" s="668" t="s">
        <v>4307</v>
      </c>
      <c r="M39" s="668" t="s">
        <v>4306</v>
      </c>
      <c r="N39" s="1224"/>
    </row>
    <row r="40" spans="1:17" x14ac:dyDescent="0.25">
      <c r="A40" s="271" t="s">
        <v>4307</v>
      </c>
      <c r="B40" s="559">
        <f>SUMIFS('C1'!$O:$O,'C1'!$D:$D,"&lt;&gt;MN",'C1'!$CL:$CL,$A$37,'C1'!$CM:$CM,A40,'C1'!$D:$D,$B$38)</f>
        <v>442.00810000000001</v>
      </c>
      <c r="C40" s="559">
        <f>SUMIFS('C1'!$O:$O,'C1'!$D:$D,"&lt;&gt;MN",'C1'!$CL:$CL,$A$37,'C1'!$CM:$CM,A40,'C1'!$D:$D,$C$38)</f>
        <v>78.09</v>
      </c>
      <c r="D40" s="559">
        <f>SUMIFS('C1'!$O:$O,'C1'!$D:$D,"&lt;&gt;MN",'C1'!$CL:$CL,$A$37,'C1'!$CM:$CM,A40,'C1'!$D:$D,$D$38)</f>
        <v>2949.7960999999991</v>
      </c>
      <c r="H40" s="664" t="s">
        <v>4154</v>
      </c>
      <c r="I40" s="669">
        <f>COUNTIFS('UG-SLEM'!$AA:$AA,"",'UG-SLEM'!$CK:$CK,"REV",'UG-SLEM'!$W:$W,"&lt;"&amp;I17,'UG-SLEM'!$D:$D,"&lt;&gt;MN")</f>
        <v>0</v>
      </c>
      <c r="J40" s="670">
        <f>COUNTIFS('UG-SLEM'!$AA:$AA,"",'UG-SLEM'!$CK:$CK,"REV",'UG-SLEM'!$W:$W,"&gt;="&amp;$I$17,'UG-SLEM'!$D:$D,"&lt;&gt;MN",'UG-SLEM'!$CL:$CL,J39)</f>
        <v>0</v>
      </c>
      <c r="K40" s="670">
        <f>COUNTIFS('UG-SLEM'!$AA:$AA,"",'UG-SLEM'!$CK:$CK,"REV",'UG-SLEM'!$W:$W,"&gt;="&amp;$I$17,'UG-SLEM'!$D:$D,"&lt;&gt;MN",'UG-SLEM'!$CL:$CL,K39)</f>
        <v>0</v>
      </c>
      <c r="L40" s="670">
        <f>COUNTIFS('UG-SLEM'!$AA:$AA,"",'UG-SLEM'!$CK:$CK,"REV",'UG-SLEM'!$W:$W,"&gt;="&amp;$I$17,'UG-SLEM'!$D:$D,"&lt;&gt;MN",'UG-SLEM'!$CL:$CL,L39)</f>
        <v>0</v>
      </c>
      <c r="M40" s="670">
        <f>COUNTIFS('UG-SLEM'!$AA:$AA,"",'UG-SLEM'!$CK:$CK,"REV",'UG-SLEM'!$W:$W,"&gt;="&amp;$I$17,'UG-SLEM'!$D:$D,"&lt;&gt;MN",'UG-SLEM'!$CL:$CL,M39)</f>
        <v>0</v>
      </c>
      <c r="N40" s="668">
        <f>SUM(I40:M40)</f>
        <v>0</v>
      </c>
    </row>
    <row r="41" spans="1:17" x14ac:dyDescent="0.25">
      <c r="A41" s="271" t="s">
        <v>4308</v>
      </c>
      <c r="B41" s="559">
        <f>SUMIFS('C1'!$O:$O,'C1'!$D:$D,"&lt;&gt;MN",'C1'!$CL:$CL,$A$37,'C1'!$CM:$CM,A41,'C1'!$D:$D,$B$38)</f>
        <v>657.07809999999995</v>
      </c>
      <c r="C41" s="559">
        <f>SUMIFS('C1'!$O:$O,'C1'!$D:$D,"&lt;&gt;MN",'C1'!$CL:$CL,$A$37,'C1'!$CM:$CM,A41,'C1'!$D:$D,$C$38)</f>
        <v>0</v>
      </c>
      <c r="D41" s="559">
        <f>SUMIFS('C1'!$O:$O,'C1'!$D:$D,"&lt;&gt;MN",'C1'!$CL:$CL,$A$37,'C1'!$CM:$CM,A41,'C1'!$D:$D,$D$38)</f>
        <v>2008.7370999999996</v>
      </c>
      <c r="H41" s="664" t="s">
        <v>4155</v>
      </c>
      <c r="I41" s="669">
        <f>COUNTIFS('UG-SLEM'!$AA:$AA,"",'UG-SLEM'!$CK:$CK,"NON-REV",'UG-SLEM'!$W:$W,"&lt;"&amp;I17,'UG-SLEM'!$D:$D,"&lt;&gt;MN")</f>
        <v>2</v>
      </c>
      <c r="J41" s="670">
        <f>COUNTIFS('UG-SLEM'!$AA:$AA,"",'UG-SLEM'!$CK:$CK,"NON-REV",'UG-SLEM'!$W:$W,"&gt;="&amp;$I$17,'UG-SLEM'!$D:$D,"&lt;&gt;MN",'UG-SLEM'!$CL:$CL,J39)</f>
        <v>0</v>
      </c>
      <c r="K41" s="670">
        <f>COUNTIFS('UG-SLEM'!$AA:$AA,"",'UG-SLEM'!$CK:$CK,"NON-REV",'UG-SLEM'!$W:$W,"&gt;="&amp;$I$17,'UG-SLEM'!$D:$D,"&lt;&gt;MN",'UG-SLEM'!$CL:$CL,K39)</f>
        <v>0</v>
      </c>
      <c r="L41" s="670">
        <f>COUNTIFS('UG-SLEM'!$AA:$AA,"",'UG-SLEM'!$CK:$CK,"NON-REV",'UG-SLEM'!$W:$W,"&gt;="&amp;$I$17,'UG-SLEM'!$D:$D,"&lt;&gt;MN",'UG-SLEM'!$CL:$CL,L39)</f>
        <v>0</v>
      </c>
      <c r="M41" s="670">
        <f>COUNTIFS('UG-SLEM'!$AA:$AA,"",'UG-SLEM'!$CK:$CK,"NON-REV",'UG-SLEM'!$W:$W,"&gt;="&amp;$I$17,'UG-SLEM'!$D:$D,"&lt;&gt;MN",'UG-SLEM'!$CL:$CL,M39)</f>
        <v>0</v>
      </c>
      <c r="N41" s="668">
        <f>SUM(I41:M41)</f>
        <v>2</v>
      </c>
    </row>
    <row r="42" spans="1:17" x14ac:dyDescent="0.25">
      <c r="A42" s="271" t="s">
        <v>4309</v>
      </c>
      <c r="B42" s="559">
        <f>SUMIFS('C1'!$O:$O,'C1'!$D:$D,"&lt;&gt;MN",'C1'!$CL:$CL,$A$37,'C1'!$CM:$CM,A42,'C1'!$D:$D,$B$38)</f>
        <v>225.35819999999995</v>
      </c>
      <c r="C42" s="559">
        <f>SUMIFS('C1'!$O:$O,'C1'!$D:$D,"&lt;&gt;MN",'C1'!$CL:$CL,$A$37,'C1'!$CM:$CM,A42,'C1'!$D:$D,$C$38)</f>
        <v>132.536</v>
      </c>
      <c r="D42" s="559">
        <f>SUMIFS('C1'!$O:$O,'C1'!$D:$D,"&lt;&gt;MN",'C1'!$CL:$CL,$A$37,'C1'!$CM:$CM,A42,'C1'!$D:$D,$D$38)</f>
        <v>1067.1014599999994</v>
      </c>
      <c r="H42" s="664" t="s">
        <v>4109</v>
      </c>
      <c r="I42" s="671">
        <f t="shared" ref="I42:N42" si="13">SUM(I40:I41)</f>
        <v>2</v>
      </c>
      <c r="J42" s="670">
        <f t="shared" si="13"/>
        <v>0</v>
      </c>
      <c r="K42" s="670">
        <f t="shared" si="13"/>
        <v>0</v>
      </c>
      <c r="L42" s="670">
        <f t="shared" si="13"/>
        <v>0</v>
      </c>
      <c r="M42" s="670">
        <f t="shared" si="13"/>
        <v>0</v>
      </c>
      <c r="N42" s="670">
        <f t="shared" si="13"/>
        <v>2</v>
      </c>
    </row>
    <row r="43" spans="1:17" x14ac:dyDescent="0.25">
      <c r="A43" s="569"/>
      <c r="B43" s="609">
        <f>SUM(B39:B42)</f>
        <v>2219.6342999999997</v>
      </c>
      <c r="C43" s="610">
        <f t="shared" ref="C43" si="14">SUM(C39:C42)</f>
        <v>3401.4935999999993</v>
      </c>
      <c r="D43" s="610">
        <f t="shared" ref="D43" si="15">SUM(D39:D42)</f>
        <v>11355.154839999997</v>
      </c>
      <c r="H43" s="628"/>
      <c r="I43" s="663"/>
      <c r="J43" s="628"/>
      <c r="K43" s="663"/>
      <c r="L43" s="628"/>
      <c r="M43" s="663"/>
      <c r="N43" s="628"/>
    </row>
    <row r="44" spans="1:17" x14ac:dyDescent="0.25">
      <c r="A44" s="556" t="s">
        <v>4165</v>
      </c>
      <c r="B44" s="556"/>
      <c r="C44" s="556"/>
      <c r="D44" s="556"/>
      <c r="H44" s="667" t="s">
        <v>4159</v>
      </c>
      <c r="I44" s="1223" t="s">
        <v>4315</v>
      </c>
      <c r="J44" s="1222" t="s">
        <v>4316</v>
      </c>
      <c r="K44" s="1222"/>
      <c r="L44" s="1222"/>
      <c r="M44" s="1222"/>
      <c r="N44" s="1239" t="s">
        <v>4109</v>
      </c>
    </row>
    <row r="45" spans="1:17" x14ac:dyDescent="0.25">
      <c r="A45" s="568"/>
      <c r="B45" s="553" t="s">
        <v>234</v>
      </c>
      <c r="C45" s="554" t="s">
        <v>284</v>
      </c>
      <c r="D45" s="555" t="s">
        <v>320</v>
      </c>
      <c r="H45" s="628"/>
      <c r="I45" s="1223"/>
      <c r="J45" s="668" t="s">
        <v>4309</v>
      </c>
      <c r="K45" s="668" t="s">
        <v>4308</v>
      </c>
      <c r="L45" s="668" t="s">
        <v>4307</v>
      </c>
      <c r="M45" s="668" t="s">
        <v>4306</v>
      </c>
      <c r="N45" s="1240"/>
    </row>
    <row r="46" spans="1:17" x14ac:dyDescent="0.25">
      <c r="A46" s="271" t="s">
        <v>4306</v>
      </c>
      <c r="B46" s="558">
        <f>SUMIFS('C1'!$O:$O,'C1'!$D:$D,"&lt;&gt;MN",'C1'!$CL:$CL,$A$44,'C1'!$CM:$CM,A46,'C1'!$D:$D,$B$45)</f>
        <v>267.04000000000002</v>
      </c>
      <c r="C46" s="558">
        <f>SUMIFS('C1'!$O:$O,'C1'!$D:$D,"&lt;&gt;MN",'C1'!$CL:$CL,$A$44,'C1'!$CM:$CM,A46,'C1'!$D:$D,$C$45)</f>
        <v>466.87939999999998</v>
      </c>
      <c r="D46" s="558">
        <f>SUMIFS('C1'!$O:$O,'C1'!$D:$D,"&lt;&gt;MN",'C1'!$CL:$CL,$A$44,'C1'!$CM:$CM,A46,'C1'!$D:$D,$D$45)</f>
        <v>2901.6049000000003</v>
      </c>
      <c r="H46" s="664" t="s">
        <v>4154</v>
      </c>
      <c r="I46" s="672">
        <f>SUMIFS('UG-SLEM'!$P:$P,'UG-SLEM'!$AA:$AA,"",'UG-SLEM'!$CK:$CK,"REV",'UG-SLEM'!$W:$W,"&lt;"&amp;I17,'UG-SLEM'!$D:$D,"&lt;&gt;MN")</f>
        <v>0</v>
      </c>
      <c r="J46" s="673">
        <f>SUMIFS('UG-SLEM'!$P:$P,'UG-SLEM'!$AA:$AA,"",'UG-SLEM'!$CK:$CK,"REV",'UG-SLEM'!$W:$W,"&gt;="&amp;$I$17,'UG-SLEM'!$D:$D,"&lt;&gt;MN",'UG-SLEM'!$CL:$CL,J45)</f>
        <v>0</v>
      </c>
      <c r="K46" s="673">
        <f>SUMIFS('UG-SLEM'!$P:$P,'UG-SLEM'!$AA:$AA,"",'UG-SLEM'!$CK:$CK,"REV",'UG-SLEM'!$W:$W,"&gt;="&amp;$I$17,'UG-SLEM'!$D:$D,"&lt;&gt;MN",'UG-SLEM'!$CL:$CL,K45)</f>
        <v>0</v>
      </c>
      <c r="L46" s="673">
        <f>SUMIFS('UG-SLEM'!$P:$P,'UG-SLEM'!$AA:$AA,"",'UG-SLEM'!$CK:$CK,"REV",'UG-SLEM'!$W:$W,"&gt;="&amp;$I$17,'UG-SLEM'!$D:$D,"&lt;&gt;MN",'UG-SLEM'!$CL:$CL,L45)</f>
        <v>0</v>
      </c>
      <c r="M46" s="673">
        <f>SUMIFS('UG-SLEM'!$P:$P,'UG-SLEM'!$AA:$AA,"",'UG-SLEM'!$CK:$CK,"REV",'UG-SLEM'!$W:$W,"&gt;="&amp;$I$17,'UG-SLEM'!$D:$D,"&lt;&gt;MN",'UG-SLEM'!$CL:$CL,M45)</f>
        <v>0</v>
      </c>
      <c r="N46" s="673">
        <f>SUM(I46:M46)</f>
        <v>0</v>
      </c>
    </row>
    <row r="47" spans="1:17" x14ac:dyDescent="0.25">
      <c r="A47" s="271" t="s">
        <v>4307</v>
      </c>
      <c r="B47" s="558">
        <f>SUMIFS('C1'!$O:$O,'C1'!$D:$D,"&lt;&gt;MN",'C1'!$CL:$CL,$A$44,'C1'!$CM:$CM,A47,'C1'!$D:$D,$B$45)</f>
        <v>371.89479999999998</v>
      </c>
      <c r="C47" s="558">
        <f>SUMIFS('C1'!$O:$O,'C1'!$D:$D,"&lt;&gt;MN",'C1'!$CL:$CL,$A$44,'C1'!$CM:$CM,A47,'C1'!$D:$D,$C$45)</f>
        <v>282.74400000000003</v>
      </c>
      <c r="D47" s="558">
        <f>SUMIFS('C1'!$O:$O,'C1'!$D:$D,"&lt;&gt;MN",'C1'!$CL:$CL,$A$44,'C1'!$CM:$CM,A47,'C1'!$D:$D,$D$45)</f>
        <v>1818.4766999999999</v>
      </c>
      <c r="H47" s="664" t="s">
        <v>4155</v>
      </c>
      <c r="I47" s="672">
        <f>SUMIFS('UG-SLEM'!$P:$P,'UG-SLEM'!$AA:$AA,"",'UG-SLEM'!$CK:$CK,"NON-REV",'UG-SLEM'!$W:$W,"&lt;"&amp;I17,'UG-SLEM'!$D:$D,"&lt;&gt;MN")</f>
        <v>299.23</v>
      </c>
      <c r="J47" s="673">
        <f>SUMIFS('UG-SLEM'!$P:$P,'UG-SLEM'!$AA:$AA,"",'UG-SLEM'!$CK:$CK,"NON-REV",'UG-SLEM'!$W:$W,"&gt;="&amp;$I$17,'UG-SLEM'!$D:$D,"&lt;&gt;MN",'UG-SLEM'!$CL:$CL,J45)</f>
        <v>0</v>
      </c>
      <c r="K47" s="673">
        <f>SUMIFS('UG-SLEM'!$P:$P,'UG-SLEM'!$AA:$AA,"",'UG-SLEM'!$CK:$CK,"NON-REV",'UG-SLEM'!$W:$W,"&gt;="&amp;$I$17,'UG-SLEM'!$D:$D,"&lt;&gt;MN",'UG-SLEM'!$CL:$CL,K45)</f>
        <v>0</v>
      </c>
      <c r="L47" s="673">
        <f>SUMIFS('UG-SLEM'!$P:$P,'UG-SLEM'!$AA:$AA,"",'UG-SLEM'!$CK:$CK,"NON-REV",'UG-SLEM'!$W:$W,"&gt;="&amp;$I$17,'UG-SLEM'!$D:$D,"&lt;&gt;MN",'UG-SLEM'!$CL:$CL,L45)</f>
        <v>0</v>
      </c>
      <c r="M47" s="673">
        <f>SUMIFS('UG-SLEM'!$P:$P,'UG-SLEM'!$AA:$AA,"",'UG-SLEM'!$CK:$CK,"NON-REV",'UG-SLEM'!$W:$W,"&gt;="&amp;$I$17,'UG-SLEM'!$D:$D,"&lt;&gt;MN",'UG-SLEM'!$CL:$CL,M45)</f>
        <v>0</v>
      </c>
      <c r="N47" s="673">
        <f>SUM(I47:M47)</f>
        <v>299.23</v>
      </c>
    </row>
    <row r="48" spans="1:17" x14ac:dyDescent="0.25">
      <c r="A48" s="271" t="s">
        <v>4308</v>
      </c>
      <c r="B48" s="558">
        <f>SUMIFS('C1'!$O:$O,'C1'!$D:$D,"&lt;&gt;MN",'C1'!$CL:$CL,$A$44,'C1'!$CM:$CM,A48,'C1'!$D:$D,$B$45)</f>
        <v>256.18579999999997</v>
      </c>
      <c r="C48" s="558">
        <f>SUMIFS('C1'!$O:$O,'C1'!$D:$D,"&lt;&gt;MN",'C1'!$CL:$CL,$A$44,'C1'!$CM:$CM,A48,'C1'!$D:$D,$C$45)</f>
        <v>45.47</v>
      </c>
      <c r="D48" s="558">
        <f>SUMIFS('C1'!$O:$O,'C1'!$D:$D,"&lt;&gt;MN",'C1'!$CL:$CL,$A$44,'C1'!$CM:$CM,A48,'C1'!$D:$D,$D$45)</f>
        <v>956.30757999999992</v>
      </c>
      <c r="H48" s="664" t="s">
        <v>4109</v>
      </c>
      <c r="I48" s="672">
        <f t="shared" ref="I48:N48" si="16">SUM(I46:I47)</f>
        <v>299.23</v>
      </c>
      <c r="J48" s="673">
        <f t="shared" si="16"/>
        <v>0</v>
      </c>
      <c r="K48" s="673">
        <f t="shared" si="16"/>
        <v>0</v>
      </c>
      <c r="L48" s="673">
        <f t="shared" si="16"/>
        <v>0</v>
      </c>
      <c r="M48" s="673">
        <f t="shared" si="16"/>
        <v>0</v>
      </c>
      <c r="N48" s="673">
        <f t="shared" si="16"/>
        <v>299.23</v>
      </c>
    </row>
    <row r="49" spans="1:11" x14ac:dyDescent="0.25">
      <c r="A49" s="271" t="s">
        <v>4309</v>
      </c>
      <c r="B49" s="558">
        <f>SUMIFS('C1'!$O:$O,'C1'!$D:$D,"&lt;&gt;MN",'C1'!$CL:$CL,$A$44,'C1'!$CM:$CM,A49,'C1'!$D:$D,$B$45)</f>
        <v>1229.3103000000006</v>
      </c>
      <c r="C49" s="558">
        <f>SUMIFS('C1'!$O:$O,'C1'!$D:$D,"&lt;&gt;MN",'C1'!$CL:$CL,$A$44,'C1'!$CM:$CM,A49,'C1'!$D:$D,$C$45)</f>
        <v>209.77260000000001</v>
      </c>
      <c r="D49" s="558">
        <f>SUMIFS('C1'!$O:$O,'C1'!$D:$D,"&lt;&gt;MN",'C1'!$CL:$CL,$A$44,'C1'!$CM:$CM,A49,'C1'!$D:$D,$D$45)</f>
        <v>2294.9351499999998</v>
      </c>
    </row>
    <row r="50" spans="1:11" x14ac:dyDescent="0.25">
      <c r="A50" s="569"/>
      <c r="B50" s="610">
        <f>SUM(B46:B49)</f>
        <v>2124.4309000000003</v>
      </c>
      <c r="C50" s="610">
        <f>SUM(C46:C49)</f>
        <v>1004.866</v>
      </c>
      <c r="D50" s="610">
        <f t="shared" ref="D50" si="17">SUM(D46:D49)</f>
        <v>7971.3243299999995</v>
      </c>
    </row>
    <row r="51" spans="1:11" x14ac:dyDescent="0.25">
      <c r="A51" s="572" t="s">
        <v>4109</v>
      </c>
      <c r="B51" s="611">
        <f>B43+B50</f>
        <v>4344.0652</v>
      </c>
      <c r="C51" s="611">
        <f>C43+C50</f>
        <v>4406.3595999999998</v>
      </c>
      <c r="D51" s="611">
        <f>D43+D50</f>
        <v>19326.479169999999</v>
      </c>
    </row>
    <row r="52" spans="1:11" x14ac:dyDescent="0.25">
      <c r="B52" s="649">
        <v>44197</v>
      </c>
      <c r="C52" s="649">
        <v>44562</v>
      </c>
      <c r="E52" s="145"/>
    </row>
    <row r="53" spans="1:11" x14ac:dyDescent="0.25">
      <c r="B53" s="649">
        <v>44927</v>
      </c>
      <c r="C53" s="649">
        <v>45292</v>
      </c>
      <c r="D53" s="514">
        <v>45658</v>
      </c>
      <c r="E53" s="145"/>
    </row>
    <row r="54" spans="1:11" x14ac:dyDescent="0.25">
      <c r="B54" s="90" t="s">
        <v>4321</v>
      </c>
      <c r="C54" s="90" t="s">
        <v>4322</v>
      </c>
      <c r="E54" s="145"/>
      <c r="K54" s="145" t="s">
        <v>2294</v>
      </c>
    </row>
    <row r="55" spans="1:11" x14ac:dyDescent="0.25">
      <c r="A55" s="643" t="s">
        <v>4074</v>
      </c>
      <c r="B55" s="275">
        <f>'PCA SUMMARY'!B4</f>
        <v>359</v>
      </c>
      <c r="C55" s="1234"/>
      <c r="D55" s="1234"/>
      <c r="E55" s="145"/>
    </row>
    <row r="56" spans="1:11" ht="18.75" x14ac:dyDescent="0.3">
      <c r="A56" s="643" t="s">
        <v>4323</v>
      </c>
      <c r="B56" s="275">
        <f>'PCA SUMMARY'!B5</f>
        <v>112</v>
      </c>
      <c r="C56" s="1235" t="s">
        <v>4324</v>
      </c>
      <c r="D56" s="1236"/>
      <c r="E56" s="145"/>
    </row>
    <row r="57" spans="1:11" x14ac:dyDescent="0.25">
      <c r="A57" s="643" t="s">
        <v>4325</v>
      </c>
      <c r="B57" s="275">
        <f>'PCA SUMMARY'!B7</f>
        <v>386</v>
      </c>
      <c r="C57" s="1237" t="s">
        <v>4326</v>
      </c>
      <c r="D57" s="1237"/>
      <c r="E57" s="145"/>
    </row>
    <row r="58" spans="1:11" x14ac:dyDescent="0.25">
      <c r="A58" s="359" t="s">
        <v>4327</v>
      </c>
      <c r="B58" s="23"/>
      <c r="E58" s="145"/>
    </row>
    <row r="59" spans="1:11" x14ac:dyDescent="0.25">
      <c r="E59" s="145"/>
    </row>
    <row r="60" spans="1:11" x14ac:dyDescent="0.25">
      <c r="A60" s="650" t="s">
        <v>4328</v>
      </c>
      <c r="B60" s="648">
        <v>2021</v>
      </c>
      <c r="C60" s="648">
        <v>2022</v>
      </c>
      <c r="D60" s="648">
        <v>2023</v>
      </c>
      <c r="E60" s="648">
        <v>2024</v>
      </c>
      <c r="F60" s="648">
        <v>2025</v>
      </c>
      <c r="G60" s="648" t="s">
        <v>4109</v>
      </c>
    </row>
    <row r="61" spans="1:11" x14ac:dyDescent="0.25">
      <c r="A61" s="652" t="s">
        <v>380</v>
      </c>
      <c r="B61" s="653">
        <f>COUNTIFS('C1'!$W:$W,"&lt;"&amp;$C$52,'C1'!$W:$W,"&gt;="&amp;$B$52,'C1'!$M:$M,A61)</f>
        <v>2</v>
      </c>
      <c r="C61" s="653">
        <f>COUNTIFS('C1'!$W:$W,"&lt;"&amp;$B$53,'C1'!$W:$W,"&gt;="&amp;$C$52,'C1'!$M:$M,A61)</f>
        <v>1</v>
      </c>
      <c r="D61" s="653">
        <f>COUNTIFS('C1'!$W:$W,"&lt;"&amp;$C$53,'C1'!$W:$W,"&gt;="&amp;$B$53,'C1'!$M:$M,A61)</f>
        <v>0</v>
      </c>
      <c r="E61" s="653">
        <f>COUNTIFS('C1'!$W:$W,"&lt;"&amp;$D$53,'C1'!$W:$W,"&gt;="&amp;$C$53,'C1'!$M:$M,A61)</f>
        <v>2</v>
      </c>
      <c r="F61" s="654">
        <f>COUNTIFS('C1'!$W:$W,"&gt;"&amp;$D$53,'C1'!$M:$M,A61)</f>
        <v>0</v>
      </c>
      <c r="G61" s="23">
        <f>SUM(B61:F61)</f>
        <v>5</v>
      </c>
    </row>
    <row r="62" spans="1:11" x14ac:dyDescent="0.25">
      <c r="A62" s="652" t="s">
        <v>534</v>
      </c>
      <c r="B62" s="653">
        <f>COUNTIFS('C1'!$W:$W,"&lt;"&amp;$C$52,'C1'!$W:$W,"&gt;="&amp;$B$52,'C1'!$M:$M,A62)</f>
        <v>1</v>
      </c>
      <c r="C62" s="653">
        <f>COUNTIFS('C1'!$W:$W,"&lt;"&amp;$B$53,'C1'!$W:$W,"&gt;="&amp;$C$52,'C1'!$M:$M,A62)</f>
        <v>0</v>
      </c>
      <c r="D62" s="653">
        <f>COUNTIFS('C1'!$W:$W,"&lt;"&amp;$C$53,'C1'!$W:$W,"&gt;="&amp;$B$53,'C1'!$M:$M,A62)</f>
        <v>0</v>
      </c>
      <c r="E62" s="653">
        <f>COUNTIFS('C1'!$W:$W,"&lt;"&amp;$D$53,'C1'!$W:$W,"&gt;="&amp;$C$53,'C1'!$M:$M,A62)</f>
        <v>13</v>
      </c>
      <c r="F62" s="654">
        <f>COUNTIFS('C1'!$W:$W,"&gt;"&amp;$D$53,'C1'!$M:$M,A62)</f>
        <v>0</v>
      </c>
      <c r="G62" s="23">
        <f>SUM(B62:F62)</f>
        <v>14</v>
      </c>
    </row>
    <row r="63" spans="1:11" x14ac:dyDescent="0.25">
      <c r="A63" s="749" t="s">
        <v>3613</v>
      </c>
      <c r="B63" s="653">
        <f>COUNTIFS('C1'!$W:$W,"&lt;"&amp;$C$52,'C1'!$W:$W,"&gt;="&amp;$B$52,'C1'!$M:$M,A63)</f>
        <v>0</v>
      </c>
      <c r="C63" s="653">
        <f>COUNTIFS('C1'!$W:$W,"&lt;"&amp;$B$53,'C1'!$W:$W,"&gt;="&amp;$C$52,'C1'!$M:$M,A63)</f>
        <v>0</v>
      </c>
      <c r="D63" s="653">
        <f>COUNTIFS('C1'!$W:$W,"&lt;"&amp;$C$53,'C1'!$W:$W,"&gt;="&amp;$B$53,'C1'!$M:$M,A63)</f>
        <v>0</v>
      </c>
      <c r="E63" s="653">
        <f>COUNTIFS('C1'!$W:$W,"&lt;"&amp;$D$53,'C1'!$W:$W,"&gt;="&amp;$C$53,'C1'!$M:$M,A63)</f>
        <v>0</v>
      </c>
      <c r="F63" s="654">
        <f>COUNTIFS('C1'!$W:$W,"&gt;"&amp;$D$53,'C1'!$M:$M,A63)</f>
        <v>1</v>
      </c>
      <c r="G63" s="23">
        <f>SUM(B63:F63)</f>
        <v>1</v>
      </c>
    </row>
    <row r="64" spans="1:11" x14ac:dyDescent="0.25">
      <c r="A64" s="1039" t="s">
        <v>555</v>
      </c>
      <c r="B64" s="465">
        <f>COUNTIFS('C1'!$W:$W,"&lt;"&amp;$C$52,'C1'!$W:$W,"&gt;="&amp;$B$52,'C1'!$M:$M,A64)</f>
        <v>1</v>
      </c>
      <c r="C64" s="465">
        <f>COUNTIFS('C1'!$W:$W,"&lt;"&amp;$B$53,'C1'!$W:$W,"&gt;="&amp;$C$52,'C1'!$M:$M,A64)</f>
        <v>1</v>
      </c>
      <c r="D64" s="465">
        <f>COUNTIFS('C1'!$W:$W,"&lt;"&amp;$C$53,'C1'!$W:$W,"&gt;="&amp;$B$53,'C1'!$M:$M,A64)</f>
        <v>1</v>
      </c>
      <c r="E64" s="465">
        <f>COUNTIFS('C1'!$W:$W,"&lt;"&amp;$D$53,'C1'!$W:$W,"&gt;="&amp;$C$53,'C1'!$M:$M,A64)</f>
        <v>1</v>
      </c>
      <c r="F64" s="436">
        <f>COUNTIFS('C1'!$W:$W,"&gt;"&amp;$D$53,'C1'!$M:$M,A64)</f>
        <v>2</v>
      </c>
      <c r="G64" s="23">
        <f>SUM(B64:F64)</f>
        <v>6</v>
      </c>
    </row>
    <row r="65" spans="1:7" x14ac:dyDescent="0.25">
      <c r="A65" s="1039" t="s">
        <v>438</v>
      </c>
      <c r="B65" s="465">
        <f>COUNTIFS('C1'!$W:$W,"&lt;"&amp;$C$52,'C1'!$W:$W,"&gt;="&amp;$B$52,'C1'!$M:$M,A65)</f>
        <v>2</v>
      </c>
      <c r="C65" s="465">
        <f>COUNTIFS('C1'!$W:$W,"&lt;"&amp;$B$53,'C1'!$W:$W,"&gt;="&amp;$C$52,'C1'!$M:$M,A65)</f>
        <v>1</v>
      </c>
      <c r="D65" s="465">
        <f>COUNTIFS('C1'!$W:$W,"&lt;"&amp;$C$53,'C1'!$W:$W,"&gt;="&amp;$B$53,'C1'!$M:$M,A65)</f>
        <v>5</v>
      </c>
      <c r="E65" s="465">
        <f>COUNTIFS('C1'!$W:$W,"&lt;"&amp;$D$53,'C1'!$W:$W,"&gt;="&amp;$C$53,'C1'!$M:$M,A65)</f>
        <v>3</v>
      </c>
      <c r="F65" s="436">
        <f>COUNTIFS('C1'!$W:$W,"&gt;"&amp;$D$53,'C1'!$M:$M,A65)</f>
        <v>0</v>
      </c>
      <c r="G65" s="23">
        <f>SUM(B65:F65)</f>
        <v>11</v>
      </c>
    </row>
    <row r="66" spans="1:7" x14ac:dyDescent="0.25">
      <c r="A66" s="644"/>
      <c r="B66" s="465"/>
      <c r="C66" s="465"/>
      <c r="E66" s="1041"/>
    </row>
    <row r="67" spans="1:7" ht="15.75" x14ac:dyDescent="0.25">
      <c r="A67" s="655" t="s">
        <v>4329</v>
      </c>
      <c r="C67" s="689">
        <f>(SUM(B61:E63)/SUM(B61:E65))</f>
        <v>0.55882352941176472</v>
      </c>
      <c r="E67" s="1041"/>
    </row>
    <row r="68" spans="1:7" x14ac:dyDescent="0.25">
      <c r="E68" s="1041"/>
    </row>
    <row r="69" spans="1:7" x14ac:dyDescent="0.25">
      <c r="E69" s="1041"/>
    </row>
    <row r="70" spans="1:7" x14ac:dyDescent="0.25">
      <c r="E70" s="1041"/>
    </row>
    <row r="71" spans="1:7" x14ac:dyDescent="0.25">
      <c r="A71" s="650" t="s">
        <v>4330</v>
      </c>
      <c r="B71" s="648">
        <v>2021</v>
      </c>
      <c r="C71" s="648">
        <v>2022</v>
      </c>
      <c r="D71" s="648">
        <v>2023</v>
      </c>
      <c r="E71" s="648">
        <v>2024</v>
      </c>
      <c r="F71" s="648">
        <v>2025</v>
      </c>
      <c r="G71" s="648" t="s">
        <v>4109</v>
      </c>
    </row>
    <row r="72" spans="1:7" x14ac:dyDescent="0.25">
      <c r="A72" s="652" t="s">
        <v>380</v>
      </c>
      <c r="B72" s="653">
        <f>COUNTIFS('C1'!R:R,"NEW",'C1'!$W:$W,"&lt;"&amp;$C$52,'C1'!$W:$W,"&gt;="""&amp;$B$52,'C1'!$M:$M,A72)</f>
        <v>0</v>
      </c>
      <c r="C72" s="653">
        <f>COUNTIFS('C1'!R:R,"NEW",'C1'!$W:$W,"&lt;"&amp;$B$53,'C1'!$W:$W,"&gt;="&amp;$C$52,'C1'!$M:$M,A72)</f>
        <v>0</v>
      </c>
      <c r="D72" s="653">
        <f>COUNTIFS('C1'!R:R,"NEW",'C1'!$W:$W,"&lt;"&amp;$C$53,'C1'!$W:$W,"&gt;="&amp;$B$53,'C1'!$M:$M,A72)</f>
        <v>0</v>
      </c>
      <c r="E72" s="653">
        <f>COUNTIFS('C1'!R:R,"NEW",'C1'!$W:$W,"&lt;"&amp;$D$53,'C1'!$W:$W,"&gt;="&amp;$C$53,'C1'!$M:$M,A72)</f>
        <v>2</v>
      </c>
      <c r="F72" s="654">
        <f>COUNTIFS('C1'!R:R,"NEW",'C1'!$W:$W,"&gt;"&amp;$D$53,'C1'!$M:$M,A72)</f>
        <v>0</v>
      </c>
      <c r="G72" s="23">
        <f>SUM(B72:F72)</f>
        <v>2</v>
      </c>
    </row>
    <row r="73" spans="1:7" x14ac:dyDescent="0.25">
      <c r="A73" s="652" t="s">
        <v>534</v>
      </c>
      <c r="B73" s="653">
        <f>COUNTIFS('C1'!R:R,"NEW",'C1'!$W:$W,"&lt;"&amp;$C$52,'C1'!$W:$W,"&gt;="""&amp;$B$52,'C1'!$M:$M,A73)</f>
        <v>0</v>
      </c>
      <c r="C73" s="653">
        <f>COUNTIFS('C1'!R:R,"NEW",'C1'!$W:$W,"&lt;"&amp;$B$53,'C1'!$W:$W,"&gt;="&amp;$C$52,'C1'!$M:$M,A73)</f>
        <v>0</v>
      </c>
      <c r="D73" s="653">
        <f>COUNTIFS('C1'!R:R,"NEW",'C1'!$W:$W,"&lt;"&amp;$C$53,'C1'!$W:$W,"&gt;="&amp;$B$53,'C1'!$M:$M,A73)</f>
        <v>0</v>
      </c>
      <c r="E73" s="653">
        <f>COUNTIFS('C1'!R:R,"NEW",'C1'!$W:$W,"&lt;"&amp;$D$53,'C1'!$W:$W,"&gt;="&amp;$C$53,'C1'!$M:$M,A73)</f>
        <v>12</v>
      </c>
      <c r="F73" s="654">
        <f>COUNTIFS('C1'!R:R,"NEW",'C1'!$W:$W,"&gt;"&amp;$D$53,'C1'!$M:$M,A73)</f>
        <v>0</v>
      </c>
      <c r="G73" s="23">
        <f>SUM(B73:F73)</f>
        <v>12</v>
      </c>
    </row>
    <row r="74" spans="1:7" x14ac:dyDescent="0.25">
      <c r="A74" s="749" t="s">
        <v>3613</v>
      </c>
      <c r="B74" s="653">
        <f>COUNTIFS('C1'!R:R,"NEW",'C1'!$W:$W,"&lt;"&amp;$C$52,'C1'!$W:$W,"&gt;="""&amp;$B$52,'C1'!$M:$M,A74)</f>
        <v>0</v>
      </c>
      <c r="C74" s="653">
        <f>COUNTIFS('C1'!R:R,"NEW",'C1'!$W:$W,"&lt;"&amp;$B$53,'C1'!$W:$W,"&gt;="&amp;$C$52,'C1'!$M:$M,A74)</f>
        <v>0</v>
      </c>
      <c r="D74" s="653">
        <f>COUNTIFS('C1'!R:R,"NEW",'C1'!$W:$W,"&lt;"&amp;$C$53,'C1'!$W:$W,"&gt;="&amp;$B$53,'C1'!$M:$M,A74)</f>
        <v>0</v>
      </c>
      <c r="E74" s="653">
        <f>COUNTIFS('C1'!R:R,"NEW",'C1'!$W:$W,"&lt;"&amp;$D$53,'C1'!$W:$W,"&gt;="&amp;$C$53,'C1'!$M:$M,A74)</f>
        <v>0</v>
      </c>
      <c r="F74" s="654">
        <f>COUNTIFS('C1'!R:R,"NEW",'C1'!$W:$W,"&gt;"&amp;$D$53,'C1'!$M:$M,A74)</f>
        <v>0</v>
      </c>
      <c r="G74" s="23">
        <f>SUM(B74:F74)</f>
        <v>0</v>
      </c>
    </row>
    <row r="75" spans="1:7" x14ac:dyDescent="0.25">
      <c r="A75" s="1039" t="s">
        <v>555</v>
      </c>
      <c r="B75" s="465">
        <f>COUNTIFS('C1'!R:R,"NEW",'C1'!$W:$W,"&lt;"&amp;$C$52,'C1'!$W:$W,"&gt;="""&amp;$B$52,'C1'!$M:$M,A75)</f>
        <v>0</v>
      </c>
      <c r="C75" s="465">
        <f>COUNTIFS('C1'!R:R,"NEW",'C1'!$W:$W,"&lt;"&amp;$B$53,'C1'!$W:$W,"&gt;="&amp;$C$52,'C1'!$M:$M,A75)</f>
        <v>0</v>
      </c>
      <c r="D75" s="465">
        <f>COUNTIFS('C1'!R:R,"NEW",'C1'!$W:$W,"&lt;"&amp;$C$53,'C1'!$W:$W,"&gt;="&amp;$B$53,'C1'!$M:$M,A75)</f>
        <v>0</v>
      </c>
      <c r="E75" s="465">
        <f>COUNTIFS('C1'!R:R,"NEW",'C1'!$W:$W,"&lt;"&amp;$D$53,'C1'!$W:$W,"&gt;="&amp;$C$53,'C1'!$M:$M,A75)</f>
        <v>1</v>
      </c>
      <c r="F75" s="436">
        <f>COUNTIFS('C1'!R:R,"NEW",'C1'!$W:$W,"&gt;"&amp;$D$53,'C1'!$M:$M,A75)</f>
        <v>0</v>
      </c>
      <c r="G75" s="23">
        <f>SUM(B75:F75)</f>
        <v>1</v>
      </c>
    </row>
    <row r="76" spans="1:7" x14ac:dyDescent="0.25">
      <c r="A76" s="1039" t="s">
        <v>438</v>
      </c>
      <c r="B76" s="465">
        <f>COUNTIFS('C1'!R:R,"NEW",'C1'!$W:$W,"&lt;"&amp;$C$52,'C1'!$W:$W,"&gt;="""&amp;$B$52,'C1'!$M:$M,A76)</f>
        <v>0</v>
      </c>
      <c r="C76" s="465">
        <f>COUNTIFS('C1'!R:R,"NEW",'C1'!$W:$W,"&lt;"&amp;$B$53,'C1'!$W:$W,"&gt;="&amp;$C$52,'C1'!$M:$M,A76)</f>
        <v>0</v>
      </c>
      <c r="D76" s="465">
        <f>COUNTIFS('C1'!R:R,"NEW",'C1'!$W:$W,"&lt;"&amp;$C$53,'C1'!$W:$W,"&gt;="&amp;$B$53,'C1'!$M:$M,A76)</f>
        <v>5</v>
      </c>
      <c r="E76" s="465">
        <f>COUNTIFS('C1'!R:R,"NEW",'C1'!$W:$W,"&lt;"&amp;$D$53,'C1'!$W:$W,"&gt;="&amp;$C$53,'C1'!$M:$M,A76)</f>
        <v>2</v>
      </c>
      <c r="F76" s="436">
        <f>COUNTIFS('C1'!R:R,"NEW",'C1'!$W:$W,"&gt;"&amp;$D$53,'C1'!$M:$M,A76)</f>
        <v>0</v>
      </c>
      <c r="G76" s="23">
        <f>SUM(B76:F76)</f>
        <v>7</v>
      </c>
    </row>
    <row r="77" spans="1:7" x14ac:dyDescent="0.25">
      <c r="C77"/>
      <c r="D77"/>
      <c r="E77"/>
    </row>
    <row r="78" spans="1:7" ht="15.75" x14ac:dyDescent="0.25">
      <c r="A78" s="655" t="s">
        <v>4329</v>
      </c>
      <c r="C78" s="689">
        <f>(SUM(E72:E74)/SUM(E72:E76))</f>
        <v>0.82352941176470584</v>
      </c>
      <c r="D78"/>
      <c r="E78"/>
    </row>
    <row r="79" spans="1:7" x14ac:dyDescent="0.25">
      <c r="E79" s="145"/>
    </row>
    <row r="80" spans="1:7" x14ac:dyDescent="0.25">
      <c r="E80" s="145"/>
    </row>
    <row r="81" spans="5:5" x14ac:dyDescent="0.25">
      <c r="E81" s="145"/>
    </row>
    <row r="82" spans="5:5" x14ac:dyDescent="0.25">
      <c r="E82" s="145"/>
    </row>
    <row r="83" spans="5:5" x14ac:dyDescent="0.25">
      <c r="E83" s="145"/>
    </row>
    <row r="84" spans="5:5" x14ac:dyDescent="0.25">
      <c r="E84" s="145"/>
    </row>
    <row r="85" spans="5:5" x14ac:dyDescent="0.25">
      <c r="E85" s="145"/>
    </row>
    <row r="86" spans="5:5" x14ac:dyDescent="0.25">
      <c r="E86" s="145"/>
    </row>
    <row r="87" spans="5:5" x14ac:dyDescent="0.25">
      <c r="E87" s="145"/>
    </row>
    <row r="88" spans="5:5" x14ac:dyDescent="0.25">
      <c r="E88" s="145"/>
    </row>
    <row r="89" spans="5:5" x14ac:dyDescent="0.25">
      <c r="E89" s="145"/>
    </row>
    <row r="90" spans="5:5" x14ac:dyDescent="0.25">
      <c r="E90" s="145"/>
    </row>
    <row r="91" spans="5:5" x14ac:dyDescent="0.25">
      <c r="E91" s="145"/>
    </row>
    <row r="92" spans="5:5" x14ac:dyDescent="0.25">
      <c r="E92" s="145"/>
    </row>
    <row r="93" spans="5:5" x14ac:dyDescent="0.25">
      <c r="E93" s="145"/>
    </row>
    <row r="94" spans="5:5" x14ac:dyDescent="0.25">
      <c r="E94" s="145"/>
    </row>
    <row r="95" spans="5:5" x14ac:dyDescent="0.25">
      <c r="E95" s="145"/>
    </row>
  </sheetData>
  <mergeCells count="32">
    <mergeCell ref="C55:D55"/>
    <mergeCell ref="C56:D56"/>
    <mergeCell ref="C57:D57"/>
    <mergeCell ref="J28:M28"/>
    <mergeCell ref="R28:S28"/>
    <mergeCell ref="I28:I29"/>
    <mergeCell ref="Q28:Q29"/>
    <mergeCell ref="I38:I39"/>
    <mergeCell ref="J38:M38"/>
    <mergeCell ref="N38:N39"/>
    <mergeCell ref="I44:I45"/>
    <mergeCell ref="J44:M44"/>
    <mergeCell ref="N44:N45"/>
    <mergeCell ref="X2:Y2"/>
    <mergeCell ref="R2:S2"/>
    <mergeCell ref="T2:U2"/>
    <mergeCell ref="H2:I2"/>
    <mergeCell ref="J2:K2"/>
    <mergeCell ref="L2:M2"/>
    <mergeCell ref="N2:O2"/>
    <mergeCell ref="V2:W2"/>
    <mergeCell ref="H1:K1"/>
    <mergeCell ref="P2:Q2"/>
    <mergeCell ref="Q22:Q23"/>
    <mergeCell ref="L1:O1"/>
    <mergeCell ref="P1:Q1"/>
    <mergeCell ref="T22:T23"/>
    <mergeCell ref="R22:S22"/>
    <mergeCell ref="A15:B15"/>
    <mergeCell ref="J22:M22"/>
    <mergeCell ref="I22:I23"/>
    <mergeCell ref="N22:N2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CD133-A587-4994-BAB2-E4F113D1B788}">
  <sheetPr>
    <tabColor rgb="FF002060"/>
  </sheetPr>
  <dimension ref="A1:Q117"/>
  <sheetViews>
    <sheetView topLeftCell="A4" zoomScale="85" zoomScaleNormal="85" workbookViewId="0">
      <selection activeCell="B37" sqref="B37"/>
    </sheetView>
  </sheetViews>
  <sheetFormatPr defaultRowHeight="15" x14ac:dyDescent="0.25"/>
  <cols>
    <col min="1" max="1" width="18" customWidth="1"/>
    <col min="2" max="2" width="17.42578125" style="145" customWidth="1"/>
    <col min="3" max="3" width="17.5703125" customWidth="1"/>
    <col min="4" max="4" width="16.85546875" customWidth="1"/>
    <col min="5" max="5" width="18.140625" customWidth="1"/>
    <col min="6" max="6" width="17" customWidth="1"/>
    <col min="7" max="7" width="13" customWidth="1"/>
    <col min="8" max="8" width="15.42578125" customWidth="1"/>
    <col min="9" max="9" width="14.85546875" style="476" customWidth="1"/>
    <col min="10" max="10" width="15.85546875" customWidth="1"/>
    <col min="11" max="11" width="18.5703125" customWidth="1"/>
    <col min="12" max="12" width="13.42578125" customWidth="1"/>
    <col min="13" max="13" width="11.85546875" customWidth="1"/>
    <col min="14" max="14" width="15.140625" customWidth="1"/>
    <col min="15" max="15" width="13.5703125" customWidth="1"/>
    <col min="16" max="16" width="16.42578125" customWidth="1"/>
    <col min="17" max="17" width="15.42578125" customWidth="1"/>
  </cols>
  <sheetData>
    <row r="1" spans="1:15" x14ac:dyDescent="0.25">
      <c r="B1" s="386">
        <v>45658</v>
      </c>
      <c r="C1" s="286">
        <v>45689</v>
      </c>
      <c r="D1" s="286">
        <v>45717</v>
      </c>
      <c r="E1" s="286">
        <v>45748</v>
      </c>
      <c r="F1" s="286">
        <v>45778</v>
      </c>
      <c r="G1" s="286">
        <v>45809</v>
      </c>
      <c r="H1" s="286">
        <v>45839</v>
      </c>
      <c r="I1" s="286">
        <v>45870</v>
      </c>
      <c r="J1" s="286">
        <v>45901</v>
      </c>
      <c r="K1" s="286">
        <v>45931</v>
      </c>
      <c r="L1" s="286">
        <v>45962</v>
      </c>
      <c r="M1" s="286">
        <v>45992</v>
      </c>
      <c r="N1" s="286">
        <v>46023</v>
      </c>
    </row>
    <row r="2" spans="1:15" x14ac:dyDescent="0.25">
      <c r="B2">
        <f t="shared" ref="B2:M2" si="0">C1-B1</f>
        <v>31</v>
      </c>
      <c r="C2">
        <f t="shared" si="0"/>
        <v>28</v>
      </c>
      <c r="D2">
        <f t="shared" si="0"/>
        <v>31</v>
      </c>
      <c r="E2">
        <f t="shared" si="0"/>
        <v>30</v>
      </c>
      <c r="F2">
        <f t="shared" si="0"/>
        <v>31</v>
      </c>
      <c r="G2">
        <f t="shared" si="0"/>
        <v>30</v>
      </c>
      <c r="H2">
        <f t="shared" si="0"/>
        <v>31</v>
      </c>
      <c r="I2">
        <f t="shared" si="0"/>
        <v>31</v>
      </c>
      <c r="J2">
        <f t="shared" si="0"/>
        <v>30</v>
      </c>
      <c r="K2">
        <f t="shared" si="0"/>
        <v>31</v>
      </c>
      <c r="L2">
        <f t="shared" si="0"/>
        <v>30</v>
      </c>
      <c r="M2">
        <f t="shared" si="0"/>
        <v>31</v>
      </c>
    </row>
    <row r="3" spans="1:15" ht="38.25" x14ac:dyDescent="0.25">
      <c r="A3" s="1031" t="s">
        <v>4331</v>
      </c>
      <c r="B3" s="1032" t="s">
        <v>4332</v>
      </c>
      <c r="C3" s="1033" t="s">
        <v>4333</v>
      </c>
      <c r="D3" s="1033" t="s">
        <v>4334</v>
      </c>
      <c r="E3" s="1033" t="s">
        <v>4335</v>
      </c>
      <c r="F3" s="1033" t="s">
        <v>4336</v>
      </c>
      <c r="G3" s="1035" t="s">
        <v>4337</v>
      </c>
      <c r="H3" s="1034" t="s">
        <v>4338</v>
      </c>
      <c r="I3" s="1034" t="s">
        <v>4339</v>
      </c>
      <c r="J3" s="628"/>
      <c r="K3" s="628"/>
      <c r="L3" s="628"/>
      <c r="M3" s="628"/>
      <c r="N3" s="628"/>
    </row>
    <row r="4" spans="1:15" x14ac:dyDescent="0.25">
      <c r="A4" s="271" t="s">
        <v>263</v>
      </c>
      <c r="B4" s="401">
        <f>SUM(B13:M13)</f>
        <v>10028.3207</v>
      </c>
      <c r="C4" s="379">
        <f>SUM(B26:M26)</f>
        <v>17761.213117749154</v>
      </c>
      <c r="D4" s="401">
        <f>SUMIFS('C1'!$O:$O,'C1'!$AA:$AA,"&gt;="&amp;$H$1,'C1'!$AA:$AA,"&lt;"&amp;$I$1,'C1'!$L:$L,A4)</f>
        <v>776.12789999999973</v>
      </c>
      <c r="E4" s="379">
        <f>G26*($J$5/$H$2)</f>
        <v>301.84142363351873</v>
      </c>
      <c r="F4" s="379">
        <v>2850.0959166895</v>
      </c>
      <c r="G4" s="399">
        <f>E4/F4</f>
        <v>0.10590570719602994</v>
      </c>
      <c r="H4" s="399">
        <f>IFERROR(D4/E4,"-")</f>
        <v>2.5713100960666577</v>
      </c>
      <c r="I4" s="399">
        <f t="shared" ref="I4:I9" si="1">IFERROR(B4/C4,"-")</f>
        <v>0.56461913009638331</v>
      </c>
      <c r="J4" s="628"/>
      <c r="K4" s="628"/>
      <c r="L4" s="628"/>
      <c r="M4" s="628"/>
      <c r="N4" s="628"/>
    </row>
    <row r="5" spans="1:15" x14ac:dyDescent="0.25">
      <c r="A5" s="271" t="s">
        <v>5</v>
      </c>
      <c r="B5" s="401">
        <f>SUM(B14:M14)</f>
        <v>12090.241029999997</v>
      </c>
      <c r="C5" s="379">
        <f t="shared" ref="C5:C8" si="2">SUM(B27:M27)</f>
        <v>16703.023659450078</v>
      </c>
      <c r="D5" s="401">
        <f>SUMIFS('C1'!$O:$O,'C1'!$AA:$AA,"&gt;="&amp;$H$1,'C1'!$AA:$AA,"&lt;"&amp;$I$1,'C1'!$L:$L,A5)</f>
        <v>1985.4409999999993</v>
      </c>
      <c r="E5" s="379">
        <f t="shared" ref="E5:E8" si="3">G27*($J$5/$H$2)</f>
        <v>465.2092044660933</v>
      </c>
      <c r="F5" s="379">
        <v>2394.0805700191831</v>
      </c>
      <c r="G5" s="399">
        <f t="shared" ref="G5:G9" si="4">E5/F5</f>
        <v>0.19431643625192016</v>
      </c>
      <c r="H5" s="399">
        <f t="shared" ref="H5:H9" si="5">IFERROR(D5/E5,"-")</f>
        <v>4.267845478849952</v>
      </c>
      <c r="I5" s="399">
        <f t="shared" si="1"/>
        <v>0.723835472936045</v>
      </c>
      <c r="J5" s="1030">
        <v>11</v>
      </c>
      <c r="K5" s="628" t="s">
        <v>4340</v>
      </c>
      <c r="L5" s="628"/>
      <c r="M5" s="628"/>
      <c r="N5" s="628"/>
    </row>
    <row r="6" spans="1:15" x14ac:dyDescent="0.25">
      <c r="A6" s="271" t="s">
        <v>242</v>
      </c>
      <c r="B6" s="401">
        <f>SUM(B15:M15)</f>
        <v>6310.8880399999998</v>
      </c>
      <c r="C6" s="379">
        <f t="shared" si="2"/>
        <v>14966.657531743856</v>
      </c>
      <c r="D6" s="401">
        <f>SUMIFS('C1'!$O:$O,'C1'!$AA:$AA,"&gt;="&amp;$H$1,'C1'!$AA:$AA,"&lt;"&amp;$I$1,'C1'!$L:$L,A6)</f>
        <v>373.92099999999999</v>
      </c>
      <c r="E6" s="379">
        <f t="shared" si="3"/>
        <v>441.87095006143977</v>
      </c>
      <c r="F6" s="379">
        <v>2394.0805700191831</v>
      </c>
      <c r="G6" s="399">
        <f t="shared" si="4"/>
        <v>0.18456812005199105</v>
      </c>
      <c r="H6" s="399">
        <f t="shared" si="5"/>
        <v>0.84622218307858499</v>
      </c>
      <c r="I6" s="399">
        <f t="shared" si="1"/>
        <v>0.4216631553581543</v>
      </c>
      <c r="J6" s="628"/>
      <c r="K6" s="628"/>
      <c r="L6" s="628"/>
      <c r="M6" s="628"/>
      <c r="N6" s="628"/>
    </row>
    <row r="7" spans="1:15" x14ac:dyDescent="0.25">
      <c r="A7" s="271" t="s">
        <v>255</v>
      </c>
      <c r="B7" s="401">
        <f>SUM(B16:M16)</f>
        <v>6606.5308299999988</v>
      </c>
      <c r="C7" s="379">
        <f t="shared" si="2"/>
        <v>15831.917420297797</v>
      </c>
      <c r="D7" s="401">
        <f>SUMIFS('C1'!$O:$O,'C1'!$AA:$AA,"&gt;="&amp;$H$1,'C1'!$AA:$AA,"&lt;"&amp;$I$1,'C1'!$L:$L,A7)</f>
        <v>598.5838</v>
      </c>
      <c r="E7" s="379">
        <f t="shared" si="3"/>
        <v>329.84732891910289</v>
      </c>
      <c r="F7" s="379">
        <v>2394.0805700191831</v>
      </c>
      <c r="G7" s="399">
        <f t="shared" si="4"/>
        <v>0.13777620229233134</v>
      </c>
      <c r="H7" s="399">
        <f t="shared" si="5"/>
        <v>1.8147298690019296</v>
      </c>
      <c r="I7" s="399">
        <f t="shared" si="1"/>
        <v>0.41729189551796753</v>
      </c>
      <c r="J7" s="628"/>
      <c r="K7" s="628"/>
      <c r="L7" s="628"/>
      <c r="M7" s="628"/>
      <c r="N7" s="628"/>
    </row>
    <row r="8" spans="1:15" x14ac:dyDescent="0.25">
      <c r="A8" s="271" t="s">
        <v>288</v>
      </c>
      <c r="B8" s="401">
        <f>SUM(B17:M17)</f>
        <v>9849.2645800000009</v>
      </c>
      <c r="C8" s="379">
        <f t="shared" si="2"/>
        <v>14101.397643189914</v>
      </c>
      <c r="D8" s="401">
        <f>SUMIFS('C1'!$O:$O,'C1'!$AA:$AA,"&gt;="&amp;$H$1,'C1'!$AA:$AA,"&lt;"&amp;$I$1,'C1'!$L:$L,A8)</f>
        <v>1438.5125</v>
      </c>
      <c r="E8" s="379">
        <f t="shared" si="3"/>
        <v>455.87390270423185</v>
      </c>
      <c r="F8" s="379">
        <v>1938.0652233488627</v>
      </c>
      <c r="G8" s="399">
        <f t="shared" si="4"/>
        <v>0.23522113560064226</v>
      </c>
      <c r="H8" s="399">
        <f t="shared" si="5"/>
        <v>3.1555052646505586</v>
      </c>
      <c r="I8" s="399">
        <f t="shared" si="1"/>
        <v>0.69846016892918239</v>
      </c>
      <c r="J8" s="628"/>
      <c r="K8" s="628"/>
      <c r="L8" s="628"/>
      <c r="M8" s="628"/>
      <c r="N8" s="628"/>
    </row>
    <row r="9" spans="1:15" s="264" customFormat="1" x14ac:dyDescent="0.25">
      <c r="A9" s="372" t="s">
        <v>4109</v>
      </c>
      <c r="B9" s="402">
        <f>SUM(B4:B8)</f>
        <v>44885.245179999998</v>
      </c>
      <c r="C9" s="376">
        <f>SUM(C4:C8)</f>
        <v>79364.209372430792</v>
      </c>
      <c r="D9" s="402">
        <f>SUM(D4:D8)</f>
        <v>5172.5861999999988</v>
      </c>
      <c r="E9" s="376">
        <f>SUM(E4:E8)</f>
        <v>1994.6428097843866</v>
      </c>
      <c r="F9" s="376">
        <f>SUM(F4:F8)</f>
        <v>11970.40285009591</v>
      </c>
      <c r="G9" s="400">
        <f t="shared" si="4"/>
        <v>0.16663121824412158</v>
      </c>
      <c r="H9" s="400">
        <f t="shared" si="5"/>
        <v>2.5932393382046866</v>
      </c>
      <c r="I9" s="400">
        <f t="shared" si="1"/>
        <v>0.5655602888875001</v>
      </c>
      <c r="J9" s="664"/>
      <c r="K9" s="664"/>
      <c r="L9" s="664"/>
      <c r="M9" s="664"/>
      <c r="N9" s="664"/>
    </row>
    <row r="10" spans="1:15" x14ac:dyDescent="0.25">
      <c r="A10" s="628"/>
      <c r="B10" s="663"/>
      <c r="C10" s="628"/>
      <c r="D10" s="628"/>
      <c r="E10" s="1241" t="s">
        <v>4341</v>
      </c>
      <c r="F10" s="1242"/>
      <c r="G10" s="628"/>
      <c r="H10" s="628"/>
      <c r="I10" s="628"/>
      <c r="J10" s="628"/>
      <c r="K10" s="628"/>
      <c r="L10" s="628"/>
      <c r="M10" s="628"/>
      <c r="N10" s="628"/>
    </row>
    <row r="11" spans="1:15" ht="45" x14ac:dyDescent="0.25">
      <c r="A11" s="1023" t="s">
        <v>4342</v>
      </c>
      <c r="B11" s="663"/>
      <c r="C11" s="628"/>
      <c r="D11" s="628"/>
      <c r="E11" s="628"/>
      <c r="F11" s="628"/>
      <c r="G11" s="628"/>
      <c r="H11" s="628"/>
      <c r="I11" s="628"/>
      <c r="J11" s="628"/>
      <c r="K11" s="628"/>
      <c r="L11" s="628"/>
      <c r="M11" s="628"/>
      <c r="N11" s="628"/>
    </row>
    <row r="12" spans="1:15" ht="45" x14ac:dyDescent="0.25">
      <c r="A12" s="284" t="s">
        <v>4331</v>
      </c>
      <c r="B12" s="385" t="s">
        <v>4097</v>
      </c>
      <c r="C12" s="384" t="s">
        <v>4098</v>
      </c>
      <c r="D12" s="384" t="s">
        <v>4099</v>
      </c>
      <c r="E12" s="384" t="s">
        <v>4100</v>
      </c>
      <c r="F12" s="384" t="s">
        <v>4101</v>
      </c>
      <c r="G12" s="384" t="s">
        <v>4102</v>
      </c>
      <c r="H12" s="384" t="s">
        <v>4103</v>
      </c>
      <c r="I12" s="384" t="s">
        <v>4104</v>
      </c>
      <c r="J12" s="384" t="s">
        <v>4105</v>
      </c>
      <c r="K12" s="384" t="s">
        <v>4106</v>
      </c>
      <c r="L12" s="384" t="s">
        <v>4107</v>
      </c>
      <c r="M12" s="384" t="s">
        <v>4108</v>
      </c>
      <c r="N12" s="384" t="s">
        <v>4343</v>
      </c>
    </row>
    <row r="13" spans="1:15" x14ac:dyDescent="0.25">
      <c r="A13" s="271" t="s">
        <v>263</v>
      </c>
      <c r="B13" s="375">
        <f>SUMIFS('C1'!$O:$O,'C1'!$AA:$AA,"&gt;="&amp;$B$1,'C1'!$AA:$AA,"&lt;"&amp;$C$1,'C1'!$L:$L,A13)</f>
        <v>2672.9692000000005</v>
      </c>
      <c r="C13" s="375">
        <f>SUMIFS('C1'!$O:$O,'C1'!$AA:$AA,"&gt;="&amp;$C$1,'C1'!$AA:$AA,"&lt;"&amp;$D$1,'C1'!$L:$L,A13)</f>
        <v>905.10050000000024</v>
      </c>
      <c r="D13" s="375">
        <f>SUMIFS('C1'!$O:$O,'C1'!$AA:$AA,"&gt;="&amp;$D$1,'C1'!$AA:$AA,"&lt;"&amp;$E$1,'C1'!$L:$L,A13)</f>
        <v>919.98049999999967</v>
      </c>
      <c r="E13" s="375">
        <f>SUMIFS('C1'!$O:$O,'C1'!$AA:$AA,"&gt;="&amp;$E$1,'C1'!$AA:$AA,"&lt;"&amp;$F$1,'C1'!$L:$L,A13)</f>
        <v>2151.1123000000002</v>
      </c>
      <c r="F13" s="375">
        <f>SUMIFS('C1'!$O:$O,'C1'!$AA:$AA,"&gt;="&amp;$F$1,'C1'!$AA:$AA,"&lt;"&amp;$G$1,'C1'!$L:$L,A13)</f>
        <v>1958.5569000000003</v>
      </c>
      <c r="G13" s="375">
        <f>SUMIFS('C1'!$O:$O,'C1'!$AA:$AA,"&gt;="&amp;$G$1,'C1'!$AA:$AA,"&lt;"&amp;$H$1,'C1'!$L:$L,A13)</f>
        <v>644.47340000000008</v>
      </c>
      <c r="H13" s="375">
        <f>SUMIFS('C1'!$O:$O,'C1'!$AA:$AA,"&gt;="&amp;$H$1,'C1'!$AA:$AA,"&lt;"&amp;$I$1,'C1'!$L:$L,A13)</f>
        <v>776.12789999999973</v>
      </c>
      <c r="I13" s="271"/>
      <c r="J13" s="271"/>
      <c r="K13" s="271"/>
      <c r="L13" s="271"/>
      <c r="M13" s="271"/>
      <c r="N13" s="379">
        <f>SUM(B13:M13)</f>
        <v>10028.3207</v>
      </c>
      <c r="O13" s="261"/>
    </row>
    <row r="14" spans="1:15" x14ac:dyDescent="0.25">
      <c r="A14" s="271" t="s">
        <v>5</v>
      </c>
      <c r="B14" s="375">
        <f>SUMIFS('C1'!$O:$O,'C1'!$AA:$AA,"&gt;="&amp;$B$1,'C1'!$AA:$AA,"&lt;"&amp;$C$1,'C1'!$L:$L,A14)</f>
        <v>956.85030000000006</v>
      </c>
      <c r="C14" s="375">
        <f>SUMIFS('C1'!$O:$O,'C1'!$AA:$AA,"&gt;="&amp;$C$1,'C1'!$AA:$AA,"&lt;"&amp;$D$1,'C1'!$L:$L,A14)</f>
        <v>2956.0097000000001</v>
      </c>
      <c r="D14" s="375">
        <f>SUMIFS('C1'!$O:$O,'C1'!$AA:$AA,"&gt;="&amp;$D$1,'C1'!$AA:$AA,"&lt;"&amp;$E$1,'C1'!$L:$L,A14)</f>
        <v>1840.0378999999996</v>
      </c>
      <c r="E14" s="375">
        <f>SUMIFS('C1'!$O:$O,'C1'!$AA:$AA,"&gt;="&amp;$E$1,'C1'!$AA:$AA,"&lt;"&amp;$F$1,'C1'!$L:$L,A14)</f>
        <v>765.76704999999981</v>
      </c>
      <c r="F14" s="375">
        <f>SUMIFS('C1'!$O:$O,'C1'!$AA:$AA,"&gt;="&amp;$F$1,'C1'!$AA:$AA,"&lt;"&amp;$G$1,'C1'!$L:$L,A14)</f>
        <v>2319.5444799999991</v>
      </c>
      <c r="G14" s="375">
        <f>SUMIFS('C1'!$O:$O,'C1'!$AA:$AA,"&gt;="&amp;$G$1,'C1'!$AA:$AA,"&lt;"&amp;$H$1,'C1'!$L:$L,A14)</f>
        <v>1266.5906000000002</v>
      </c>
      <c r="H14" s="375">
        <f>SUMIFS('C1'!$O:$O,'C1'!$AA:$AA,"&gt;="&amp;$H$1,'C1'!$AA:$AA,"&lt;"&amp;$I$1,'C1'!$L:$L,A14)</f>
        <v>1985.4409999999993</v>
      </c>
      <c r="I14" s="271"/>
      <c r="J14" s="271"/>
      <c r="K14" s="271"/>
      <c r="L14" s="271"/>
      <c r="M14" s="271"/>
      <c r="N14" s="379">
        <f t="shared" ref="N14:N17" si="6">SUM(B14:M14)</f>
        <v>12090.241029999997</v>
      </c>
    </row>
    <row r="15" spans="1:15" x14ac:dyDescent="0.25">
      <c r="A15" s="271" t="s">
        <v>242</v>
      </c>
      <c r="B15" s="375">
        <f>SUMIFS('C1'!$O:$O,'C1'!$AA:$AA,"&gt;="&amp;$B$1,'C1'!$AA:$AA,"&lt;"&amp;$C$1,'C1'!$L:$L,A15)</f>
        <v>1268.1719399999999</v>
      </c>
      <c r="C15" s="375">
        <f>SUMIFS('C1'!$O:$O,'C1'!$AA:$AA,"&gt;="&amp;$C$1,'C1'!$AA:$AA,"&lt;"&amp;$D$1,'C1'!$L:$L,A15)</f>
        <v>603.67430000000002</v>
      </c>
      <c r="D15" s="375">
        <f>SUMIFS('C1'!$O:$O,'C1'!$AA:$AA,"&gt;="&amp;$D$1,'C1'!$AA:$AA,"&lt;"&amp;$E$1,'C1'!$L:$L,A15)</f>
        <v>1357.4366</v>
      </c>
      <c r="E15" s="375">
        <f>SUMIFS('C1'!$O:$O,'C1'!$AA:$AA,"&gt;="&amp;$E$1,'C1'!$AA:$AA,"&lt;"&amp;$F$1,'C1'!$L:$L,A15)</f>
        <v>1361.4626000000001</v>
      </c>
      <c r="F15" s="375">
        <f>SUMIFS('C1'!$O:$O,'C1'!$AA:$AA,"&gt;="&amp;$F$1,'C1'!$AA:$AA,"&lt;"&amp;$G$1,'C1'!$L:$L,A15)</f>
        <v>331.8655</v>
      </c>
      <c r="G15" s="375">
        <f>SUMIFS('C1'!$O:$O,'C1'!$AA:$AA,"&gt;="&amp;$G$1,'C1'!$AA:$AA,"&lt;"&amp;$H$1,'C1'!$L:$L,A15)</f>
        <v>1014.3561</v>
      </c>
      <c r="H15" s="375">
        <f>SUMIFS('C1'!$O:$O,'C1'!$AA:$AA,"&gt;="&amp;$H$1,'C1'!$AA:$AA,"&lt;"&amp;$I$1,'C1'!$L:$L,A15)</f>
        <v>373.92099999999999</v>
      </c>
      <c r="I15" s="271"/>
      <c r="J15" s="271"/>
      <c r="K15" s="271"/>
      <c r="L15" s="271"/>
      <c r="M15" s="271"/>
      <c r="N15" s="379">
        <f t="shared" si="6"/>
        <v>6310.8880399999998</v>
      </c>
    </row>
    <row r="16" spans="1:15" x14ac:dyDescent="0.25">
      <c r="A16" s="271" t="s">
        <v>255</v>
      </c>
      <c r="B16" s="375">
        <f>SUMIFS('C1'!$O:$O,'C1'!$AA:$AA,"&gt;="&amp;$B$1,'C1'!$AA:$AA,"&lt;"&amp;$C$1,'C1'!$L:$L,A16)</f>
        <v>1488.6252000000002</v>
      </c>
      <c r="C16" s="375">
        <f>SUMIFS('C1'!$O:$O,'C1'!$AA:$AA,"&gt;="&amp;$C$1,'C1'!$AA:$AA,"&lt;"&amp;$D$1,'C1'!$L:$L,A16)</f>
        <v>648.81674999999996</v>
      </c>
      <c r="D16" s="375">
        <f>SUMIFS('C1'!$O:$O,'C1'!$AA:$AA,"&gt;="&amp;$D$1,'C1'!$AA:$AA,"&lt;"&amp;$E$1,'C1'!$L:$L,A16)</f>
        <v>2110.176899999999</v>
      </c>
      <c r="E16" s="375">
        <f>SUMIFS('C1'!$O:$O,'C1'!$AA:$AA,"&gt;="&amp;$E$1,'C1'!$AA:$AA,"&lt;"&amp;$F$1,'C1'!$L:$L,A16)</f>
        <v>388.55959999999999</v>
      </c>
      <c r="F16" s="375">
        <f>SUMIFS('C1'!$O:$O,'C1'!$AA:$AA,"&gt;="&amp;$F$1,'C1'!$AA:$AA,"&lt;"&amp;$G$1,'C1'!$L:$L,A16)</f>
        <v>1213.7616799999996</v>
      </c>
      <c r="G16" s="375">
        <f>SUMIFS('C1'!$O:$O,'C1'!$AA:$AA,"&gt;="&amp;$G$1,'C1'!$AA:$AA,"&lt;"&amp;$H$1,'C1'!$L:$L,A16)</f>
        <v>158.0069</v>
      </c>
      <c r="H16" s="375">
        <f>SUMIFS('C1'!$O:$O,'C1'!$AA:$AA,"&gt;="&amp;$H$1,'C1'!$AA:$AA,"&lt;"&amp;$I$1,'C1'!$L:$L,A16)</f>
        <v>598.5838</v>
      </c>
      <c r="I16" s="271"/>
      <c r="J16" s="271"/>
      <c r="K16" s="271"/>
      <c r="L16" s="271"/>
      <c r="M16" s="271"/>
      <c r="N16" s="379">
        <f t="shared" si="6"/>
        <v>6606.5308299999988</v>
      </c>
    </row>
    <row r="17" spans="1:14" x14ac:dyDescent="0.25">
      <c r="A17" s="271" t="s">
        <v>288</v>
      </c>
      <c r="B17" s="375">
        <f>SUMIFS('C1'!$O:$O,'C1'!$AA:$AA,"&gt;="&amp;$B$1,'C1'!$AA:$AA,"&lt;"&amp;$C$1,'C1'!$L:$L,A17)</f>
        <v>1621.0814</v>
      </c>
      <c r="C17" s="375">
        <f>SUMIFS('C1'!$O:$O,'C1'!$AA:$AA,"&gt;="&amp;$C$1,'C1'!$AA:$AA,"&lt;"&amp;$D$1,'C1'!$L:$L,A17)</f>
        <v>1845.4006999999999</v>
      </c>
      <c r="D17" s="375">
        <f>SUMIFS('C1'!$O:$O,'C1'!$AA:$AA,"&gt;="&amp;$D$1,'C1'!$AA:$AA,"&lt;"&amp;$E$1,'C1'!$L:$L,A17)</f>
        <v>1171.6608000000001</v>
      </c>
      <c r="E17" s="375">
        <f>SUMIFS('C1'!$O:$O,'C1'!$AA:$AA,"&gt;="&amp;$E$1,'C1'!$AA:$AA,"&lt;"&amp;$F$1,'C1'!$L:$L,A17)</f>
        <v>983.01220000000001</v>
      </c>
      <c r="F17" s="375">
        <f>SUMIFS('C1'!$O:$O,'C1'!$AA:$AA,"&gt;="&amp;$F$1,'C1'!$AA:$AA,"&lt;"&amp;$G$1,'C1'!$L:$L,A17)</f>
        <v>1443.0291</v>
      </c>
      <c r="G17" s="375">
        <f>SUMIFS('C1'!$O:$O,'C1'!$AA:$AA,"&gt;="&amp;$G$1,'C1'!$AA:$AA,"&lt;"&amp;$H$1,'C1'!$L:$L,A17)</f>
        <v>1346.5678799999991</v>
      </c>
      <c r="H17" s="375">
        <f>SUMIFS('C1'!$O:$O,'C1'!$AA:$AA,"&gt;="&amp;$H$1,'C1'!$AA:$AA,"&lt;"&amp;$I$1,'C1'!$L:$L,A17)</f>
        <v>1438.5125</v>
      </c>
      <c r="I17" s="271"/>
      <c r="J17" s="271"/>
      <c r="K17" s="271"/>
      <c r="L17" s="271"/>
      <c r="M17" s="271"/>
      <c r="N17" s="379">
        <f t="shared" si="6"/>
        <v>9849.2645800000009</v>
      </c>
    </row>
    <row r="18" spans="1:14" x14ac:dyDescent="0.25">
      <c r="A18" s="271" t="s">
        <v>1945</v>
      </c>
      <c r="B18" s="375">
        <f>SUMIFS('C1'!$O:$O,'C1'!$AA:$AA,"&gt;="&amp;$B$1,'C1'!$AA:$AA,"&lt;"&amp;$C$1,'C1'!$L:$L,A18)</f>
        <v>28.61</v>
      </c>
      <c r="C18" s="375">
        <f>SUMIFS('C1'!$O:$O,'C1'!$AA:$AA,"&gt;="&amp;$C$1,'C1'!$AA:$AA,"&lt;"&amp;$D$1,'C1'!$L:$L,A18)</f>
        <v>66.92</v>
      </c>
      <c r="D18" s="375">
        <f>SUMIFS('C1'!$O:$O,'C1'!$AA:$AA,"&gt;="&amp;$D$1,'C1'!$AA:$AA,"&lt;"&amp;$E$1,'C1'!$L:$L,A18)</f>
        <v>77.349999999999994</v>
      </c>
      <c r="E18" s="375">
        <f>SUMIFS('C1'!$O:$O,'C1'!$AA:$AA,"&gt;="&amp;$E$1,'C1'!$AA:$AA,"&lt;"&amp;$F$1,'C1'!$L:$L,A18)</f>
        <v>0</v>
      </c>
      <c r="F18" s="375">
        <f>SUMIFS('C1'!$O:$O,'C1'!$AA:$AA,"&gt;="&amp;$F$1,'C1'!$AA:$AA,"&lt;"&amp;$G$1,'C1'!$L:$L,A18)</f>
        <v>0</v>
      </c>
      <c r="G18" s="375">
        <f>SUMIFS('C1'!$O:$O,'C1'!$AA:$AA,"&gt;="&amp;$G$1,'C1'!$AA:$AA,"&lt;"&amp;$H$1,'C1'!$L:$L,A18)</f>
        <v>115.28</v>
      </c>
      <c r="H18" s="375">
        <f>SUMIFS('C1'!$O:$O,'C1'!$AA:$AA,"&gt;="&amp;$H$1,'C1'!$AA:$AA,"&lt;"&amp;$I$1,'C1'!$L:$L,A18)</f>
        <v>241.92</v>
      </c>
      <c r="I18" s="1029"/>
      <c r="J18" s="271"/>
      <c r="K18" s="271"/>
      <c r="L18" s="271"/>
      <c r="M18" s="271"/>
    </row>
    <row r="19" spans="1:14" x14ac:dyDescent="0.25">
      <c r="A19" s="271" t="s">
        <v>1957</v>
      </c>
      <c r="B19" s="375">
        <f>SUMIFS('C1'!$O:$O,'C1'!$AA:$AA,"&gt;="&amp;$B$1,'C1'!$AA:$AA,"&lt;"&amp;$C$1,'C1'!$L:$L,A19)</f>
        <v>22.41</v>
      </c>
      <c r="C19" s="375">
        <f>SUMIFS('C1'!$O:$O,'C1'!$AA:$AA,"&gt;="&amp;$C$1,'C1'!$AA:$AA,"&lt;"&amp;$D$1,'C1'!$L:$L,A19)</f>
        <v>20.14</v>
      </c>
      <c r="D19" s="375">
        <f>SUMIFS('C1'!$O:$O,'C1'!$AA:$AA,"&gt;="&amp;$D$1,'C1'!$AA:$AA,"&lt;"&amp;$E$1,'C1'!$L:$L,A19)</f>
        <v>49.04</v>
      </c>
      <c r="E19" s="375">
        <f>SUMIFS('C1'!$O:$O,'C1'!$AA:$AA,"&gt;="&amp;$E$1,'C1'!$AA:$AA,"&lt;"&amp;$F$1,'C1'!$L:$L,A19)</f>
        <v>20.78</v>
      </c>
      <c r="F19" s="375">
        <f>SUMIFS('C1'!$O:$O,'C1'!$AA:$AA,"&gt;="&amp;$F$1,'C1'!$AA:$AA,"&lt;"&amp;$G$1,'C1'!$L:$L,A19)</f>
        <v>13.95</v>
      </c>
      <c r="G19" s="375">
        <f>SUMIFS('C1'!$O:$O,'C1'!$AA:$AA,"&gt;="&amp;$G$1,'C1'!$AA:$AA,"&lt;"&amp;$H$1,'C1'!$L:$L,A19)</f>
        <v>299.83799999999997</v>
      </c>
      <c r="H19" s="375">
        <f>SUMIFS('C1'!$O:$O,'C1'!$AA:$AA,"&gt;="&amp;$H$1,'C1'!$AA:$AA,"&lt;"&amp;$I$1,'C1'!$L:$L,A19)</f>
        <v>710.1</v>
      </c>
      <c r="I19" s="271"/>
      <c r="J19" s="271"/>
      <c r="K19" s="271"/>
      <c r="L19" s="271"/>
      <c r="M19" s="271"/>
    </row>
    <row r="20" spans="1:14" x14ac:dyDescent="0.25">
      <c r="A20" s="271" t="s">
        <v>312</v>
      </c>
      <c r="B20" s="375">
        <f>SUMIFS('C1'!$O:$O,'C1'!$AA:$AA,"&gt;="&amp;$B$1,'C1'!$AA:$AA,"&lt;"&amp;$C$1,'C1'!$L:$L,A20)</f>
        <v>0</v>
      </c>
      <c r="C20" s="375">
        <f>SUMIFS('C1'!$O:$O,'C1'!$AA:$AA,"&gt;="&amp;$C$1,'C1'!$AA:$AA,"&lt;"&amp;$D$1,'C1'!$L:$L,A20)</f>
        <v>0</v>
      </c>
      <c r="D20" s="375">
        <f>SUMIFS('C1'!$O:$O,'C1'!$AA:$AA,"&gt;="&amp;$D$1,'C1'!$AA:$AA,"&lt;"&amp;$E$1,'C1'!$L:$L,A20)</f>
        <v>0</v>
      </c>
      <c r="E20" s="375">
        <f>SUMIFS('C1'!$O:$O,'C1'!$AA:$AA,"&gt;="&amp;$E$1,'C1'!$AA:$AA,"&lt;"&amp;$F$1,'C1'!$L:$L,A20)</f>
        <v>0</v>
      </c>
      <c r="F20" s="375">
        <f>SUMIFS('C1'!$O:$O,'C1'!$AA:$AA,"&gt;="&amp;$F$1,'C1'!$AA:$AA,"&lt;"&amp;$G$1,'C1'!$L:$L,A20)</f>
        <v>269.6164</v>
      </c>
      <c r="G20" s="375">
        <f>SUMIFS('C1'!$O:$O,'C1'!$AA:$AA,"&gt;="&amp;$G$1,'C1'!$AA:$AA,"&lt;"&amp;$H$1,'C1'!$L:$L,A20)</f>
        <v>222.76070000000001</v>
      </c>
      <c r="H20" s="375">
        <f>SUMIFS('C1'!$O:$O,'C1'!$AA:$AA,"&gt;="&amp;$H$1,'C1'!$AA:$AA,"&lt;"&amp;$I$1,'C1'!$L:$L,A20)</f>
        <v>0</v>
      </c>
      <c r="I20" s="271"/>
      <c r="J20" s="271"/>
      <c r="K20" s="271"/>
      <c r="L20" s="271"/>
      <c r="M20" s="271"/>
    </row>
    <row r="21" spans="1:14" x14ac:dyDescent="0.25">
      <c r="A21" s="372" t="s">
        <v>4109</v>
      </c>
      <c r="B21" s="376">
        <f t="shared" ref="B21:F21" si="7">SUM(B13:B20)</f>
        <v>8058.7180400000007</v>
      </c>
      <c r="C21" s="376">
        <f t="shared" si="7"/>
        <v>7046.0619500000003</v>
      </c>
      <c r="D21" s="376">
        <f t="shared" si="7"/>
        <v>7525.6826999999985</v>
      </c>
      <c r="E21" s="376">
        <f t="shared" si="7"/>
        <v>5670.6937499999995</v>
      </c>
      <c r="F21" s="376">
        <f t="shared" si="7"/>
        <v>7550.3240599999981</v>
      </c>
      <c r="G21" s="376">
        <f>SUM(G13:G20)</f>
        <v>5067.8735799999986</v>
      </c>
      <c r="H21" s="376">
        <f>SUM(H13:H20)</f>
        <v>6124.6061999999993</v>
      </c>
      <c r="I21" s="271"/>
      <c r="J21" s="271"/>
      <c r="K21" s="271"/>
      <c r="L21" s="271"/>
      <c r="M21" s="271"/>
      <c r="N21" s="380">
        <f>SUM(N13:N17)</f>
        <v>44885.245179999998</v>
      </c>
    </row>
    <row r="22" spans="1:14" x14ac:dyDescent="0.25">
      <c r="C22" s="261"/>
      <c r="D22" s="261"/>
      <c r="E22" s="261"/>
      <c r="F22" s="261"/>
      <c r="G22" s="261"/>
      <c r="H22" s="261"/>
      <c r="I22" s="261"/>
      <c r="J22" s="261"/>
      <c r="K22" s="261"/>
      <c r="L22" s="261"/>
      <c r="M22" s="261"/>
    </row>
    <row r="23" spans="1:14" x14ac:dyDescent="0.25">
      <c r="I23"/>
    </row>
    <row r="24" spans="1:14" ht="45" x14ac:dyDescent="0.25">
      <c r="A24" s="1023" t="s">
        <v>4211</v>
      </c>
      <c r="B24" s="1249" t="s">
        <v>4344</v>
      </c>
      <c r="C24" s="1249"/>
      <c r="D24" s="1249"/>
      <c r="E24" s="1249"/>
      <c r="F24" s="1020" t="s">
        <v>4345</v>
      </c>
      <c r="G24" s="1022" t="s">
        <v>4346</v>
      </c>
      <c r="H24" s="1020" t="s">
        <v>4346</v>
      </c>
      <c r="I24" s="1021"/>
      <c r="J24" s="1021"/>
    </row>
    <row r="25" spans="1:14" x14ac:dyDescent="0.25">
      <c r="A25" s="284" t="s">
        <v>4331</v>
      </c>
      <c r="B25" s="394" t="s">
        <v>4097</v>
      </c>
      <c r="C25" s="367" t="s">
        <v>4098</v>
      </c>
      <c r="D25" s="367" t="s">
        <v>4099</v>
      </c>
      <c r="E25" s="367" t="s">
        <v>4100</v>
      </c>
      <c r="F25" s="367" t="s">
        <v>4101</v>
      </c>
      <c r="G25" s="367" t="s">
        <v>4102</v>
      </c>
      <c r="H25" s="367" t="s">
        <v>4103</v>
      </c>
      <c r="I25" s="367" t="s">
        <v>4104</v>
      </c>
      <c r="J25" s="367" t="s">
        <v>4105</v>
      </c>
      <c r="K25" s="367" t="s">
        <v>4106</v>
      </c>
      <c r="L25" s="367" t="s">
        <v>4107</v>
      </c>
      <c r="M25" s="367" t="s">
        <v>4108</v>
      </c>
    </row>
    <row r="26" spans="1:14" x14ac:dyDescent="0.25">
      <c r="A26" s="271" t="s">
        <v>263</v>
      </c>
      <c r="B26" s="375">
        <f>G40</f>
        <v>2850.0959166895041</v>
      </c>
      <c r="C26" s="456">
        <f>G49</f>
        <v>2850.0959166895041</v>
      </c>
      <c r="D26" s="456">
        <f>G58</f>
        <v>2850.0959166895041</v>
      </c>
      <c r="E26" s="456">
        <f>G67</f>
        <v>2850.0959166895041</v>
      </c>
      <c r="F26" s="456">
        <v>2630.8577692518497</v>
      </c>
      <c r="G26" s="375">
        <v>850.64401205809816</v>
      </c>
      <c r="H26" s="375">
        <v>1289.1203069334065</v>
      </c>
      <c r="I26" s="379">
        <f>SUM(F26:H26)/3</f>
        <v>1590.2073627477848</v>
      </c>
      <c r="J26" s="271"/>
      <c r="K26" s="271"/>
      <c r="L26" s="271"/>
      <c r="M26" s="271"/>
    </row>
    <row r="27" spans="1:14" x14ac:dyDescent="0.25">
      <c r="A27" s="271" t="s">
        <v>5</v>
      </c>
      <c r="B27" s="375">
        <f>G41</f>
        <v>2394.0805700191831</v>
      </c>
      <c r="C27" s="456">
        <f t="shared" ref="C27:C30" si="8">G50</f>
        <v>2394.0805700191831</v>
      </c>
      <c r="D27" s="456">
        <f t="shared" ref="D27:D30" si="9">G59</f>
        <v>2394.0805700191831</v>
      </c>
      <c r="E27" s="456">
        <f>G68</f>
        <v>2394.0805700191831</v>
      </c>
      <c r="F27" s="456">
        <v>2468.6215401479858</v>
      </c>
      <c r="G27" s="375">
        <v>1311.0441216771719</v>
      </c>
      <c r="H27" s="375">
        <v>1565.3603727048505</v>
      </c>
      <c r="I27" s="379">
        <f t="shared" ref="I27:I30" si="10">SUM(F27:H27)/3</f>
        <v>1781.6753448433362</v>
      </c>
      <c r="J27" s="271"/>
      <c r="K27" s="271"/>
      <c r="L27" s="271"/>
      <c r="M27" s="271"/>
    </row>
    <row r="28" spans="1:14" x14ac:dyDescent="0.25">
      <c r="A28" s="271" t="s">
        <v>242</v>
      </c>
      <c r="B28" s="375">
        <f>G42</f>
        <v>2394.0805700191831</v>
      </c>
      <c r="C28" s="456">
        <f t="shared" si="8"/>
        <v>2394.0805700191831</v>
      </c>
      <c r="D28" s="456">
        <f t="shared" si="9"/>
        <v>2394.0805700191831</v>
      </c>
      <c r="E28" s="456">
        <f>G69</f>
        <v>1938.0652233488627</v>
      </c>
      <c r="F28" s="456">
        <v>2284.4614963003564</v>
      </c>
      <c r="G28" s="375">
        <v>1245.2726774458756</v>
      </c>
      <c r="H28" s="375">
        <v>855.02877500685133</v>
      </c>
      <c r="I28" s="379">
        <f t="shared" si="10"/>
        <v>1461.5876495843611</v>
      </c>
      <c r="J28" s="271"/>
      <c r="K28" s="271"/>
      <c r="L28" s="271"/>
      <c r="M28" s="271"/>
    </row>
    <row r="29" spans="1:14" x14ac:dyDescent="0.25">
      <c r="A29" s="271" t="s">
        <v>255</v>
      </c>
      <c r="B29" s="375">
        <f>G43</f>
        <v>2394.0805700191831</v>
      </c>
      <c r="C29" s="456">
        <f t="shared" si="8"/>
        <v>2394.0805700191831</v>
      </c>
      <c r="D29" s="456">
        <f t="shared" si="9"/>
        <v>2394.0805700191831</v>
      </c>
      <c r="E29" s="456">
        <f>G70</f>
        <v>2394.0805700191831</v>
      </c>
      <c r="F29" s="456">
        <v>2008.2214305289122</v>
      </c>
      <c r="G29" s="375">
        <v>929.56974513565353</v>
      </c>
      <c r="H29" s="375">
        <v>1753.9051795012331</v>
      </c>
      <c r="I29" s="379">
        <f t="shared" si="10"/>
        <v>1563.8987850552664</v>
      </c>
      <c r="J29" s="271"/>
      <c r="K29" s="271"/>
      <c r="L29" s="271"/>
      <c r="M29" s="271"/>
    </row>
    <row r="30" spans="1:14" x14ac:dyDescent="0.25">
      <c r="A30" s="271" t="s">
        <v>288</v>
      </c>
      <c r="B30" s="375">
        <f>G44</f>
        <v>1938.0652233488627</v>
      </c>
      <c r="C30" s="456">
        <f t="shared" si="8"/>
        <v>1938.0652233488627</v>
      </c>
      <c r="D30" s="456">
        <f t="shared" si="9"/>
        <v>1938.0652233488627</v>
      </c>
      <c r="E30" s="456">
        <f>G71</f>
        <v>1938.0652233488627</v>
      </c>
      <c r="F30" s="456">
        <v>1723.2118388599617</v>
      </c>
      <c r="G30" s="375">
        <v>1284.7355439846533</v>
      </c>
      <c r="H30" s="375">
        <v>1753.9051795012333</v>
      </c>
      <c r="I30" s="379">
        <f t="shared" si="10"/>
        <v>1587.284187448616</v>
      </c>
      <c r="J30" s="271"/>
      <c r="K30" s="271"/>
      <c r="L30" s="271"/>
      <c r="M30" s="271"/>
    </row>
    <row r="31" spans="1:14" x14ac:dyDescent="0.25">
      <c r="A31" s="372" t="s">
        <v>4109</v>
      </c>
      <c r="B31" s="376">
        <f t="shared" ref="B31:H31" si="11">SUM(B26:B30)</f>
        <v>11970.402850095918</v>
      </c>
      <c r="C31" s="376">
        <f t="shared" si="11"/>
        <v>11970.402850095918</v>
      </c>
      <c r="D31" s="376">
        <f t="shared" si="11"/>
        <v>11970.402850095918</v>
      </c>
      <c r="E31" s="376">
        <f t="shared" si="11"/>
        <v>11514.387503425594</v>
      </c>
      <c r="F31" s="376">
        <f t="shared" si="11"/>
        <v>11115.374075089067</v>
      </c>
      <c r="G31" s="376">
        <f t="shared" si="11"/>
        <v>5621.2661003014528</v>
      </c>
      <c r="H31" s="376">
        <f t="shared" si="11"/>
        <v>7217.3198136475748</v>
      </c>
      <c r="I31" s="379">
        <f>SUM(I26:I30)</f>
        <v>7984.653329679365</v>
      </c>
      <c r="J31" s="271"/>
      <c r="K31" s="271"/>
      <c r="L31" s="271"/>
      <c r="M31" s="271"/>
    </row>
    <row r="32" spans="1:14" x14ac:dyDescent="0.25">
      <c r="D32" s="261"/>
      <c r="I32"/>
    </row>
    <row r="33" spans="1:13" ht="30" x14ac:dyDescent="0.25">
      <c r="A33" s="1023" t="s">
        <v>4347</v>
      </c>
      <c r="D33" s="261"/>
      <c r="I33"/>
    </row>
    <row r="34" spans="1:13" x14ac:dyDescent="0.25">
      <c r="A34" s="352"/>
      <c r="B34" s="394" t="s">
        <v>4097</v>
      </c>
      <c r="C34" s="367" t="s">
        <v>4098</v>
      </c>
      <c r="D34" s="367" t="s">
        <v>4099</v>
      </c>
      <c r="E34" s="367" t="s">
        <v>4100</v>
      </c>
      <c r="F34" s="367" t="s">
        <v>4101</v>
      </c>
      <c r="G34" s="367" t="s">
        <v>4102</v>
      </c>
      <c r="H34" s="367" t="s">
        <v>4103</v>
      </c>
      <c r="I34" s="367" t="s">
        <v>4104</v>
      </c>
      <c r="J34" s="367" t="s">
        <v>4105</v>
      </c>
      <c r="K34" s="367" t="s">
        <v>4106</v>
      </c>
      <c r="L34" s="367" t="s">
        <v>4107</v>
      </c>
      <c r="M34" s="367" t="s">
        <v>4108</v>
      </c>
    </row>
    <row r="35" spans="1:13" x14ac:dyDescent="0.25">
      <c r="A35" s="352"/>
      <c r="B35" s="939">
        <f t="shared" ref="B35:F35" si="12">B21/B31</f>
        <v>0.67322028681227108</v>
      </c>
      <c r="C35" s="939">
        <f t="shared" si="12"/>
        <v>0.58862362764537546</v>
      </c>
      <c r="D35" s="939">
        <f t="shared" si="12"/>
        <v>0.62869084643543938</v>
      </c>
      <c r="E35" s="939">
        <f t="shared" si="12"/>
        <v>0.49248765931430888</v>
      </c>
      <c r="F35" s="939">
        <f t="shared" si="12"/>
        <v>0.67926855263658759</v>
      </c>
      <c r="G35" s="939">
        <f>G21/G31</f>
        <v>0.90155375845456287</v>
      </c>
      <c r="H35" s="940"/>
      <c r="I35" s="940"/>
      <c r="J35" s="940"/>
      <c r="K35" s="940"/>
      <c r="L35" s="940"/>
      <c r="M35" s="940"/>
    </row>
    <row r="36" spans="1:13" x14ac:dyDescent="0.25">
      <c r="D36" s="261"/>
      <c r="I36"/>
    </row>
    <row r="37" spans="1:13" ht="15.75" thickBot="1" x14ac:dyDescent="0.3">
      <c r="A37" s="396" t="s">
        <v>4348</v>
      </c>
      <c r="C37" s="398" t="s">
        <v>4349</v>
      </c>
      <c r="I37"/>
    </row>
    <row r="38" spans="1:13" ht="14.85" customHeight="1" thickBot="1" x14ac:dyDescent="0.3">
      <c r="A38" s="395" t="s">
        <v>4350</v>
      </c>
      <c r="B38" s="1245" t="s">
        <v>4351</v>
      </c>
      <c r="C38" s="1246"/>
      <c r="D38" s="1246"/>
      <c r="E38" s="1246"/>
      <c r="F38" s="1247" t="s">
        <v>4352</v>
      </c>
      <c r="G38" s="1243" t="s">
        <v>4353</v>
      </c>
      <c r="H38" s="418"/>
      <c r="I38" s="473"/>
      <c r="J38" s="419"/>
    </row>
    <row r="39" spans="1:13" ht="15.75" thickBot="1" x14ac:dyDescent="0.3">
      <c r="A39" s="389" t="s">
        <v>4331</v>
      </c>
      <c r="B39" s="392" t="s">
        <v>4354</v>
      </c>
      <c r="C39" s="393" t="s">
        <v>4355</v>
      </c>
      <c r="D39" s="393" t="s">
        <v>4356</v>
      </c>
      <c r="E39" s="421" t="s">
        <v>4357</v>
      </c>
      <c r="F39" s="1248"/>
      <c r="G39" s="1244"/>
      <c r="H39" s="420"/>
      <c r="I39" s="474"/>
      <c r="J39" s="419"/>
    </row>
    <row r="40" spans="1:13" x14ac:dyDescent="0.25">
      <c r="A40" s="387" t="s">
        <v>263</v>
      </c>
      <c r="B40" s="588">
        <v>3</v>
      </c>
      <c r="C40" s="589">
        <v>1</v>
      </c>
      <c r="D40" s="589">
        <v>1</v>
      </c>
      <c r="E40" s="590">
        <v>1</v>
      </c>
      <c r="F40" s="602">
        <f>(B40*4)+(C40*6)+(D40*4)+(E40*3)</f>
        <v>25</v>
      </c>
      <c r="G40" s="603">
        <f t="shared" ref="G40:G45" si="13">(F40*8*26)/1.8245</f>
        <v>2850.0959166895041</v>
      </c>
      <c r="H40" s="65"/>
      <c r="I40" s="475"/>
      <c r="J40" s="65"/>
    </row>
    <row r="41" spans="1:13" x14ac:dyDescent="0.25">
      <c r="A41" s="388" t="s">
        <v>5</v>
      </c>
      <c r="B41" s="591">
        <v>2</v>
      </c>
      <c r="C41" s="280">
        <v>1</v>
      </c>
      <c r="D41" s="592">
        <v>1</v>
      </c>
      <c r="E41" s="512">
        <v>1</v>
      </c>
      <c r="F41" s="602">
        <f>(B41*4)+(C41*6)+(D41*4)+(E41*3)</f>
        <v>21</v>
      </c>
      <c r="G41" s="603">
        <f t="shared" si="13"/>
        <v>2394.0805700191831</v>
      </c>
      <c r="H41" s="65"/>
      <c r="I41" s="475"/>
      <c r="J41" s="65"/>
    </row>
    <row r="42" spans="1:13" x14ac:dyDescent="0.25">
      <c r="A42" s="388" t="s">
        <v>242</v>
      </c>
      <c r="B42" s="593">
        <v>2</v>
      </c>
      <c r="C42" s="592">
        <v>1</v>
      </c>
      <c r="D42" s="592">
        <v>1</v>
      </c>
      <c r="E42" s="594">
        <v>1</v>
      </c>
      <c r="F42" s="602">
        <f>(B42*4)+(C42*6)+(D42*4)+(E42*3)</f>
        <v>21</v>
      </c>
      <c r="G42" s="603">
        <f t="shared" si="13"/>
        <v>2394.0805700191831</v>
      </c>
      <c r="H42" s="65"/>
      <c r="I42" s="475"/>
      <c r="J42" s="65"/>
    </row>
    <row r="43" spans="1:13" x14ac:dyDescent="0.25">
      <c r="A43" s="388" t="s">
        <v>255</v>
      </c>
      <c r="B43" s="591">
        <v>2</v>
      </c>
      <c r="C43" s="595">
        <v>1</v>
      </c>
      <c r="D43" s="592">
        <v>1</v>
      </c>
      <c r="E43" s="594">
        <v>1</v>
      </c>
      <c r="F43" s="602">
        <f>(B43*4)+(C43*6)+(D43*4)+(E43*3)</f>
        <v>21</v>
      </c>
      <c r="G43" s="603">
        <f t="shared" si="13"/>
        <v>2394.0805700191831</v>
      </c>
      <c r="H43" s="65"/>
      <c r="I43" s="475"/>
      <c r="J43" s="65"/>
    </row>
    <row r="44" spans="1:13" ht="15.75" thickBot="1" x14ac:dyDescent="0.3">
      <c r="A44" s="390" t="s">
        <v>288</v>
      </c>
      <c r="B44" s="596">
        <v>2</v>
      </c>
      <c r="C44" s="597">
        <v>1</v>
      </c>
      <c r="D44" s="597"/>
      <c r="E44" s="598">
        <v>1</v>
      </c>
      <c r="F44" s="602">
        <f>(B44*4)+(C44*6)+(D44*4)+(E44*3)</f>
        <v>17</v>
      </c>
      <c r="G44" s="603">
        <f t="shared" si="13"/>
        <v>1938.0652233488627</v>
      </c>
      <c r="H44" s="65"/>
      <c r="I44" s="475"/>
      <c r="J44" s="65"/>
    </row>
    <row r="45" spans="1:13" ht="15.75" thickBot="1" x14ac:dyDescent="0.3">
      <c r="A45" s="391" t="s">
        <v>4109</v>
      </c>
      <c r="B45" s="599">
        <f>SUM(B40:B44)</f>
        <v>11</v>
      </c>
      <c r="C45" s="599">
        <f>SUM(C40:C44)</f>
        <v>5</v>
      </c>
      <c r="D45" s="599">
        <f>SUM(D40:D44)</f>
        <v>4</v>
      </c>
      <c r="E45" s="600">
        <f>SUM(E40:E44)</f>
        <v>5</v>
      </c>
      <c r="F45" s="604">
        <f>SUM(F40:F44)</f>
        <v>105</v>
      </c>
      <c r="G45" s="605">
        <f t="shared" si="13"/>
        <v>11970.402850095918</v>
      </c>
      <c r="H45" s="65"/>
      <c r="I45" s="475"/>
      <c r="J45" s="65"/>
    </row>
    <row r="46" spans="1:13" ht="15.75" thickBot="1" x14ac:dyDescent="0.3">
      <c r="B46" s="601"/>
      <c r="C46" s="90"/>
      <c r="D46" s="90"/>
      <c r="E46" s="90"/>
      <c r="F46" s="606"/>
      <c r="G46" s="607"/>
      <c r="H46" s="65"/>
      <c r="I46" s="475"/>
      <c r="J46" s="65"/>
    </row>
    <row r="47" spans="1:13" ht="15" customHeight="1" thickBot="1" x14ac:dyDescent="0.3">
      <c r="A47" s="395" t="s">
        <v>4358</v>
      </c>
      <c r="B47" s="1245" t="s">
        <v>4351</v>
      </c>
      <c r="C47" s="1246"/>
      <c r="D47" s="1246"/>
      <c r="E47" s="1246"/>
      <c r="F47" s="1247" t="s">
        <v>4352</v>
      </c>
      <c r="G47" s="1243" t="s">
        <v>4353</v>
      </c>
      <c r="H47" s="418"/>
      <c r="I47" s="473"/>
      <c r="J47" s="419"/>
    </row>
    <row r="48" spans="1:13" ht="15.75" thickBot="1" x14ac:dyDescent="0.3">
      <c r="A48" s="389" t="s">
        <v>4331</v>
      </c>
      <c r="B48" s="392" t="s">
        <v>4354</v>
      </c>
      <c r="C48" s="393" t="s">
        <v>4355</v>
      </c>
      <c r="D48" s="393" t="s">
        <v>4356</v>
      </c>
      <c r="E48" s="421" t="s">
        <v>4357</v>
      </c>
      <c r="F48" s="1248"/>
      <c r="G48" s="1244"/>
      <c r="H48" s="420"/>
      <c r="I48" s="474"/>
      <c r="J48" s="419"/>
    </row>
    <row r="49" spans="1:17" x14ac:dyDescent="0.25">
      <c r="A49" s="387" t="s">
        <v>263</v>
      </c>
      <c r="B49" s="588">
        <v>3</v>
      </c>
      <c r="C49" s="589">
        <v>1</v>
      </c>
      <c r="D49" s="589">
        <v>1</v>
      </c>
      <c r="E49" s="590">
        <v>1</v>
      </c>
      <c r="F49" s="602">
        <f>(B49*4)+(C49*6)+(D49*4)+(E49*3)</f>
        <v>25</v>
      </c>
      <c r="G49" s="603">
        <f t="shared" ref="G49:G54" si="14">(F49*8*26)/1.8245</f>
        <v>2850.0959166895041</v>
      </c>
      <c r="H49" s="65"/>
      <c r="I49" s="475"/>
      <c r="J49" s="65"/>
    </row>
    <row r="50" spans="1:17" x14ac:dyDescent="0.25">
      <c r="A50" s="388" t="s">
        <v>5</v>
      </c>
      <c r="B50" s="591">
        <v>2</v>
      </c>
      <c r="C50" s="280">
        <v>1</v>
      </c>
      <c r="D50" s="592">
        <v>1</v>
      </c>
      <c r="E50" s="512">
        <v>1</v>
      </c>
      <c r="F50" s="602">
        <f>(B50*4)+(C50*6)+(D50*4)+(E50*3)</f>
        <v>21</v>
      </c>
      <c r="G50" s="603">
        <f t="shared" si="14"/>
        <v>2394.0805700191831</v>
      </c>
      <c r="H50" s="65"/>
      <c r="I50" s="475"/>
      <c r="J50" s="65"/>
    </row>
    <row r="51" spans="1:17" x14ac:dyDescent="0.25">
      <c r="A51" s="388" t="s">
        <v>242</v>
      </c>
      <c r="B51" s="593">
        <v>2</v>
      </c>
      <c r="C51" s="592">
        <v>1</v>
      </c>
      <c r="D51" s="592">
        <v>1</v>
      </c>
      <c r="E51" s="594">
        <v>1</v>
      </c>
      <c r="F51" s="602">
        <f>(B51*4)+(C51*6)+(D51*4)+(E51*3)</f>
        <v>21</v>
      </c>
      <c r="G51" s="603">
        <f t="shared" si="14"/>
        <v>2394.0805700191831</v>
      </c>
      <c r="H51" s="65"/>
      <c r="I51" s="475"/>
      <c r="J51" s="65"/>
    </row>
    <row r="52" spans="1:17" x14ac:dyDescent="0.25">
      <c r="A52" s="388" t="s">
        <v>255</v>
      </c>
      <c r="B52" s="591">
        <v>2</v>
      </c>
      <c r="C52" s="595">
        <v>1</v>
      </c>
      <c r="D52" s="592">
        <v>1</v>
      </c>
      <c r="E52" s="594">
        <v>1</v>
      </c>
      <c r="F52" s="602">
        <f>(B52*4)+(C52*6)+(D52*4)+(E52*3)</f>
        <v>21</v>
      </c>
      <c r="G52" s="603">
        <f t="shared" si="14"/>
        <v>2394.0805700191831</v>
      </c>
      <c r="H52" s="65"/>
      <c r="I52" s="475"/>
      <c r="J52" s="65"/>
    </row>
    <row r="53" spans="1:17" ht="15.75" thickBot="1" x14ac:dyDescent="0.3">
      <c r="A53" s="390" t="s">
        <v>288</v>
      </c>
      <c r="B53" s="596">
        <v>2</v>
      </c>
      <c r="C53" s="597">
        <v>1</v>
      </c>
      <c r="D53" s="597"/>
      <c r="E53" s="598">
        <v>1</v>
      </c>
      <c r="F53" s="602">
        <f>(B53*4)+(C53*6)+(D53*4)+(E53*3)</f>
        <v>17</v>
      </c>
      <c r="G53" s="603">
        <f t="shared" si="14"/>
        <v>1938.0652233488627</v>
      </c>
      <c r="H53" s="65"/>
      <c r="I53" s="475"/>
      <c r="J53" s="65"/>
    </row>
    <row r="54" spans="1:17" ht="15.75" thickBot="1" x14ac:dyDescent="0.3">
      <c r="A54" s="391" t="s">
        <v>4109</v>
      </c>
      <c r="B54" s="599">
        <f>SUM(B49:B53)</f>
        <v>11</v>
      </c>
      <c r="C54" s="599">
        <f>SUM(C49:C53)</f>
        <v>5</v>
      </c>
      <c r="D54" s="599">
        <f>SUM(D49:D53)</f>
        <v>4</v>
      </c>
      <c r="E54" s="600">
        <f>SUM(E49:E53)</f>
        <v>5</v>
      </c>
      <c r="F54" s="604">
        <f>SUM(F49:F53)</f>
        <v>105</v>
      </c>
      <c r="G54" s="605">
        <f t="shared" si="14"/>
        <v>11970.402850095918</v>
      </c>
      <c r="H54" s="65"/>
      <c r="I54" s="475"/>
      <c r="J54" s="65"/>
    </row>
    <row r="55" spans="1:17" ht="15.75" thickBot="1" x14ac:dyDescent="0.3">
      <c r="B55" s="601"/>
      <c r="C55" s="90"/>
      <c r="D55" s="90"/>
      <c r="E55" s="90"/>
      <c r="F55" s="320"/>
      <c r="G55" s="320"/>
      <c r="K55" s="608" t="s">
        <v>4359</v>
      </c>
      <c r="L55" s="477"/>
      <c r="M55" s="477"/>
      <c r="N55" s="478"/>
      <c r="O55" s="478"/>
      <c r="P55" s="478"/>
      <c r="Q55" s="478"/>
    </row>
    <row r="56" spans="1:17" ht="15.75" thickBot="1" x14ac:dyDescent="0.3">
      <c r="A56" s="395" t="s">
        <v>4360</v>
      </c>
      <c r="B56" s="1245" t="s">
        <v>4351</v>
      </c>
      <c r="C56" s="1246"/>
      <c r="D56" s="1246"/>
      <c r="E56" s="1246"/>
      <c r="F56" s="1247" t="s">
        <v>4352</v>
      </c>
      <c r="G56" s="1243" t="s">
        <v>4353</v>
      </c>
      <c r="K56" s="479" t="s">
        <v>4360</v>
      </c>
      <c r="L56" s="1254" t="s">
        <v>4351</v>
      </c>
      <c r="M56" s="1255"/>
      <c r="N56" s="1255"/>
      <c r="O56" s="1255"/>
      <c r="P56" s="1250" t="s">
        <v>4352</v>
      </c>
      <c r="Q56" s="1252" t="s">
        <v>4353</v>
      </c>
    </row>
    <row r="57" spans="1:17" ht="15.75" thickBot="1" x14ac:dyDescent="0.3">
      <c r="A57" s="389" t="s">
        <v>4331</v>
      </c>
      <c r="B57" s="392" t="s">
        <v>4354</v>
      </c>
      <c r="C57" s="393" t="s">
        <v>4355</v>
      </c>
      <c r="D57" s="393" t="s">
        <v>4356</v>
      </c>
      <c r="E57" s="421" t="s">
        <v>4357</v>
      </c>
      <c r="F57" s="1248"/>
      <c r="G57" s="1244"/>
      <c r="K57" s="480" t="s">
        <v>4331</v>
      </c>
      <c r="L57" s="484" t="s">
        <v>4354</v>
      </c>
      <c r="M57" s="484" t="s">
        <v>4355</v>
      </c>
      <c r="N57" s="484" t="s">
        <v>4356</v>
      </c>
      <c r="O57" s="485" t="s">
        <v>4357</v>
      </c>
      <c r="P57" s="1251"/>
      <c r="Q57" s="1253"/>
    </row>
    <row r="58" spans="1:17" x14ac:dyDescent="0.25">
      <c r="A58" s="387" t="s">
        <v>263</v>
      </c>
      <c r="B58" s="588">
        <v>3</v>
      </c>
      <c r="C58" s="589">
        <v>1</v>
      </c>
      <c r="D58" s="589">
        <v>1</v>
      </c>
      <c r="E58" s="590">
        <v>1</v>
      </c>
      <c r="F58" s="602">
        <f>(B58*4)+(C58*6)+(D58*4)+(E58*3)</f>
        <v>25</v>
      </c>
      <c r="G58" s="603">
        <f t="shared" ref="G58:G63" si="15">(F58*8*26)/1.8245</f>
        <v>2850.0959166895041</v>
      </c>
      <c r="K58" s="481" t="s">
        <v>263</v>
      </c>
      <c r="L58" s="574">
        <v>3</v>
      </c>
      <c r="M58" s="575">
        <v>1</v>
      </c>
      <c r="N58" s="575">
        <v>1</v>
      </c>
      <c r="O58" s="576">
        <v>1</v>
      </c>
      <c r="P58" s="577">
        <f>(L58*4)+(M58*6)+(N58*4)+(O58*3)</f>
        <v>25</v>
      </c>
      <c r="Q58" s="397">
        <f t="shared" ref="Q58:Q63" si="16">(P58*8*26)/1.8245</f>
        <v>2850.0959166895041</v>
      </c>
    </row>
    <row r="59" spans="1:17" x14ac:dyDescent="0.25">
      <c r="A59" s="388" t="s">
        <v>5</v>
      </c>
      <c r="B59" s="591">
        <v>2</v>
      </c>
      <c r="C59" s="280">
        <v>1</v>
      </c>
      <c r="D59" s="592">
        <v>1</v>
      </c>
      <c r="E59" s="512">
        <v>1</v>
      </c>
      <c r="F59" s="602">
        <f>(B59*4)+(C59*6)+(D59*4)+(E59*3)</f>
        <v>21</v>
      </c>
      <c r="G59" s="603">
        <f t="shared" si="15"/>
        <v>2394.0805700191831</v>
      </c>
      <c r="K59" s="481" t="s">
        <v>5</v>
      </c>
      <c r="L59" s="578">
        <v>4</v>
      </c>
      <c r="M59" s="579">
        <v>1</v>
      </c>
      <c r="N59" s="575">
        <v>1</v>
      </c>
      <c r="O59" s="580">
        <v>1</v>
      </c>
      <c r="P59" s="577">
        <f>(L59*4)+(M59*6)+(N59*4)+(O59*3)</f>
        <v>29</v>
      </c>
      <c r="Q59" s="397">
        <f t="shared" si="16"/>
        <v>3306.1112633598245</v>
      </c>
    </row>
    <row r="60" spans="1:17" x14ac:dyDescent="0.25">
      <c r="A60" s="388" t="s">
        <v>242</v>
      </c>
      <c r="B60" s="593">
        <v>2</v>
      </c>
      <c r="C60" s="592">
        <v>1</v>
      </c>
      <c r="D60" s="592">
        <v>1</v>
      </c>
      <c r="E60" s="594">
        <v>1</v>
      </c>
      <c r="F60" s="602">
        <f>(B60*4)+(C60*6)+(D60*4)+(E60*3)</f>
        <v>21</v>
      </c>
      <c r="G60" s="603">
        <f t="shared" si="15"/>
        <v>2394.0805700191831</v>
      </c>
      <c r="K60" s="481" t="s">
        <v>242</v>
      </c>
      <c r="L60" s="574">
        <v>2</v>
      </c>
      <c r="M60" s="575">
        <v>1</v>
      </c>
      <c r="N60" s="575">
        <v>1</v>
      </c>
      <c r="O60" s="576">
        <v>1</v>
      </c>
      <c r="P60" s="577">
        <f>(L60*4)+(M60*6)+(N60*4)+(O60*3)</f>
        <v>21</v>
      </c>
      <c r="Q60" s="397">
        <f t="shared" si="16"/>
        <v>2394.0805700191831</v>
      </c>
    </row>
    <row r="61" spans="1:17" x14ac:dyDescent="0.25">
      <c r="A61" s="388" t="s">
        <v>255</v>
      </c>
      <c r="B61" s="591">
        <v>2</v>
      </c>
      <c r="C61" s="595">
        <v>1</v>
      </c>
      <c r="D61" s="592">
        <v>1</v>
      </c>
      <c r="E61" s="594">
        <v>1</v>
      </c>
      <c r="F61" s="602">
        <f>(B61*4)+(C61*6)+(D61*4)+(E61*3)</f>
        <v>21</v>
      </c>
      <c r="G61" s="603">
        <f t="shared" si="15"/>
        <v>2394.0805700191831</v>
      </c>
      <c r="K61" s="481" t="s">
        <v>255</v>
      </c>
      <c r="L61" s="578">
        <v>4</v>
      </c>
      <c r="M61" s="581">
        <v>1</v>
      </c>
      <c r="N61" s="575">
        <v>1</v>
      </c>
      <c r="O61" s="576">
        <v>1</v>
      </c>
      <c r="P61" s="577">
        <f>(L61*4)+(M61*6)+(N61*4)+(O61*3)</f>
        <v>29</v>
      </c>
      <c r="Q61" s="397">
        <f t="shared" si="16"/>
        <v>3306.1112633598245</v>
      </c>
    </row>
    <row r="62" spans="1:17" ht="15.75" thickBot="1" x14ac:dyDescent="0.3">
      <c r="A62" s="390" t="s">
        <v>288</v>
      </c>
      <c r="B62" s="596">
        <v>2</v>
      </c>
      <c r="C62" s="597">
        <v>1</v>
      </c>
      <c r="D62" s="597"/>
      <c r="E62" s="598">
        <v>1</v>
      </c>
      <c r="F62" s="602">
        <f>(B62*4)+(C62*6)+(D62*4)+(E62*3)</f>
        <v>17</v>
      </c>
      <c r="G62" s="603">
        <f t="shared" si="15"/>
        <v>1938.0652233488627</v>
      </c>
      <c r="K62" s="482" t="s">
        <v>288</v>
      </c>
      <c r="L62" s="582">
        <v>2</v>
      </c>
      <c r="M62" s="583">
        <v>1</v>
      </c>
      <c r="N62" s="583">
        <v>0</v>
      </c>
      <c r="O62" s="584">
        <v>0</v>
      </c>
      <c r="P62" s="577">
        <f>(L62*4)+(M62*6)+(N62*4)+(O62*3)</f>
        <v>14</v>
      </c>
      <c r="Q62" s="397">
        <f t="shared" si="16"/>
        <v>1596.0537133461223</v>
      </c>
    </row>
    <row r="63" spans="1:17" ht="15.75" thickBot="1" x14ac:dyDescent="0.3">
      <c r="A63" s="391" t="s">
        <v>4109</v>
      </c>
      <c r="B63" s="599">
        <f>SUM(B58:B62)</f>
        <v>11</v>
      </c>
      <c r="C63" s="599">
        <f>SUM(C58:C62)</f>
        <v>5</v>
      </c>
      <c r="D63" s="599">
        <f>SUM(D58:D62)</f>
        <v>4</v>
      </c>
      <c r="E63" s="600">
        <f>SUM(E58:E62)</f>
        <v>5</v>
      </c>
      <c r="F63" s="604">
        <f>SUM(F58:F62)</f>
        <v>105</v>
      </c>
      <c r="G63" s="605">
        <f t="shared" si="15"/>
        <v>11970.402850095918</v>
      </c>
      <c r="K63" s="483" t="s">
        <v>4109</v>
      </c>
      <c r="L63" s="585">
        <v>15</v>
      </c>
      <c r="M63" s="585">
        <v>5</v>
      </c>
      <c r="N63" s="585">
        <v>4</v>
      </c>
      <c r="O63" s="586">
        <v>5</v>
      </c>
      <c r="P63" s="587">
        <f>SUM(P58:P62)</f>
        <v>118</v>
      </c>
      <c r="Q63" s="422">
        <f t="shared" si="16"/>
        <v>13452.452726774458</v>
      </c>
    </row>
    <row r="64" spans="1:17" ht="15.75" thickBot="1" x14ac:dyDescent="0.3"/>
    <row r="65" spans="1:17" ht="15" customHeight="1" thickBot="1" x14ac:dyDescent="0.3">
      <c r="A65" s="395" t="s">
        <v>4361</v>
      </c>
      <c r="B65" s="1245" t="s">
        <v>4351</v>
      </c>
      <c r="C65" s="1246"/>
      <c r="D65" s="1246"/>
      <c r="E65" s="1246"/>
      <c r="F65" s="1247" t="s">
        <v>4352</v>
      </c>
      <c r="G65" s="1243" t="s">
        <v>4353</v>
      </c>
      <c r="K65" s="395" t="s">
        <v>4361</v>
      </c>
      <c r="L65" s="1254" t="s">
        <v>4351</v>
      </c>
      <c r="M65" s="1255"/>
      <c r="N65" s="1255"/>
      <c r="O65" s="1255"/>
      <c r="P65" s="1250" t="s">
        <v>4352</v>
      </c>
      <c r="Q65" s="1252" t="s">
        <v>4353</v>
      </c>
    </row>
    <row r="66" spans="1:17" ht="15.75" thickBot="1" x14ac:dyDescent="0.3">
      <c r="A66" s="389" t="s">
        <v>4331</v>
      </c>
      <c r="B66" s="392" t="s">
        <v>4354</v>
      </c>
      <c r="C66" s="393" t="s">
        <v>4355</v>
      </c>
      <c r="D66" s="393" t="s">
        <v>4356</v>
      </c>
      <c r="E66" s="421" t="s">
        <v>4357</v>
      </c>
      <c r="F66" s="1248"/>
      <c r="G66" s="1244"/>
      <c r="K66" s="480" t="s">
        <v>4331</v>
      </c>
      <c r="L66" s="484" t="s">
        <v>4354</v>
      </c>
      <c r="M66" s="484" t="s">
        <v>4355</v>
      </c>
      <c r="N66" s="484" t="s">
        <v>4356</v>
      </c>
      <c r="O66" s="485" t="s">
        <v>4357</v>
      </c>
      <c r="P66" s="1251"/>
      <c r="Q66" s="1253"/>
    </row>
    <row r="67" spans="1:17" x14ac:dyDescent="0.25">
      <c r="A67" s="387" t="s">
        <v>263</v>
      </c>
      <c r="B67" s="588">
        <v>3</v>
      </c>
      <c r="C67" s="589">
        <v>1</v>
      </c>
      <c r="D67" s="589">
        <v>1</v>
      </c>
      <c r="E67" s="590">
        <v>1</v>
      </c>
      <c r="F67" s="602">
        <f>(B67*4)+(C67*6)+(D67*4)+(E67*3)</f>
        <v>25</v>
      </c>
      <c r="G67" s="603">
        <f t="shared" ref="G67:G72" si="17">(F67*8*26)/1.8245</f>
        <v>2850.0959166895041</v>
      </c>
      <c r="K67" s="481" t="s">
        <v>263</v>
      </c>
      <c r="L67" s="574">
        <v>3</v>
      </c>
      <c r="M67" s="575">
        <v>1</v>
      </c>
      <c r="N67" s="575">
        <v>1</v>
      </c>
      <c r="O67" s="576">
        <v>1</v>
      </c>
      <c r="P67" s="577">
        <f>(L67*4)+(M67*6)+(N67*4)+(O67*3)</f>
        <v>25</v>
      </c>
      <c r="Q67" s="397">
        <f t="shared" ref="Q67:Q72" si="18">(P67*8*26)/1.8245</f>
        <v>2850.0959166895041</v>
      </c>
    </row>
    <row r="68" spans="1:17" x14ac:dyDescent="0.25">
      <c r="A68" s="388" t="s">
        <v>5</v>
      </c>
      <c r="B68" s="591">
        <v>2</v>
      </c>
      <c r="C68" s="280">
        <v>1</v>
      </c>
      <c r="D68" s="592">
        <v>1</v>
      </c>
      <c r="E68" s="512">
        <v>1</v>
      </c>
      <c r="F68" s="602">
        <f>(B68*4)+(C68*6)+(D68*4)+(E68*3)</f>
        <v>21</v>
      </c>
      <c r="G68" s="603">
        <f t="shared" si="17"/>
        <v>2394.0805700191831</v>
      </c>
      <c r="K68" s="481" t="s">
        <v>5</v>
      </c>
      <c r="L68" s="578">
        <v>4</v>
      </c>
      <c r="M68" s="579">
        <v>1</v>
      </c>
      <c r="N68" s="575">
        <v>1</v>
      </c>
      <c r="O68" s="580">
        <v>1</v>
      </c>
      <c r="P68" s="577">
        <f>(L68*4)+(M68*6)+(N68*4)+(O68*3)</f>
        <v>29</v>
      </c>
      <c r="Q68" s="397">
        <f t="shared" si="18"/>
        <v>3306.1112633598245</v>
      </c>
    </row>
    <row r="69" spans="1:17" x14ac:dyDescent="0.25">
      <c r="A69" s="388" t="s">
        <v>242</v>
      </c>
      <c r="B69" s="593">
        <v>1</v>
      </c>
      <c r="C69" s="592">
        <v>1</v>
      </c>
      <c r="D69" s="592">
        <v>1</v>
      </c>
      <c r="E69" s="594">
        <v>1</v>
      </c>
      <c r="F69" s="602">
        <f>(B69*4)+(C69*6)+(D69*4)+(E69*3)</f>
        <v>17</v>
      </c>
      <c r="G69" s="603">
        <f t="shared" si="17"/>
        <v>1938.0652233488627</v>
      </c>
      <c r="K69" s="481" t="s">
        <v>242</v>
      </c>
      <c r="L69" s="574">
        <v>1</v>
      </c>
      <c r="M69" s="575">
        <v>1</v>
      </c>
      <c r="N69" s="575">
        <v>1</v>
      </c>
      <c r="O69" s="576">
        <v>1</v>
      </c>
      <c r="P69" s="577">
        <f>(L69*4)+(M69*6)+(N69*4)+(O69*3)</f>
        <v>17</v>
      </c>
      <c r="Q69" s="397">
        <f t="shared" si="18"/>
        <v>1938.0652233488627</v>
      </c>
    </row>
    <row r="70" spans="1:17" x14ac:dyDescent="0.25">
      <c r="A70" s="388" t="s">
        <v>255</v>
      </c>
      <c r="B70" s="591">
        <v>2</v>
      </c>
      <c r="C70" s="595">
        <v>1</v>
      </c>
      <c r="D70" s="592">
        <v>1</v>
      </c>
      <c r="E70" s="594">
        <v>1</v>
      </c>
      <c r="F70" s="602">
        <f>(B70*4)+(C70*6)+(D70*4)+(E70*3)</f>
        <v>21</v>
      </c>
      <c r="G70" s="603">
        <f t="shared" si="17"/>
        <v>2394.0805700191831</v>
      </c>
      <c r="K70" s="481" t="s">
        <v>255</v>
      </c>
      <c r="L70" s="578">
        <v>4</v>
      </c>
      <c r="M70" s="581">
        <v>1</v>
      </c>
      <c r="N70" s="575">
        <v>1</v>
      </c>
      <c r="O70" s="576">
        <v>1</v>
      </c>
      <c r="P70" s="577">
        <f>(L70*4)+(M70*6)+(N70*4)+(O70*3)</f>
        <v>29</v>
      </c>
      <c r="Q70" s="397">
        <f t="shared" si="18"/>
        <v>3306.1112633598245</v>
      </c>
    </row>
    <row r="71" spans="1:17" ht="15.75" thickBot="1" x14ac:dyDescent="0.3">
      <c r="A71" s="390" t="s">
        <v>288</v>
      </c>
      <c r="B71" s="596">
        <v>2</v>
      </c>
      <c r="C71" s="597">
        <v>1</v>
      </c>
      <c r="D71" s="597"/>
      <c r="E71" s="598">
        <v>1</v>
      </c>
      <c r="F71" s="602">
        <f>(B71*4)+(C71*6)+(D71*4)+(E71*3)</f>
        <v>17</v>
      </c>
      <c r="G71" s="603">
        <f t="shared" si="17"/>
        <v>1938.0652233488627</v>
      </c>
      <c r="K71" s="482" t="s">
        <v>288</v>
      </c>
      <c r="L71" s="582">
        <v>2</v>
      </c>
      <c r="M71" s="583">
        <v>1</v>
      </c>
      <c r="N71" s="583">
        <v>0</v>
      </c>
      <c r="O71" s="584">
        <v>0</v>
      </c>
      <c r="P71" s="577">
        <f>(L71*4)+(M71*6)+(N71*4)+(O71*3)</f>
        <v>14</v>
      </c>
      <c r="Q71" s="397">
        <f t="shared" si="18"/>
        <v>1596.0537133461223</v>
      </c>
    </row>
    <row r="72" spans="1:17" ht="15.75" thickBot="1" x14ac:dyDescent="0.3">
      <c r="A72" s="391" t="s">
        <v>4109</v>
      </c>
      <c r="B72" s="599">
        <f>SUM(B67:B71)</f>
        <v>10</v>
      </c>
      <c r="C72" s="599">
        <f>SUM(C67:C71)</f>
        <v>5</v>
      </c>
      <c r="D72" s="599">
        <f>SUM(D67:D71)</f>
        <v>4</v>
      </c>
      <c r="E72" s="600">
        <f>SUM(E67:E71)</f>
        <v>5</v>
      </c>
      <c r="F72" s="604">
        <f>SUM(F67:F71)</f>
        <v>101</v>
      </c>
      <c r="G72" s="605">
        <f t="shared" si="17"/>
        <v>11514.387503425596</v>
      </c>
      <c r="K72" s="483" t="s">
        <v>4109</v>
      </c>
      <c r="L72" s="585">
        <v>15</v>
      </c>
      <c r="M72" s="585">
        <v>5</v>
      </c>
      <c r="N72" s="585">
        <v>4</v>
      </c>
      <c r="O72" s="586">
        <v>5</v>
      </c>
      <c r="P72" s="587">
        <f>SUM(P67:P71)</f>
        <v>114</v>
      </c>
      <c r="Q72" s="422">
        <f t="shared" si="18"/>
        <v>12996.437380104138</v>
      </c>
    </row>
    <row r="73" spans="1:17" ht="15.75" thickBot="1" x14ac:dyDescent="0.3"/>
    <row r="74" spans="1:17" ht="15" customHeight="1" thickBot="1" x14ac:dyDescent="0.3">
      <c r="A74" s="395" t="s">
        <v>4101</v>
      </c>
      <c r="B74" s="1245" t="s">
        <v>4351</v>
      </c>
      <c r="C74" s="1246"/>
      <c r="D74" s="1246"/>
      <c r="E74" s="1246"/>
      <c r="F74" s="1247" t="s">
        <v>4352</v>
      </c>
      <c r="G74" s="1243" t="s">
        <v>4353</v>
      </c>
      <c r="H74" s="1260" t="s">
        <v>4362</v>
      </c>
      <c r="K74" s="395" t="s">
        <v>4101</v>
      </c>
      <c r="L74" s="1254" t="s">
        <v>4351</v>
      </c>
      <c r="M74" s="1255"/>
      <c r="N74" s="1255"/>
      <c r="O74" s="1255"/>
      <c r="P74" s="1250" t="s">
        <v>4352</v>
      </c>
      <c r="Q74" s="1252" t="s">
        <v>4353</v>
      </c>
    </row>
    <row r="75" spans="1:17" ht="15.75" thickBot="1" x14ac:dyDescent="0.3">
      <c r="A75" s="389" t="s">
        <v>4331</v>
      </c>
      <c r="B75" s="392" t="s">
        <v>4354</v>
      </c>
      <c r="C75" s="393" t="s">
        <v>4355</v>
      </c>
      <c r="D75" s="393" t="s">
        <v>4356</v>
      </c>
      <c r="E75" s="421" t="s">
        <v>4357</v>
      </c>
      <c r="F75" s="1248"/>
      <c r="G75" s="1244"/>
      <c r="H75" s="1262"/>
      <c r="K75" s="480" t="s">
        <v>4331</v>
      </c>
      <c r="L75" s="484" t="s">
        <v>4354</v>
      </c>
      <c r="M75" s="484" t="s">
        <v>4355</v>
      </c>
      <c r="N75" s="484" t="s">
        <v>4356</v>
      </c>
      <c r="O75" s="485" t="s">
        <v>4357</v>
      </c>
      <c r="P75" s="1251"/>
      <c r="Q75" s="1253"/>
    </row>
    <row r="76" spans="1:17" x14ac:dyDescent="0.25">
      <c r="A76" s="387" t="s">
        <v>263</v>
      </c>
      <c r="B76" s="588">
        <v>3</v>
      </c>
      <c r="C76" s="589">
        <v>1</v>
      </c>
      <c r="D76" s="589">
        <v>1</v>
      </c>
      <c r="E76" s="590">
        <v>1</v>
      </c>
      <c r="F76" s="602">
        <f>(B76*4)+(C76*6)+(D76*4)+(E76*3)</f>
        <v>25</v>
      </c>
      <c r="G76" s="936">
        <f>(F76*8*26)/1.8245</f>
        <v>2850.0959166895041</v>
      </c>
      <c r="H76" s="937">
        <v>2630.8577692518497</v>
      </c>
      <c r="K76" s="481" t="s">
        <v>263</v>
      </c>
      <c r="L76" s="574">
        <v>3</v>
      </c>
      <c r="M76" s="575">
        <v>1</v>
      </c>
      <c r="N76" s="575">
        <v>1</v>
      </c>
      <c r="O76" s="576">
        <v>1</v>
      </c>
      <c r="P76" s="577">
        <f>(L76*4)+(M76*6)+(N76*4)+(O76*3)</f>
        <v>25</v>
      </c>
      <c r="Q76" s="397">
        <f t="shared" ref="Q76:Q81" si="19">(P76*8*26)/1.8245</f>
        <v>2850.0959166895041</v>
      </c>
    </row>
    <row r="77" spans="1:17" x14ac:dyDescent="0.25">
      <c r="A77" s="388" t="s">
        <v>5</v>
      </c>
      <c r="B77" s="591">
        <v>2</v>
      </c>
      <c r="C77" s="280">
        <v>1</v>
      </c>
      <c r="D77" s="592">
        <v>1</v>
      </c>
      <c r="E77" s="512">
        <v>1</v>
      </c>
      <c r="F77" s="602">
        <f>(B77*4)+(C77*6)+(D77*4)+(E77*3)</f>
        <v>21</v>
      </c>
      <c r="G77" s="936">
        <f t="shared" ref="G77:G81" si="20">(F77*8*26)/1.8245</f>
        <v>2394.0805700191831</v>
      </c>
      <c r="H77" s="379">
        <v>2468.6215401479858</v>
      </c>
      <c r="K77" s="481" t="s">
        <v>5</v>
      </c>
      <c r="L77" s="578">
        <v>4</v>
      </c>
      <c r="M77" s="579">
        <v>1</v>
      </c>
      <c r="N77" s="575">
        <v>1</v>
      </c>
      <c r="O77" s="580">
        <v>1</v>
      </c>
      <c r="P77" s="577">
        <f>(L77*4)+(M77*6)+(N77*4)+(O77*3)</f>
        <v>29</v>
      </c>
      <c r="Q77" s="397">
        <f t="shared" si="19"/>
        <v>3306.1112633598245</v>
      </c>
    </row>
    <row r="78" spans="1:17" x14ac:dyDescent="0.25">
      <c r="A78" s="388" t="s">
        <v>242</v>
      </c>
      <c r="B78" s="593">
        <v>2</v>
      </c>
      <c r="C78" s="592">
        <v>1</v>
      </c>
      <c r="D78" s="592">
        <v>1</v>
      </c>
      <c r="E78" s="594">
        <v>1</v>
      </c>
      <c r="F78" s="602">
        <f>(B78*4)+(C78*6)+(D78*4)+(E78*3)</f>
        <v>21</v>
      </c>
      <c r="G78" s="936">
        <f t="shared" si="20"/>
        <v>2394.0805700191831</v>
      </c>
      <c r="H78" s="379">
        <v>2284.4614963003564</v>
      </c>
      <c r="K78" s="481" t="s">
        <v>242</v>
      </c>
      <c r="L78" s="574">
        <v>2</v>
      </c>
      <c r="M78" s="575">
        <v>1</v>
      </c>
      <c r="N78" s="575">
        <v>1</v>
      </c>
      <c r="O78" s="576">
        <v>1</v>
      </c>
      <c r="P78" s="577">
        <f>(L78*4)+(M78*6)+(N78*4)+(O78*3)</f>
        <v>21</v>
      </c>
      <c r="Q78" s="397">
        <f t="shared" si="19"/>
        <v>2394.0805700191831</v>
      </c>
    </row>
    <row r="79" spans="1:17" x14ac:dyDescent="0.25">
      <c r="A79" s="388" t="s">
        <v>255</v>
      </c>
      <c r="B79" s="591">
        <v>2</v>
      </c>
      <c r="C79" s="595">
        <v>1</v>
      </c>
      <c r="D79" s="592">
        <v>1</v>
      </c>
      <c r="E79" s="594">
        <v>1</v>
      </c>
      <c r="F79" s="602">
        <f>(B79*4)+(C79*6)+(D79*4)+(E79*3)</f>
        <v>21</v>
      </c>
      <c r="G79" s="936">
        <f t="shared" si="20"/>
        <v>2394.0805700191831</v>
      </c>
      <c r="H79" s="379">
        <v>2008.2214305289122</v>
      </c>
      <c r="K79" s="481" t="s">
        <v>255</v>
      </c>
      <c r="L79" s="578">
        <v>4</v>
      </c>
      <c r="M79" s="581">
        <v>1</v>
      </c>
      <c r="N79" s="575">
        <v>1</v>
      </c>
      <c r="O79" s="576">
        <v>1</v>
      </c>
      <c r="P79" s="577">
        <f>(L79*4)+(M79*6)+(N79*4)+(O79*3)</f>
        <v>29</v>
      </c>
      <c r="Q79" s="397">
        <f t="shared" si="19"/>
        <v>3306.1112633598245</v>
      </c>
    </row>
    <row r="80" spans="1:17" ht="15.75" thickBot="1" x14ac:dyDescent="0.3">
      <c r="A80" s="390" t="s">
        <v>288</v>
      </c>
      <c r="B80" s="596">
        <v>2</v>
      </c>
      <c r="C80" s="597">
        <v>1</v>
      </c>
      <c r="D80" s="597"/>
      <c r="E80" s="598">
        <v>1</v>
      </c>
      <c r="F80" s="602">
        <f>(B80*4)+(C80*6)+(D80*4)+(E80*3)</f>
        <v>17</v>
      </c>
      <c r="G80" s="936">
        <f t="shared" si="20"/>
        <v>1938.0652233488627</v>
      </c>
      <c r="H80" s="938">
        <v>1723.2118388599617</v>
      </c>
      <c r="K80" s="482" t="s">
        <v>288</v>
      </c>
      <c r="L80" s="582">
        <v>2</v>
      </c>
      <c r="M80" s="583">
        <v>1</v>
      </c>
      <c r="N80" s="583">
        <v>0</v>
      </c>
      <c r="O80" s="584">
        <v>0</v>
      </c>
      <c r="P80" s="577">
        <f>(L80*4)+(M80*6)+(N80*4)+(O80*3)</f>
        <v>14</v>
      </c>
      <c r="Q80" s="397">
        <f t="shared" si="19"/>
        <v>1596.0537133461223</v>
      </c>
    </row>
    <row r="81" spans="1:17" ht="15.75" thickBot="1" x14ac:dyDescent="0.3">
      <c r="A81" s="391" t="s">
        <v>4109</v>
      </c>
      <c r="B81" s="599">
        <f>SUM(B76:B80)</f>
        <v>11</v>
      </c>
      <c r="C81" s="599">
        <f>SUM(C76:C80)</f>
        <v>5</v>
      </c>
      <c r="D81" s="599">
        <f>SUM(D76:D80)</f>
        <v>4</v>
      </c>
      <c r="E81" s="600">
        <f>SUM(E76:E80)</f>
        <v>5</v>
      </c>
      <c r="F81" s="604">
        <f>SUM(F76:F80)</f>
        <v>105</v>
      </c>
      <c r="G81" s="605">
        <f t="shared" si="20"/>
        <v>11970.402850095918</v>
      </c>
      <c r="H81" s="605">
        <f>SUM(H76:H80)</f>
        <v>11115.374075089067</v>
      </c>
      <c r="K81" s="483" t="s">
        <v>4109</v>
      </c>
      <c r="L81" s="585">
        <v>15</v>
      </c>
      <c r="M81" s="585">
        <v>5</v>
      </c>
      <c r="N81" s="585">
        <v>4</v>
      </c>
      <c r="O81" s="586">
        <v>5</v>
      </c>
      <c r="P81" s="587">
        <f>SUM(P76:P80)</f>
        <v>118</v>
      </c>
      <c r="Q81" s="422">
        <f t="shared" si="19"/>
        <v>13452.452726774458</v>
      </c>
    </row>
    <row r="82" spans="1:17" ht="15.75" thickBot="1" x14ac:dyDescent="0.3">
      <c r="H82" s="761">
        <f>H81/G81</f>
        <v>0.9285714285714286</v>
      </c>
    </row>
    <row r="83" spans="1:17" ht="15.75" customHeight="1" thickBot="1" x14ac:dyDescent="0.3">
      <c r="A83" s="395" t="s">
        <v>4363</v>
      </c>
      <c r="B83" s="1245" t="s">
        <v>4351</v>
      </c>
      <c r="C83" s="1246"/>
      <c r="D83" s="1246"/>
      <c r="E83" s="1246"/>
      <c r="F83" s="1256" t="s">
        <v>4352</v>
      </c>
      <c r="G83" s="1258" t="s">
        <v>4353</v>
      </c>
      <c r="H83" s="1260" t="s">
        <v>4362</v>
      </c>
      <c r="K83" s="395" t="s">
        <v>4363</v>
      </c>
      <c r="L83" s="1254" t="s">
        <v>4351</v>
      </c>
      <c r="M83" s="1255"/>
      <c r="N83" s="1255"/>
      <c r="O83" s="1255"/>
      <c r="P83" s="1250" t="s">
        <v>4352</v>
      </c>
      <c r="Q83" s="1252" t="s">
        <v>4353</v>
      </c>
    </row>
    <row r="84" spans="1:17" ht="15.75" thickBot="1" x14ac:dyDescent="0.3">
      <c r="A84" s="389" t="s">
        <v>4331</v>
      </c>
      <c r="B84" s="983" t="s">
        <v>4354</v>
      </c>
      <c r="C84" s="393" t="s">
        <v>4355</v>
      </c>
      <c r="D84" s="393" t="s">
        <v>4356</v>
      </c>
      <c r="E84" s="421" t="s">
        <v>4357</v>
      </c>
      <c r="F84" s="1257"/>
      <c r="G84" s="1259"/>
      <c r="H84" s="1261"/>
      <c r="K84" s="480" t="s">
        <v>4331</v>
      </c>
      <c r="L84" s="484" t="s">
        <v>4354</v>
      </c>
      <c r="M84" s="484" t="s">
        <v>4355</v>
      </c>
      <c r="N84" s="484" t="s">
        <v>4356</v>
      </c>
      <c r="O84" s="485" t="s">
        <v>4357</v>
      </c>
      <c r="P84" s="1251"/>
      <c r="Q84" s="1253"/>
    </row>
    <row r="85" spans="1:17" x14ac:dyDescent="0.25">
      <c r="A85" s="987" t="s">
        <v>263</v>
      </c>
      <c r="B85" s="984">
        <v>3</v>
      </c>
      <c r="C85" s="589">
        <v>1</v>
      </c>
      <c r="D85" s="589">
        <v>1</v>
      </c>
      <c r="E85" s="590">
        <v>1</v>
      </c>
      <c r="F85" s="992">
        <f>(B85*4)+(C85*6)+(D85*4)+(E85*3)</f>
        <v>25</v>
      </c>
      <c r="G85" s="990">
        <f t="shared" ref="G85:G88" si="21">(F85*8*26)/1.8245</f>
        <v>2850.0959166895041</v>
      </c>
      <c r="H85" s="1045">
        <v>850.64401205809816</v>
      </c>
      <c r="K85" s="481" t="s">
        <v>263</v>
      </c>
      <c r="L85" s="574">
        <v>3</v>
      </c>
      <c r="M85" s="575">
        <v>1</v>
      </c>
      <c r="N85" s="575">
        <v>1</v>
      </c>
      <c r="O85" s="576">
        <v>1</v>
      </c>
      <c r="P85" s="577">
        <f>(L85*4)+(M85*6)+(N85*4)+(O85*3)</f>
        <v>25</v>
      </c>
      <c r="Q85" s="397">
        <f t="shared" ref="Q85:Q90" si="22">(P85*8*26)/1.8245</f>
        <v>2850.0959166895041</v>
      </c>
    </row>
    <row r="86" spans="1:17" x14ac:dyDescent="0.25">
      <c r="A86" s="988" t="s">
        <v>5</v>
      </c>
      <c r="B86" s="985">
        <v>2</v>
      </c>
      <c r="C86" s="280">
        <v>1</v>
      </c>
      <c r="D86" s="592">
        <v>1</v>
      </c>
      <c r="E86" s="512">
        <v>1</v>
      </c>
      <c r="F86" s="992">
        <f>(B86*4)+(C86*6)+(D86*4)+(E86*3)</f>
        <v>21</v>
      </c>
      <c r="G86" s="990">
        <f t="shared" si="21"/>
        <v>2394.0805700191831</v>
      </c>
      <c r="H86" s="1045">
        <v>1372.430802959715</v>
      </c>
      <c r="K86" s="481" t="s">
        <v>5</v>
      </c>
      <c r="L86" s="578">
        <v>4</v>
      </c>
      <c r="M86" s="579">
        <v>1</v>
      </c>
      <c r="N86" s="575">
        <v>1</v>
      </c>
      <c r="O86" s="580">
        <v>1</v>
      </c>
      <c r="P86" s="577">
        <f>(L86*4)+(M86*6)+(N86*4)+(O86*3)</f>
        <v>29</v>
      </c>
      <c r="Q86" s="397">
        <f t="shared" si="22"/>
        <v>3306.1112633598245</v>
      </c>
    </row>
    <row r="87" spans="1:17" x14ac:dyDescent="0.25">
      <c r="A87" s="988" t="s">
        <v>242</v>
      </c>
      <c r="B87" s="986">
        <v>2</v>
      </c>
      <c r="C87" s="592">
        <v>1</v>
      </c>
      <c r="D87" s="592">
        <v>1</v>
      </c>
      <c r="E87" s="594">
        <v>1</v>
      </c>
      <c r="F87" s="992">
        <f>(B87*4)+(C87*6)+(D87*4)+(E87*3)</f>
        <v>21</v>
      </c>
      <c r="G87" s="990">
        <f t="shared" si="21"/>
        <v>2394.0805700191831</v>
      </c>
      <c r="H87" s="1045">
        <v>1319.813647574678</v>
      </c>
      <c r="K87" s="481" t="s">
        <v>242</v>
      </c>
      <c r="L87" s="574">
        <v>2</v>
      </c>
      <c r="M87" s="575">
        <v>1</v>
      </c>
      <c r="N87" s="575">
        <v>1</v>
      </c>
      <c r="O87" s="576">
        <v>1</v>
      </c>
      <c r="P87" s="577">
        <f>(L87*4)+(M87*6)+(N87*4)+(O87*3)</f>
        <v>21</v>
      </c>
      <c r="Q87" s="397">
        <f t="shared" si="22"/>
        <v>2394.0805700191831</v>
      </c>
    </row>
    <row r="88" spans="1:17" x14ac:dyDescent="0.25">
      <c r="A88" s="988" t="s">
        <v>255</v>
      </c>
      <c r="B88" s="985">
        <v>2</v>
      </c>
      <c r="C88" s="595">
        <v>1</v>
      </c>
      <c r="D88" s="592">
        <v>1</v>
      </c>
      <c r="E88" s="594">
        <v>1</v>
      </c>
      <c r="F88" s="992">
        <f>(B88*4)+(C88*6)+(D88*4)+(E88*3)</f>
        <v>21</v>
      </c>
      <c r="G88" s="990">
        <f t="shared" si="21"/>
        <v>2394.0805700191831</v>
      </c>
      <c r="H88" s="1045">
        <v>1021.6497670594683</v>
      </c>
      <c r="K88" s="481" t="s">
        <v>255</v>
      </c>
      <c r="L88" s="578">
        <v>4</v>
      </c>
      <c r="M88" s="581">
        <v>1</v>
      </c>
      <c r="N88" s="575">
        <v>1</v>
      </c>
      <c r="O88" s="576">
        <v>1</v>
      </c>
      <c r="P88" s="577">
        <f>(L88*4)+(M88*6)+(N88*4)+(O88*3)</f>
        <v>29</v>
      </c>
      <c r="Q88" s="397">
        <f t="shared" si="22"/>
        <v>3306.1112633598245</v>
      </c>
    </row>
    <row r="89" spans="1:17" ht="15.75" thickBot="1" x14ac:dyDescent="0.3">
      <c r="A89" s="988" t="s">
        <v>288</v>
      </c>
      <c r="B89" s="986">
        <v>2</v>
      </c>
      <c r="C89" s="592">
        <v>1</v>
      </c>
      <c r="D89" s="592"/>
      <c r="E89" s="594">
        <v>1</v>
      </c>
      <c r="F89" s="992">
        <f>(B89*4)+(C89*6)+(D89*4)+(E89*3)</f>
        <v>17</v>
      </c>
      <c r="G89" s="990">
        <f>(F89*8*26)/1.8245</f>
        <v>1938.0652233488627</v>
      </c>
      <c r="H89" s="1045">
        <v>1302.2745957796656</v>
      </c>
      <c r="K89" s="482" t="s">
        <v>288</v>
      </c>
      <c r="L89" s="582">
        <v>2</v>
      </c>
      <c r="M89" s="583">
        <v>1</v>
      </c>
      <c r="N89" s="583">
        <v>0</v>
      </c>
      <c r="O89" s="584">
        <v>0</v>
      </c>
      <c r="P89" s="577">
        <f>(L89*4)+(M89*6)+(N89*4)+(O89*3)</f>
        <v>14</v>
      </c>
      <c r="Q89" s="397">
        <f t="shared" si="22"/>
        <v>1596.0537133461223</v>
      </c>
    </row>
    <row r="90" spans="1:17" ht="15.75" thickBot="1" x14ac:dyDescent="0.3">
      <c r="A90" s="988" t="s">
        <v>361</v>
      </c>
      <c r="B90" s="985">
        <v>4</v>
      </c>
      <c r="C90" s="985">
        <v>1</v>
      </c>
      <c r="D90" s="985"/>
      <c r="E90" s="985"/>
      <c r="F90" s="992">
        <f t="shared" ref="F90:F91" si="23">(B90*4)+(C90*6)+(D90*4)+(E90*3)</f>
        <v>22</v>
      </c>
      <c r="G90" s="990">
        <f t="shared" ref="G90:G91" si="24">(F90*8*26)/1.8245</f>
        <v>2508.0844066867635</v>
      </c>
      <c r="H90" s="1046">
        <v>59.625999999999998</v>
      </c>
      <c r="K90" s="483" t="s">
        <v>4109</v>
      </c>
      <c r="L90" s="585">
        <v>15</v>
      </c>
      <c r="M90" s="585">
        <v>5</v>
      </c>
      <c r="N90" s="585">
        <v>4</v>
      </c>
      <c r="O90" s="586">
        <v>5</v>
      </c>
      <c r="P90" s="587">
        <f>SUM(P85:P89)</f>
        <v>118</v>
      </c>
      <c r="Q90" s="422">
        <f t="shared" si="22"/>
        <v>13452.452726774458</v>
      </c>
    </row>
    <row r="91" spans="1:17" ht="15.75" thickBot="1" x14ac:dyDescent="0.3">
      <c r="A91" s="988" t="s">
        <v>1945</v>
      </c>
      <c r="B91" s="994">
        <v>1</v>
      </c>
      <c r="C91" s="994"/>
      <c r="D91" s="994"/>
      <c r="E91" s="994"/>
      <c r="F91" s="992">
        <f t="shared" si="23"/>
        <v>4</v>
      </c>
      <c r="G91" s="990">
        <f t="shared" si="24"/>
        <v>456.01534667032064</v>
      </c>
      <c r="H91" s="1047">
        <v>1582.9029999999998</v>
      </c>
    </row>
    <row r="92" spans="1:17" ht="15.75" thickBot="1" x14ac:dyDescent="0.3">
      <c r="A92" s="989" t="s">
        <v>4109</v>
      </c>
      <c r="B92" s="599">
        <f>SUM(B85:B91)</f>
        <v>16</v>
      </c>
      <c r="C92" s="599">
        <f>SUM(C85:C90)</f>
        <v>6</v>
      </c>
      <c r="D92" s="599">
        <f>SUM(D85:D91)</f>
        <v>4</v>
      </c>
      <c r="E92" s="995">
        <f>SUM(E85:E91)</f>
        <v>5</v>
      </c>
      <c r="F92" s="993">
        <f>SUM(F85:F90)</f>
        <v>127</v>
      </c>
      <c r="G92" s="991">
        <f>(F92*8*26)/1.8245</f>
        <v>14478.487256782681</v>
      </c>
      <c r="H92" s="605">
        <f>SUM(H85:H91)</f>
        <v>7509.3418254316257</v>
      </c>
    </row>
    <row r="93" spans="1:17" x14ac:dyDescent="0.25">
      <c r="H93" s="761">
        <f>H92/G92</f>
        <v>0.51865513932843732</v>
      </c>
    </row>
    <row r="94" spans="1:17" ht="15.75" thickBot="1" x14ac:dyDescent="0.3"/>
    <row r="95" spans="1:17" ht="15.75" thickBot="1" x14ac:dyDescent="0.3">
      <c r="A95" s="395" t="s">
        <v>4364</v>
      </c>
      <c r="B95" s="1245" t="s">
        <v>4351</v>
      </c>
      <c r="C95" s="1246"/>
      <c r="D95" s="1246"/>
      <c r="E95" s="1246"/>
      <c r="F95" s="1256" t="s">
        <v>4352</v>
      </c>
      <c r="G95" s="1258" t="s">
        <v>4353</v>
      </c>
      <c r="H95" s="1260" t="s">
        <v>4362</v>
      </c>
    </row>
    <row r="96" spans="1:17" ht="15.75" thickBot="1" x14ac:dyDescent="0.3">
      <c r="A96" s="389" t="s">
        <v>4331</v>
      </c>
      <c r="B96" s="983" t="s">
        <v>4354</v>
      </c>
      <c r="C96" s="393" t="s">
        <v>4355</v>
      </c>
      <c r="D96" s="393" t="s">
        <v>4356</v>
      </c>
      <c r="E96" s="421" t="s">
        <v>4357</v>
      </c>
      <c r="F96" s="1257"/>
      <c r="G96" s="1259"/>
      <c r="H96" s="1261"/>
    </row>
    <row r="97" spans="1:8" x14ac:dyDescent="0.25">
      <c r="A97" s="987" t="s">
        <v>263</v>
      </c>
      <c r="B97" s="984">
        <v>3</v>
      </c>
      <c r="C97" s="589">
        <v>1</v>
      </c>
      <c r="D97" s="589">
        <v>1</v>
      </c>
      <c r="E97" s="590">
        <v>1</v>
      </c>
      <c r="F97" s="992">
        <f>(B97*4)+(C97*6)+(D97*4)+(E97*3)</f>
        <v>25</v>
      </c>
      <c r="G97" s="990">
        <f t="shared" ref="G97:G100" si="25">(F97*8*26)/1.8245</f>
        <v>2850.0959166895041</v>
      </c>
      <c r="H97" s="1045">
        <v>1289.1203069334065</v>
      </c>
    </row>
    <row r="98" spans="1:8" x14ac:dyDescent="0.25">
      <c r="A98" s="988" t="s">
        <v>5</v>
      </c>
      <c r="B98" s="985">
        <v>2</v>
      </c>
      <c r="C98" s="280">
        <v>1</v>
      </c>
      <c r="D98" s="592">
        <v>1</v>
      </c>
      <c r="E98" s="512">
        <v>1</v>
      </c>
      <c r="F98" s="992">
        <f>(B98*4)+(C98*6)+(D98*4)+(E98*3)</f>
        <v>21</v>
      </c>
      <c r="G98" s="990">
        <f t="shared" si="25"/>
        <v>2394.0805700191831</v>
      </c>
      <c r="H98" s="1045">
        <v>1565.3603727048505</v>
      </c>
    </row>
    <row r="99" spans="1:8" x14ac:dyDescent="0.25">
      <c r="A99" s="988" t="s">
        <v>242</v>
      </c>
      <c r="B99" s="986">
        <v>2</v>
      </c>
      <c r="C99" s="592">
        <v>1</v>
      </c>
      <c r="D99" s="592">
        <v>1</v>
      </c>
      <c r="E99" s="594">
        <v>1</v>
      </c>
      <c r="F99" s="992">
        <f>(B99*4)+(C99*6)+(D99*4)+(E99*3)</f>
        <v>21</v>
      </c>
      <c r="G99" s="990">
        <f t="shared" si="25"/>
        <v>2394.0805700191831</v>
      </c>
      <c r="H99" s="1045">
        <v>855.02877500685133</v>
      </c>
    </row>
    <row r="100" spans="1:8" x14ac:dyDescent="0.25">
      <c r="A100" s="988" t="s">
        <v>255</v>
      </c>
      <c r="B100" s="985">
        <v>2</v>
      </c>
      <c r="C100" s="595">
        <v>1</v>
      </c>
      <c r="D100" s="592">
        <v>1</v>
      </c>
      <c r="E100" s="594">
        <v>1</v>
      </c>
      <c r="F100" s="992">
        <f>(B100*4)+(C100*6)+(D100*4)+(E100*3)</f>
        <v>21</v>
      </c>
      <c r="G100" s="990">
        <f t="shared" si="25"/>
        <v>2394.0805700191831</v>
      </c>
      <c r="H100" s="1045">
        <v>1753.9051795012331</v>
      </c>
    </row>
    <row r="101" spans="1:8" x14ac:dyDescent="0.25">
      <c r="A101" s="988" t="s">
        <v>288</v>
      </c>
      <c r="B101" s="986">
        <v>2</v>
      </c>
      <c r="C101" s="592">
        <v>1</v>
      </c>
      <c r="D101" s="592"/>
      <c r="E101" s="594">
        <v>1</v>
      </c>
      <c r="F101" s="992">
        <f>(B101*4)+(C101*6)+(D101*4)+(E101*3)</f>
        <v>17</v>
      </c>
      <c r="G101" s="990">
        <f>(F101*8*26)/1.8245</f>
        <v>1938.0652233488627</v>
      </c>
      <c r="H101" s="1045">
        <v>1753.9051795012333</v>
      </c>
    </row>
    <row r="102" spans="1:8" x14ac:dyDescent="0.25">
      <c r="A102" s="988" t="s">
        <v>361</v>
      </c>
      <c r="B102" s="985">
        <v>4</v>
      </c>
      <c r="C102" s="985">
        <v>1</v>
      </c>
      <c r="D102" s="985"/>
      <c r="E102" s="985"/>
      <c r="F102" s="992">
        <f t="shared" ref="F102:F103" si="26">(B102*4)+(C102*6)+(D102*4)+(E102*3)</f>
        <v>22</v>
      </c>
      <c r="G102" s="990">
        <f t="shared" ref="G102:G103" si="27">(F102*8*26)/1.8245</f>
        <v>2508.0844066867635</v>
      </c>
      <c r="H102" s="1046">
        <v>710.1</v>
      </c>
    </row>
    <row r="103" spans="1:8" ht="15.75" thickBot="1" x14ac:dyDescent="0.3">
      <c r="A103" s="988" t="s">
        <v>1945</v>
      </c>
      <c r="B103" s="994">
        <v>1</v>
      </c>
      <c r="C103" s="994"/>
      <c r="D103" s="994"/>
      <c r="E103" s="994"/>
      <c r="F103" s="992">
        <f t="shared" si="26"/>
        <v>4</v>
      </c>
      <c r="G103" s="990">
        <f t="shared" si="27"/>
        <v>456.01534667032064</v>
      </c>
      <c r="H103" s="1047">
        <v>241.92</v>
      </c>
    </row>
    <row r="104" spans="1:8" ht="15.75" thickBot="1" x14ac:dyDescent="0.3">
      <c r="A104" s="989" t="s">
        <v>4109</v>
      </c>
      <c r="B104" s="599">
        <f>SUM(B97:B103)</f>
        <v>16</v>
      </c>
      <c r="C104" s="599">
        <f>SUM(C97:C102)</f>
        <v>6</v>
      </c>
      <c r="D104" s="599">
        <f>SUM(D97:D103)</f>
        <v>4</v>
      </c>
      <c r="E104" s="995">
        <f>SUM(E97:E103)</f>
        <v>5</v>
      </c>
      <c r="F104" s="993">
        <f>SUM(F97:F102)</f>
        <v>127</v>
      </c>
      <c r="G104" s="991">
        <f>(F104*8*26)/1.8245</f>
        <v>14478.487256782681</v>
      </c>
      <c r="H104" s="605">
        <f>SUM(H97:H103)</f>
        <v>8169.3398136475753</v>
      </c>
    </row>
    <row r="105" spans="1:8" x14ac:dyDescent="0.25">
      <c r="H105" s="761">
        <f>H104/G104</f>
        <v>0.56423987318291946</v>
      </c>
    </row>
    <row r="106" spans="1:8" ht="15.75" thickBot="1" x14ac:dyDescent="0.3"/>
    <row r="107" spans="1:8" ht="15.75" thickBot="1" x14ac:dyDescent="0.3">
      <c r="A107" s="395" t="s">
        <v>4365</v>
      </c>
      <c r="B107" s="1245" t="s">
        <v>4351</v>
      </c>
      <c r="C107" s="1246"/>
      <c r="D107" s="1246"/>
      <c r="E107" s="1246"/>
      <c r="F107" s="1256" t="s">
        <v>4352</v>
      </c>
      <c r="G107" s="1258" t="s">
        <v>4353</v>
      </c>
      <c r="H107" s="1260" t="s">
        <v>4362</v>
      </c>
    </row>
    <row r="108" spans="1:8" ht="15.75" thickBot="1" x14ac:dyDescent="0.3">
      <c r="A108" s="389" t="s">
        <v>4331</v>
      </c>
      <c r="B108" s="983" t="s">
        <v>4354</v>
      </c>
      <c r="C108" s="393" t="s">
        <v>4355</v>
      </c>
      <c r="D108" s="393" t="s">
        <v>4356</v>
      </c>
      <c r="E108" s="421" t="s">
        <v>4357</v>
      </c>
      <c r="F108" s="1257"/>
      <c r="G108" s="1259"/>
      <c r="H108" s="1261"/>
    </row>
    <row r="109" spans="1:8" x14ac:dyDescent="0.25">
      <c r="A109" s="987" t="s">
        <v>263</v>
      </c>
      <c r="B109" s="984">
        <v>3</v>
      </c>
      <c r="C109" s="589">
        <v>1</v>
      </c>
      <c r="D109" s="589">
        <v>1</v>
      </c>
      <c r="E109" s="590">
        <v>1</v>
      </c>
      <c r="F109" s="992">
        <f>(B109*4)+(C109*6)+(D109*4)+(E109*3)</f>
        <v>25</v>
      </c>
      <c r="G109" s="990">
        <f t="shared" ref="G109:G112" si="28">(F109*8*26)/1.8245</f>
        <v>2850.0959166895041</v>
      </c>
      <c r="H109" s="1045"/>
    </row>
    <row r="110" spans="1:8" x14ac:dyDescent="0.25">
      <c r="A110" s="988" t="s">
        <v>5</v>
      </c>
      <c r="B110" s="985">
        <v>2</v>
      </c>
      <c r="C110" s="280">
        <v>1</v>
      </c>
      <c r="D110" s="592">
        <v>1</v>
      </c>
      <c r="E110" s="512">
        <v>1</v>
      </c>
      <c r="F110" s="992">
        <f>(B110*4)+(C110*6)+(D110*4)+(E110*3)</f>
        <v>21</v>
      </c>
      <c r="G110" s="990">
        <f t="shared" si="28"/>
        <v>2394.0805700191831</v>
      </c>
      <c r="H110" s="1045"/>
    </row>
    <row r="111" spans="1:8" x14ac:dyDescent="0.25">
      <c r="A111" s="988" t="s">
        <v>242</v>
      </c>
      <c r="B111" s="986">
        <v>2</v>
      </c>
      <c r="C111" s="592">
        <v>1</v>
      </c>
      <c r="D111" s="592">
        <v>1</v>
      </c>
      <c r="E111" s="594">
        <v>1</v>
      </c>
      <c r="F111" s="992">
        <f>(B111*4)+(C111*6)+(D111*4)+(E111*3)</f>
        <v>21</v>
      </c>
      <c r="G111" s="990">
        <f t="shared" si="28"/>
        <v>2394.0805700191831</v>
      </c>
      <c r="H111" s="1045"/>
    </row>
    <row r="112" spans="1:8" x14ac:dyDescent="0.25">
      <c r="A112" s="988" t="s">
        <v>255</v>
      </c>
      <c r="B112" s="985">
        <v>2</v>
      </c>
      <c r="C112" s="595">
        <v>1</v>
      </c>
      <c r="D112" s="592">
        <v>1</v>
      </c>
      <c r="E112" s="594">
        <v>1</v>
      </c>
      <c r="F112" s="992">
        <f>(B112*4)+(C112*6)+(D112*4)+(E112*3)</f>
        <v>21</v>
      </c>
      <c r="G112" s="990">
        <f t="shared" si="28"/>
        <v>2394.0805700191831</v>
      </c>
      <c r="H112" s="1045"/>
    </row>
    <row r="113" spans="1:8" x14ac:dyDescent="0.25">
      <c r="A113" s="988" t="s">
        <v>288</v>
      </c>
      <c r="B113" s="986">
        <v>2</v>
      </c>
      <c r="C113" s="592">
        <v>1</v>
      </c>
      <c r="D113" s="592"/>
      <c r="E113" s="594">
        <v>1</v>
      </c>
      <c r="F113" s="992">
        <f>(B113*4)+(C113*6)+(D113*4)+(E113*3)</f>
        <v>17</v>
      </c>
      <c r="G113" s="990">
        <f>(F113*8*26)/1.8245</f>
        <v>1938.0652233488627</v>
      </c>
      <c r="H113" s="1045"/>
    </row>
    <row r="114" spans="1:8" x14ac:dyDescent="0.25">
      <c r="A114" s="988" t="s">
        <v>361</v>
      </c>
      <c r="B114" s="985">
        <v>4</v>
      </c>
      <c r="C114" s="985">
        <v>1</v>
      </c>
      <c r="D114" s="985"/>
      <c r="E114" s="985"/>
      <c r="F114" s="992">
        <f t="shared" ref="F114:F115" si="29">(B114*4)+(C114*6)+(D114*4)+(E114*3)</f>
        <v>22</v>
      </c>
      <c r="G114" s="990">
        <f t="shared" ref="G114:G115" si="30">(F114*8*26)/1.8245</f>
        <v>2508.0844066867635</v>
      </c>
      <c r="H114" s="1046"/>
    </row>
    <row r="115" spans="1:8" ht="15.75" thickBot="1" x14ac:dyDescent="0.3">
      <c r="A115" s="988" t="s">
        <v>1945</v>
      </c>
      <c r="B115" s="994">
        <v>1</v>
      </c>
      <c r="C115" s="994"/>
      <c r="D115" s="994"/>
      <c r="E115" s="994"/>
      <c r="F115" s="992">
        <f t="shared" si="29"/>
        <v>4</v>
      </c>
      <c r="G115" s="990">
        <f t="shared" si="30"/>
        <v>456.01534667032064</v>
      </c>
      <c r="H115" s="1047"/>
    </row>
    <row r="116" spans="1:8" ht="15.75" thickBot="1" x14ac:dyDescent="0.3">
      <c r="A116" s="989" t="s">
        <v>4109</v>
      </c>
      <c r="B116" s="599">
        <f>SUM(B109:B115)</f>
        <v>16</v>
      </c>
      <c r="C116" s="599">
        <f>SUM(C109:C114)</f>
        <v>6</v>
      </c>
      <c r="D116" s="599">
        <f>SUM(D109:D115)</f>
        <v>4</v>
      </c>
      <c r="E116" s="995">
        <f>SUM(E109:E115)</f>
        <v>5</v>
      </c>
      <c r="F116" s="993">
        <f>SUM(F109:F114)</f>
        <v>127</v>
      </c>
      <c r="G116" s="991">
        <f>(F116*8*26)/1.8245</f>
        <v>14478.487256782681</v>
      </c>
      <c r="H116" s="605"/>
    </row>
    <row r="117" spans="1:8" x14ac:dyDescent="0.25">
      <c r="H117" s="761">
        <f>H116/G116</f>
        <v>0</v>
      </c>
    </row>
  </sheetData>
  <mergeCells count="42">
    <mergeCell ref="B107:E107"/>
    <mergeCell ref="F107:F108"/>
    <mergeCell ref="G107:G108"/>
    <mergeCell ref="H107:H108"/>
    <mergeCell ref="B95:E95"/>
    <mergeCell ref="F95:F96"/>
    <mergeCell ref="G95:G96"/>
    <mergeCell ref="H95:H96"/>
    <mergeCell ref="Q74:Q75"/>
    <mergeCell ref="B74:E74"/>
    <mergeCell ref="F74:F75"/>
    <mergeCell ref="G74:G75"/>
    <mergeCell ref="L74:O74"/>
    <mergeCell ref="P74:P75"/>
    <mergeCell ref="H74:H75"/>
    <mergeCell ref="P83:P84"/>
    <mergeCell ref="Q83:Q84"/>
    <mergeCell ref="B83:E83"/>
    <mergeCell ref="F83:F84"/>
    <mergeCell ref="G83:G84"/>
    <mergeCell ref="H83:H84"/>
    <mergeCell ref="L83:O83"/>
    <mergeCell ref="Q65:Q66"/>
    <mergeCell ref="B65:E65"/>
    <mergeCell ref="F65:F66"/>
    <mergeCell ref="G65:G66"/>
    <mergeCell ref="L65:O65"/>
    <mergeCell ref="P65:P66"/>
    <mergeCell ref="P56:P57"/>
    <mergeCell ref="Q56:Q57"/>
    <mergeCell ref="B56:E56"/>
    <mergeCell ref="F56:F57"/>
    <mergeCell ref="G56:G57"/>
    <mergeCell ref="L56:O56"/>
    <mergeCell ref="E10:F10"/>
    <mergeCell ref="G38:G39"/>
    <mergeCell ref="B47:E47"/>
    <mergeCell ref="F47:F48"/>
    <mergeCell ref="G47:G48"/>
    <mergeCell ref="B38:E38"/>
    <mergeCell ref="F38:F39"/>
    <mergeCell ref="B24:E24"/>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0449E34DC656249A3048C630E00FE84" ma:contentTypeVersion="18" ma:contentTypeDescription="Create a new document." ma:contentTypeScope="" ma:versionID="324411e2bf1b59d155259d7477477d78">
  <xsd:schema xmlns:xsd="http://www.w3.org/2001/XMLSchema" xmlns:xs="http://www.w3.org/2001/XMLSchema" xmlns:p="http://schemas.microsoft.com/office/2006/metadata/properties" xmlns:ns3="2548cce2-7d6d-453c-8806-ee1144a49b42" xmlns:ns4="fae2abec-7f15-43f4-ba0b-88a6e0faa347" targetNamespace="http://schemas.microsoft.com/office/2006/metadata/properties" ma:root="true" ma:fieldsID="a1cb33acc07548858165d2f0707e123e" ns3:_="" ns4:_="">
    <xsd:import namespace="2548cce2-7d6d-453c-8806-ee1144a49b42"/>
    <xsd:import namespace="fae2abec-7f15-43f4-ba0b-88a6e0faa347"/>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ServiceOCR" minOccurs="0"/>
                <xsd:element ref="ns4:MediaServiceGenerationTime" minOccurs="0"/>
                <xsd:element ref="ns4:MediaServiceEventHashCode" minOccurs="0"/>
                <xsd:element ref="ns4:MediaServiceAutoKeyPoints" minOccurs="0"/>
                <xsd:element ref="ns4:MediaServiceKeyPoints" minOccurs="0"/>
                <xsd:element ref="ns4:MediaLengthInSeconds" minOccurs="0"/>
                <xsd:element ref="ns4:_activity" minOccurs="0"/>
                <xsd:element ref="ns4:MediaServiceObjectDetectorVersions" minOccurs="0"/>
                <xsd:element ref="ns4:MediaServiceSystemTags" minOccurs="0"/>
                <xsd:element ref="ns4:MediaServiceLocation"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48cce2-7d6d-453c-8806-ee1144a49b4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ae2abec-7f15-43f4-ba0b-88a6e0faa34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ystemTags" ma:index="23" nillable="true" ma:displayName="MediaServiceSystemTags" ma:hidden="true" ma:internalName="MediaServiceSystemTags" ma:readOnly="true">
      <xsd:simpleType>
        <xsd:restriction base="dms:Note"/>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fae2abec-7f15-43f4-ba0b-88a6e0faa347" xsi:nil="true"/>
  </documentManagement>
</p:properties>
</file>

<file path=customXml/itemProps1.xml><?xml version="1.0" encoding="utf-8"?>
<ds:datastoreItem xmlns:ds="http://schemas.openxmlformats.org/officeDocument/2006/customXml" ds:itemID="{3A2DC7F5-AE08-4B5B-A6F4-75E32FADF3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548cce2-7d6d-453c-8806-ee1144a49b42"/>
    <ds:schemaRef ds:uri="fae2abec-7f15-43f4-ba0b-88a6e0faa34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AB61DAB-1E04-410E-8B99-268FDA7A7CC6}">
  <ds:schemaRefs>
    <ds:schemaRef ds:uri="http://schemas.microsoft.com/sharepoint/v3/contenttype/forms"/>
  </ds:schemaRefs>
</ds:datastoreItem>
</file>

<file path=customXml/itemProps3.xml><?xml version="1.0" encoding="utf-8"?>
<ds:datastoreItem xmlns:ds="http://schemas.openxmlformats.org/officeDocument/2006/customXml" ds:itemID="{7CCE6E64-B6B9-4E86-8F3C-CDAC1933E4D7}">
  <ds:schemaRefs>
    <ds:schemaRef ds:uri="http://schemas.microsoft.com/office/2006/metadata/properties"/>
    <ds:schemaRef ds:uri="http://schemas.microsoft.com/office/infopath/2007/PartnerControls"/>
    <ds:schemaRef ds:uri="fae2abec-7f15-43f4-ba0b-88a6e0faa34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Sheet3</vt:lpstr>
      <vt:lpstr>SUPV</vt:lpstr>
      <vt:lpstr>Justifications</vt:lpstr>
      <vt:lpstr>UG-SLEM</vt:lpstr>
      <vt:lpstr>C1</vt:lpstr>
      <vt:lpstr>PCA SUMMARY</vt:lpstr>
      <vt:lpstr>PRIORITY</vt:lpstr>
      <vt:lpstr>VIP</vt:lpstr>
      <vt:lpstr>AGEING</vt:lpstr>
      <vt:lpstr>VENDOR PRODUCTIVITY</vt:lpstr>
      <vt:lpstr>'C1'!Print_Area</vt:lpstr>
    </vt:vector>
  </TitlesOfParts>
  <Manager/>
  <Company>The Manila Electric Company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Zyreen S. Cruz (Miescor Logistics, Inc.)</dc:creator>
  <cp:keywords/>
  <dc:description/>
  <cp:lastModifiedBy>Noel V. Permalino (Miescor, Inc.)</cp:lastModifiedBy>
  <cp:revision/>
  <dcterms:created xsi:type="dcterms:W3CDTF">2023-01-27T22:48:50Z</dcterms:created>
  <dcterms:modified xsi:type="dcterms:W3CDTF">2025-08-25T23:45:41Z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0x01010060449E34DC656249A3048C630E00FE84</vt:lpwstr>
  </property>
</Properties>
</file>